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comments6.xml" ContentType="application/vnd.openxmlformats-officedocument.spreadsheetml.comments+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drawings/drawing113.xml" ContentType="application/vnd.openxmlformats-officedocument.drawing+xml"/>
  <Override PartName="/xl/drawings/drawing114.xml" ContentType="application/vnd.openxmlformats-officedocument.drawing+xml"/>
  <Override PartName="/xl/drawings/drawing115.xml" ContentType="application/vnd.openxmlformats-officedocument.drawing+xml"/>
  <Override PartName="/xl/drawings/drawing116.xml" ContentType="application/vnd.openxmlformats-officedocument.drawing+xml"/>
  <Override PartName="/xl/drawings/drawing117.xml" ContentType="application/vnd.openxmlformats-officedocument.drawing+xml"/>
  <Override PartName="/xl/drawings/drawing118.xml" ContentType="application/vnd.openxmlformats-officedocument.drawing+xml"/>
  <Override PartName="/xl/drawings/drawing119.xml" ContentType="application/vnd.openxmlformats-officedocument.drawing+xml"/>
  <Override PartName="/xl/drawings/drawing120.xml" ContentType="application/vnd.openxmlformats-officedocument.drawing+xml"/>
  <Override PartName="/xl/drawings/drawing121.xml" ContentType="application/vnd.openxmlformats-officedocument.drawing+xml"/>
  <Override PartName="/xl/drawings/drawing122.xml" ContentType="application/vnd.openxmlformats-officedocument.drawing+xml"/>
  <Override PartName="/xl/comments7.xml" ContentType="application/vnd.openxmlformats-officedocument.spreadsheetml.comments+xml"/>
  <Override PartName="/xl/drawings/drawing123.xml" ContentType="application/vnd.openxmlformats-officedocument.drawing+xml"/>
  <Override PartName="/xl/comments8.xml" ContentType="application/vnd.openxmlformats-officedocument.spreadsheetml.comments+xml"/>
  <Override PartName="/xl/drawings/drawing124.xml" ContentType="application/vnd.openxmlformats-officedocument.drawing+xml"/>
  <Override PartName="/xl/drawings/drawing125.xml" ContentType="application/vnd.openxmlformats-officedocument.drawing+xml"/>
  <Override PartName="/xl/drawings/drawing126.xml" ContentType="application/vnd.openxmlformats-officedocument.drawing+xml"/>
  <Override PartName="/xl/drawings/drawing127.xml" ContentType="application/vnd.openxmlformats-officedocument.drawing+xml"/>
  <Override PartName="/xl/drawings/drawing128.xml" ContentType="application/vnd.openxmlformats-officedocument.drawing+xml"/>
  <Override PartName="/xl/drawings/drawing129.xml" ContentType="application/vnd.openxmlformats-officedocument.drawing+xml"/>
  <Override PartName="/xl/drawings/drawing130.xml" ContentType="application/vnd.openxmlformats-officedocument.drawing+xml"/>
  <Override PartName="/xl/drawings/drawing131.xml" ContentType="application/vnd.openxmlformats-officedocument.drawing+xml"/>
  <Override PartName="/xl/drawings/drawing132.xml" ContentType="application/vnd.openxmlformats-officedocument.drawing+xml"/>
  <Override PartName="/xl/drawings/drawing133.xml" ContentType="application/vnd.openxmlformats-officedocument.drawing+xml"/>
  <Override PartName="/xl/drawings/drawing134.xml" ContentType="application/vnd.openxmlformats-officedocument.drawing+xml"/>
  <Override PartName="/xl/drawings/drawing135.xml" ContentType="application/vnd.openxmlformats-officedocument.drawing+xml"/>
  <Override PartName="/xl/drawings/drawing136.xml" ContentType="application/vnd.openxmlformats-officedocument.drawing+xml"/>
  <Override PartName="/xl/drawings/drawing137.xml" ContentType="application/vnd.openxmlformats-officedocument.drawing+xml"/>
  <Override PartName="/xl/drawings/drawing138.xml" ContentType="application/vnd.openxmlformats-officedocument.drawing+xml"/>
  <Override PartName="/xl/drawings/drawing139.xml" ContentType="application/vnd.openxmlformats-officedocument.drawing+xml"/>
  <Override PartName="/xl/drawings/drawing140.xml" ContentType="application/vnd.openxmlformats-officedocument.drawing+xml"/>
  <Override PartName="/xl/drawings/drawing141.xml" ContentType="application/vnd.openxmlformats-officedocument.drawing+xml"/>
  <Override PartName="/xl/drawings/drawing142.xml" ContentType="application/vnd.openxmlformats-officedocument.drawing+xml"/>
  <Override PartName="/xl/drawings/drawing143.xml" ContentType="application/vnd.openxmlformats-officedocument.drawing+xml"/>
  <Override PartName="/xl/drawings/drawing144.xml" ContentType="application/vnd.openxmlformats-officedocument.drawing+xml"/>
  <Override PartName="/xl/drawings/drawing145.xml" ContentType="application/vnd.openxmlformats-officedocument.drawing+xml"/>
  <Override PartName="/xl/drawings/drawing146.xml" ContentType="application/vnd.openxmlformats-officedocument.drawing+xml"/>
  <Override PartName="/xl/drawings/drawing147.xml" ContentType="application/vnd.openxmlformats-officedocument.drawing+xml"/>
  <Override PartName="/xl/drawings/drawing148.xml" ContentType="application/vnd.openxmlformats-officedocument.drawing+xml"/>
  <Override PartName="/xl/drawings/drawing149.xml" ContentType="application/vnd.openxmlformats-officedocument.drawing+xml"/>
  <Override PartName="/xl/drawings/drawing150.xml" ContentType="application/vnd.openxmlformats-officedocument.drawing+xml"/>
  <Override PartName="/xl/drawings/drawing151.xml" ContentType="application/vnd.openxmlformats-officedocument.drawing+xml"/>
  <Override PartName="/xl/drawings/drawing152.xml" ContentType="application/vnd.openxmlformats-officedocument.drawing+xml"/>
  <Override PartName="/xl/drawings/drawing153.xml" ContentType="application/vnd.openxmlformats-officedocument.drawing+xml"/>
  <Override PartName="/xl/drawings/drawing154.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D:\SDM\PROCESOS\SEÑALIZACION LP 2024\OBSERVACIONES ADENDA 1\"/>
    </mc:Choice>
  </mc:AlternateContent>
  <xr:revisionPtr revIDLastSave="0" documentId="8_{B290F387-1811-42EB-9FCE-1B8EA0A1286D}" xr6:coauthVersionLast="47" xr6:coauthVersionMax="47" xr10:uidLastSave="{00000000-0000-0000-0000-000000000000}"/>
  <bookViews>
    <workbookView xWindow="-120" yWindow="-120" windowWidth="20730" windowHeight="11040" tabRatio="831" firstSheet="14" activeTab="16" xr2:uid="{00000000-000D-0000-FFFF-FFFF00000000}"/>
  </bookViews>
  <sheets>
    <sheet name="F_PRESTACIONES SOCIALES " sheetId="191" state="hidden" r:id="rId1"/>
    <sheet name="SUPUESTOSMACROECONOM" sheetId="143" state="hidden" r:id="rId2"/>
    <sheet name="IDU_2024_INSUMOS" sheetId="118" state="hidden" r:id="rId3"/>
    <sheet name="APU_IDU" sheetId="119" state="hidden" r:id="rId4"/>
    <sheet name="PSS S" sheetId="122" state="veryHidden" r:id="rId5"/>
    <sheet name="F PRESTACIONAL Y G GENERALES" sheetId="190" state="hidden" r:id="rId6"/>
    <sheet name="AIU" sheetId="185" state="hidden" r:id="rId7"/>
    <sheet name="CUADRILLAS_ALQUILER" sheetId="121" state="veryHidden" r:id="rId8"/>
    <sheet name="PINTURAS_CONSUMOS " sheetId="128" state="veryHidden" r:id="rId9"/>
    <sheet name="ENLACES " sheetId="195" state="hidden" r:id="rId10"/>
    <sheet name="PERSONAL" sheetId="3" r:id="rId11"/>
    <sheet name="75N" sheetId="80" state="veryHidden" r:id="rId12"/>
    <sheet name="EQUIPOS " sheetId="2" r:id="rId13"/>
    <sheet name="ANEXO PLIEGO_1" sheetId="5" r:id="rId14"/>
    <sheet name="POR AÑOS_OBRA2024" sheetId="188" r:id="rId15"/>
    <sheet name="ANEXO PLIEGO_2" sheetId="139" r:id="rId16"/>
    <sheet name="POR AÑOS_SUMINISTRO" sheetId="184" r:id="rId17"/>
    <sheet name="INSUMOS " sheetId="1" r:id="rId18"/>
    <sheet name="14S  " sheetId="193" r:id="rId19"/>
    <sheet name="13S " sheetId="192" r:id="rId20"/>
    <sheet name="12S" sheetId="174" r:id="rId21"/>
    <sheet name="11S" sheetId="173" r:id="rId22"/>
    <sheet name="10S" sheetId="172" r:id="rId23"/>
    <sheet name="9S" sheetId="171" r:id="rId24"/>
    <sheet name="8S" sheetId="170" r:id="rId25"/>
    <sheet name="7S" sheetId="169" r:id="rId26"/>
    <sheet name="6S" sheetId="165" r:id="rId27"/>
    <sheet name="5S" sheetId="116" r:id="rId28"/>
    <sheet name="4S" sheetId="115" r:id="rId29"/>
    <sheet name="3S" sheetId="114" r:id="rId30"/>
    <sheet name="2S" sheetId="113" r:id="rId31"/>
    <sheet name="1S" sheetId="112" r:id="rId32"/>
    <sheet name="129" sheetId="198" r:id="rId33"/>
    <sheet name="128" sheetId="196" r:id="rId34"/>
    <sheet name="127" sheetId="197" r:id="rId35"/>
    <sheet name="126" sheetId="194" r:id="rId36"/>
    <sheet name="125" sheetId="186" r:id="rId37"/>
    <sheet name="124" sheetId="187" r:id="rId38"/>
    <sheet name="123" sheetId="181" r:id="rId39"/>
    <sheet name="122" sheetId="180" r:id="rId40"/>
    <sheet name="121" sheetId="179" r:id="rId41"/>
    <sheet name="120" sheetId="178" r:id="rId42"/>
    <sheet name="119" sheetId="177" r:id="rId43"/>
    <sheet name="118" sheetId="176" r:id="rId44"/>
    <sheet name="117" sheetId="164" r:id="rId45"/>
    <sheet name="116" sheetId="156" r:id="rId46"/>
    <sheet name="115" sheetId="175" r:id="rId47"/>
    <sheet name="114" sheetId="160" r:id="rId48"/>
    <sheet name="113" sheetId="158" r:id="rId49"/>
    <sheet name="112" sheetId="157" r:id="rId50"/>
    <sheet name="111" sheetId="154" r:id="rId51"/>
    <sheet name="110" sheetId="152" r:id="rId52"/>
    <sheet name="109" sheetId="151" r:id="rId53"/>
    <sheet name="108" sheetId="150" r:id="rId54"/>
    <sheet name="107" sheetId="148" r:id="rId55"/>
    <sheet name="106" sheetId="147" r:id="rId56"/>
    <sheet name="105" sheetId="145" r:id="rId57"/>
    <sheet name="104" sheetId="146" r:id="rId58"/>
    <sheet name="103" sheetId="144" r:id="rId59"/>
    <sheet name="102" sheetId="138" r:id="rId60"/>
    <sheet name="101" sheetId="85" r:id="rId61"/>
    <sheet name="100" sheetId="111" r:id="rId62"/>
    <sheet name="99" sheetId="110" r:id="rId63"/>
    <sheet name="98" sheetId="109" r:id="rId64"/>
    <sheet name="97" sheetId="108" r:id="rId65"/>
    <sheet name="96N" sheetId="107" r:id="rId66"/>
    <sheet name="95" sheetId="106" r:id="rId67"/>
    <sheet name="94" sheetId="105" r:id="rId68"/>
    <sheet name="93" sheetId="104" r:id="rId69"/>
    <sheet name="96" sheetId="103" state="veryHidden" r:id="rId70"/>
    <sheet name="92" sheetId="102" r:id="rId71"/>
    <sheet name="91" sheetId="101" r:id="rId72"/>
    <sheet name="90" sheetId="100" r:id="rId73"/>
    <sheet name="89" sheetId="99" r:id="rId74"/>
    <sheet name="88" sheetId="98" r:id="rId75"/>
    <sheet name="87" sheetId="97" r:id="rId76"/>
    <sheet name="86" sheetId="96" r:id="rId77"/>
    <sheet name="85" sheetId="95" r:id="rId78"/>
    <sheet name="84" sheetId="137" r:id="rId79"/>
    <sheet name="83" sheetId="135" r:id="rId80"/>
    <sheet name="82" sheetId="92" r:id="rId81"/>
    <sheet name="81" sheetId="91" r:id="rId82"/>
    <sheet name="80" sheetId="90" r:id="rId83"/>
    <sheet name="79" sheetId="89" r:id="rId84"/>
    <sheet name="78" sheetId="88" r:id="rId85"/>
    <sheet name="77" sheetId="86" r:id="rId86"/>
    <sheet name="76" sheetId="84" r:id="rId87"/>
    <sheet name="75" sheetId="83" r:id="rId88"/>
    <sheet name="74" sheetId="82" r:id="rId89"/>
    <sheet name="73" sheetId="134" r:id="rId90"/>
    <sheet name="72" sheetId="133" r:id="rId91"/>
    <sheet name="71" sheetId="79" r:id="rId92"/>
    <sheet name="70" sheetId="78" r:id="rId93"/>
    <sheet name="69" sheetId="77" r:id="rId94"/>
    <sheet name="68" sheetId="76" r:id="rId95"/>
    <sheet name="67" sheetId="132" r:id="rId96"/>
    <sheet name="66" sheetId="131" r:id="rId97"/>
    <sheet name="65" sheetId="73" r:id="rId98"/>
    <sheet name="64" sheetId="130" r:id="rId99"/>
    <sheet name="63" sheetId="71" r:id="rId100"/>
    <sheet name="62" sheetId="70" r:id="rId101"/>
    <sheet name="61" sheetId="69" r:id="rId102"/>
    <sheet name="60" sheetId="68" r:id="rId103"/>
    <sheet name="59" sheetId="67" r:id="rId104"/>
    <sheet name="58" sheetId="66" r:id="rId105"/>
    <sheet name="57" sheetId="65" r:id="rId106"/>
    <sheet name="56" sheetId="64" r:id="rId107"/>
    <sheet name="55" sheetId="63" r:id="rId108"/>
    <sheet name="54" sheetId="62" r:id="rId109"/>
    <sheet name="53" sheetId="61" r:id="rId110"/>
    <sheet name="52" sheetId="60" r:id="rId111"/>
    <sheet name="51" sheetId="59" r:id="rId112"/>
    <sheet name="50" sheetId="58" r:id="rId113"/>
    <sheet name="49" sheetId="57" r:id="rId114"/>
    <sheet name="48" sheetId="56" r:id="rId115"/>
    <sheet name="47" sheetId="55" r:id="rId116"/>
    <sheet name="46" sheetId="54" r:id="rId117"/>
    <sheet name="45" sheetId="53" r:id="rId118"/>
    <sheet name="44" sheetId="52" r:id="rId119"/>
    <sheet name="43" sheetId="51" r:id="rId120"/>
    <sheet name="42" sheetId="50" r:id="rId121"/>
    <sheet name="41" sheetId="49" r:id="rId122"/>
    <sheet name="40" sheetId="48" r:id="rId123"/>
    <sheet name="39" sheetId="47" r:id="rId124"/>
    <sheet name="38" sheetId="46" r:id="rId125"/>
    <sheet name="37" sheetId="45" r:id="rId126"/>
    <sheet name="36" sheetId="44" r:id="rId127"/>
    <sheet name="35" sheetId="43" r:id="rId128"/>
    <sheet name="34" sheetId="41" r:id="rId129"/>
    <sheet name="33" sheetId="40" r:id="rId130"/>
    <sheet name="32" sheetId="39" r:id="rId131"/>
    <sheet name="31" sheetId="38" r:id="rId132"/>
    <sheet name="30" sheetId="37" r:id="rId133"/>
    <sheet name="22" sheetId="27" state="veryHidden" r:id="rId134"/>
    <sheet name="27" sheetId="32" state="veryHidden" r:id="rId135"/>
    <sheet name="29" sheetId="36" r:id="rId136"/>
    <sheet name="28" sheetId="35" r:id="rId137"/>
    <sheet name="27N" sheetId="34" r:id="rId138"/>
    <sheet name="26" sheetId="33" r:id="rId139"/>
    <sheet name="25" sheetId="31" r:id="rId140"/>
    <sheet name="24" sheetId="142" r:id="rId141"/>
    <sheet name="23" sheetId="141" r:id="rId142"/>
    <sheet name="22N" sheetId="140" r:id="rId143"/>
    <sheet name="21" sheetId="26" r:id="rId144"/>
    <sheet name="20" sheetId="25" r:id="rId145"/>
    <sheet name="19" sheetId="24" r:id="rId146"/>
    <sheet name="18" sheetId="203" r:id="rId147"/>
    <sheet name="17" sheetId="202" r:id="rId148"/>
    <sheet name="16" sheetId="21" r:id="rId149"/>
    <sheet name="15" sheetId="20" r:id="rId150"/>
    <sheet name="14" sheetId="19" r:id="rId151"/>
    <sheet name="13" sheetId="18" r:id="rId152"/>
    <sheet name="12" sheetId="17" r:id="rId153"/>
    <sheet name="11" sheetId="120" r:id="rId154"/>
    <sheet name="10" sheetId="15" r:id="rId155"/>
    <sheet name="9" sheetId="14" r:id="rId156"/>
    <sheet name="8" sheetId="13" r:id="rId157"/>
    <sheet name="7" sheetId="12" r:id="rId158"/>
    <sheet name="6" sheetId="11" r:id="rId159"/>
    <sheet name="5" sheetId="10" r:id="rId160"/>
    <sheet name="4" sheetId="9" r:id="rId161"/>
    <sheet name="3" sheetId="8" r:id="rId162"/>
    <sheet name="2" sheetId="7" r:id="rId163"/>
    <sheet name="1" sheetId="6" r:id="rId164"/>
    <sheet name="PMT" sheetId="126" r:id="rId165"/>
    <sheet name="37_TERMOPLAST" sheetId="42" state="veryHidden" r:id="rId166"/>
  </sheets>
  <externalReferences>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s>
  <definedNames>
    <definedName name="_____PJ50" localSheetId="35">#REF!</definedName>
    <definedName name="_____PJ50" localSheetId="34">#REF!</definedName>
    <definedName name="_____PJ50" localSheetId="33">#REF!</definedName>
    <definedName name="_____PJ50" localSheetId="147">#REF!</definedName>
    <definedName name="_____PJ50" localSheetId="146">#REF!</definedName>
    <definedName name="_____PJ50" localSheetId="5">#REF!</definedName>
    <definedName name="_____PJ50">#REF!</definedName>
    <definedName name="_____pj51" localSheetId="35">#REF!</definedName>
    <definedName name="_____pj51" localSheetId="34">#REF!</definedName>
    <definedName name="_____pj51" localSheetId="33">#REF!</definedName>
    <definedName name="_____pj51" localSheetId="147">#REF!</definedName>
    <definedName name="_____pj51" localSheetId="146">#REF!</definedName>
    <definedName name="_____pj51" localSheetId="5">#REF!</definedName>
    <definedName name="_____pj51">#REF!</definedName>
    <definedName name="____PJ50" localSheetId="35">#REF!</definedName>
    <definedName name="____PJ50" localSheetId="34">#REF!</definedName>
    <definedName name="____PJ50" localSheetId="33">#REF!</definedName>
    <definedName name="____PJ50" localSheetId="147">#REF!</definedName>
    <definedName name="____PJ50" localSheetId="146">#REF!</definedName>
    <definedName name="____PJ50" localSheetId="5">#REF!</definedName>
    <definedName name="____PJ50">#REF!</definedName>
    <definedName name="____pj51" localSheetId="35">#REF!</definedName>
    <definedName name="____pj51" localSheetId="34">#REF!</definedName>
    <definedName name="____pj51" localSheetId="33">#REF!</definedName>
    <definedName name="____pj51" localSheetId="147">#REF!</definedName>
    <definedName name="____pj51" localSheetId="146">#REF!</definedName>
    <definedName name="____pj51" localSheetId="5">#REF!</definedName>
    <definedName name="____pj51">#REF!</definedName>
    <definedName name="___PJ50" localSheetId="35">#REF!</definedName>
    <definedName name="___PJ50" localSheetId="34">#REF!</definedName>
    <definedName name="___PJ50" localSheetId="33">#REF!</definedName>
    <definedName name="___PJ50" localSheetId="147">#REF!</definedName>
    <definedName name="___PJ50" localSheetId="146">#REF!</definedName>
    <definedName name="___PJ50" localSheetId="5">#REF!</definedName>
    <definedName name="___PJ50">#REF!</definedName>
    <definedName name="___pj51" localSheetId="35">#REF!</definedName>
    <definedName name="___pj51" localSheetId="34">#REF!</definedName>
    <definedName name="___pj51" localSheetId="33">#REF!</definedName>
    <definedName name="___pj51" localSheetId="147">#REF!</definedName>
    <definedName name="___pj51" localSheetId="146">#REF!</definedName>
    <definedName name="___pj51" localSheetId="5">#REF!</definedName>
    <definedName name="___pj51">#REF!</definedName>
    <definedName name="__222" localSheetId="35">#REF!</definedName>
    <definedName name="__222" localSheetId="34">#REF!</definedName>
    <definedName name="__222" localSheetId="33">#REF!</definedName>
    <definedName name="__222" localSheetId="147">#REF!</definedName>
    <definedName name="__222" localSheetId="146">#REF!</definedName>
    <definedName name="__222">#REF!</definedName>
    <definedName name="__PJ50" localSheetId="35">#REF!</definedName>
    <definedName name="__PJ50" localSheetId="34">#REF!</definedName>
    <definedName name="__PJ50" localSheetId="33">#REF!</definedName>
    <definedName name="__PJ50" localSheetId="147">#REF!</definedName>
    <definedName name="__PJ50" localSheetId="146">#REF!</definedName>
    <definedName name="__PJ50" localSheetId="5">#REF!</definedName>
    <definedName name="__PJ50">#REF!</definedName>
    <definedName name="__pj51" localSheetId="35">#REF!</definedName>
    <definedName name="__pj51" localSheetId="34">#REF!</definedName>
    <definedName name="__pj51" localSheetId="33">#REF!</definedName>
    <definedName name="__pj51" localSheetId="147">#REF!</definedName>
    <definedName name="__pj51" localSheetId="146">#REF!</definedName>
    <definedName name="__pj51" localSheetId="5">#REF!</definedName>
    <definedName name="__pj5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PU221" localSheetId="35">#REF!</definedName>
    <definedName name="_APU221" localSheetId="34">#REF!</definedName>
    <definedName name="_APU221" localSheetId="33">#REF!</definedName>
    <definedName name="_APU221" localSheetId="147">#REF!</definedName>
    <definedName name="_APU221" localSheetId="146">#REF!</definedName>
    <definedName name="_APU221" localSheetId="5">#REF!</definedName>
    <definedName name="_APU221">#REF!</definedName>
    <definedName name="_APU465" localSheetId="37">[1]!absc</definedName>
    <definedName name="_APU465" localSheetId="36">[1]!absc</definedName>
    <definedName name="_APU465" localSheetId="35">[1]!absc</definedName>
    <definedName name="_APU465" localSheetId="34">[1]!absc</definedName>
    <definedName name="_APU465" localSheetId="33">[1]!absc</definedName>
    <definedName name="_APU465" localSheetId="19">[1]!absc</definedName>
    <definedName name="_APU465" localSheetId="18">[1]!absc</definedName>
    <definedName name="_APU465" localSheetId="147">[1]!absc</definedName>
    <definedName name="_APU465" localSheetId="146">[1]!absc</definedName>
    <definedName name="_APU465" localSheetId="5">[1]!absc</definedName>
    <definedName name="_APU465" localSheetId="14">[1]!absc</definedName>
    <definedName name="_APU465">[1]!absc</definedName>
    <definedName name="_Fill" localSheetId="35" hidden="1">#REF!</definedName>
    <definedName name="_Fill" localSheetId="34" hidden="1">#REF!</definedName>
    <definedName name="_Fill" localSheetId="33" hidden="1">#REF!</definedName>
    <definedName name="_Fill" localSheetId="147" hidden="1">#REF!</definedName>
    <definedName name="_Fill" localSheetId="146" hidden="1">#REF!</definedName>
    <definedName name="_Fill" hidden="1">#REF!</definedName>
    <definedName name="_xlnm._FilterDatabase" localSheetId="163" hidden="1">'1'!$A$22:$J$34</definedName>
    <definedName name="_xlnm._FilterDatabase" localSheetId="154" hidden="1">'10'!$A$23:$J$38</definedName>
    <definedName name="_xlnm._FilterDatabase" localSheetId="61" hidden="1">'100'!$A$20:$J$30</definedName>
    <definedName name="_xlnm._FilterDatabase" localSheetId="60" hidden="1">'101'!$A$20:$J$30</definedName>
    <definedName name="_xlnm._FilterDatabase" localSheetId="59" hidden="1">'102'!$A$20:$J$30</definedName>
    <definedName name="_xlnm._FilterDatabase" localSheetId="58" hidden="1">'103'!$A$20:$J$30</definedName>
    <definedName name="_xlnm._FilterDatabase" localSheetId="57" hidden="1">'104'!$A$20:$J$30</definedName>
    <definedName name="_xlnm._FilterDatabase" localSheetId="56" hidden="1">'105'!$A$20:$J$30</definedName>
    <definedName name="_xlnm._FilterDatabase" localSheetId="55" hidden="1">'106'!$A$20:$J$30</definedName>
    <definedName name="_xlnm._FilterDatabase" localSheetId="54" hidden="1">'107'!$A$20:$J$30</definedName>
    <definedName name="_xlnm._FilterDatabase" localSheetId="53" hidden="1">'108'!$A$20:$J$30</definedName>
    <definedName name="_xlnm._FilterDatabase" localSheetId="52" hidden="1">'109'!$A$20:$J$30</definedName>
    <definedName name="_xlnm._FilterDatabase" localSheetId="22" hidden="1">'10S'!$A$20:$J$30</definedName>
    <definedName name="_xlnm._FilterDatabase" localSheetId="153" hidden="1">'11'!$A$23:$J$39</definedName>
    <definedName name="_xlnm._FilterDatabase" localSheetId="51" hidden="1">'110'!$A$20:$J$30</definedName>
    <definedName name="_xlnm._FilterDatabase" localSheetId="50" hidden="1">'111'!$A$20:$J$30</definedName>
    <definedName name="_xlnm._FilterDatabase" localSheetId="49" hidden="1">'112'!$A$20:$J$30</definedName>
    <definedName name="_xlnm._FilterDatabase" localSheetId="48" hidden="1">'113'!$A$20:$J$30</definedName>
    <definedName name="_xlnm._FilterDatabase" localSheetId="47" hidden="1">'114'!$A$20:$J$30</definedName>
    <definedName name="_xlnm._FilterDatabase" localSheetId="46" hidden="1">'115'!$A$20:$J$30</definedName>
    <definedName name="_xlnm._FilterDatabase" localSheetId="45" hidden="1">'116'!$A$20:$J$30</definedName>
    <definedName name="_xlnm._FilterDatabase" localSheetId="44" hidden="1">'117'!$A$20:$J$30</definedName>
    <definedName name="_xlnm._FilterDatabase" localSheetId="43" hidden="1">'118'!$A$20:$J$30</definedName>
    <definedName name="_xlnm._FilterDatabase" localSheetId="42" hidden="1">'119'!$A$20:$J$30</definedName>
    <definedName name="_xlnm._FilterDatabase" localSheetId="21" hidden="1">'11S'!$A$20:$J$30</definedName>
    <definedName name="_xlnm._FilterDatabase" localSheetId="152" hidden="1">'12'!$A$23:$J$37</definedName>
    <definedName name="_xlnm._FilterDatabase" localSheetId="41" hidden="1">'120'!$A$20:$J$30</definedName>
    <definedName name="_xlnm._FilterDatabase" localSheetId="40" hidden="1">'121'!$A$20:$J$30</definedName>
    <definedName name="_xlnm._FilterDatabase" localSheetId="39" hidden="1">'122'!$A$20:$J$30</definedName>
    <definedName name="_xlnm._FilterDatabase" localSheetId="38" hidden="1">'123'!$A$20:$J$30</definedName>
    <definedName name="_xlnm._FilterDatabase" localSheetId="37" hidden="1">'124'!$A$20:$J$30</definedName>
    <definedName name="_xlnm._FilterDatabase" localSheetId="36" hidden="1">'125'!$A$20:$J$30</definedName>
    <definedName name="_xlnm._FilterDatabase" localSheetId="35" hidden="1">'126'!$A$20:$J$29</definedName>
    <definedName name="_xlnm._FilterDatabase" localSheetId="34" hidden="1">'127'!$A$20:$J$30</definedName>
    <definedName name="_xlnm._FilterDatabase" localSheetId="33" hidden="1">'128'!$A$19:$J$29</definedName>
    <definedName name="_xlnm._FilterDatabase" localSheetId="20" hidden="1">'12S'!$A$20:$J$30</definedName>
    <definedName name="_xlnm._FilterDatabase" localSheetId="151" hidden="1">'13'!$A$24:$J$40</definedName>
    <definedName name="_xlnm._FilterDatabase" localSheetId="19" hidden="1">'13S '!$A$20:$J$30</definedName>
    <definedName name="_xlnm._FilterDatabase" localSheetId="150" hidden="1">'14'!$A$24:$J$40</definedName>
    <definedName name="_xlnm._FilterDatabase" localSheetId="18" hidden="1">'14S  '!$A$20:$J$30</definedName>
    <definedName name="_xlnm._FilterDatabase" localSheetId="149" hidden="1">'15'!$A$25:$J$35</definedName>
    <definedName name="_xlnm._FilterDatabase" localSheetId="148" hidden="1">'16'!$A$23:$J$39</definedName>
    <definedName name="_xlnm._FilterDatabase" localSheetId="147" hidden="1">'17'!$A$24:$J$40</definedName>
    <definedName name="_xlnm._FilterDatabase" localSheetId="146" hidden="1">'18'!$A$24:$J$40</definedName>
    <definedName name="_xlnm._FilterDatabase" localSheetId="145" hidden="1">'19'!$A$23:$J$38</definedName>
    <definedName name="_xlnm._FilterDatabase" localSheetId="31" hidden="1">'1S'!$A$20:$J$30</definedName>
    <definedName name="_xlnm._FilterDatabase" localSheetId="162" hidden="1">'2'!$A$21:$J$31</definedName>
    <definedName name="_xlnm._FilterDatabase" localSheetId="144" hidden="1">'20'!$A$24:$J$36</definedName>
    <definedName name="_xlnm._FilterDatabase" localSheetId="143" hidden="1">'21'!$A$26:$J$37</definedName>
    <definedName name="_xlnm._FilterDatabase" localSheetId="133" hidden="1">'22'!$A$23:$J$33</definedName>
    <definedName name="_xlnm._FilterDatabase" localSheetId="142" hidden="1">'22N'!$A$23:$J$33</definedName>
    <definedName name="_xlnm._FilterDatabase" localSheetId="141" hidden="1">'23'!$A$23:$J$33</definedName>
    <definedName name="_xlnm._FilterDatabase" localSheetId="140" hidden="1">'24'!$A$23:$J$33</definedName>
    <definedName name="_xlnm._FilterDatabase" localSheetId="139" hidden="1">'25'!$A$24:$J$36</definedName>
    <definedName name="_xlnm._FilterDatabase" localSheetId="138" hidden="1">'26'!$A$21:$J$31</definedName>
    <definedName name="_xlnm._FilterDatabase" localSheetId="134" hidden="1">'27'!$A$20:$J$30</definedName>
    <definedName name="_xlnm._FilterDatabase" localSheetId="137" hidden="1">'27N'!$A$20:$J$30</definedName>
    <definedName name="_xlnm._FilterDatabase" localSheetId="136" hidden="1">'28'!$A$20:$J$30</definedName>
    <definedName name="_xlnm._FilterDatabase" localSheetId="135" hidden="1">'29'!$A$20:$J$30</definedName>
    <definedName name="_xlnm._FilterDatabase" localSheetId="30" hidden="1">'2S'!$A$20:$J$30</definedName>
    <definedName name="_xlnm._FilterDatabase" localSheetId="161" hidden="1">'3'!$A$22:$J$33</definedName>
    <definedName name="_xlnm._FilterDatabase" localSheetId="132" hidden="1">'30'!$A$20:$J$30</definedName>
    <definedName name="_xlnm._FilterDatabase" localSheetId="131" hidden="1">'31'!$A$20:$J$30</definedName>
    <definedName name="_xlnm._FilterDatabase" localSheetId="130" hidden="1">'32'!$A$20:$J$30</definedName>
    <definedName name="_xlnm._FilterDatabase" localSheetId="129" hidden="1">'33'!$A$20:$J$30</definedName>
    <definedName name="_xlnm._FilterDatabase" localSheetId="128" hidden="1">'34'!$A$20:$J$30</definedName>
    <definedName name="_xlnm._FilterDatabase" localSheetId="127" hidden="1">'35'!$A$20:$J$30</definedName>
    <definedName name="_xlnm._FilterDatabase" localSheetId="126" hidden="1">'36'!$A$20:$J$30</definedName>
    <definedName name="_xlnm._FilterDatabase" localSheetId="125" hidden="1">'37'!$A$20:$J$30</definedName>
    <definedName name="_xlnm._FilterDatabase" localSheetId="165" hidden="1">'37_TERMOPLAST'!$A$20:$J$30</definedName>
    <definedName name="_xlnm._FilterDatabase" localSheetId="124" hidden="1">'38'!$A$20:$J$30</definedName>
    <definedName name="_xlnm._FilterDatabase" localSheetId="123" hidden="1">'39'!$A$20:$J$30</definedName>
    <definedName name="_xlnm._FilterDatabase" localSheetId="29" hidden="1">'3S'!$A$20:$J$30</definedName>
    <definedName name="_xlnm._FilterDatabase" localSheetId="160" hidden="1">'4'!$A$27:$J$47</definedName>
    <definedName name="_xlnm._FilterDatabase" localSheetId="122" hidden="1">'40'!$A$20:$J$30</definedName>
    <definedName name="_xlnm._FilterDatabase" localSheetId="121" hidden="1">'41'!$A$20:$J$30</definedName>
    <definedName name="_xlnm._FilterDatabase" localSheetId="120" hidden="1">'42'!$A$20:$J$30</definedName>
    <definedName name="_xlnm._FilterDatabase" localSheetId="119" hidden="1">'43'!$A$20:$J$30</definedName>
    <definedName name="_xlnm._FilterDatabase" localSheetId="118" hidden="1">'44'!$A$20:$J$30</definedName>
    <definedName name="_xlnm._FilterDatabase" localSheetId="117" hidden="1">'45'!$A$20:$J$30</definedName>
    <definedName name="_xlnm._FilterDatabase" localSheetId="116" hidden="1">'46'!$A$20:$J$30</definedName>
    <definedName name="_xlnm._FilterDatabase" localSheetId="115" hidden="1">'47'!$A$20:$J$30</definedName>
    <definedName name="_xlnm._FilterDatabase" localSheetId="114" hidden="1">'48'!$A$20:$J$30</definedName>
    <definedName name="_xlnm._FilterDatabase" localSheetId="113" hidden="1">'49'!$A$20:$J$30</definedName>
    <definedName name="_xlnm._FilterDatabase" localSheetId="28" hidden="1">'4S'!$A$20:$J$30</definedName>
    <definedName name="_xlnm._FilterDatabase" localSheetId="159" hidden="1">'5'!$A$24:$J$40</definedName>
    <definedName name="_xlnm._FilterDatabase" localSheetId="112" hidden="1">'50'!$A$20:$J$30</definedName>
    <definedName name="_xlnm._FilterDatabase" localSheetId="111" hidden="1">'51'!$A$20:$J$30</definedName>
    <definedName name="_xlnm._FilterDatabase" localSheetId="110" hidden="1">'52'!$A$20:$J$30</definedName>
    <definedName name="_xlnm._FilterDatabase" localSheetId="109" hidden="1">'53'!$A$20:$J$30</definedName>
    <definedName name="_xlnm._FilterDatabase" localSheetId="108" hidden="1">'54'!$A$20:$J$30</definedName>
    <definedName name="_xlnm._FilterDatabase" localSheetId="107" hidden="1">'55'!$A$20:$J$30</definedName>
    <definedName name="_xlnm._FilterDatabase" localSheetId="106" hidden="1">'56'!$A$20:$J$30</definedName>
    <definedName name="_xlnm._FilterDatabase" localSheetId="105" hidden="1">'57'!$A$20:$J$30</definedName>
    <definedName name="_xlnm._FilterDatabase" localSheetId="104" hidden="1">'58'!$A$20:$J$30</definedName>
    <definedName name="_xlnm._FilterDatabase" localSheetId="103" hidden="1">'59'!$A$20:$J$29</definedName>
    <definedName name="_xlnm._FilterDatabase" localSheetId="27" hidden="1">'5S'!$A$20:$J$30</definedName>
    <definedName name="_xlnm._FilterDatabase" localSheetId="158" hidden="1">'6'!$A$24:$J$38</definedName>
    <definedName name="_xlnm._FilterDatabase" localSheetId="102" hidden="1">'60'!$A$20:$J$30</definedName>
    <definedName name="_xlnm._FilterDatabase" localSheetId="101" hidden="1">'61'!$A$20:$J$30</definedName>
    <definedName name="_xlnm._FilterDatabase" localSheetId="100" hidden="1">'62'!$A$20:$J$30</definedName>
    <definedName name="_xlnm._FilterDatabase" localSheetId="99" hidden="1">'63'!$A$20:$J$30</definedName>
    <definedName name="_xlnm._FilterDatabase" localSheetId="98" hidden="1">'64'!$A$20:$J$30</definedName>
    <definedName name="_xlnm._FilterDatabase" localSheetId="97" hidden="1">'65'!$A$19:$J$29</definedName>
    <definedName name="_xlnm._FilterDatabase" localSheetId="96" hidden="1">'66'!$A$19:$J$29</definedName>
    <definedName name="_xlnm._FilterDatabase" localSheetId="95" hidden="1">'67'!$A$19:$J$29</definedName>
    <definedName name="_xlnm._FilterDatabase" localSheetId="94" hidden="1">'68'!$A$20:$J$30</definedName>
    <definedName name="_xlnm._FilterDatabase" localSheetId="93" hidden="1">'69'!$A$19:$J$29</definedName>
    <definedName name="_xlnm._FilterDatabase" localSheetId="26" hidden="1">'6S'!$A$20:$J$30</definedName>
    <definedName name="_xlnm._FilterDatabase" localSheetId="157" hidden="1">'7'!$A$24:$J$38</definedName>
    <definedName name="_xlnm._FilterDatabase" localSheetId="92" hidden="1">'70'!$A$20:$J$30</definedName>
    <definedName name="_xlnm._FilterDatabase" localSheetId="91" hidden="1">'71'!$A$20:$J$30</definedName>
    <definedName name="_xlnm._FilterDatabase" localSheetId="90" hidden="1">'72'!$A$20:$J$30</definedName>
    <definedName name="_xlnm._FilterDatabase" localSheetId="89" hidden="1">'73'!$A$20:$J$30</definedName>
    <definedName name="_xlnm._FilterDatabase" localSheetId="88" hidden="1">'74'!$A$20:$J$30</definedName>
    <definedName name="_xlnm._FilterDatabase" localSheetId="87" hidden="1">'75'!$A$20:$J$30</definedName>
    <definedName name="_xlnm._FilterDatabase" localSheetId="11" hidden="1">'75N'!$A$20:$J$30</definedName>
    <definedName name="_xlnm._FilterDatabase" localSheetId="86" hidden="1">'76'!$A$20:$J$30</definedName>
    <definedName name="_xlnm._FilterDatabase" localSheetId="85" hidden="1">'77'!$A$20:$J$30</definedName>
    <definedName name="_xlnm._FilterDatabase" localSheetId="84" hidden="1">'78'!$A$20:$J$30</definedName>
    <definedName name="_xlnm._FilterDatabase" localSheetId="83" hidden="1">'79'!$A$20:$J$30</definedName>
    <definedName name="_xlnm._FilterDatabase" localSheetId="25" hidden="1">'7S'!$A$20:$J$30</definedName>
    <definedName name="_xlnm._FilterDatabase" localSheetId="156" hidden="1">'8'!$A$23:$J$33</definedName>
    <definedName name="_xlnm._FilterDatabase" localSheetId="82" hidden="1">'80'!$A$20:$J$30</definedName>
    <definedName name="_xlnm._FilterDatabase" localSheetId="81" hidden="1">'81'!$A$20:$J$30</definedName>
    <definedName name="_xlnm._FilterDatabase" localSheetId="80" hidden="1">'82'!$A$20:$J$30</definedName>
    <definedName name="_xlnm._FilterDatabase" localSheetId="79" hidden="1">'83'!$A$20:$J$30</definedName>
    <definedName name="_xlnm._FilterDatabase" localSheetId="78" hidden="1">'84'!$A$20:$J$30</definedName>
    <definedName name="_xlnm._FilterDatabase" localSheetId="77" hidden="1">'85'!$A$20:$J$30</definedName>
    <definedName name="_xlnm._FilterDatabase" localSheetId="76" hidden="1">'86'!$A$20:$J$30</definedName>
    <definedName name="_xlnm._FilterDatabase" localSheetId="75" hidden="1">'87'!$A$20:$J$30</definedName>
    <definedName name="_xlnm._FilterDatabase" localSheetId="74" hidden="1">'88'!$A$20:$J$30</definedName>
    <definedName name="_xlnm._FilterDatabase" localSheetId="73" hidden="1">'89'!$A$20:$J$30</definedName>
    <definedName name="_xlnm._FilterDatabase" localSheetId="24" hidden="1">'8S'!$A$20:$J$30</definedName>
    <definedName name="_xlnm._FilterDatabase" localSheetId="155" hidden="1">'9'!$A$23:$J$38</definedName>
    <definedName name="_xlnm._FilterDatabase" localSheetId="72" hidden="1">'90'!$A$20:$J$30</definedName>
    <definedName name="_xlnm._FilterDatabase" localSheetId="71" hidden="1">'91'!$A$20:$J$30</definedName>
    <definedName name="_xlnm._FilterDatabase" localSheetId="70" hidden="1">'92'!$A$20:$J$30</definedName>
    <definedName name="_xlnm._FilterDatabase" localSheetId="68" hidden="1">'93'!$A$20:$J$30</definedName>
    <definedName name="_xlnm._FilterDatabase" localSheetId="67" hidden="1">'94'!$A$20:$J$30</definedName>
    <definedName name="_xlnm._FilterDatabase" localSheetId="66" hidden="1">'95'!$A$20:$J$30</definedName>
    <definedName name="_xlnm._FilterDatabase" localSheetId="69" hidden="1">'96'!$A$20:$J$30</definedName>
    <definedName name="_xlnm._FilterDatabase" localSheetId="65" hidden="1">'96N'!$A$20:$J$30</definedName>
    <definedName name="_xlnm._FilterDatabase" localSheetId="64" hidden="1">'97'!$A$20:$J$30</definedName>
    <definedName name="_xlnm._FilterDatabase" localSheetId="63" hidden="1">'98'!$A$24:$J$33</definedName>
    <definedName name="_xlnm._FilterDatabase" localSheetId="62" hidden="1">'99'!$A$20:$J$30</definedName>
    <definedName name="_xlnm._FilterDatabase" localSheetId="23" hidden="1">'9S'!$A$20:$J$30</definedName>
    <definedName name="_xlnm._FilterDatabase" localSheetId="13" hidden="1">'ANEXO PLIEGO_1'!$A$3:$F$138</definedName>
    <definedName name="_xlnm._FilterDatabase" localSheetId="15" hidden="1">'ANEXO PLIEGO_2'!$A$1:$F$21</definedName>
    <definedName name="_xlnm._FilterDatabase" localSheetId="12" hidden="1">'EQUIPOS '!$A$1:$AE$61</definedName>
    <definedName name="_xlnm._FilterDatabase" localSheetId="2" hidden="1">IDU_2024_INSUMOS!$B$2:$F$3883</definedName>
    <definedName name="_xlnm._FilterDatabase" localSheetId="17" hidden="1">'INSUMOS '!$A$2:$AP$175</definedName>
    <definedName name="_xlnm._FilterDatabase" localSheetId="10" hidden="1">PERSONAL!$A$2:$E$56</definedName>
    <definedName name="_xlnm._FilterDatabase" localSheetId="164" hidden="1">PMT!$A$20:$J$30</definedName>
    <definedName name="_xlnm._FilterDatabase" localSheetId="14" hidden="1">'POR AÑOS_OBRA2024'!$A$3:$X$134</definedName>
    <definedName name="_xlnm._FilterDatabase" localSheetId="16" hidden="1">'POR AÑOS_SUMINISTRO'!$A$1:$C$21</definedName>
    <definedName name="_Key1" localSheetId="35" hidden="1">#REF!</definedName>
    <definedName name="_Key1" localSheetId="34" hidden="1">#REF!</definedName>
    <definedName name="_Key1" localSheetId="33" hidden="1">#REF!</definedName>
    <definedName name="_Key1" localSheetId="147" hidden="1">#REF!</definedName>
    <definedName name="_Key1" localSheetId="146" hidden="1">#REF!</definedName>
    <definedName name="_Key1" hidden="1">#REF!</definedName>
    <definedName name="_Key2" localSheetId="35" hidden="1">#REF!</definedName>
    <definedName name="_Key2" localSheetId="34" hidden="1">#REF!</definedName>
    <definedName name="_Key2" localSheetId="33" hidden="1">#REF!</definedName>
    <definedName name="_Key2" localSheetId="147" hidden="1">#REF!</definedName>
    <definedName name="_Key2" localSheetId="146" hidden="1">#REF!</definedName>
    <definedName name="_Key2" hidden="1">#REF!</definedName>
    <definedName name="_Order1" hidden="1">255</definedName>
    <definedName name="_Order2" hidden="1">255</definedName>
    <definedName name="_Parse_Out" localSheetId="35" hidden="1">'[2]7422CW00'!#REF!</definedName>
    <definedName name="_Parse_Out" localSheetId="34" hidden="1">'[2]7422CW00'!#REF!</definedName>
    <definedName name="_Parse_Out" localSheetId="33" hidden="1">'[2]7422CW00'!#REF!</definedName>
    <definedName name="_Parse_Out" localSheetId="147" hidden="1">'[2]7422CW00'!#REF!</definedName>
    <definedName name="_Parse_Out" localSheetId="146" hidden="1">'[2]7422CW00'!#REF!</definedName>
    <definedName name="_Parse_Out" hidden="1">'[2]7422CW00'!#REF!</definedName>
    <definedName name="_PJ50" localSheetId="35">#REF!</definedName>
    <definedName name="_PJ50" localSheetId="34">#REF!</definedName>
    <definedName name="_PJ50" localSheetId="33">#REF!</definedName>
    <definedName name="_PJ50" localSheetId="147">#REF!</definedName>
    <definedName name="_PJ50" localSheetId="146">#REF!</definedName>
    <definedName name="_PJ50" localSheetId="5">#REF!</definedName>
    <definedName name="_PJ50">#REF!</definedName>
    <definedName name="_pj51" localSheetId="35">#REF!</definedName>
    <definedName name="_pj51" localSheetId="34">#REF!</definedName>
    <definedName name="_pj51" localSheetId="33">#REF!</definedName>
    <definedName name="_pj51" localSheetId="147">#REF!</definedName>
    <definedName name="_pj51" localSheetId="146">#REF!</definedName>
    <definedName name="_pj51" localSheetId="5">#REF!</definedName>
    <definedName name="_pj51">#REF!</definedName>
    <definedName name="_Regression_Int" hidden="1">1</definedName>
    <definedName name="_Sort" localSheetId="35" hidden="1">#REF!</definedName>
    <definedName name="_Sort" localSheetId="34" hidden="1">#REF!</definedName>
    <definedName name="_Sort" localSheetId="33" hidden="1">#REF!</definedName>
    <definedName name="_Sort" localSheetId="147" hidden="1">#REF!</definedName>
    <definedName name="_Sort" localSheetId="146" hidden="1">#REF!</definedName>
    <definedName name="_Sort" hidden="1">#REF!</definedName>
    <definedName name="A" localSheetId="35">#REF!</definedName>
    <definedName name="A" localSheetId="34">#REF!</definedName>
    <definedName name="A" localSheetId="33">#REF!</definedName>
    <definedName name="A" localSheetId="147">#REF!</definedName>
    <definedName name="A" localSheetId="146">#REF!</definedName>
    <definedName name="A" localSheetId="5">#REF!</definedName>
    <definedName name="A">#REF!</definedName>
    <definedName name="A_impresión_IM" localSheetId="35">#REF!</definedName>
    <definedName name="A_impresión_IM" localSheetId="34">#REF!</definedName>
    <definedName name="A_impresión_IM" localSheetId="33">#REF!</definedName>
    <definedName name="A_impresión_IM" localSheetId="147">#REF!</definedName>
    <definedName name="A_impresión_IM" localSheetId="146">#REF!</definedName>
    <definedName name="A_impresión_IM" localSheetId="5">#REF!</definedName>
    <definedName name="A_impresión_IM">#REF!</definedName>
    <definedName name="AA" hidden="1">{#N/A,#N/A,TRUE,"INGENIERIA";#N/A,#N/A,TRUE,"COMPRAS";#N/A,#N/A,TRUE,"DIRECCION";#N/A,#N/A,TRUE,"RESUMEN"}</definedName>
    <definedName name="AAS" hidden="1">{#N/A,#N/A,TRUE,"INGENIERIA";#N/A,#N/A,TRUE,"COMPRAS";#N/A,#N/A,TRUE,"DIRECCION";#N/A,#N/A,TRUE,"RESUMEN"}</definedName>
    <definedName name="ABCD" localSheetId="35" hidden="1">#REF!</definedName>
    <definedName name="ABCD" localSheetId="34" hidden="1">#REF!</definedName>
    <definedName name="ABCD" localSheetId="33" hidden="1">#REF!</definedName>
    <definedName name="ABCD" localSheetId="147" hidden="1">#REF!</definedName>
    <definedName name="ABCD" localSheetId="146" hidden="1">#REF!</definedName>
    <definedName name="ABCD" hidden="1">#REF!</definedName>
    <definedName name="ABCDE" localSheetId="35" hidden="1">#REF!</definedName>
    <definedName name="ABCDE" localSheetId="34" hidden="1">#REF!</definedName>
    <definedName name="ABCDE" localSheetId="33" hidden="1">#REF!</definedName>
    <definedName name="ABCDE" localSheetId="147" hidden="1">#REF!</definedName>
    <definedName name="ABCDE" localSheetId="146" hidden="1">#REF!</definedName>
    <definedName name="ABCDE" hidden="1">#REF!</definedName>
    <definedName name="absc">#N/A</definedName>
    <definedName name="AccessDatabase" hidden="1">"C:\C-314\VOLUMENES\volfin4.mdb"</definedName>
    <definedName name="adoq" localSheetId="37">[3]!absc</definedName>
    <definedName name="adoq" localSheetId="36">[3]!absc</definedName>
    <definedName name="adoq" localSheetId="35">[3]!absc</definedName>
    <definedName name="adoq" localSheetId="34">[3]!absc</definedName>
    <definedName name="adoq" localSheetId="33">[3]!absc</definedName>
    <definedName name="adoq" localSheetId="19">[3]!absc</definedName>
    <definedName name="adoq" localSheetId="18">[3]!absc</definedName>
    <definedName name="adoq" localSheetId="147">[3]!absc</definedName>
    <definedName name="adoq" localSheetId="146">[3]!absc</definedName>
    <definedName name="adoq" localSheetId="5">[3]!absc</definedName>
    <definedName name="adoq" localSheetId="14">[3]!absc</definedName>
    <definedName name="adoq">[3]!absc</definedName>
    <definedName name="alc" localSheetId="37">[4]!absc</definedName>
    <definedName name="alc" localSheetId="36">[4]!absc</definedName>
    <definedName name="alc" localSheetId="35">[4]!absc</definedName>
    <definedName name="alc" localSheetId="34">[4]!absc</definedName>
    <definedName name="alc" localSheetId="33">[4]!absc</definedName>
    <definedName name="alc" localSheetId="19">[4]!absc</definedName>
    <definedName name="alc" localSheetId="18">[4]!absc</definedName>
    <definedName name="alc" localSheetId="147">[4]!absc</definedName>
    <definedName name="alc" localSheetId="146">[4]!absc</definedName>
    <definedName name="alc" localSheetId="5">[4]!absc</definedName>
    <definedName name="alc" localSheetId="14">[4]!absc</definedName>
    <definedName name="alc">[4]!absc</definedName>
    <definedName name="AÑOWUIE">'[5]Res-Accide-10'!$R$2:$R$7</definedName>
    <definedName name="APU" localSheetId="37">[6]!absc</definedName>
    <definedName name="APU" localSheetId="36">[6]!absc</definedName>
    <definedName name="APU" localSheetId="35">[6]!absc</definedName>
    <definedName name="APU" localSheetId="34">[6]!absc</definedName>
    <definedName name="APU" localSheetId="33">[6]!absc</definedName>
    <definedName name="APU" localSheetId="19">[6]!absc</definedName>
    <definedName name="APU" localSheetId="18">[6]!absc</definedName>
    <definedName name="APU" localSheetId="147">[6]!absc</definedName>
    <definedName name="APU" localSheetId="146">[6]!absc</definedName>
    <definedName name="APU" localSheetId="5">[6]!absc</definedName>
    <definedName name="APU" localSheetId="14">[6]!absc</definedName>
    <definedName name="APU">[6]!absc</definedName>
    <definedName name="APU221.1" localSheetId="35">#REF!</definedName>
    <definedName name="APU221.1" localSheetId="34">#REF!</definedName>
    <definedName name="APU221.1" localSheetId="33">#REF!</definedName>
    <definedName name="APU221.1" localSheetId="147">#REF!</definedName>
    <definedName name="APU221.1" localSheetId="146">#REF!</definedName>
    <definedName name="APU221.1" localSheetId="5">#REF!</definedName>
    <definedName name="APU221.1">#REF!</definedName>
    <definedName name="APU221.2" localSheetId="35">#REF!</definedName>
    <definedName name="APU221.2" localSheetId="34">#REF!</definedName>
    <definedName name="APU221.2" localSheetId="33">#REF!</definedName>
    <definedName name="APU221.2" localSheetId="147">#REF!</definedName>
    <definedName name="APU221.2" localSheetId="146">#REF!</definedName>
    <definedName name="APU221.2" localSheetId="5">#REF!</definedName>
    <definedName name="APU221.2">#REF!</definedName>
    <definedName name="_xlnm.Print_Area" localSheetId="163">'1'!$A$1:$J$59</definedName>
    <definedName name="_xlnm.Print_Area" localSheetId="154">'10'!$A$1:$J$65</definedName>
    <definedName name="_xlnm.Print_Area" localSheetId="61">'100'!$A$1:$J$52</definedName>
    <definedName name="_xlnm.Print_Area" localSheetId="60">'101'!$A$1:$J$54</definedName>
    <definedName name="_xlnm.Print_Area" localSheetId="59">'102'!$A$1:$J$56</definedName>
    <definedName name="_xlnm.Print_Area" localSheetId="58">'103'!$A$1:$J$54</definedName>
    <definedName name="_xlnm.Print_Area" localSheetId="57">'104'!$A$1:$J$53</definedName>
    <definedName name="_xlnm.Print_Area" localSheetId="56">'105'!$A$1:$J$54</definedName>
    <definedName name="_xlnm.Print_Area" localSheetId="55">'106'!$A$1:$J$56</definedName>
    <definedName name="_xlnm.Print_Area" localSheetId="54">'107'!$A$1:$J$56</definedName>
    <definedName name="_xlnm.Print_Area" localSheetId="53">'108'!$A$1:$J$56</definedName>
    <definedName name="_xlnm.Print_Area" localSheetId="52">'109'!$A$1:$J$56</definedName>
    <definedName name="_xlnm.Print_Area" localSheetId="22">'10S'!$A$1:$J$56</definedName>
    <definedName name="_xlnm.Print_Area" localSheetId="153">'11'!$A$1:$J$66</definedName>
    <definedName name="_xlnm.Print_Area" localSheetId="51">'110'!$A$1:$J$56</definedName>
    <definedName name="_xlnm.Print_Area" localSheetId="50">'111'!$A$1:$J$56</definedName>
    <definedName name="_xlnm.Print_Area" localSheetId="49">'112'!$A$1:$J$56</definedName>
    <definedName name="_xlnm.Print_Area" localSheetId="48">'113'!$A$1:$J$56</definedName>
    <definedName name="_xlnm.Print_Area" localSheetId="47">'114'!$A$1:$J$56</definedName>
    <definedName name="_xlnm.Print_Area" localSheetId="46">'115'!$A$1:$J$56</definedName>
    <definedName name="_xlnm.Print_Area" localSheetId="45">'116'!$A$1:$J$56</definedName>
    <definedName name="_xlnm.Print_Area" localSheetId="44">'117'!$A$1:$J$57</definedName>
    <definedName name="_xlnm.Print_Area" localSheetId="43">'118'!$A$1:$J$56</definedName>
    <definedName name="_xlnm.Print_Area" localSheetId="42">'119'!$A$1:$J$56</definedName>
    <definedName name="_xlnm.Print_Area" localSheetId="21">'11S'!$A$1:$J$56</definedName>
    <definedName name="_xlnm.Print_Area" localSheetId="152">'12'!$A$1:$J$65</definedName>
    <definedName name="_xlnm.Print_Area" localSheetId="41">'120'!$A$1:$J$56</definedName>
    <definedName name="_xlnm.Print_Area" localSheetId="40">'121'!$A$1:$J$56</definedName>
    <definedName name="_xlnm.Print_Area" localSheetId="39">'122'!$A$1:$J$56</definedName>
    <definedName name="_xlnm.Print_Area" localSheetId="38">'123'!$A$1:$J$56</definedName>
    <definedName name="_xlnm.Print_Area" localSheetId="37">'124'!$A$1:$J$56</definedName>
    <definedName name="_xlnm.Print_Area" localSheetId="36">'125'!$A$1:$J$56</definedName>
    <definedName name="_xlnm.Print_Area" localSheetId="35">'126'!$A$1:$J$52</definedName>
    <definedName name="_xlnm.Print_Area" localSheetId="34">'127'!$A$1:$J$56</definedName>
    <definedName name="_xlnm.Print_Area" localSheetId="33">'128'!$A$1:$J$55</definedName>
    <definedName name="_xlnm.Print_Area" localSheetId="20">'12S'!$A$1:$J$56</definedName>
    <definedName name="_xlnm.Print_Area" localSheetId="151">'13'!$A$1:$J$68</definedName>
    <definedName name="_xlnm.Print_Area" localSheetId="19">'13S '!$A$1:$J$56</definedName>
    <definedName name="_xlnm.Print_Area" localSheetId="150">'14'!$A$1:$J$67</definedName>
    <definedName name="_xlnm.Print_Area" localSheetId="18">'14S  '!$A$1:$J$56</definedName>
    <definedName name="_xlnm.Print_Area" localSheetId="149">'15'!$A$1:$J$67</definedName>
    <definedName name="_xlnm.Print_Area" localSheetId="148">'16'!$A$1:$J$66</definedName>
    <definedName name="_xlnm.Print_Area" localSheetId="147">'17'!$A$1:$J$66</definedName>
    <definedName name="_xlnm.Print_Area" localSheetId="146">'18'!$A$1:$J$66</definedName>
    <definedName name="_xlnm.Print_Area" localSheetId="145">'19'!$A$1:$J$65</definedName>
    <definedName name="_xlnm.Print_Area" localSheetId="31">'1S'!$A$1:$J$56</definedName>
    <definedName name="_xlnm.Print_Area" localSheetId="162">'2'!$A$1:$J$58</definedName>
    <definedName name="_xlnm.Print_Area" localSheetId="144">'20'!$A$1:$J$69</definedName>
    <definedName name="_xlnm.Print_Area" localSheetId="143">'21'!$A$1:$J$73</definedName>
    <definedName name="_xlnm.Print_Area" localSheetId="133">'22'!$A$1:$J$58</definedName>
    <definedName name="_xlnm.Print_Area" localSheetId="142">'22N'!$A$1:$J$58</definedName>
    <definedName name="_xlnm.Print_Area" localSheetId="141">'23'!$A$1:$J$58</definedName>
    <definedName name="_xlnm.Print_Area" localSheetId="140">'24'!$A$1:$J$58</definedName>
    <definedName name="_xlnm.Print_Area" localSheetId="139">'25'!$A$1:$J$61</definedName>
    <definedName name="_xlnm.Print_Area" localSheetId="138">'26'!$A$1:$J$58</definedName>
    <definedName name="_xlnm.Print_Area" localSheetId="134">'27'!$A$1:$J$57</definedName>
    <definedName name="_xlnm.Print_Area" localSheetId="137">'27N'!$A$1:$J$57</definedName>
    <definedName name="_xlnm.Print_Area" localSheetId="136">'28'!$A$1:$J$57</definedName>
    <definedName name="_xlnm.Print_Area" localSheetId="135">'29'!$A$1:$J$57</definedName>
    <definedName name="_xlnm.Print_Area" localSheetId="30">'2S'!$A$1:$J$56</definedName>
    <definedName name="_xlnm.Print_Area" localSheetId="161">'3'!$A$1:$J$60</definedName>
    <definedName name="_xlnm.Print_Area" localSheetId="132">'30'!$A$1:$J$56</definedName>
    <definedName name="_xlnm.Print_Area" localSheetId="131">'31'!$A$1:$J$56</definedName>
    <definedName name="_xlnm.Print_Area" localSheetId="130">'32'!$A$1:$J$56</definedName>
    <definedName name="_xlnm.Print_Area" localSheetId="129">'33'!$A$1:$J$56</definedName>
    <definedName name="_xlnm.Print_Area" localSheetId="128">'34'!$A$1:$J$56</definedName>
    <definedName name="_xlnm.Print_Area" localSheetId="127">'35'!$A$1:$J$56</definedName>
    <definedName name="_xlnm.Print_Area" localSheetId="126">'36'!$A$1:$J$56</definedName>
    <definedName name="_xlnm.Print_Area" localSheetId="125">'37'!$A$1:$J$56</definedName>
    <definedName name="_xlnm.Print_Area" localSheetId="165">'37_TERMOPLAST'!$A$1:$J$56</definedName>
    <definedName name="_xlnm.Print_Area" localSheetId="124">'38'!$A$1:$J$56</definedName>
    <definedName name="_xlnm.Print_Area" localSheetId="123">'39'!$A$1:$J$56</definedName>
    <definedName name="_xlnm.Print_Area" localSheetId="29">'3S'!$A$1:$J$56</definedName>
    <definedName name="_xlnm.Print_Area" localSheetId="160">'4'!$A$1:$J$73</definedName>
    <definedName name="_xlnm.Print_Area" localSheetId="122">'40'!$A$1:$J$56</definedName>
    <definedName name="_xlnm.Print_Area" localSheetId="121">'41'!$A$1:$J$56</definedName>
    <definedName name="_xlnm.Print_Area" localSheetId="120">'42'!$A$1:$J$56</definedName>
    <definedName name="_xlnm.Print_Area" localSheetId="119">'43'!$A$1:$J$56</definedName>
    <definedName name="_xlnm.Print_Area" localSheetId="118">'44'!$A$1:$J$56</definedName>
    <definedName name="_xlnm.Print_Area" localSheetId="117">'45'!$A$1:$J$56</definedName>
    <definedName name="_xlnm.Print_Area" localSheetId="116">'46'!$A$1:$J$56</definedName>
    <definedName name="_xlnm.Print_Area" localSheetId="115">'47'!$A$1:$J$56</definedName>
    <definedName name="_xlnm.Print_Area" localSheetId="114">'48'!$A$1:$J$56</definedName>
    <definedName name="_xlnm.Print_Area" localSheetId="113">'49'!$A$1:$J$56</definedName>
    <definedName name="_xlnm.Print_Area" localSheetId="28">'4S'!$A$1:$J$56</definedName>
    <definedName name="_xlnm.Print_Area" localSheetId="159">'5'!$A$1:$J$66</definedName>
    <definedName name="_xlnm.Print_Area" localSheetId="112">'50'!$A$1:$J$56</definedName>
    <definedName name="_xlnm.Print_Area" localSheetId="111">'51'!$A$1:$J$56</definedName>
    <definedName name="_xlnm.Print_Area" localSheetId="110">'52'!$A$1:$J$56</definedName>
    <definedName name="_xlnm.Print_Area" localSheetId="109">'53'!$A$1:$J$56</definedName>
    <definedName name="_xlnm.Print_Area" localSheetId="108">'54'!$A$1:$J$55</definedName>
    <definedName name="_xlnm.Print_Area" localSheetId="107">'55'!$A$1:$J$56</definedName>
    <definedName name="_xlnm.Print_Area" localSheetId="106">'56'!$A$1:$J$56</definedName>
    <definedName name="_xlnm.Print_Area" localSheetId="105">'57'!$A$1:$J$56</definedName>
    <definedName name="_xlnm.Print_Area" localSheetId="104">'58'!$A$1:$J$56</definedName>
    <definedName name="_xlnm.Print_Area" localSheetId="103">'59'!$A$1:$J$54</definedName>
    <definedName name="_xlnm.Print_Area" localSheetId="27">'5S'!$A$1:$J$56</definedName>
    <definedName name="_xlnm.Print_Area" localSheetId="158">'6'!$A$1:$J$66</definedName>
    <definedName name="_xlnm.Print_Area" localSheetId="102">'60'!$A$1:$J$55</definedName>
    <definedName name="_xlnm.Print_Area" localSheetId="101">'61'!$A$1:$J$56</definedName>
    <definedName name="_xlnm.Print_Area" localSheetId="100">'62'!$A$1:$J$56</definedName>
    <definedName name="_xlnm.Print_Area" localSheetId="99">'63'!$A$1:$J$55</definedName>
    <definedName name="_xlnm.Print_Area" localSheetId="98">'64'!$A$1:$J$55</definedName>
    <definedName name="_xlnm.Print_Area" localSheetId="97">'65'!$A$1:$J$55</definedName>
    <definedName name="_xlnm.Print_Area" localSheetId="96">'66'!$A$1:$J$55</definedName>
    <definedName name="_xlnm.Print_Area" localSheetId="95">'67'!$A$1:$J$55</definedName>
    <definedName name="_xlnm.Print_Area" localSheetId="94">'68'!$A$1:$J$55</definedName>
    <definedName name="_xlnm.Print_Area" localSheetId="93">'69'!$A$1:$J$55</definedName>
    <definedName name="_xlnm.Print_Area" localSheetId="26">'6S'!$A$1:$J$56</definedName>
    <definedName name="_xlnm.Print_Area" localSheetId="157">'7'!$A$1:$J$65</definedName>
    <definedName name="_xlnm.Print_Area" localSheetId="92">'70'!$A$1:$J$57</definedName>
    <definedName name="_xlnm.Print_Area" localSheetId="91">'71'!$A$1:$J$56</definedName>
    <definedName name="_xlnm.Print_Area" localSheetId="90">'72'!$A$1:$J$57</definedName>
    <definedName name="_xlnm.Print_Area" localSheetId="89">'73'!$A$1:$J$57</definedName>
    <definedName name="_xlnm.Print_Area" localSheetId="88">'74'!$A$1:$J$57</definedName>
    <definedName name="_xlnm.Print_Area" localSheetId="87">'75'!$A$1:$J$56</definedName>
    <definedName name="_xlnm.Print_Area" localSheetId="11">'75N'!$A$1:$J$57</definedName>
    <definedName name="_xlnm.Print_Area" localSheetId="86">'76'!$A$1:$J$57</definedName>
    <definedName name="_xlnm.Print_Area" localSheetId="85">'77'!$A$1:$J$53</definedName>
    <definedName name="_xlnm.Print_Area" localSheetId="84">'78'!$A$1:$J$57</definedName>
    <definedName name="_xlnm.Print_Area" localSheetId="83">'79'!$A$1:$J$56</definedName>
    <definedName name="_xlnm.Print_Area" localSheetId="25">'7S'!$A$1:$J$56</definedName>
    <definedName name="_xlnm.Print_Area" localSheetId="156">'8'!$A$1:$J$62</definedName>
    <definedName name="_xlnm.Print_Area" localSheetId="82">'80'!$A$1:$J$53</definedName>
    <definedName name="_xlnm.Print_Area" localSheetId="81">'81'!$A$1:$J$54</definedName>
    <definedName name="_xlnm.Print_Area" localSheetId="80">'82'!$A$1:$J$56</definedName>
    <definedName name="_xlnm.Print_Area" localSheetId="79">'83'!$A$1:$J$56</definedName>
    <definedName name="_xlnm.Print_Area" localSheetId="78">'84'!$A$1:$J$56</definedName>
    <definedName name="_xlnm.Print_Area" localSheetId="77">'85'!$A$1:$J$56</definedName>
    <definedName name="_xlnm.Print_Area" localSheetId="76">'86'!$A$1:$J$56</definedName>
    <definedName name="_xlnm.Print_Area" localSheetId="75">'87'!$A$1:$J$55</definedName>
    <definedName name="_xlnm.Print_Area" localSheetId="74">'88'!$A$1:$J$53</definedName>
    <definedName name="_xlnm.Print_Area" localSheetId="73">'89'!$A$1:$J$56</definedName>
    <definedName name="_xlnm.Print_Area" localSheetId="24">'8S'!$A$1:$J$56</definedName>
    <definedName name="_xlnm.Print_Area" localSheetId="155">'9'!$A$1:$J$64</definedName>
    <definedName name="_xlnm.Print_Area" localSheetId="72">'90'!$A$1:$J$56</definedName>
    <definedName name="_xlnm.Print_Area" localSheetId="71">'91'!$A$1:$J$57</definedName>
    <definedName name="_xlnm.Print_Area" localSheetId="70">'92'!$A$1:$J$54</definedName>
    <definedName name="_xlnm.Print_Area" localSheetId="68">'93'!$A$1:$J$57</definedName>
    <definedName name="_xlnm.Print_Area" localSheetId="67">'94'!$A$1:$J$56</definedName>
    <definedName name="_xlnm.Print_Area" localSheetId="66">'95'!$A$1:$J$57</definedName>
    <definedName name="_xlnm.Print_Area" localSheetId="69">'96'!$A$1:$J$56</definedName>
    <definedName name="_xlnm.Print_Area" localSheetId="65">'96N'!$A$1:$J$56</definedName>
    <definedName name="_xlnm.Print_Area" localSheetId="64">'97'!$A$1:$J$56</definedName>
    <definedName name="_xlnm.Print_Area" localSheetId="63">'98'!$A$1:$J$58</definedName>
    <definedName name="_xlnm.Print_Area" localSheetId="62">'99'!$A$1:$J$56</definedName>
    <definedName name="_xlnm.Print_Area" localSheetId="23">'9S'!$A$1:$J$56</definedName>
    <definedName name="_xlnm.Print_Area" localSheetId="13">'ANEXO PLIEGO_1'!$A$1:$F$138</definedName>
    <definedName name="_xlnm.Print_Area" localSheetId="15">'ANEXO PLIEGO_2'!$A$1:$H$38</definedName>
    <definedName name="_xlnm.Print_Area" localSheetId="5">'F PRESTACIONAL Y G GENERALES'!$A$1:$P$24</definedName>
    <definedName name="_xlnm.Print_Area" localSheetId="164">PMT!$A$1:$J$56</definedName>
    <definedName name="_xlnm.Print_Area" localSheetId="14">'POR AÑOS_OBRA2024'!$A$1:$H$135</definedName>
    <definedName name="_xlnm.Print_Area" localSheetId="16">'POR AÑOS_SUMINISTRO'!$A$1:$H$37</definedName>
    <definedName name="_xlnm.Print_Area">#REF!</definedName>
    <definedName name="asdfñk" localSheetId="37">[7]!absc</definedName>
    <definedName name="asdfñk" localSheetId="36">[7]!absc</definedName>
    <definedName name="asdfñk" localSheetId="35">[7]!absc</definedName>
    <definedName name="asdfñk" localSheetId="34">[7]!absc</definedName>
    <definedName name="asdfñk" localSheetId="33">[7]!absc</definedName>
    <definedName name="asdfñk" localSheetId="19">[7]!absc</definedName>
    <definedName name="asdfñk" localSheetId="18">[7]!absc</definedName>
    <definedName name="asdfñk" localSheetId="147">[7]!absc</definedName>
    <definedName name="asdfñk" localSheetId="146">[7]!absc</definedName>
    <definedName name="asdfñk" localSheetId="5">[7]!absc</definedName>
    <definedName name="asdfñk" localSheetId="14">[7]!absc</definedName>
    <definedName name="asdfñk">[7]!absc</definedName>
    <definedName name="AUMENTO">'[8]EQUIPOS TRANSPOR SALARIO'!$O$1</definedName>
    <definedName name="AUMENTO1" localSheetId="4">'[9]EQUIPOS TRANSPOR SALARIO'!$U$1</definedName>
    <definedName name="AUMENTO1">'[10]EQUIPOS TRANSPOR SALARIO'!$U$1</definedName>
    <definedName name="auto1" localSheetId="35">#REF!</definedName>
    <definedName name="auto1" localSheetId="34">#REF!</definedName>
    <definedName name="auto1" localSheetId="33">#REF!</definedName>
    <definedName name="auto1" localSheetId="147">#REF!</definedName>
    <definedName name="auto1" localSheetId="146">#REF!</definedName>
    <definedName name="auto1" localSheetId="5">#REF!</definedName>
    <definedName name="auto1">#REF!</definedName>
    <definedName name="auto2" localSheetId="35">#REF!</definedName>
    <definedName name="auto2" localSheetId="34">#REF!</definedName>
    <definedName name="auto2" localSheetId="33">#REF!</definedName>
    <definedName name="auto2" localSheetId="147">#REF!</definedName>
    <definedName name="auto2" localSheetId="146">#REF!</definedName>
    <definedName name="auto2" localSheetId="5">#REF!</definedName>
    <definedName name="auto2">#REF!</definedName>
    <definedName name="b" localSheetId="35">#REF!</definedName>
    <definedName name="b" localSheetId="34">#REF!</definedName>
    <definedName name="b" localSheetId="33">#REF!</definedName>
    <definedName name="b" localSheetId="147">#REF!</definedName>
    <definedName name="b" localSheetId="146">#REF!</definedName>
    <definedName name="b" localSheetId="5">#REF!</definedName>
    <definedName name="b">#REF!</definedName>
    <definedName name="_xlnm.Database" localSheetId="35">#REF!</definedName>
    <definedName name="_xlnm.Database" localSheetId="34">#REF!</definedName>
    <definedName name="_xlnm.Database" localSheetId="33">#REF!</definedName>
    <definedName name="_xlnm.Database" localSheetId="147">#REF!</definedName>
    <definedName name="_xlnm.Database" localSheetId="146">#REF!</definedName>
    <definedName name="_xlnm.Database" localSheetId="5">#REF!</definedName>
    <definedName name="_xlnm.Database">#REF!</definedName>
    <definedName name="C_" localSheetId="35">#REF!</definedName>
    <definedName name="C_" localSheetId="34">#REF!</definedName>
    <definedName name="C_" localSheetId="33">#REF!</definedName>
    <definedName name="C_" localSheetId="147">#REF!</definedName>
    <definedName name="C_" localSheetId="146">#REF!</definedName>
    <definedName name="C_" localSheetId="5">#REF!</definedName>
    <definedName name="C_">#REF!</definedName>
    <definedName name="CANT" localSheetId="35">#REF!</definedName>
    <definedName name="CANT" localSheetId="34">#REF!</definedName>
    <definedName name="CANT" localSheetId="33">#REF!</definedName>
    <definedName name="CANT" localSheetId="147">#REF!</definedName>
    <definedName name="CANT" localSheetId="146">#REF!</definedName>
    <definedName name="CANT" localSheetId="5">#REF!</definedName>
    <definedName name="CANT">#REF!</definedName>
    <definedName name="CCCCCC" localSheetId="35">'[11]A. P. U.'!#REF!</definedName>
    <definedName name="CCCCCC" localSheetId="34">'[11]A. P. U.'!#REF!</definedName>
    <definedName name="CCCCCC" localSheetId="33">'[11]A. P. U.'!#REF!</definedName>
    <definedName name="CCCCCC" localSheetId="147">'[11]A. P. U.'!#REF!</definedName>
    <definedName name="CCCCCC" localSheetId="146">'[11]A. P. U.'!#REF!</definedName>
    <definedName name="CCCCCC" localSheetId="5">'[11]A. P. U.'!#REF!</definedName>
    <definedName name="CCCCCC">'[11]A. P. U.'!#REF!</definedName>
    <definedName name="ccto210" localSheetId="35">#REF!</definedName>
    <definedName name="ccto210" localSheetId="34">#REF!</definedName>
    <definedName name="ccto210" localSheetId="33">#REF!</definedName>
    <definedName name="ccto210" localSheetId="147">#REF!</definedName>
    <definedName name="ccto210" localSheetId="146">#REF!</definedName>
    <definedName name="ccto210" localSheetId="5">#REF!</definedName>
    <definedName name="ccto210">#REF!</definedName>
    <definedName name="civ" hidden="1">{#N/A,#N/A,TRUE,"1842CWN0"}</definedName>
    <definedName name="DD" localSheetId="6">#REF!</definedName>
    <definedName name="DD" localSheetId="5">#REF!</definedName>
    <definedName name="dd" hidden="1">{#N/A,#N/A,TRUE,"INGENIERIA";#N/A,#N/A,TRUE,"COMPRAS";#N/A,#N/A,TRUE,"DIRECCION";#N/A,#N/A,TRUE,"RESUMEN"}</definedName>
    <definedName name="DDE" hidden="1">{#N/A,#N/A,TRUE,"1842CWN0"}</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ego" localSheetId="35">#REF!</definedName>
    <definedName name="diego" localSheetId="34">#REF!</definedName>
    <definedName name="diego" localSheetId="33">#REF!</definedName>
    <definedName name="diego" localSheetId="147">#REF!</definedName>
    <definedName name="diego" localSheetId="146">#REF!</definedName>
    <definedName name="diego" localSheetId="5">#REF!</definedName>
    <definedName name="diego">#REF!</definedName>
    <definedName name="diego1" localSheetId="35">#REF!</definedName>
    <definedName name="diego1" localSheetId="34">#REF!</definedName>
    <definedName name="diego1" localSheetId="33">#REF!</definedName>
    <definedName name="diego1" localSheetId="147">#REF!</definedName>
    <definedName name="diego1" localSheetId="146">#REF!</definedName>
    <definedName name="diego1" localSheetId="5">#REF!</definedName>
    <definedName name="diego1">#REF!</definedName>
    <definedName name="DURACION" localSheetId="15">[8]Administración!$K$7</definedName>
    <definedName name="DURACION" localSheetId="16">[8]Administración!$K$7</definedName>
    <definedName name="DURACION" localSheetId="4">[12]Administración!$K$7</definedName>
    <definedName name="DURACION">[12]Administración!$K$7</definedName>
    <definedName name="DWPRICE" localSheetId="35" hidden="1">#REF!</definedName>
    <definedName name="DWPRICE" localSheetId="34" hidden="1">#REF!</definedName>
    <definedName name="DWPRICE" localSheetId="33" hidden="1">#REF!</definedName>
    <definedName name="DWPRICE" localSheetId="147" hidden="1">#REF!</definedName>
    <definedName name="DWPRICE" localSheetId="146" hidden="1">#REF!</definedName>
    <definedName name="DWPRICE" hidden="1">#REF!</definedName>
    <definedName name="EQUIPO" localSheetId="35">#REF!</definedName>
    <definedName name="EQUIPO" localSheetId="34">#REF!</definedName>
    <definedName name="EQUIPO" localSheetId="33">#REF!</definedName>
    <definedName name="EQUIPO" localSheetId="147">#REF!</definedName>
    <definedName name="EQUIPO" localSheetId="146">#REF!</definedName>
    <definedName name="EQUIPO" localSheetId="5">#REF!</definedName>
    <definedName name="EQUIPO">#REF!</definedName>
    <definedName name="ESTRUCTURA" hidden="1">{#N/A,#N/A,TRUE,"INGENIERIA";#N/A,#N/A,TRUE,"COMPRAS";#N/A,#N/A,TRUE,"DIRECCION";#N/A,#N/A,TRUE,"RESUMEN"}</definedName>
    <definedName name="EXCROC">'[13]Análisis de precios'!$H$52</definedName>
    <definedName name="fd" localSheetId="35">'[11]A. P. U.'!#REF!</definedName>
    <definedName name="fd" localSheetId="34">'[11]A. P. U.'!#REF!</definedName>
    <definedName name="fd" localSheetId="33">'[11]A. P. U.'!#REF!</definedName>
    <definedName name="fd" localSheetId="147">'[11]A. P. U.'!#REF!</definedName>
    <definedName name="fd" localSheetId="146">'[11]A. P. U.'!#REF!</definedName>
    <definedName name="fd" localSheetId="5">'[11]A. P. U.'!#REF!</definedName>
    <definedName name="fd">'[11]A. P. U.'!#REF!</definedName>
    <definedName name="fhg" hidden="1">{#N/A,#N/A,TRUE,"1842CWN0"}</definedName>
    <definedName name="GKJDGDIJZ">"Imagen 3"</definedName>
    <definedName name="GRUPO1" localSheetId="35">#REF!</definedName>
    <definedName name="GRUPO1" localSheetId="34">#REF!</definedName>
    <definedName name="GRUPO1" localSheetId="33">#REF!</definedName>
    <definedName name="GRUPO1" localSheetId="147">#REF!</definedName>
    <definedName name="GRUPO1" localSheetId="146">#REF!</definedName>
    <definedName name="GRUPO1" localSheetId="5">#REF!</definedName>
    <definedName name="GRUPO1">#REF!</definedName>
    <definedName name="GRUPO2" localSheetId="35">#REF!</definedName>
    <definedName name="GRUPO2" localSheetId="34">#REF!</definedName>
    <definedName name="GRUPO2" localSheetId="33">#REF!</definedName>
    <definedName name="GRUPO2" localSheetId="147">#REF!</definedName>
    <definedName name="GRUPO2" localSheetId="146">#REF!</definedName>
    <definedName name="GRUPO2" localSheetId="5">#REF!</definedName>
    <definedName name="GRUPO2">#REF!</definedName>
    <definedName name="HOJA1" localSheetId="35">#REF!</definedName>
    <definedName name="HOJA1" localSheetId="34">#REF!</definedName>
    <definedName name="HOJA1" localSheetId="33">#REF!</definedName>
    <definedName name="HOJA1" localSheetId="147">#REF!</definedName>
    <definedName name="HOJA1" localSheetId="146">#REF!</definedName>
    <definedName name="HOJA1" localSheetId="5">#REF!</definedName>
    <definedName name="HOJA1">#REF!</definedName>
    <definedName name="I" localSheetId="35">#REF!</definedName>
    <definedName name="I" localSheetId="34">#REF!</definedName>
    <definedName name="I" localSheetId="33">#REF!</definedName>
    <definedName name="I" localSheetId="147">#REF!</definedName>
    <definedName name="I" localSheetId="146">#REF!</definedName>
    <definedName name="I" localSheetId="5">#REF!</definedName>
    <definedName name="I">#REF!</definedName>
    <definedName name="IF" localSheetId="35">'[11]A. P. U.'!#REF!</definedName>
    <definedName name="IF" localSheetId="34">'[11]A. P. U.'!#REF!</definedName>
    <definedName name="IF" localSheetId="33">'[11]A. P. U.'!#REF!</definedName>
    <definedName name="IF" localSheetId="147">'[11]A. P. U.'!#REF!</definedName>
    <definedName name="IF" localSheetId="146">'[11]A. P. U.'!#REF!</definedName>
    <definedName name="IF" localSheetId="5">'[11]A. P. U.'!#REF!</definedName>
    <definedName name="IF">'[11]A. P. U.'!#REF!</definedName>
    <definedName name="INCREM">[8]PERSONAL!$K$2</definedName>
    <definedName name="inf" localSheetId="35">#REF!</definedName>
    <definedName name="inf" localSheetId="34">#REF!</definedName>
    <definedName name="inf" localSheetId="33">#REF!</definedName>
    <definedName name="inf" localSheetId="147">#REF!</definedName>
    <definedName name="inf" localSheetId="146">#REF!</definedName>
    <definedName name="inf" localSheetId="5">#REF!</definedName>
    <definedName name="inf">#REF!</definedName>
    <definedName name="INFG" localSheetId="35">#REF!</definedName>
    <definedName name="INFG" localSheetId="34">#REF!</definedName>
    <definedName name="INFG" localSheetId="33">#REF!</definedName>
    <definedName name="INFG" localSheetId="147">#REF!</definedName>
    <definedName name="INFG" localSheetId="146">#REF!</definedName>
    <definedName name="INFG" localSheetId="5">#REF!</definedName>
    <definedName name="INFG">#REF!</definedName>
    <definedName name="INV_11">'[14]PR 1'!$A$2:$N$655</definedName>
    <definedName name="ITEM" localSheetId="35">#REF!</definedName>
    <definedName name="ITEM" localSheetId="34">#REF!</definedName>
    <definedName name="ITEM" localSheetId="33">#REF!</definedName>
    <definedName name="ITEM" localSheetId="147">#REF!</definedName>
    <definedName name="ITEM" localSheetId="146">#REF!</definedName>
    <definedName name="ITEM" localSheetId="5">#REF!</definedName>
    <definedName name="ITEM">#REF!</definedName>
    <definedName name="KDL" hidden="1">{#N/A,#N/A,TRUE,"1842CWN0"}</definedName>
    <definedName name="LICITACION" localSheetId="35">#REF!</definedName>
    <definedName name="LICITACION" localSheetId="34">#REF!</definedName>
    <definedName name="LICITACION" localSheetId="33">#REF!</definedName>
    <definedName name="LICITACION" localSheetId="147">#REF!</definedName>
    <definedName name="LICITACION" localSheetId="146">#REF!</definedName>
    <definedName name="LICITACION" localSheetId="5">#REF!</definedName>
    <definedName name="LICITACION">#REF!</definedName>
    <definedName name="LOCA" localSheetId="37">[15]!absc</definedName>
    <definedName name="LOCA" localSheetId="36">[15]!absc</definedName>
    <definedName name="LOCA" localSheetId="35">[15]!absc</definedName>
    <definedName name="LOCA" localSheetId="34">[15]!absc</definedName>
    <definedName name="LOCA" localSheetId="33">[15]!absc</definedName>
    <definedName name="LOCA" localSheetId="19">[15]!absc</definedName>
    <definedName name="LOCA" localSheetId="18">[15]!absc</definedName>
    <definedName name="LOCA" localSheetId="147">[15]!absc</definedName>
    <definedName name="LOCA" localSheetId="146">[15]!absc</definedName>
    <definedName name="LOCA" localSheetId="5">[15]!absc</definedName>
    <definedName name="LOCA" localSheetId="14">[15]!absc</definedName>
    <definedName name="LOCA">[15]!absc</definedName>
    <definedName name="LOCA1" localSheetId="37">[6]!absc</definedName>
    <definedName name="LOCA1" localSheetId="36">[6]!absc</definedName>
    <definedName name="LOCA1" localSheetId="35">[6]!absc</definedName>
    <definedName name="LOCA1" localSheetId="34">[6]!absc</definedName>
    <definedName name="LOCA1" localSheetId="33">[6]!absc</definedName>
    <definedName name="LOCA1" localSheetId="19">[6]!absc</definedName>
    <definedName name="LOCA1" localSheetId="18">[6]!absc</definedName>
    <definedName name="LOCA1" localSheetId="147">[6]!absc</definedName>
    <definedName name="LOCA1" localSheetId="146">[6]!absc</definedName>
    <definedName name="LOCA1" localSheetId="5">[6]!absc</definedName>
    <definedName name="LOCA1" localSheetId="14">[6]!absc</definedName>
    <definedName name="LOCA1">[6]!absc</definedName>
    <definedName name="MAL" localSheetId="35">'[16]Estado Resumen'!#REF!&lt;2.5</definedName>
    <definedName name="MAL" localSheetId="34">'[16]Estado Resumen'!#REF!&lt;2.5</definedName>
    <definedName name="MAL" localSheetId="33">'[16]Estado Resumen'!#REF!&lt;2.5</definedName>
    <definedName name="MAL" localSheetId="147">'[16]Estado Resumen'!#REF!&lt;2.5</definedName>
    <definedName name="MAL" localSheetId="146">'[16]Estado Resumen'!#REF!&lt;2.5</definedName>
    <definedName name="MAL" localSheetId="5">'[16]Estado Resumen'!#REF!&lt;2.5</definedName>
    <definedName name="MAL">'[16]Estado Resumen'!#REF!&lt;2.5</definedName>
    <definedName name="MALO" localSheetId="35">'[17]ESTADO VÍA-CRIT.TECNICO'!#REF!&lt;2.5</definedName>
    <definedName name="MALO" localSheetId="34">'[17]ESTADO VÍA-CRIT.TECNICO'!#REF!&lt;2.5</definedName>
    <definedName name="MALO" localSheetId="33">'[17]ESTADO VÍA-CRIT.TECNICO'!#REF!&lt;2.5</definedName>
    <definedName name="MALO" localSheetId="147">'[17]ESTADO VÍA-CRIT.TECNICO'!#REF!&lt;2.5</definedName>
    <definedName name="MALO" localSheetId="146">'[17]ESTADO VÍA-CRIT.TECNICO'!#REF!&lt;2.5</definedName>
    <definedName name="MALO" localSheetId="5">'[17]ESTADO VÍA-CRIT.TECNICO'!#REF!&lt;2.5</definedName>
    <definedName name="MALO">'[17]ESTADO VÍA-CRIT.TECNICO'!#REF!&lt;2.5</definedName>
    <definedName name="MAT" localSheetId="35">#REF!</definedName>
    <definedName name="MAT" localSheetId="34">#REF!</definedName>
    <definedName name="MAT" localSheetId="33">#REF!</definedName>
    <definedName name="MAT" localSheetId="147">#REF!</definedName>
    <definedName name="MAT" localSheetId="146">#REF!</definedName>
    <definedName name="MAT" localSheetId="5">#REF!</definedName>
    <definedName name="MAT">#REF!</definedName>
    <definedName name="met" hidden="1">{#N/A,#N/A,TRUE,"1842CWN0"}</definedName>
    <definedName name="metal" hidden="1">{#N/A,#N/A,TRUE,"1842CWN0"}</definedName>
    <definedName name="NM" localSheetId="35">#REF!</definedName>
    <definedName name="NM" localSheetId="34">#REF!</definedName>
    <definedName name="NM" localSheetId="33">#REF!</definedName>
    <definedName name="NM" localSheetId="147">#REF!</definedName>
    <definedName name="NM" localSheetId="146">#REF!</definedName>
    <definedName name="NM" localSheetId="5">#REF!</definedName>
    <definedName name="NM">#REF!</definedName>
    <definedName name="NNN" localSheetId="37">[1]!absc</definedName>
    <definedName name="NNN" localSheetId="36">[1]!absc</definedName>
    <definedName name="NNN" localSheetId="35">[1]!absc</definedName>
    <definedName name="NNN" localSheetId="34">[1]!absc</definedName>
    <definedName name="NNN" localSheetId="33">[1]!absc</definedName>
    <definedName name="NNN" localSheetId="19">[1]!absc</definedName>
    <definedName name="NNN" localSheetId="18">[1]!absc</definedName>
    <definedName name="NNN" localSheetId="147">[1]!absc</definedName>
    <definedName name="NNN" localSheetId="146">[1]!absc</definedName>
    <definedName name="NNN" localSheetId="5">[1]!absc</definedName>
    <definedName name="NNN" localSheetId="14">[1]!absc</definedName>
    <definedName name="NNN">[1]!absc</definedName>
    <definedName name="NOMBRE" localSheetId="35">#REF!</definedName>
    <definedName name="NOMBRE" localSheetId="34">#REF!</definedName>
    <definedName name="NOMBRE" localSheetId="33">#REF!</definedName>
    <definedName name="NOMBRE" localSheetId="147">#REF!</definedName>
    <definedName name="NOMBRE" localSheetId="146">#REF!</definedName>
    <definedName name="NOMBRE" localSheetId="5">#REF!</definedName>
    <definedName name="NOMBRE">#REF!</definedName>
    <definedName name="ooo" localSheetId="35">#REF!</definedName>
    <definedName name="ooo" localSheetId="34">#REF!</definedName>
    <definedName name="ooo" localSheetId="33">#REF!</definedName>
    <definedName name="ooo" localSheetId="147">#REF!</definedName>
    <definedName name="ooo" localSheetId="146">#REF!</definedName>
    <definedName name="ooo" localSheetId="5">#REF!</definedName>
    <definedName name="ooo">#REF!</definedName>
    <definedName name="PLZ" localSheetId="13">'ANEXO PLIEGO_1'!#REF!</definedName>
    <definedName name="PLZ" localSheetId="15">'ANEXO PLIEGO_2'!#REF!</definedName>
    <definedName name="PLZ" localSheetId="14">'POR AÑOS_OBRA2024'!#REF!</definedName>
    <definedName name="PLZ" localSheetId="16">'POR AÑOS_SUMINISTRO'!#REF!</definedName>
    <definedName name="PLZ" localSheetId="4">[9]Presupuesto!$I$134</definedName>
    <definedName name="PLZ">[10]Presupuesto!$I$134</definedName>
    <definedName name="PRE" localSheetId="35">#REF!</definedName>
    <definedName name="PRE" localSheetId="34">#REF!</definedName>
    <definedName name="PRE" localSheetId="33">#REF!</definedName>
    <definedName name="PRE" localSheetId="147">#REF!</definedName>
    <definedName name="PRE" localSheetId="146">#REF!</definedName>
    <definedName name="PRE" localSheetId="5">#REF!</definedName>
    <definedName name="PRE">#REF!</definedName>
    <definedName name="Prest.">1.75</definedName>
    <definedName name="Print_Area_MI" localSheetId="35">#REF!</definedName>
    <definedName name="Print_Area_MI" localSheetId="34">#REF!</definedName>
    <definedName name="Print_Area_MI" localSheetId="33">#REF!</definedName>
    <definedName name="Print_Area_MI" localSheetId="147">#REF!</definedName>
    <definedName name="Print_Area_MI" localSheetId="146">#REF!</definedName>
    <definedName name="Print_Area_MI" localSheetId="5">#REF!</definedName>
    <definedName name="Print_Area_MI">#REF!</definedName>
    <definedName name="PROVISIONALES" localSheetId="35" hidden="1">#REF!</definedName>
    <definedName name="PROVISIONALES" localSheetId="34" hidden="1">#REF!</definedName>
    <definedName name="PROVISIONALES" localSheetId="33" hidden="1">#REF!</definedName>
    <definedName name="PROVISIONALES" localSheetId="147" hidden="1">#REF!</definedName>
    <definedName name="PROVISIONALES" localSheetId="146" hidden="1">#REF!</definedName>
    <definedName name="PROVISIONALES" hidden="1">#REF!</definedName>
    <definedName name="PRUEBA2" localSheetId="35">#REF!</definedName>
    <definedName name="PRUEBA2" localSheetId="34">#REF!</definedName>
    <definedName name="PRUEBA2" localSheetId="33">#REF!</definedName>
    <definedName name="PRUEBA2" localSheetId="147">#REF!</definedName>
    <definedName name="PRUEBA2" localSheetId="146">#REF!</definedName>
    <definedName name="PRUEBA2" localSheetId="5">#REF!</definedName>
    <definedName name="PRUEBA2">#REF!</definedName>
    <definedName name="REG">'[16]Estado Resumen'!XFC1&gt;2.5</definedName>
    <definedName name="REGULAR">'[17]ESTADO VÍA-CRIT.TECNICO'!XFC1&gt;2.5</definedName>
    <definedName name="rell" localSheetId="35">#REF!</definedName>
    <definedName name="rell" localSheetId="34">#REF!</definedName>
    <definedName name="rell" localSheetId="33">#REF!</definedName>
    <definedName name="rell" localSheetId="147">#REF!</definedName>
    <definedName name="rell" localSheetId="146">#REF!</definedName>
    <definedName name="rell" localSheetId="5">#REF!</definedName>
    <definedName name="rell">#REF!</definedName>
    <definedName name="RELLG" localSheetId="35">#REF!</definedName>
    <definedName name="RELLG" localSheetId="34">#REF!</definedName>
    <definedName name="RELLG" localSheetId="33">#REF!</definedName>
    <definedName name="RELLG" localSheetId="147">#REF!</definedName>
    <definedName name="RELLG" localSheetId="146">#REF!</definedName>
    <definedName name="RELLG" localSheetId="5">#REF!</definedName>
    <definedName name="RELLG">#REF!</definedName>
    <definedName name="SECRETARÍA_DISTRITAL_DE_MOVILIDAD_SDM">'129'!$A$1</definedName>
    <definedName name="t" localSheetId="37">[1]!absc</definedName>
    <definedName name="t" localSheetId="36">[1]!absc</definedName>
    <definedName name="t" localSheetId="35">[1]!absc</definedName>
    <definedName name="t" localSheetId="34">[1]!absc</definedName>
    <definedName name="t" localSheetId="33">[1]!absc</definedName>
    <definedName name="t" localSheetId="19">[1]!absc</definedName>
    <definedName name="t" localSheetId="18">[1]!absc</definedName>
    <definedName name="t" localSheetId="147">[1]!absc</definedName>
    <definedName name="t" localSheetId="146">[1]!absc</definedName>
    <definedName name="t" localSheetId="5">[1]!absc</definedName>
    <definedName name="t" localSheetId="14">[1]!absc</definedName>
    <definedName name="t">[1]!absc</definedName>
    <definedName name="TABLA" localSheetId="35">#REF!</definedName>
    <definedName name="TABLA" localSheetId="34">#REF!</definedName>
    <definedName name="TABLA" localSheetId="33">#REF!</definedName>
    <definedName name="TABLA" localSheetId="147">#REF!</definedName>
    <definedName name="TABLA" localSheetId="146">#REF!</definedName>
    <definedName name="TABLA" localSheetId="5">#REF!</definedName>
    <definedName name="TABLA">#REF!</definedName>
    <definedName name="TITULO" localSheetId="35">#REF!</definedName>
    <definedName name="TITULO" localSheetId="34">#REF!</definedName>
    <definedName name="TITULO" localSheetId="33">#REF!</definedName>
    <definedName name="TITULO" localSheetId="147">#REF!</definedName>
    <definedName name="TITULO" localSheetId="146">#REF!</definedName>
    <definedName name="TITULO" localSheetId="5">#REF!</definedName>
    <definedName name="TITULO">#REF!</definedName>
    <definedName name="_xlnm.Print_Titles" localSheetId="13">'ANEXO PLIEGO_1'!$1:$3</definedName>
    <definedName name="_xlnm.Print_Titles" localSheetId="14">'POR AÑOS_OBRA2024'!$1:$3</definedName>
    <definedName name="TOTAL" localSheetId="35">#REF!</definedName>
    <definedName name="TOTAL" localSheetId="34">#REF!</definedName>
    <definedName name="TOTAL" localSheetId="33">#REF!</definedName>
    <definedName name="TOTAL" localSheetId="147">#REF!</definedName>
    <definedName name="TOTAL" localSheetId="146">#REF!</definedName>
    <definedName name="TOTAL" localSheetId="5">#REF!</definedName>
    <definedName name="TOTAL">#REF!</definedName>
    <definedName name="TRAT">[18]desmonte!$E$48</definedName>
    <definedName name="U" localSheetId="35">#REF!</definedName>
    <definedName name="U" localSheetId="34">#REF!</definedName>
    <definedName name="U" localSheetId="33">#REF!</definedName>
    <definedName name="U" localSheetId="147">#REF!</definedName>
    <definedName name="U" localSheetId="146">#REF!</definedName>
    <definedName name="U" localSheetId="5">#REF!</definedName>
    <definedName name="U">#REF!</definedName>
    <definedName name="valor1" localSheetId="35">#REF!</definedName>
    <definedName name="valor1" localSheetId="34">#REF!</definedName>
    <definedName name="valor1" localSheetId="33">#REF!</definedName>
    <definedName name="valor1" localSheetId="147">#REF!</definedName>
    <definedName name="valor1" localSheetId="146">#REF!</definedName>
    <definedName name="valor1" localSheetId="5">#REF!</definedName>
    <definedName name="valor1">#REF!</definedName>
    <definedName name="valor2" localSheetId="35">#REF!</definedName>
    <definedName name="valor2" localSheetId="34">#REF!</definedName>
    <definedName name="valor2" localSheetId="33">#REF!</definedName>
    <definedName name="valor2" localSheetId="147">#REF!</definedName>
    <definedName name="valor2" localSheetId="146">#REF!</definedName>
    <definedName name="valor2" localSheetId="5">#REF!</definedName>
    <definedName name="valor2">#REF!</definedName>
    <definedName name="VALOR3" localSheetId="35">#REF!</definedName>
    <definedName name="VALOR3" localSheetId="34">#REF!</definedName>
    <definedName name="VALOR3" localSheetId="33">#REF!</definedName>
    <definedName name="VALOR3" localSheetId="147">#REF!</definedName>
    <definedName name="VALOR3" localSheetId="146">#REF!</definedName>
    <definedName name="VALOR3" localSheetId="5">#REF!</definedName>
    <definedName name="VALOR3">#REF!</definedName>
    <definedName name="VVV" localSheetId="35">#REF!</definedName>
    <definedName name="VVV" localSheetId="34">#REF!</definedName>
    <definedName name="VVV" localSheetId="33">#REF!</definedName>
    <definedName name="VVV" localSheetId="147">#REF!</definedName>
    <definedName name="VVV" localSheetId="146">#REF!</definedName>
    <definedName name="VVV" localSheetId="5">#REF!</definedName>
    <definedName name="VVV">#REF!</definedName>
    <definedName name="WER">'[5]Res-Accide-10'!$S$2:$S$7</definedName>
    <definedName name="WILSON" localSheetId="35">'[5]Res-Accide-10'!#REF!</definedName>
    <definedName name="WILSON" localSheetId="34">'[5]Res-Accide-10'!#REF!</definedName>
    <definedName name="WILSON" localSheetId="33">'[5]Res-Accide-10'!#REF!</definedName>
    <definedName name="WILSON" localSheetId="147">'[5]Res-Accide-10'!#REF!</definedName>
    <definedName name="WILSON" localSheetId="146">'[5]Res-Accide-10'!#REF!</definedName>
    <definedName name="WILSON" localSheetId="5">'[5]Res-Accide-10'!#REF!</definedName>
    <definedName name="WILSON">'[5]Res-Accide-10'!#REF!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SW" hidden="1">{#N/A,#N/A,TRUE,"1842CWN0"}</definedName>
    <definedName name="XXXX" localSheetId="35" hidden="1">#REF!</definedName>
    <definedName name="XXXX" localSheetId="34" hidden="1">#REF!</definedName>
    <definedName name="XXXX" localSheetId="33" hidden="1">#REF!</definedName>
    <definedName name="XXXX" localSheetId="147" hidden="1">#REF!</definedName>
    <definedName name="XXXX" localSheetId="146" hidden="1">#REF!</definedName>
    <definedName name="XXXX" hidden="1">#REF!</definedName>
    <definedName name="XXXXXX" localSheetId="35">#REF!</definedName>
    <definedName name="XXXXXX" localSheetId="34">#REF!</definedName>
    <definedName name="XXXXXX" localSheetId="33">#REF!</definedName>
    <definedName name="XXXXXX" localSheetId="147">#REF!</definedName>
    <definedName name="XXXXXX" localSheetId="146">#REF!</definedName>
    <definedName name="XXXXXX" localSheetId="5">#REF!</definedName>
    <definedName name="XXXXXX">#REF!</definedName>
    <definedName name="XXXXXXXXXX" localSheetId="35">#REF!</definedName>
    <definedName name="XXXXXXXXXX" localSheetId="34">#REF!</definedName>
    <definedName name="XXXXXXXXXX" localSheetId="33">#REF!</definedName>
    <definedName name="XXXXXXXXXX" localSheetId="147">#REF!</definedName>
    <definedName name="XXXXXXXXXX" localSheetId="146">#REF!</definedName>
    <definedName name="XXXXXXXXXX" localSheetId="5">#REF!</definedName>
    <definedName name="XXXXXXXXXX">#REF!</definedName>
    <definedName name="XXXXXXXXXXXX" localSheetId="35">#REF!</definedName>
    <definedName name="XXXXXXXXXXXX" localSheetId="34">#REF!</definedName>
    <definedName name="XXXXXXXXXXXX" localSheetId="33">#REF!</definedName>
    <definedName name="XXXXXXXXXXXX" localSheetId="147">#REF!</definedName>
    <definedName name="XXXXXXXXXXXX" localSheetId="146">#REF!</definedName>
    <definedName name="XXXXXXXXXXXX" localSheetId="5">#REF!</definedName>
    <definedName name="XXXXXXXXXXXX">#REF!</definedName>
    <definedName name="XZS" localSheetId="35" hidden="1">#REF!</definedName>
    <definedName name="XZS" localSheetId="34" hidden="1">#REF!</definedName>
    <definedName name="XZS" localSheetId="33" hidden="1">#REF!</definedName>
    <definedName name="XZS" localSheetId="147" hidden="1">#REF!</definedName>
    <definedName name="XZS" localSheetId="146" hidden="1">#REF!</definedName>
    <definedName name="XZS" hidden="1">#REF!</definedName>
    <definedName name="ZAQ" hidden="1">{#N/A,#N/A,TRUE,"INGENIERIA";#N/A,#N/A,TRUE,"COMPRAS";#N/A,#N/A,TRUE,"DIRECCION";#N/A,#N/A,TRUE,"RESUMEN"}</definedName>
    <definedName name="ZZZZZZZZZZZ" localSheetId="35">'[11]A. P. U.'!#REF!</definedName>
    <definedName name="ZZZZZZZZZZZ" localSheetId="34">'[11]A. P. U.'!#REF!</definedName>
    <definedName name="ZZZZZZZZZZZ" localSheetId="33">'[11]A. P. U.'!#REF!</definedName>
    <definedName name="ZZZZZZZZZZZ" localSheetId="147">'[11]A. P. U.'!#REF!</definedName>
    <definedName name="ZZZZZZZZZZZ" localSheetId="146">'[11]A. P. U.'!#REF!</definedName>
    <definedName name="ZZZZZZZZZZZ" localSheetId="5">'[11]A. P. U.'!#REF!</definedName>
    <definedName name="ZZZZZZZZZZZ">'[11]A.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 i="43" l="1"/>
  <c r="G36" i="41"/>
  <c r="G36" i="40"/>
  <c r="G36" i="39"/>
  <c r="G36" i="38"/>
  <c r="G36" i="37"/>
  <c r="G38" i="198"/>
  <c r="G35" i="196"/>
  <c r="G36" i="197"/>
  <c r="G36" i="138"/>
  <c r="G36" i="85"/>
  <c r="G36" i="126"/>
  <c r="G40" i="6" l="1"/>
  <c r="G36" i="35"/>
  <c r="G36" i="36"/>
  <c r="G36" i="44"/>
  <c r="G36" i="45"/>
  <c r="G36" i="46"/>
  <c r="G36" i="47"/>
  <c r="G36" i="48"/>
  <c r="G36" i="49"/>
  <c r="G36" i="50"/>
  <c r="G36" i="51"/>
  <c r="G36" i="52"/>
  <c r="G36" i="53"/>
  <c r="G36" i="54"/>
  <c r="G36" i="55"/>
  <c r="G36" i="56"/>
  <c r="G36" i="57"/>
  <c r="G36" i="58"/>
  <c r="G36" i="59"/>
  <c r="G36" i="60"/>
  <c r="G36" i="61"/>
  <c r="G36" i="62"/>
  <c r="G36" i="63"/>
  <c r="G36" i="64"/>
  <c r="G36" i="65"/>
  <c r="G35" i="67"/>
  <c r="G36" i="68"/>
  <c r="G36" i="69"/>
  <c r="G36" i="70"/>
  <c r="G36" i="71"/>
  <c r="G36" i="130"/>
  <c r="G35" i="73"/>
  <c r="G35" i="131"/>
  <c r="G35" i="132"/>
  <c r="G36" i="76"/>
  <c r="G35" i="77"/>
  <c r="G36" i="78"/>
  <c r="G36" i="79"/>
  <c r="G36" i="133"/>
  <c r="G36" i="134"/>
  <c r="G36" i="82"/>
  <c r="G36" i="83"/>
  <c r="G36" i="84"/>
  <c r="G36" i="86"/>
  <c r="G36" i="88"/>
  <c r="G36" i="89"/>
  <c r="G36" i="90"/>
  <c r="G36" i="91"/>
  <c r="G36" i="92"/>
  <c r="G36" i="135"/>
  <c r="G36" i="95"/>
  <c r="G36" i="96"/>
  <c r="G36" i="97"/>
  <c r="G36" i="98"/>
  <c r="G36" i="99"/>
  <c r="G36" i="100"/>
  <c r="G36" i="101"/>
  <c r="G36" i="102"/>
  <c r="G36" i="104"/>
  <c r="G36" i="105"/>
  <c r="G36" i="106"/>
  <c r="G36" i="107"/>
  <c r="G36" i="108"/>
  <c r="G39" i="109"/>
  <c r="G36" i="110"/>
  <c r="G36" i="111"/>
  <c r="G36" i="144"/>
  <c r="G36" i="146"/>
  <c r="G36" i="145"/>
  <c r="G36" i="147"/>
  <c r="G36" i="148"/>
  <c r="G36" i="150"/>
  <c r="G36" i="151"/>
  <c r="G36" i="152"/>
  <c r="G36" i="154"/>
  <c r="G36" i="157"/>
  <c r="G36" i="158"/>
  <c r="G36" i="160"/>
  <c r="G36" i="175"/>
  <c r="G36" i="156"/>
  <c r="G36" i="164"/>
  <c r="G36" i="176"/>
  <c r="G36" i="177"/>
  <c r="G36" i="178"/>
  <c r="G36" i="179"/>
  <c r="G36" i="180"/>
  <c r="G36" i="181"/>
  <c r="G36" i="187"/>
  <c r="G36" i="186"/>
  <c r="G35" i="194"/>
  <c r="M42" i="198"/>
  <c r="G36" i="112"/>
  <c r="G36" i="113"/>
  <c r="G36" i="114"/>
  <c r="G36" i="115"/>
  <c r="G36" i="116"/>
  <c r="G36" i="165"/>
  <c r="G36" i="169"/>
  <c r="G36" i="170"/>
  <c r="G36" i="171"/>
  <c r="G36" i="172"/>
  <c r="G36" i="173"/>
  <c r="G36" i="174"/>
  <c r="G36" i="192"/>
  <c r="G36" i="193" l="1"/>
  <c r="AN28" i="184" l="1"/>
  <c r="AO28" i="184" s="1"/>
  <c r="B129" i="188" l="1"/>
  <c r="A27" i="91"/>
  <c r="AG105" i="1"/>
  <c r="G124" i="1"/>
  <c r="G123" i="1"/>
  <c r="G122" i="1"/>
  <c r="G121" i="1"/>
  <c r="A56" i="203"/>
  <c r="A56" i="202"/>
  <c r="A55" i="17"/>
  <c r="A56" i="120"/>
  <c r="A55" i="15"/>
  <c r="A55" i="14"/>
  <c r="A56" i="12"/>
  <c r="A56" i="11"/>
  <c r="A56" i="10"/>
  <c r="B4" i="188" l="1"/>
  <c r="H37" i="188"/>
  <c r="D98" i="188"/>
  <c r="D51" i="188"/>
  <c r="D60" i="188"/>
  <c r="H30" i="8"/>
  <c r="H26" i="202"/>
  <c r="H26" i="18"/>
  <c r="H26" i="19"/>
  <c r="G100" i="1"/>
  <c r="G85" i="1"/>
  <c r="G67" i="1"/>
  <c r="G64" i="1"/>
  <c r="G63" i="1"/>
  <c r="G62" i="1"/>
  <c r="G61" i="1"/>
  <c r="H18" i="31"/>
  <c r="H17" i="31"/>
  <c r="H16" i="31"/>
  <c r="H15" i="31"/>
  <c r="H14" i="31"/>
  <c r="H13" i="31"/>
  <c r="H12" i="31"/>
  <c r="H19" i="142"/>
  <c r="H12" i="142"/>
  <c r="H13" i="142" s="1"/>
  <c r="H14" i="142" s="1"/>
  <c r="H15" i="142" s="1"/>
  <c r="H16" i="142" s="1"/>
  <c r="H17" i="142" s="1"/>
  <c r="H12" i="141"/>
  <c r="H13" i="141" s="1"/>
  <c r="H14" i="141" s="1"/>
  <c r="H15" i="141" s="1"/>
  <c r="H16" i="141" s="1"/>
  <c r="H17" i="141" s="1"/>
  <c r="H12" i="140"/>
  <c r="H13" i="140" s="1"/>
  <c r="H14" i="140" s="1"/>
  <c r="H15" i="140" s="1"/>
  <c r="H16" i="140" s="1"/>
  <c r="H17" i="140" s="1"/>
  <c r="H12" i="26"/>
  <c r="H12" i="25"/>
  <c r="H14" i="25" s="1"/>
  <c r="H15" i="25" s="1"/>
  <c r="H16" i="25" s="1"/>
  <c r="H17" i="25" s="1"/>
  <c r="H18" i="25" s="1"/>
  <c r="H19" i="25" s="1"/>
  <c r="H12" i="24"/>
  <c r="H13" i="24" s="1"/>
  <c r="H14" i="24" s="1"/>
  <c r="H15" i="24" s="1"/>
  <c r="H16" i="24" s="1"/>
  <c r="H17" i="24" s="1"/>
  <c r="H18" i="24" s="1"/>
  <c r="H19" i="24" s="1"/>
  <c r="H19" i="203"/>
  <c r="H18" i="203"/>
  <c r="H17" i="203"/>
  <c r="H16" i="203"/>
  <c r="H15" i="203"/>
  <c r="H14" i="203"/>
  <c r="H13" i="203"/>
  <c r="H12" i="203"/>
  <c r="H19" i="202"/>
  <c r="H18" i="202"/>
  <c r="H17" i="202"/>
  <c r="H16" i="202"/>
  <c r="H15" i="202"/>
  <c r="H14" i="202"/>
  <c r="H13" i="202"/>
  <c r="H12" i="202"/>
  <c r="H12" i="21"/>
  <c r="H13" i="21" s="1"/>
  <c r="H14" i="21" s="1"/>
  <c r="H15" i="21" s="1"/>
  <c r="H16" i="21" s="1"/>
  <c r="H17" i="21" s="1"/>
  <c r="H18" i="21" s="1"/>
  <c r="H19" i="21" s="1"/>
  <c r="H12" i="20"/>
  <c r="H13" i="20" s="1"/>
  <c r="H14" i="20" s="1"/>
  <c r="H15" i="20" s="1"/>
  <c r="H16" i="20" s="1"/>
  <c r="H17" i="20" s="1"/>
  <c r="H18" i="20" s="1"/>
  <c r="H19" i="20" s="1"/>
  <c r="H12" i="19"/>
  <c r="H13" i="19" s="1"/>
  <c r="H14" i="19" s="1"/>
  <c r="H15" i="19" s="1"/>
  <c r="H16" i="19" s="1"/>
  <c r="H17" i="19" s="1"/>
  <c r="H18" i="19" s="1"/>
  <c r="H19" i="19" s="1"/>
  <c r="H12" i="18"/>
  <c r="H13" i="18" s="1"/>
  <c r="H14" i="18" s="1"/>
  <c r="H15" i="18" s="1"/>
  <c r="H16" i="18" s="1"/>
  <c r="H17" i="18" s="1"/>
  <c r="H18" i="18" s="1"/>
  <c r="H19" i="18" s="1"/>
  <c r="H12" i="17"/>
  <c r="H13" i="17" s="1"/>
  <c r="H14" i="17" s="1"/>
  <c r="H15" i="17" s="1"/>
  <c r="H16" i="17" s="1"/>
  <c r="H17" i="17" s="1"/>
  <c r="H18" i="17" s="1"/>
  <c r="H19" i="17" s="1"/>
  <c r="H12" i="120"/>
  <c r="H13" i="120" s="1"/>
  <c r="H14" i="120" s="1"/>
  <c r="H15" i="120" s="1"/>
  <c r="H16" i="120" s="1"/>
  <c r="H17" i="120" s="1"/>
  <c r="H18" i="120" s="1"/>
  <c r="H19" i="120" s="1"/>
  <c r="H12" i="15"/>
  <c r="H13" i="15" s="1"/>
  <c r="H14" i="15" s="1"/>
  <c r="H15" i="15" s="1"/>
  <c r="H16" i="15" s="1"/>
  <c r="H17" i="15" s="1"/>
  <c r="H18" i="15" s="1"/>
  <c r="H19" i="15" s="1"/>
  <c r="H12" i="14"/>
  <c r="H13" i="14" s="1"/>
  <c r="H14" i="14" s="1"/>
  <c r="H15" i="14" s="1"/>
  <c r="H16" i="14" s="1"/>
  <c r="H17" i="14" s="1"/>
  <c r="H18" i="14" s="1"/>
  <c r="H19" i="14" s="1"/>
  <c r="H12" i="12"/>
  <c r="H13" i="12" s="1"/>
  <c r="H14" i="12" s="1"/>
  <c r="H15" i="12" s="1"/>
  <c r="H16" i="12" s="1"/>
  <c r="H17" i="12" s="1"/>
  <c r="H18" i="12" s="1"/>
  <c r="H19" i="12" s="1"/>
  <c r="H12" i="11"/>
  <c r="H13" i="11" s="1"/>
  <c r="H14" i="11" s="1"/>
  <c r="H15" i="11" s="1"/>
  <c r="H16" i="11" s="1"/>
  <c r="H17" i="11" s="1"/>
  <c r="H18" i="11" s="1"/>
  <c r="H19" i="11" s="1"/>
  <c r="F13" i="8"/>
  <c r="G13" i="8"/>
  <c r="G13" i="7"/>
  <c r="H19" i="10"/>
  <c r="H18" i="10"/>
  <c r="H17" i="10"/>
  <c r="H16" i="10"/>
  <c r="H15" i="10"/>
  <c r="H14" i="10"/>
  <c r="H13" i="10"/>
  <c r="H12" i="10"/>
  <c r="R43" i="11"/>
  <c r="H29" i="7"/>
  <c r="H26" i="10"/>
  <c r="H14" i="26" l="1"/>
  <c r="H15" i="26" s="1"/>
  <c r="F13" i="7"/>
  <c r="H16" i="26" l="1"/>
  <c r="H17" i="26" s="1"/>
  <c r="H18" i="26" s="1"/>
  <c r="H19" i="26" s="1"/>
  <c r="H60" i="26"/>
  <c r="H61" i="26" s="1"/>
  <c r="H62" i="26" s="1"/>
  <c r="A22" i="135"/>
  <c r="H29" i="13" l="1"/>
  <c r="A36" i="35" l="1"/>
  <c r="D7" i="5" l="1"/>
  <c r="D154" i="188"/>
  <c r="A26" i="21"/>
  <c r="G26" i="21" s="1"/>
  <c r="A28" i="20"/>
  <c r="A27" i="19"/>
  <c r="A27" i="18"/>
  <c r="A27" i="12"/>
  <c r="C132" i="188"/>
  <c r="B132" i="188"/>
  <c r="AD132" i="188" s="1"/>
  <c r="C131" i="188"/>
  <c r="B131" i="188"/>
  <c r="AD131" i="188" s="1"/>
  <c r="C130" i="188"/>
  <c r="B130" i="188"/>
  <c r="AD130" i="188" s="1"/>
  <c r="C129" i="188"/>
  <c r="AD129" i="188"/>
  <c r="C128" i="188"/>
  <c r="B128" i="188"/>
  <c r="AD128" i="188" s="1"/>
  <c r="C127" i="188"/>
  <c r="B127" i="188"/>
  <c r="AD127" i="188" s="1"/>
  <c r="C126" i="188"/>
  <c r="B126" i="188"/>
  <c r="AD126" i="188" s="1"/>
  <c r="C125" i="188"/>
  <c r="B125" i="188"/>
  <c r="AD125" i="188" s="1"/>
  <c r="C124" i="188"/>
  <c r="B124" i="188"/>
  <c r="AD124" i="188" s="1"/>
  <c r="C123" i="188"/>
  <c r="B123" i="188"/>
  <c r="AD123" i="188" s="1"/>
  <c r="C122" i="188"/>
  <c r="B122" i="188"/>
  <c r="AD122" i="188" s="1"/>
  <c r="C121" i="188"/>
  <c r="B121" i="188"/>
  <c r="AD121" i="188" s="1"/>
  <c r="C120" i="188"/>
  <c r="B120" i="188"/>
  <c r="AD120" i="188" s="1"/>
  <c r="C119" i="188"/>
  <c r="B119" i="188"/>
  <c r="AD119" i="188" s="1"/>
  <c r="C118" i="188"/>
  <c r="B118" i="188"/>
  <c r="AD118" i="188" s="1"/>
  <c r="C117" i="188"/>
  <c r="B117" i="188"/>
  <c r="AD117" i="188" s="1"/>
  <c r="C116" i="188"/>
  <c r="B116" i="188"/>
  <c r="AD116" i="188" s="1"/>
  <c r="C115" i="188"/>
  <c r="B115" i="188"/>
  <c r="AD115" i="188" s="1"/>
  <c r="C114" i="188"/>
  <c r="B114" i="188"/>
  <c r="AD114" i="188" s="1"/>
  <c r="C113" i="188"/>
  <c r="B113" i="188"/>
  <c r="AD113" i="188" s="1"/>
  <c r="C112" i="188"/>
  <c r="B112" i="188"/>
  <c r="AD112" i="188" s="1"/>
  <c r="C111" i="188"/>
  <c r="B111" i="188"/>
  <c r="AD111" i="188" s="1"/>
  <c r="C110" i="188"/>
  <c r="B110" i="188"/>
  <c r="AD110" i="188" s="1"/>
  <c r="C109" i="188"/>
  <c r="B109" i="188"/>
  <c r="AD109" i="188" s="1"/>
  <c r="C108" i="188"/>
  <c r="B108" i="188"/>
  <c r="AD108" i="188" s="1"/>
  <c r="C107" i="188"/>
  <c r="B107" i="188"/>
  <c r="AD107" i="188" s="1"/>
  <c r="C106" i="188"/>
  <c r="B106" i="188"/>
  <c r="AD106" i="188" s="1"/>
  <c r="C105" i="188"/>
  <c r="B105" i="188"/>
  <c r="AD105" i="188" s="1"/>
  <c r="C104" i="188"/>
  <c r="B104" i="188"/>
  <c r="AD104" i="188" s="1"/>
  <c r="C103" i="188"/>
  <c r="B103" i="188"/>
  <c r="AD103" i="188" s="1"/>
  <c r="C102" i="188"/>
  <c r="B102" i="188"/>
  <c r="AD102" i="188" s="1"/>
  <c r="C101" i="188"/>
  <c r="B101" i="188"/>
  <c r="AD101" i="188" s="1"/>
  <c r="C100" i="188"/>
  <c r="B100" i="188"/>
  <c r="AD100" i="188" s="1"/>
  <c r="C99" i="188"/>
  <c r="B99" i="188"/>
  <c r="AD99" i="188" s="1"/>
  <c r="C98" i="188"/>
  <c r="B98" i="188"/>
  <c r="AD98" i="188" s="1"/>
  <c r="C97" i="188"/>
  <c r="B97" i="188"/>
  <c r="AD97" i="188" s="1"/>
  <c r="C96" i="188"/>
  <c r="B96" i="188"/>
  <c r="AD96" i="188" s="1"/>
  <c r="C95" i="188"/>
  <c r="B95" i="188"/>
  <c r="AD95" i="188" s="1"/>
  <c r="C94" i="188"/>
  <c r="B94" i="188"/>
  <c r="AD94" i="188" s="1"/>
  <c r="C93" i="188"/>
  <c r="B93" i="188"/>
  <c r="AD93" i="188" s="1"/>
  <c r="C92" i="188"/>
  <c r="B92" i="188"/>
  <c r="AD92" i="188" s="1"/>
  <c r="C91" i="188"/>
  <c r="B91" i="188"/>
  <c r="AD91" i="188" s="1"/>
  <c r="C90" i="188"/>
  <c r="B90" i="188"/>
  <c r="AD90" i="188" s="1"/>
  <c r="C89" i="188"/>
  <c r="B89" i="188"/>
  <c r="AD89" i="188" s="1"/>
  <c r="C88" i="188"/>
  <c r="B88" i="188"/>
  <c r="AD88" i="188" s="1"/>
  <c r="C87" i="188"/>
  <c r="B87" i="188"/>
  <c r="AD87" i="188" s="1"/>
  <c r="C86" i="188"/>
  <c r="B86" i="188"/>
  <c r="AD86" i="188" s="1"/>
  <c r="C85" i="188"/>
  <c r="B85" i="188"/>
  <c r="AD85" i="188" s="1"/>
  <c r="C84" i="188"/>
  <c r="B84" i="188"/>
  <c r="AD84" i="188" s="1"/>
  <c r="C83" i="188"/>
  <c r="B83" i="188"/>
  <c r="AD83" i="188" s="1"/>
  <c r="C82" i="188"/>
  <c r="B82" i="188"/>
  <c r="AD82" i="188" s="1"/>
  <c r="C81" i="188"/>
  <c r="B81" i="188"/>
  <c r="AD81" i="188" s="1"/>
  <c r="C80" i="188"/>
  <c r="B80" i="188"/>
  <c r="AD80" i="188" s="1"/>
  <c r="C79" i="188"/>
  <c r="B79" i="188"/>
  <c r="AD79" i="188" s="1"/>
  <c r="C78" i="188"/>
  <c r="B78" i="188"/>
  <c r="AD78" i="188" s="1"/>
  <c r="C77" i="188"/>
  <c r="B77" i="188"/>
  <c r="AD77" i="188" s="1"/>
  <c r="C76" i="188"/>
  <c r="B76" i="188"/>
  <c r="AD76" i="188" s="1"/>
  <c r="C75" i="188"/>
  <c r="B75" i="188"/>
  <c r="AD75" i="188" s="1"/>
  <c r="C74" i="188"/>
  <c r="B74" i="188"/>
  <c r="AD74" i="188" s="1"/>
  <c r="C73" i="188"/>
  <c r="B73" i="188"/>
  <c r="AD73" i="188" s="1"/>
  <c r="C72" i="188"/>
  <c r="B72" i="188"/>
  <c r="AD72" i="188" s="1"/>
  <c r="C71" i="188"/>
  <c r="B71" i="188"/>
  <c r="AD71" i="188" s="1"/>
  <c r="C70" i="188"/>
  <c r="B70" i="188"/>
  <c r="AD70" i="188" s="1"/>
  <c r="C69" i="188"/>
  <c r="B69" i="188"/>
  <c r="AD69" i="188" s="1"/>
  <c r="C68" i="188"/>
  <c r="B68" i="188"/>
  <c r="AD68" i="188" s="1"/>
  <c r="C67" i="188"/>
  <c r="B67" i="188"/>
  <c r="AD67" i="188" s="1"/>
  <c r="C66" i="188"/>
  <c r="B66" i="188"/>
  <c r="AD66" i="188" s="1"/>
  <c r="C65" i="188"/>
  <c r="B65" i="188"/>
  <c r="AD65" i="188" s="1"/>
  <c r="C64" i="188"/>
  <c r="B64" i="188"/>
  <c r="AD64" i="188" s="1"/>
  <c r="C63" i="188"/>
  <c r="B63" i="188"/>
  <c r="AD63" i="188" s="1"/>
  <c r="C62" i="188"/>
  <c r="B62" i="188"/>
  <c r="AD62" i="188" s="1"/>
  <c r="C61" i="188"/>
  <c r="B61" i="188"/>
  <c r="AD61" i="188" s="1"/>
  <c r="C60" i="188"/>
  <c r="B60" i="188"/>
  <c r="AD60" i="188" s="1"/>
  <c r="C59" i="188"/>
  <c r="B59" i="188"/>
  <c r="AD59" i="188" s="1"/>
  <c r="C58" i="188"/>
  <c r="B58" i="188"/>
  <c r="AD58" i="188" s="1"/>
  <c r="C57" i="188"/>
  <c r="B57" i="188"/>
  <c r="AD57" i="188" s="1"/>
  <c r="C56" i="188"/>
  <c r="B56" i="188"/>
  <c r="AD56" i="188" s="1"/>
  <c r="C55" i="188"/>
  <c r="B55" i="188"/>
  <c r="AD55" i="188" s="1"/>
  <c r="C54" i="188"/>
  <c r="B54" i="188"/>
  <c r="AD54" i="188" s="1"/>
  <c r="C53" i="188"/>
  <c r="B53" i="188"/>
  <c r="AD53" i="188" s="1"/>
  <c r="C52" i="188"/>
  <c r="B52" i="188"/>
  <c r="AD52" i="188" s="1"/>
  <c r="C51" i="188"/>
  <c r="B51" i="188"/>
  <c r="AD51" i="188" s="1"/>
  <c r="C50" i="188"/>
  <c r="B50" i="188"/>
  <c r="AD50" i="188" s="1"/>
  <c r="C49" i="188"/>
  <c r="B49" i="188"/>
  <c r="AD49" i="188" s="1"/>
  <c r="C48" i="188"/>
  <c r="B48" i="188"/>
  <c r="AD48" i="188" s="1"/>
  <c r="C47" i="188"/>
  <c r="B47" i="188"/>
  <c r="AD47" i="188" s="1"/>
  <c r="C46" i="188"/>
  <c r="B46" i="188"/>
  <c r="AD46" i="188" s="1"/>
  <c r="C45" i="188"/>
  <c r="B45" i="188"/>
  <c r="AD45" i="188" s="1"/>
  <c r="C44" i="188"/>
  <c r="B44" i="188"/>
  <c r="AD44" i="188" s="1"/>
  <c r="C43" i="188"/>
  <c r="B43" i="188"/>
  <c r="AD43" i="188" s="1"/>
  <c r="C42" i="188"/>
  <c r="B42" i="188"/>
  <c r="AD42" i="188" s="1"/>
  <c r="C41" i="188"/>
  <c r="B41" i="188"/>
  <c r="AD41" i="188" s="1"/>
  <c r="C40" i="188"/>
  <c r="B40" i="188"/>
  <c r="AD40" i="188" s="1"/>
  <c r="C39" i="188"/>
  <c r="B39" i="188"/>
  <c r="AD39" i="188" s="1"/>
  <c r="C38" i="188"/>
  <c r="B38" i="188"/>
  <c r="AD38" i="188" s="1"/>
  <c r="C37" i="188"/>
  <c r="B37" i="188"/>
  <c r="AD37" i="188" s="1"/>
  <c r="C36" i="188"/>
  <c r="B36" i="188"/>
  <c r="AD36" i="188" s="1"/>
  <c r="C35" i="188"/>
  <c r="B35" i="188"/>
  <c r="AD35" i="188" s="1"/>
  <c r="C34" i="188"/>
  <c r="B34" i="188"/>
  <c r="AD34" i="188" s="1"/>
  <c r="C33" i="188"/>
  <c r="B33" i="188"/>
  <c r="AD33" i="188" s="1"/>
  <c r="C32" i="188"/>
  <c r="B32" i="188"/>
  <c r="AD32" i="188" s="1"/>
  <c r="C31" i="188"/>
  <c r="B31" i="188"/>
  <c r="AD31" i="188" s="1"/>
  <c r="C30" i="188"/>
  <c r="B30" i="188"/>
  <c r="AD30" i="188" s="1"/>
  <c r="C29" i="188"/>
  <c r="B29" i="188"/>
  <c r="AD29" i="188" s="1"/>
  <c r="C28" i="188"/>
  <c r="B28" i="188"/>
  <c r="AD28" i="188" s="1"/>
  <c r="C27" i="188"/>
  <c r="B27" i="188"/>
  <c r="AD27" i="188" s="1"/>
  <c r="C26" i="188"/>
  <c r="B26" i="188"/>
  <c r="AD26" i="188" s="1"/>
  <c r="C25" i="188"/>
  <c r="B25" i="188"/>
  <c r="AD25" i="188" s="1"/>
  <c r="C24" i="188"/>
  <c r="B24" i="188"/>
  <c r="AD24" i="188" s="1"/>
  <c r="C23" i="188"/>
  <c r="B23" i="188"/>
  <c r="AD23" i="188" s="1"/>
  <c r="C22" i="188"/>
  <c r="B22" i="188"/>
  <c r="AD22" i="188" s="1"/>
  <c r="C21" i="188"/>
  <c r="B21" i="188"/>
  <c r="AD21" i="188" s="1"/>
  <c r="C20" i="188"/>
  <c r="B20" i="188"/>
  <c r="AD20" i="188" s="1"/>
  <c r="C19" i="188"/>
  <c r="B19" i="188"/>
  <c r="AD19" i="188" s="1"/>
  <c r="C18" i="188"/>
  <c r="B18" i="188"/>
  <c r="AD18" i="188" s="1"/>
  <c r="C17" i="188"/>
  <c r="B17" i="188"/>
  <c r="AD17" i="188" s="1"/>
  <c r="C16" i="188"/>
  <c r="B16" i="188"/>
  <c r="AD16" i="188" s="1"/>
  <c r="C15" i="188"/>
  <c r="B15" i="188"/>
  <c r="AD15" i="188" s="1"/>
  <c r="C14" i="188"/>
  <c r="B14" i="188"/>
  <c r="AD14" i="188" s="1"/>
  <c r="C13" i="188"/>
  <c r="B13" i="188"/>
  <c r="AD13" i="188" s="1"/>
  <c r="C12" i="188"/>
  <c r="B12" i="188"/>
  <c r="AD12" i="188" s="1"/>
  <c r="C11" i="188"/>
  <c r="B11" i="188"/>
  <c r="AD11" i="188" s="1"/>
  <c r="C10" i="188"/>
  <c r="B10" i="188"/>
  <c r="AD10" i="188" s="1"/>
  <c r="C9" i="188"/>
  <c r="B9" i="188"/>
  <c r="AD9" i="188" s="1"/>
  <c r="C8" i="188"/>
  <c r="B8" i="188"/>
  <c r="AD8" i="188" s="1"/>
  <c r="C7" i="188"/>
  <c r="B7" i="188"/>
  <c r="AD7" i="188" s="1"/>
  <c r="C6" i="188"/>
  <c r="B6" i="188"/>
  <c r="AD6" i="188" s="1"/>
  <c r="C5" i="188"/>
  <c r="B5" i="188"/>
  <c r="AD5" i="188" s="1"/>
  <c r="C4" i="188"/>
  <c r="AD4" i="188"/>
  <c r="H22" i="126"/>
  <c r="L43" i="193" l="1"/>
  <c r="L43" i="192"/>
  <c r="L43" i="174"/>
  <c r="A22" i="154"/>
  <c r="A23" i="33"/>
  <c r="A22" i="36"/>
  <c r="H60" i="25"/>
  <c r="H61" i="25" s="1"/>
  <c r="H45" i="26"/>
  <c r="N45" i="26" s="1"/>
  <c r="H42" i="26"/>
  <c r="N42" i="26" s="1"/>
  <c r="H38" i="25"/>
  <c r="H39" i="26"/>
  <c r="N39" i="26" s="1"/>
  <c r="N44" i="26"/>
  <c r="N43" i="26"/>
  <c r="N41" i="26"/>
  <c r="N35" i="26"/>
  <c r="N33" i="26"/>
  <c r="N32" i="26"/>
  <c r="N31" i="26"/>
  <c r="N41" i="25" l="1"/>
  <c r="N39" i="25"/>
  <c r="N38" i="25"/>
  <c r="N33" i="25"/>
  <c r="N32" i="25"/>
  <c r="N29" i="25"/>
  <c r="H43" i="25"/>
  <c r="N43" i="25" s="1"/>
  <c r="H37" i="25"/>
  <c r="N37" i="25" s="1"/>
  <c r="N37" i="24"/>
  <c r="N31" i="24"/>
  <c r="N30" i="24"/>
  <c r="N28" i="24"/>
  <c r="H38" i="24"/>
  <c r="N38" i="24" s="1"/>
  <c r="H36" i="24"/>
  <c r="N36" i="24" s="1"/>
  <c r="H35" i="24"/>
  <c r="N35" i="24" s="1"/>
  <c r="H39" i="203"/>
  <c r="N39" i="203" s="1"/>
  <c r="H37" i="203"/>
  <c r="N37" i="203" s="1"/>
  <c r="H28" i="203"/>
  <c r="N28" i="203" s="1"/>
  <c r="H26" i="203"/>
  <c r="N26" i="203" s="1"/>
  <c r="A57" i="203"/>
  <c r="A55" i="203"/>
  <c r="A54" i="203"/>
  <c r="A53" i="203"/>
  <c r="A52" i="203"/>
  <c r="A45" i="203"/>
  <c r="A39" i="203"/>
  <c r="N38" i="203"/>
  <c r="A38" i="203"/>
  <c r="A37" i="203"/>
  <c r="H36" i="203"/>
  <c r="N36" i="203" s="1"/>
  <c r="A36" i="203"/>
  <c r="A35" i="203"/>
  <c r="A34" i="203"/>
  <c r="A33" i="203"/>
  <c r="N32" i="203"/>
  <c r="A32" i="203"/>
  <c r="N31" i="203"/>
  <c r="A31" i="203"/>
  <c r="N30" i="203"/>
  <c r="A30" i="203"/>
  <c r="H29" i="203"/>
  <c r="N29" i="203" s="1"/>
  <c r="A29" i="203"/>
  <c r="A28" i="203"/>
  <c r="A27" i="203"/>
  <c r="A26" i="203"/>
  <c r="M21" i="203"/>
  <c r="M22" i="203" s="1"/>
  <c r="N22" i="203" s="1"/>
  <c r="H52" i="203" s="1"/>
  <c r="H53" i="203" s="1"/>
  <c r="H54" i="203" s="1"/>
  <c r="F20" i="203"/>
  <c r="A19" i="203"/>
  <c r="A18" i="203"/>
  <c r="F18" i="203" s="1"/>
  <c r="A17" i="203"/>
  <c r="F17" i="203" s="1"/>
  <c r="A16" i="203"/>
  <c r="A15" i="203"/>
  <c r="F15" i="203" s="1"/>
  <c r="A14" i="203"/>
  <c r="F14" i="203" s="1"/>
  <c r="A13" i="203"/>
  <c r="F13" i="203" s="1"/>
  <c r="A12" i="203"/>
  <c r="A11" i="203"/>
  <c r="F11" i="203" s="1"/>
  <c r="C7" i="203"/>
  <c r="J6" i="203"/>
  <c r="N38" i="10"/>
  <c r="N32" i="10"/>
  <c r="N31" i="10"/>
  <c r="N30" i="10"/>
  <c r="A27" i="202"/>
  <c r="N38" i="202"/>
  <c r="N32" i="202"/>
  <c r="N31" i="202"/>
  <c r="N30" i="202"/>
  <c r="A26" i="14"/>
  <c r="N37" i="21"/>
  <c r="N31" i="21"/>
  <c r="N30" i="21"/>
  <c r="N29" i="21"/>
  <c r="N28" i="21"/>
  <c r="H38" i="21"/>
  <c r="N38" i="21" s="1"/>
  <c r="H36" i="21"/>
  <c r="N36" i="21" s="1"/>
  <c r="H35" i="21"/>
  <c r="N35" i="21" s="1"/>
  <c r="H30" i="13"/>
  <c r="N30" i="13" s="1"/>
  <c r="H38" i="9"/>
  <c r="N38" i="9" s="1"/>
  <c r="A57" i="202"/>
  <c r="A55" i="202"/>
  <c r="A54" i="202"/>
  <c r="A53" i="202"/>
  <c r="A52" i="202"/>
  <c r="A45" i="202"/>
  <c r="H39" i="202"/>
  <c r="N39" i="202" s="1"/>
  <c r="A39" i="202"/>
  <c r="A38" i="202"/>
  <c r="H37" i="202"/>
  <c r="N37" i="202" s="1"/>
  <c r="A37" i="202"/>
  <c r="H36" i="202"/>
  <c r="N36" i="202" s="1"/>
  <c r="A36" i="202"/>
  <c r="A35" i="202"/>
  <c r="A34" i="202"/>
  <c r="A33" i="202"/>
  <c r="A32" i="202"/>
  <c r="A31" i="202"/>
  <c r="A30" i="202"/>
  <c r="H29" i="202"/>
  <c r="N29" i="202" s="1"/>
  <c r="A29" i="202"/>
  <c r="H28" i="202"/>
  <c r="N28" i="202" s="1"/>
  <c r="A28" i="202"/>
  <c r="H33" i="202"/>
  <c r="N33" i="202" s="1"/>
  <c r="A26" i="202"/>
  <c r="M21" i="202"/>
  <c r="M22" i="202" s="1"/>
  <c r="N22" i="202" s="1"/>
  <c r="F20" i="202"/>
  <c r="A19" i="202"/>
  <c r="A18" i="202"/>
  <c r="F18" i="202" s="1"/>
  <c r="A17" i="202"/>
  <c r="A16" i="202"/>
  <c r="A15" i="202"/>
  <c r="A14" i="202"/>
  <c r="F14" i="202" s="1"/>
  <c r="A13" i="202"/>
  <c r="A12" i="202"/>
  <c r="A11" i="202"/>
  <c r="C7" i="202"/>
  <c r="J6" i="202"/>
  <c r="N39" i="20"/>
  <c r="N33" i="20"/>
  <c r="N32" i="20"/>
  <c r="N30" i="20"/>
  <c r="H40" i="20"/>
  <c r="N40" i="20" s="1"/>
  <c r="H38" i="20"/>
  <c r="N38" i="20" s="1"/>
  <c r="H37" i="20"/>
  <c r="N37" i="20" s="1"/>
  <c r="N38" i="19"/>
  <c r="N32" i="19"/>
  <c r="N31" i="19"/>
  <c r="N30" i="19"/>
  <c r="H39" i="19"/>
  <c r="N39" i="19" s="1"/>
  <c r="H37" i="19"/>
  <c r="N37" i="19" s="1"/>
  <c r="H27" i="203" l="1"/>
  <c r="N27" i="203" s="1"/>
  <c r="H52" i="202"/>
  <c r="H53" i="202" s="1"/>
  <c r="H54" i="202" s="1"/>
  <c r="N26" i="202"/>
  <c r="H34" i="203"/>
  <c r="N34" i="203" s="1"/>
  <c r="H35" i="203"/>
  <c r="N35" i="203" s="1"/>
  <c r="F19" i="203"/>
  <c r="H35" i="202"/>
  <c r="N35" i="202" s="1"/>
  <c r="H27" i="202"/>
  <c r="N27" i="202" s="1"/>
  <c r="F12" i="203"/>
  <c r="H33" i="203"/>
  <c r="N33" i="203" s="1"/>
  <c r="F16" i="203"/>
  <c r="F17" i="202"/>
  <c r="F12" i="202"/>
  <c r="H34" i="202"/>
  <c r="N34" i="202" s="1"/>
  <c r="F16" i="202"/>
  <c r="F15" i="202"/>
  <c r="F11" i="202"/>
  <c r="F19" i="202"/>
  <c r="F13" i="202"/>
  <c r="A57" i="10"/>
  <c r="A55" i="10"/>
  <c r="A54" i="10"/>
  <c r="A53" i="10"/>
  <c r="N38" i="18"/>
  <c r="N32" i="18"/>
  <c r="H39" i="18"/>
  <c r="N39" i="18" s="1"/>
  <c r="H37" i="18"/>
  <c r="N37" i="18" s="1"/>
  <c r="A37" i="7"/>
  <c r="A40" i="6"/>
  <c r="H29" i="18"/>
  <c r="N29" i="18" s="1"/>
  <c r="H28" i="6"/>
  <c r="N41" i="203" l="1"/>
  <c r="G45" i="203" s="1"/>
  <c r="N41" i="202"/>
  <c r="G45" i="202" s="1"/>
  <c r="A56" i="17"/>
  <c r="A54" i="17"/>
  <c r="A53" i="17"/>
  <c r="H52" i="17"/>
  <c r="H53" i="17" s="1"/>
  <c r="A52" i="17"/>
  <c r="A51" i="17"/>
  <c r="H38" i="17"/>
  <c r="N38" i="17" s="1"/>
  <c r="H36" i="17"/>
  <c r="N36" i="17" s="1"/>
  <c r="N37" i="17"/>
  <c r="N31" i="17"/>
  <c r="N28" i="17"/>
  <c r="A57" i="120"/>
  <c r="A55" i="120"/>
  <c r="A54" i="120"/>
  <c r="A53" i="120"/>
  <c r="H53" i="120"/>
  <c r="H54" i="120" s="1"/>
  <c r="A52" i="120"/>
  <c r="H38" i="120"/>
  <c r="N38" i="120" s="1"/>
  <c r="H36" i="120"/>
  <c r="N36" i="120" s="1"/>
  <c r="N37" i="120"/>
  <c r="N31" i="120"/>
  <c r="N30" i="120"/>
  <c r="N29" i="120"/>
  <c r="N28" i="120"/>
  <c r="A56" i="15"/>
  <c r="A54" i="15"/>
  <c r="A53" i="15"/>
  <c r="H52" i="15"/>
  <c r="H53" i="15" s="1"/>
  <c r="A52" i="15"/>
  <c r="A51" i="15"/>
  <c r="N37" i="15"/>
  <c r="N31" i="15"/>
  <c r="H38" i="15"/>
  <c r="N38" i="15" s="1"/>
  <c r="H36" i="15"/>
  <c r="N36" i="15" s="1"/>
  <c r="A36" i="44"/>
  <c r="A36" i="56"/>
  <c r="A36" i="57"/>
  <c r="A36" i="58"/>
  <c r="A36" i="59"/>
  <c r="A36" i="60"/>
  <c r="A36" i="61"/>
  <c r="A36" i="62"/>
  <c r="A36" i="63"/>
  <c r="A36" i="64"/>
  <c r="A36" i="65"/>
  <c r="A36" i="66"/>
  <c r="A35" i="67"/>
  <c r="A35" i="77"/>
  <c r="A36" i="78"/>
  <c r="A36" i="79"/>
  <c r="A36" i="133"/>
  <c r="A36" i="134"/>
  <c r="A36" i="82"/>
  <c r="A36" i="83"/>
  <c r="A36" i="84"/>
  <c r="A36" i="86"/>
  <c r="A36" i="88"/>
  <c r="A36" i="89"/>
  <c r="A36" i="90"/>
  <c r="A36" i="91"/>
  <c r="A36" i="92"/>
  <c r="A36" i="135"/>
  <c r="A36" i="137"/>
  <c r="A36" i="95"/>
  <c r="A36" i="96"/>
  <c r="A36" i="97"/>
  <c r="A36" i="98"/>
  <c r="A36" i="99"/>
  <c r="A36" i="100"/>
  <c r="A36" i="101"/>
  <c r="A36" i="102"/>
  <c r="A36" i="104"/>
  <c r="A36" i="105"/>
  <c r="A36" i="106"/>
  <c r="A36" i="107"/>
  <c r="A36" i="108"/>
  <c r="A39" i="109"/>
  <c r="A36" i="138"/>
  <c r="A36" i="144"/>
  <c r="A36" i="146"/>
  <c r="A36" i="145"/>
  <c r="A36" i="147"/>
  <c r="A36" i="148"/>
  <c r="A36" i="150"/>
  <c r="A36" i="151"/>
  <c r="A36" i="152"/>
  <c r="A36" i="154"/>
  <c r="A36" i="157"/>
  <c r="A36" i="158"/>
  <c r="A36" i="156"/>
  <c r="A36" i="164"/>
  <c r="A36" i="160"/>
  <c r="A36" i="175"/>
  <c r="A36" i="176"/>
  <c r="A36" i="177"/>
  <c r="A36" i="178"/>
  <c r="A36" i="179"/>
  <c r="A36" i="180"/>
  <c r="A36" i="181"/>
  <c r="A36" i="187"/>
  <c r="A36" i="186"/>
  <c r="A35" i="194"/>
  <c r="A56" i="14"/>
  <c r="A54" i="14"/>
  <c r="A53" i="14"/>
  <c r="H52" i="14"/>
  <c r="H53" i="14" s="1"/>
  <c r="A52" i="14"/>
  <c r="A51" i="14"/>
  <c r="H38" i="14"/>
  <c r="N38" i="14" s="1"/>
  <c r="H36" i="14"/>
  <c r="N36" i="14" s="1"/>
  <c r="H41" i="9"/>
  <c r="N41" i="9" s="1"/>
  <c r="N37" i="14"/>
  <c r="N31" i="14"/>
  <c r="N30" i="14"/>
  <c r="N29" i="14"/>
  <c r="N28" i="14"/>
  <c r="A59" i="9"/>
  <c r="H59" i="9"/>
  <c r="A60" i="9"/>
  <c r="A61" i="9"/>
  <c r="A62" i="9"/>
  <c r="A63" i="9"/>
  <c r="N29" i="9"/>
  <c r="N44" i="9"/>
  <c r="N45" i="9"/>
  <c r="A41" i="9"/>
  <c r="N46" i="9"/>
  <c r="N39" i="9"/>
  <c r="N37" i="9"/>
  <c r="N35" i="9"/>
  <c r="N34" i="9"/>
  <c r="N33" i="9"/>
  <c r="N30" i="9"/>
  <c r="A16" i="13"/>
  <c r="E16" i="13"/>
  <c r="A17" i="13"/>
  <c r="E17" i="13"/>
  <c r="A18" i="13"/>
  <c r="F18" i="13" s="1"/>
  <c r="E18" i="13"/>
  <c r="N33" i="13"/>
  <c r="N32" i="13"/>
  <c r="N29" i="13"/>
  <c r="N28" i="13"/>
  <c r="N27" i="13"/>
  <c r="N25" i="13"/>
  <c r="A57" i="12"/>
  <c r="A55" i="12"/>
  <c r="A54" i="12"/>
  <c r="A53" i="12"/>
  <c r="A52" i="12"/>
  <c r="N38" i="12"/>
  <c r="N32" i="12"/>
  <c r="N31" i="12"/>
  <c r="N30" i="12"/>
  <c r="N29" i="12"/>
  <c r="N32" i="11"/>
  <c r="N31" i="11"/>
  <c r="N30" i="11"/>
  <c r="A45" i="12"/>
  <c r="M21" i="12"/>
  <c r="M22" i="12" s="1"/>
  <c r="N22" i="12" s="1"/>
  <c r="H52" i="12" s="1"/>
  <c r="H53" i="12" s="1"/>
  <c r="H54" i="12" s="1"/>
  <c r="H39" i="12"/>
  <c r="N39" i="12" s="1"/>
  <c r="H37" i="12"/>
  <c r="N37" i="12" s="1"/>
  <c r="M21" i="11"/>
  <c r="N26" i="10" l="1"/>
  <c r="H35" i="10"/>
  <c r="N35" i="10" s="1"/>
  <c r="H33" i="10"/>
  <c r="N33" i="10" s="1"/>
  <c r="AP162" i="1"/>
  <c r="AP163" i="1"/>
  <c r="AP164" i="1"/>
  <c r="AO162" i="1"/>
  <c r="AO163" i="1"/>
  <c r="AO164" i="1"/>
  <c r="AN162" i="1"/>
  <c r="AN163" i="1"/>
  <c r="AN164" i="1"/>
  <c r="C7" i="83" l="1"/>
  <c r="M21" i="10"/>
  <c r="M22" i="10" s="1"/>
  <c r="A45" i="11" l="1"/>
  <c r="A57" i="11"/>
  <c r="A55" i="11"/>
  <c r="H39" i="11"/>
  <c r="N39" i="11" s="1"/>
  <c r="H38" i="11"/>
  <c r="N38" i="11" s="1"/>
  <c r="H37" i="11"/>
  <c r="N37" i="11" s="1"/>
  <c r="P28" i="11"/>
  <c r="O28" i="11"/>
  <c r="H28" i="11"/>
  <c r="H26" i="11"/>
  <c r="H33" i="11" s="1"/>
  <c r="N33" i="11" s="1"/>
  <c r="H36" i="11"/>
  <c r="N36" i="11" s="1"/>
  <c r="H29" i="11"/>
  <c r="N29" i="11" s="1"/>
  <c r="M22" i="11"/>
  <c r="N22" i="11" s="1"/>
  <c r="H52" i="11" s="1"/>
  <c r="H53" i="11" s="1"/>
  <c r="H54" i="11" s="1"/>
  <c r="N22" i="10"/>
  <c r="H52" i="10" s="1"/>
  <c r="H53" i="10" s="1"/>
  <c r="P15" i="10"/>
  <c r="H39" i="10"/>
  <c r="N39" i="10" s="1"/>
  <c r="H37" i="10"/>
  <c r="N37" i="10" s="1"/>
  <c r="G6" i="2"/>
  <c r="A22" i="156"/>
  <c r="H36" i="35" l="1"/>
  <c r="M6" i="2"/>
  <c r="Q28" i="11"/>
  <c r="H45" i="203"/>
  <c r="I45" i="203" s="1"/>
  <c r="J45" i="203" s="1"/>
  <c r="J48" i="203" s="1"/>
  <c r="H45" i="202"/>
  <c r="I45" i="202" s="1"/>
  <c r="J45" i="202" s="1"/>
  <c r="J48" i="202" s="1"/>
  <c r="H36" i="66"/>
  <c r="H36" i="44"/>
  <c r="I36" i="44" s="1"/>
  <c r="H35" i="11"/>
  <c r="N35" i="11" s="1"/>
  <c r="N26" i="11"/>
  <c r="H34" i="11"/>
  <c r="N34" i="11" s="1"/>
  <c r="N28" i="11"/>
  <c r="H54" i="10"/>
  <c r="H27" i="11"/>
  <c r="N27" i="11" s="1"/>
  <c r="N40" i="11" l="1"/>
  <c r="G45" i="11" s="1"/>
  <c r="A25" i="197"/>
  <c r="A15" i="197"/>
  <c r="A11" i="76"/>
  <c r="H23" i="132" l="1"/>
  <c r="A15" i="132"/>
  <c r="H22" i="131"/>
  <c r="A15" i="131"/>
  <c r="H24" i="73"/>
  <c r="A15" i="73"/>
  <c r="H23" i="130"/>
  <c r="A15" i="130"/>
  <c r="H25" i="71"/>
  <c r="A15" i="71"/>
  <c r="H25" i="70"/>
  <c r="A15" i="70"/>
  <c r="H25" i="69"/>
  <c r="A15" i="69"/>
  <c r="H25" i="68"/>
  <c r="A15" i="68"/>
  <c r="H24" i="67"/>
  <c r="A15" i="67"/>
  <c r="H25" i="66"/>
  <c r="A15" i="66"/>
  <c r="H25" i="65"/>
  <c r="A15" i="65"/>
  <c r="H25" i="64"/>
  <c r="A15" i="64"/>
  <c r="H25" i="63"/>
  <c r="A15" i="63"/>
  <c r="H24" i="62"/>
  <c r="A15" i="62"/>
  <c r="H23" i="61"/>
  <c r="A23" i="61"/>
  <c r="A15" i="61"/>
  <c r="H24" i="60"/>
  <c r="A24" i="60"/>
  <c r="A15" i="60"/>
  <c r="H24" i="59"/>
  <c r="A24" i="59"/>
  <c r="A15" i="59"/>
  <c r="H24" i="58"/>
  <c r="A24" i="58"/>
  <c r="A15" i="58"/>
  <c r="H23" i="57"/>
  <c r="A23" i="57"/>
  <c r="A15" i="57"/>
  <c r="H23" i="56"/>
  <c r="A23" i="56"/>
  <c r="A15" i="56"/>
  <c r="H23" i="55"/>
  <c r="A23" i="55"/>
  <c r="A15" i="55"/>
  <c r="H23" i="54"/>
  <c r="A23" i="54"/>
  <c r="A15" i="54"/>
  <c r="H24" i="53"/>
  <c r="A24" i="53"/>
  <c r="A15" i="53"/>
  <c r="H24" i="52"/>
  <c r="A24" i="52"/>
  <c r="A15" i="52"/>
  <c r="H24" i="51"/>
  <c r="A24" i="51"/>
  <c r="A15" i="51"/>
  <c r="H24" i="50"/>
  <c r="A24" i="50"/>
  <c r="A15" i="50"/>
  <c r="H24" i="49"/>
  <c r="A24" i="49"/>
  <c r="A15" i="49"/>
  <c r="H24" i="48"/>
  <c r="A24" i="48"/>
  <c r="A25" i="47"/>
  <c r="A15" i="48"/>
  <c r="H25" i="47"/>
  <c r="A15" i="47"/>
  <c r="H25" i="46"/>
  <c r="A25" i="46"/>
  <c r="A15" i="46"/>
  <c r="H25" i="45"/>
  <c r="A25" i="45"/>
  <c r="A15" i="45"/>
  <c r="H25" i="44"/>
  <c r="A25" i="44"/>
  <c r="A15" i="44"/>
  <c r="A45" i="26"/>
  <c r="G45" i="26" s="1"/>
  <c r="H30" i="26"/>
  <c r="N30" i="26" s="1"/>
  <c r="H30" i="25"/>
  <c r="N30" i="25" s="1"/>
  <c r="A30" i="25"/>
  <c r="H42" i="25"/>
  <c r="N42" i="25" s="1"/>
  <c r="A43" i="25"/>
  <c r="H28" i="25"/>
  <c r="N28" i="25" s="1"/>
  <c r="A37" i="25"/>
  <c r="H26" i="25"/>
  <c r="A28" i="25"/>
  <c r="G28" i="25" s="1"/>
  <c r="A36" i="18"/>
  <c r="A35" i="17"/>
  <c r="A35" i="120"/>
  <c r="A36" i="12"/>
  <c r="A36" i="11"/>
  <c r="G38" i="24"/>
  <c r="A35" i="24"/>
  <c r="H25" i="24"/>
  <c r="H27" i="24"/>
  <c r="A27" i="24"/>
  <c r="H27" i="21"/>
  <c r="H29" i="20"/>
  <c r="H25" i="21"/>
  <c r="H27" i="20"/>
  <c r="H28" i="19"/>
  <c r="H28" i="18"/>
  <c r="H27" i="14"/>
  <c r="H28" i="12"/>
  <c r="H28" i="10"/>
  <c r="H24" i="8"/>
  <c r="H23" i="7"/>
  <c r="H26" i="7" l="1"/>
  <c r="N29" i="20"/>
  <c r="H35" i="20"/>
  <c r="N35" i="20" s="1"/>
  <c r="N25" i="24"/>
  <c r="H34" i="24"/>
  <c r="N34" i="24" s="1"/>
  <c r="H34" i="25"/>
  <c r="N34" i="25" s="1"/>
  <c r="N26" i="25"/>
  <c r="N28" i="18"/>
  <c r="N28" i="19"/>
  <c r="H28" i="20"/>
  <c r="N28" i="20" s="1"/>
  <c r="H36" i="20"/>
  <c r="N36" i="20" s="1"/>
  <c r="N27" i="20"/>
  <c r="N28" i="10"/>
  <c r="N28" i="12"/>
  <c r="H33" i="24"/>
  <c r="N33" i="24" s="1"/>
  <c r="N27" i="24"/>
  <c r="N25" i="21"/>
  <c r="H34" i="21"/>
  <c r="N34" i="21" s="1"/>
  <c r="N27" i="21"/>
  <c r="H33" i="21"/>
  <c r="N33" i="21" s="1"/>
  <c r="N27" i="14"/>
  <c r="H27" i="25"/>
  <c r="G43" i="25"/>
  <c r="H26" i="24"/>
  <c r="N26" i="24" s="1"/>
  <c r="H25" i="8"/>
  <c r="H27" i="8" s="1"/>
  <c r="A29" i="7"/>
  <c r="A26" i="10"/>
  <c r="A23" i="7"/>
  <c r="A28" i="7"/>
  <c r="A38" i="21"/>
  <c r="A35" i="21"/>
  <c r="A27" i="21"/>
  <c r="A40" i="20"/>
  <c r="A27" i="20"/>
  <c r="A39" i="19"/>
  <c r="H36" i="19"/>
  <c r="N36" i="19" s="1"/>
  <c r="A37" i="20"/>
  <c r="A29" i="20"/>
  <c r="H35" i="120"/>
  <c r="N35" i="120" s="1"/>
  <c r="H35" i="17"/>
  <c r="N35" i="17" s="1"/>
  <c r="H36" i="18"/>
  <c r="N36" i="18" s="1"/>
  <c r="A26" i="19"/>
  <c r="A36" i="19"/>
  <c r="H29" i="19"/>
  <c r="N29" i="19" s="1"/>
  <c r="A28" i="19"/>
  <c r="A38" i="17"/>
  <c r="A25" i="17"/>
  <c r="A35" i="15"/>
  <c r="H27" i="17"/>
  <c r="A27" i="17"/>
  <c r="A27" i="120"/>
  <c r="A38" i="120"/>
  <c r="A39" i="18" s="1"/>
  <c r="H27" i="120"/>
  <c r="A38" i="15"/>
  <c r="A25" i="15"/>
  <c r="H27" i="15"/>
  <c r="A28" i="15"/>
  <c r="A27" i="15"/>
  <c r="H35" i="15"/>
  <c r="N35" i="15" s="1"/>
  <c r="A35" i="14"/>
  <c r="A26" i="15"/>
  <c r="H25" i="15"/>
  <c r="H28" i="15"/>
  <c r="N28" i="15" s="1"/>
  <c r="A27" i="14"/>
  <c r="AH105" i="1"/>
  <c r="A38" i="14"/>
  <c r="A25" i="14"/>
  <c r="H25" i="14"/>
  <c r="H35" i="14"/>
  <c r="N35" i="14" s="1"/>
  <c r="H36" i="10"/>
  <c r="N36" i="10" s="1"/>
  <c r="H36" i="12"/>
  <c r="N36" i="12" s="1"/>
  <c r="A36" i="10"/>
  <c r="A28" i="12"/>
  <c r="AJ105" i="1"/>
  <c r="H26" i="12"/>
  <c r="A39" i="12"/>
  <c r="H34" i="14" l="1"/>
  <c r="N34" i="14" s="1"/>
  <c r="H32" i="14"/>
  <c r="N27" i="120"/>
  <c r="H35" i="12"/>
  <c r="N35" i="12" s="1"/>
  <c r="N26" i="12"/>
  <c r="H33" i="15"/>
  <c r="N33" i="15" s="1"/>
  <c r="N27" i="15"/>
  <c r="N27" i="25"/>
  <c r="H36" i="25"/>
  <c r="N36" i="25" s="1"/>
  <c r="H35" i="25"/>
  <c r="N35" i="25" s="1"/>
  <c r="N27" i="17"/>
  <c r="H34" i="15"/>
  <c r="N34" i="15" s="1"/>
  <c r="N25" i="15"/>
  <c r="H32" i="15"/>
  <c r="N32" i="15" s="1"/>
  <c r="H33" i="14"/>
  <c r="N33" i="14" s="1"/>
  <c r="H34" i="12"/>
  <c r="N34" i="12" s="1"/>
  <c r="N25" i="14"/>
  <c r="G38" i="21"/>
  <c r="A30" i="8"/>
  <c r="G38" i="17"/>
  <c r="A39" i="11"/>
  <c r="A26" i="11"/>
  <c r="A28" i="11"/>
  <c r="A39" i="10"/>
  <c r="H29" i="10"/>
  <c r="A29" i="10"/>
  <c r="A30" i="10"/>
  <c r="A28" i="10"/>
  <c r="N29" i="10" l="1"/>
  <c r="H34" i="10"/>
  <c r="N34" i="10" s="1"/>
  <c r="H36" i="92"/>
  <c r="BA162" i="1" l="1"/>
  <c r="BA166" i="1"/>
  <c r="H22" i="137" l="1"/>
  <c r="G36" i="137" s="1"/>
  <c r="A22" i="92"/>
  <c r="A22" i="137"/>
  <c r="Z142" i="1"/>
  <c r="Z131" i="1"/>
  <c r="Z134" i="1"/>
  <c r="Z116" i="1"/>
  <c r="Z102" i="1"/>
  <c r="Z51" i="1"/>
  <c r="Z45" i="1"/>
  <c r="Z13" i="1"/>
  <c r="W8" i="1"/>
  <c r="W7" i="1"/>
  <c r="V8" i="1"/>
  <c r="V7" i="1"/>
  <c r="AO7" i="1" s="1"/>
  <c r="T24" i="1"/>
  <c r="S157" i="1"/>
  <c r="S153" i="1"/>
  <c r="S104" i="1"/>
  <c r="S89" i="1"/>
  <c r="S26" i="1"/>
  <c r="S24" i="1"/>
  <c r="P50" i="1"/>
  <c r="K58" i="1"/>
  <c r="O51" i="1"/>
  <c r="O50" i="1"/>
  <c r="O24" i="1"/>
  <c r="AP7" i="1" l="1"/>
  <c r="BA7" i="1"/>
  <c r="AR7" i="1"/>
  <c r="F58" i="185"/>
  <c r="F60" i="185" s="1"/>
  <c r="I58" i="185"/>
  <c r="H58" i="185"/>
  <c r="G58" i="185"/>
  <c r="J58" i="185" l="1"/>
  <c r="J60" i="185" s="1"/>
  <c r="E154" i="188"/>
  <c r="F154" i="188"/>
  <c r="H154" i="188"/>
  <c r="AN9" i="184" l="1"/>
  <c r="AN14" i="184"/>
  <c r="AG18" i="184"/>
  <c r="AG19" i="184"/>
  <c r="AG20" i="184"/>
  <c r="J24" i="185"/>
  <c r="K24" i="185" s="1"/>
  <c r="L24" i="185" s="1"/>
  <c r="M24" i="185" s="1"/>
  <c r="I153" i="188" l="1"/>
  <c r="AJ5" i="184"/>
  <c r="AN5" i="184" s="1"/>
  <c r="AJ6" i="184"/>
  <c r="AN6" i="184" s="1"/>
  <c r="AJ7" i="184"/>
  <c r="AN7" i="184" s="1"/>
  <c r="AJ8" i="184"/>
  <c r="AN8" i="184" s="1"/>
  <c r="AJ10" i="184"/>
  <c r="AN10" i="184" s="1"/>
  <c r="AJ11" i="184"/>
  <c r="AN11" i="184" s="1"/>
  <c r="AJ12" i="184"/>
  <c r="AN12" i="184" s="1"/>
  <c r="AJ13" i="184"/>
  <c r="AN13" i="184" s="1"/>
  <c r="AJ15" i="184"/>
  <c r="AN15" i="184" s="1"/>
  <c r="AJ16" i="184"/>
  <c r="AN16" i="184" s="1"/>
  <c r="AJ17" i="184"/>
  <c r="AN17" i="184" s="1"/>
  <c r="AJ4" i="184"/>
  <c r="AN4" i="184" s="1"/>
  <c r="H44" i="178" l="1"/>
  <c r="H45" i="178" s="1"/>
  <c r="H44" i="180"/>
  <c r="H45" i="180" s="1"/>
  <c r="Z134" i="188" l="1"/>
  <c r="Z5" i="188"/>
  <c r="Z6" i="188"/>
  <c r="Z7" i="188"/>
  <c r="Z8" i="188"/>
  <c r="Z9" i="188"/>
  <c r="Z10" i="188"/>
  <c r="Z11" i="188"/>
  <c r="Z12" i="188"/>
  <c r="Z13" i="188"/>
  <c r="Z14" i="188"/>
  <c r="Z15" i="188"/>
  <c r="Z16" i="188"/>
  <c r="Z17" i="188"/>
  <c r="Z18" i="188"/>
  <c r="Z19" i="188"/>
  <c r="Z20" i="188"/>
  <c r="Z21" i="188"/>
  <c r="Z22" i="188"/>
  <c r="Z23" i="188"/>
  <c r="Z24" i="188"/>
  <c r="Z25" i="188"/>
  <c r="Z26" i="188"/>
  <c r="Z27" i="188"/>
  <c r="Z28" i="188"/>
  <c r="Z29" i="188"/>
  <c r="Z30" i="188"/>
  <c r="Z31" i="188"/>
  <c r="Z32" i="188"/>
  <c r="Z33" i="188"/>
  <c r="Z34" i="188"/>
  <c r="Z35" i="188"/>
  <c r="Z36" i="188"/>
  <c r="Z37" i="188"/>
  <c r="Z38" i="188"/>
  <c r="Z39" i="188"/>
  <c r="Z40" i="188"/>
  <c r="Z41" i="188"/>
  <c r="Z42" i="188"/>
  <c r="Z43" i="188"/>
  <c r="Z44" i="188"/>
  <c r="Z45" i="188"/>
  <c r="Z46" i="188"/>
  <c r="Z47" i="188"/>
  <c r="Z48" i="188"/>
  <c r="Z49" i="188"/>
  <c r="Z50" i="188"/>
  <c r="Z51" i="188"/>
  <c r="Z52" i="188"/>
  <c r="Z53" i="188"/>
  <c r="Z54" i="188"/>
  <c r="Z55" i="188"/>
  <c r="Z56" i="188"/>
  <c r="Z57" i="188"/>
  <c r="Z58" i="188"/>
  <c r="Z59" i="188"/>
  <c r="Z60" i="188"/>
  <c r="Z61" i="188"/>
  <c r="Z62" i="188"/>
  <c r="Z63" i="188"/>
  <c r="Z64" i="188"/>
  <c r="Z65" i="188"/>
  <c r="Z66" i="188"/>
  <c r="Z67" i="188"/>
  <c r="Z68" i="188"/>
  <c r="Z69" i="188"/>
  <c r="Z70" i="188"/>
  <c r="Z71" i="188"/>
  <c r="Z72" i="188"/>
  <c r="Z73" i="188"/>
  <c r="Z74" i="188"/>
  <c r="Z75" i="188"/>
  <c r="Z76" i="188"/>
  <c r="Z77" i="188"/>
  <c r="Z78" i="188"/>
  <c r="Z79" i="188"/>
  <c r="Z80" i="188"/>
  <c r="Z81" i="188"/>
  <c r="Z82" i="188"/>
  <c r="Z83" i="188"/>
  <c r="Z84" i="188"/>
  <c r="Z85" i="188"/>
  <c r="Z86" i="188"/>
  <c r="Z87" i="188"/>
  <c r="Z88" i="188"/>
  <c r="Z89" i="188"/>
  <c r="Z90" i="188"/>
  <c r="Z91" i="188"/>
  <c r="Z92" i="188"/>
  <c r="Z93" i="188"/>
  <c r="Z94" i="188"/>
  <c r="Z95" i="188"/>
  <c r="Z96" i="188"/>
  <c r="Z97" i="188"/>
  <c r="Z98" i="188"/>
  <c r="Z99" i="188"/>
  <c r="Z100" i="188"/>
  <c r="Z101" i="188"/>
  <c r="Z102" i="188"/>
  <c r="Z103" i="188"/>
  <c r="Z104" i="188"/>
  <c r="Z105" i="188"/>
  <c r="Z106" i="188"/>
  <c r="Z107" i="188"/>
  <c r="Z108" i="188"/>
  <c r="Z109" i="188"/>
  <c r="Z110" i="188"/>
  <c r="Z111" i="188"/>
  <c r="Z112" i="188"/>
  <c r="Z113" i="188"/>
  <c r="Z114" i="188"/>
  <c r="Z115" i="188"/>
  <c r="Z116" i="188"/>
  <c r="Z117" i="188"/>
  <c r="Z118" i="188"/>
  <c r="Z119" i="188"/>
  <c r="Z120" i="188"/>
  <c r="Z121" i="188"/>
  <c r="Z122" i="188"/>
  <c r="Z123" i="188"/>
  <c r="Z124" i="188"/>
  <c r="Z125" i="188"/>
  <c r="Z126" i="188"/>
  <c r="Z127" i="188"/>
  <c r="Z128" i="188"/>
  <c r="Z129" i="188"/>
  <c r="Z130" i="188"/>
  <c r="Z131" i="188"/>
  <c r="Z132" i="188"/>
  <c r="Z133" i="188"/>
  <c r="Z4" i="188"/>
  <c r="B23" i="185" l="1"/>
  <c r="D30" i="185"/>
  <c r="D29" i="185"/>
  <c r="J30" i="185" l="1"/>
  <c r="K30" i="185" s="1"/>
  <c r="L30" i="185" s="1"/>
  <c r="M30" i="185" s="1"/>
  <c r="J29" i="185"/>
  <c r="K29" i="185" s="1"/>
  <c r="L29" i="185" s="1"/>
  <c r="M29" i="185" s="1"/>
  <c r="AB136" i="1"/>
  <c r="AB156" i="1" l="1"/>
  <c r="AB155" i="1"/>
  <c r="AB141" i="1"/>
  <c r="AB140" i="1"/>
  <c r="AB91" i="1" l="1"/>
  <c r="AB113" i="1"/>
  <c r="Z43" i="1"/>
  <c r="AB42" i="1"/>
  <c r="AB23" i="1"/>
  <c r="AB36" i="1"/>
  <c r="A43" i="193" l="1"/>
  <c r="A36" i="193"/>
  <c r="A22" i="193"/>
  <c r="H17" i="193"/>
  <c r="G17" i="193"/>
  <c r="F17" i="193"/>
  <c r="H16" i="193"/>
  <c r="G16" i="193"/>
  <c r="F16" i="193"/>
  <c r="G15" i="193"/>
  <c r="F15" i="193"/>
  <c r="G14" i="193"/>
  <c r="F14" i="193"/>
  <c r="G13" i="193"/>
  <c r="F13" i="193"/>
  <c r="G12" i="193"/>
  <c r="F12" i="193"/>
  <c r="G11" i="193"/>
  <c r="F11" i="193"/>
  <c r="C7" i="193"/>
  <c r="J6" i="193"/>
  <c r="H48" i="192"/>
  <c r="H47" i="192"/>
  <c r="H46" i="192"/>
  <c r="H45" i="192"/>
  <c r="A43" i="192"/>
  <c r="A36" i="192"/>
  <c r="H17" i="192"/>
  <c r="G17" i="192"/>
  <c r="F17" i="192"/>
  <c r="H16" i="192"/>
  <c r="G16" i="192"/>
  <c r="F16" i="192"/>
  <c r="G15" i="192"/>
  <c r="F15" i="192"/>
  <c r="G14" i="192"/>
  <c r="F14" i="192"/>
  <c r="G13" i="192"/>
  <c r="F13" i="192"/>
  <c r="G12" i="192"/>
  <c r="F12" i="192"/>
  <c r="G11" i="192"/>
  <c r="F11" i="192"/>
  <c r="C7" i="192"/>
  <c r="A22" i="192" s="1"/>
  <c r="J6" i="192"/>
  <c r="A43" i="174"/>
  <c r="A36" i="174"/>
  <c r="A22" i="174"/>
  <c r="H17" i="174"/>
  <c r="G17" i="174"/>
  <c r="F17" i="174"/>
  <c r="H16" i="174"/>
  <c r="G16" i="174"/>
  <c r="F16" i="174"/>
  <c r="G15" i="174"/>
  <c r="F15" i="174"/>
  <c r="G14" i="174"/>
  <c r="F14" i="174"/>
  <c r="G13" i="174"/>
  <c r="F13" i="174"/>
  <c r="G12" i="174"/>
  <c r="F12" i="174"/>
  <c r="G11" i="174"/>
  <c r="F11" i="174"/>
  <c r="C7" i="174"/>
  <c r="J6" i="174"/>
  <c r="L43" i="173"/>
  <c r="A43" i="173"/>
  <c r="A36" i="173"/>
  <c r="A22" i="173"/>
  <c r="H17" i="173"/>
  <c r="G17" i="173"/>
  <c r="F17" i="173"/>
  <c r="H16" i="173"/>
  <c r="G16" i="173"/>
  <c r="F16" i="173"/>
  <c r="G15" i="173"/>
  <c r="F15" i="173"/>
  <c r="G14" i="173"/>
  <c r="F14" i="173"/>
  <c r="G13" i="173"/>
  <c r="F13" i="173"/>
  <c r="G12" i="173"/>
  <c r="F12" i="173"/>
  <c r="G11" i="173"/>
  <c r="F11" i="173"/>
  <c r="C7" i="173"/>
  <c r="J6" i="173"/>
  <c r="L43" i="172"/>
  <c r="A43" i="172"/>
  <c r="A36" i="172"/>
  <c r="A22" i="172"/>
  <c r="H17" i="172"/>
  <c r="G17" i="172"/>
  <c r="F17" i="172"/>
  <c r="H16" i="172"/>
  <c r="G16" i="172"/>
  <c r="F16" i="172"/>
  <c r="G15" i="172"/>
  <c r="F15" i="172"/>
  <c r="G14" i="172"/>
  <c r="F14" i="172"/>
  <c r="G13" i="172"/>
  <c r="F13" i="172"/>
  <c r="G12" i="172"/>
  <c r="F12" i="172"/>
  <c r="G11" i="172"/>
  <c r="F11" i="172"/>
  <c r="C7" i="172"/>
  <c r="J6" i="172"/>
  <c r="L43" i="171"/>
  <c r="A43" i="171"/>
  <c r="A36" i="171"/>
  <c r="A22" i="171"/>
  <c r="H17" i="171"/>
  <c r="G17" i="171"/>
  <c r="F17" i="171"/>
  <c r="H16" i="171"/>
  <c r="G16" i="171"/>
  <c r="F16" i="171"/>
  <c r="G15" i="171"/>
  <c r="F15" i="171"/>
  <c r="G14" i="171"/>
  <c r="F14" i="171"/>
  <c r="G13" i="171"/>
  <c r="F13" i="171"/>
  <c r="G12" i="171"/>
  <c r="F12" i="171"/>
  <c r="G11" i="171"/>
  <c r="F11" i="171"/>
  <c r="C7" i="171"/>
  <c r="J6" i="171"/>
  <c r="A43" i="170"/>
  <c r="A36" i="170"/>
  <c r="A22" i="170"/>
  <c r="H17" i="170"/>
  <c r="G17" i="170"/>
  <c r="F17" i="170"/>
  <c r="H16" i="170"/>
  <c r="G16" i="170"/>
  <c r="F16" i="170"/>
  <c r="G15" i="170"/>
  <c r="F15" i="170"/>
  <c r="G14" i="170"/>
  <c r="F14" i="170"/>
  <c r="G13" i="170"/>
  <c r="F13" i="170"/>
  <c r="G12" i="170"/>
  <c r="F12" i="170"/>
  <c r="G11" i="170"/>
  <c r="F11" i="170"/>
  <c r="C7" i="170"/>
  <c r="J6" i="170"/>
  <c r="L43" i="169"/>
  <c r="A43" i="169"/>
  <c r="A36" i="169"/>
  <c r="A22" i="169"/>
  <c r="H17" i="169"/>
  <c r="G17" i="169"/>
  <c r="F17" i="169"/>
  <c r="H16" i="169"/>
  <c r="G16" i="169"/>
  <c r="F16" i="169"/>
  <c r="G15" i="169"/>
  <c r="F15" i="169"/>
  <c r="G14" i="169"/>
  <c r="F14" i="169"/>
  <c r="G13" i="169"/>
  <c r="F13" i="169"/>
  <c r="G12" i="169"/>
  <c r="F12" i="169"/>
  <c r="G11" i="169"/>
  <c r="F11" i="169"/>
  <c r="C7" i="169"/>
  <c r="J6" i="169"/>
  <c r="L43" i="165"/>
  <c r="A43" i="165"/>
  <c r="A36" i="165"/>
  <c r="A22" i="165"/>
  <c r="H17" i="165"/>
  <c r="G17" i="165"/>
  <c r="F17" i="165"/>
  <c r="H16" i="165"/>
  <c r="G16" i="165"/>
  <c r="F16" i="165"/>
  <c r="G15" i="165"/>
  <c r="F15" i="165"/>
  <c r="G14" i="165"/>
  <c r="F14" i="165"/>
  <c r="G13" i="165"/>
  <c r="F13" i="165"/>
  <c r="G12" i="165"/>
  <c r="F12" i="165"/>
  <c r="G11" i="165"/>
  <c r="F11" i="165"/>
  <c r="C7" i="165"/>
  <c r="J6" i="165"/>
  <c r="L43" i="116"/>
  <c r="H43" i="116"/>
  <c r="A43" i="116"/>
  <c r="A36" i="116"/>
  <c r="A22" i="116"/>
  <c r="H17" i="116"/>
  <c r="G17" i="116"/>
  <c r="F17" i="116"/>
  <c r="H16" i="116"/>
  <c r="G16" i="116"/>
  <c r="F16" i="116"/>
  <c r="G15" i="116"/>
  <c r="F15" i="116"/>
  <c r="G14" i="116"/>
  <c r="F14" i="116"/>
  <c r="G13" i="116"/>
  <c r="F13" i="116"/>
  <c r="G12" i="116"/>
  <c r="F12" i="116"/>
  <c r="G11" i="116"/>
  <c r="F11" i="116"/>
  <c r="C7" i="116"/>
  <c r="J6" i="116"/>
  <c r="L43" i="115"/>
  <c r="A43" i="115"/>
  <c r="A36" i="115"/>
  <c r="A22" i="115"/>
  <c r="H17" i="115"/>
  <c r="G17" i="115"/>
  <c r="F17" i="115"/>
  <c r="H16" i="115"/>
  <c r="G16" i="115"/>
  <c r="F16" i="115"/>
  <c r="G15" i="115"/>
  <c r="F15" i="115"/>
  <c r="G14" i="115"/>
  <c r="F14" i="115"/>
  <c r="G13" i="115"/>
  <c r="F13" i="115"/>
  <c r="G12" i="115"/>
  <c r="F12" i="115"/>
  <c r="G11" i="115"/>
  <c r="F11" i="115"/>
  <c r="C7" i="115"/>
  <c r="J6" i="115"/>
  <c r="A43" i="114"/>
  <c r="A36" i="114"/>
  <c r="A22" i="114"/>
  <c r="H17" i="114"/>
  <c r="G17" i="114"/>
  <c r="F17" i="114"/>
  <c r="H16" i="114"/>
  <c r="G16" i="114"/>
  <c r="F16" i="114"/>
  <c r="G15" i="114"/>
  <c r="F15" i="114"/>
  <c r="G14" i="114"/>
  <c r="F14" i="114"/>
  <c r="G13" i="114"/>
  <c r="F13" i="114"/>
  <c r="G12" i="114"/>
  <c r="F12" i="114"/>
  <c r="G11" i="114"/>
  <c r="F11" i="114"/>
  <c r="C7" i="114"/>
  <c r="J6" i="114"/>
  <c r="A43" i="113"/>
  <c r="A36" i="113"/>
  <c r="A22" i="113"/>
  <c r="H17" i="113"/>
  <c r="G17" i="113"/>
  <c r="F17" i="113"/>
  <c r="H16" i="113"/>
  <c r="G16" i="113"/>
  <c r="F16" i="113"/>
  <c r="G15" i="113"/>
  <c r="F15" i="113"/>
  <c r="G14" i="113"/>
  <c r="F14" i="113"/>
  <c r="G13" i="113"/>
  <c r="F13" i="113"/>
  <c r="G12" i="113"/>
  <c r="F12" i="113"/>
  <c r="G11" i="113"/>
  <c r="F11" i="113"/>
  <c r="C7" i="113"/>
  <c r="J6" i="113"/>
  <c r="A43" i="112"/>
  <c r="A36" i="112"/>
  <c r="N35" i="112"/>
  <c r="A22" i="112"/>
  <c r="H17" i="112"/>
  <c r="G17" i="112"/>
  <c r="F17" i="112"/>
  <c r="H16" i="112"/>
  <c r="G16" i="112"/>
  <c r="F16" i="112"/>
  <c r="G15" i="112"/>
  <c r="F15" i="112"/>
  <c r="G14" i="112"/>
  <c r="F14" i="112"/>
  <c r="G13" i="112"/>
  <c r="F13" i="112"/>
  <c r="G12" i="112"/>
  <c r="F12" i="112"/>
  <c r="G11" i="112"/>
  <c r="F11" i="112"/>
  <c r="C7" i="112"/>
  <c r="J6" i="112"/>
  <c r="A43" i="85"/>
  <c r="M37" i="85"/>
  <c r="M36" i="85"/>
  <c r="A36" i="85"/>
  <c r="H36" i="85" s="1"/>
  <c r="I36" i="85" s="1"/>
  <c r="H17" i="85"/>
  <c r="G17" i="85"/>
  <c r="F17" i="85"/>
  <c r="H16" i="85"/>
  <c r="G16" i="85"/>
  <c r="F16" i="85"/>
  <c r="C7" i="85"/>
  <c r="J6" i="85"/>
  <c r="H48" i="42"/>
  <c r="E48" i="42"/>
  <c r="G48" i="42" s="1"/>
  <c r="H47" i="42"/>
  <c r="E47" i="42"/>
  <c r="G47" i="42" s="1"/>
  <c r="I47" i="42" s="1"/>
  <c r="J47" i="42" s="1"/>
  <c r="E46" i="42"/>
  <c r="G46" i="42" s="1"/>
  <c r="E45" i="42"/>
  <c r="G45" i="42" s="1"/>
  <c r="E44" i="42"/>
  <c r="G44" i="42" s="1"/>
  <c r="H43" i="42"/>
  <c r="H44" i="42" s="1"/>
  <c r="H45" i="42" s="1"/>
  <c r="H46" i="42" s="1"/>
  <c r="E43" i="42"/>
  <c r="G43" i="42" s="1"/>
  <c r="I38" i="42"/>
  <c r="J38" i="42" s="1"/>
  <c r="I37" i="42"/>
  <c r="J37" i="42" s="1"/>
  <c r="H36" i="42"/>
  <c r="G36" i="42"/>
  <c r="I31" i="42"/>
  <c r="J31" i="42" s="1"/>
  <c r="I30" i="42"/>
  <c r="J30" i="42" s="1"/>
  <c r="I29" i="42"/>
  <c r="J29" i="42" s="1"/>
  <c r="I28" i="42"/>
  <c r="J28" i="42" s="1"/>
  <c r="I27" i="42"/>
  <c r="J27" i="42" s="1"/>
  <c r="I26" i="42"/>
  <c r="J26" i="42" s="1"/>
  <c r="I25" i="42"/>
  <c r="J25" i="42" s="1"/>
  <c r="I24" i="42"/>
  <c r="J24" i="42" s="1"/>
  <c r="I23" i="42"/>
  <c r="J23" i="42" s="1"/>
  <c r="I22" i="42"/>
  <c r="J22" i="42" s="1"/>
  <c r="G17" i="42"/>
  <c r="I17" i="42" s="1"/>
  <c r="J17" i="42" s="1"/>
  <c r="F17" i="42"/>
  <c r="G16" i="42"/>
  <c r="I16" i="42" s="1"/>
  <c r="J16" i="42" s="1"/>
  <c r="F16" i="42"/>
  <c r="G15" i="42"/>
  <c r="I15" i="42" s="1"/>
  <c r="J15" i="42" s="1"/>
  <c r="F15" i="42"/>
  <c r="G14" i="42"/>
  <c r="I14" i="42" s="1"/>
  <c r="J14" i="42" s="1"/>
  <c r="F14" i="42"/>
  <c r="G13" i="42"/>
  <c r="I13" i="42" s="1"/>
  <c r="J13" i="42" s="1"/>
  <c r="F13" i="42"/>
  <c r="G12" i="42"/>
  <c r="I12" i="42" s="1"/>
  <c r="J12" i="42" s="1"/>
  <c r="F12" i="42"/>
  <c r="G11" i="42"/>
  <c r="I11" i="42" s="1"/>
  <c r="J11" i="42" s="1"/>
  <c r="F11" i="42"/>
  <c r="C7" i="42"/>
  <c r="J6" i="42"/>
  <c r="X56" i="126"/>
  <c r="X55" i="126"/>
  <c r="X54" i="126"/>
  <c r="O47" i="126"/>
  <c r="U45" i="126"/>
  <c r="V44" i="126"/>
  <c r="V45" i="126" s="1"/>
  <c r="U44" i="126"/>
  <c r="M44" i="126"/>
  <c r="H44" i="126"/>
  <c r="A44" i="126"/>
  <c r="A43" i="126"/>
  <c r="Y38" i="126"/>
  <c r="Z41" i="126" s="1"/>
  <c r="A36" i="126"/>
  <c r="Y33" i="126"/>
  <c r="Y32" i="126"/>
  <c r="Y27" i="126"/>
  <c r="W26" i="126"/>
  <c r="Y26" i="126" s="1"/>
  <c r="A26" i="126"/>
  <c r="X25" i="126"/>
  <c r="W25" i="126"/>
  <c r="A25" i="126"/>
  <c r="G25" i="126" s="1"/>
  <c r="X24" i="126"/>
  <c r="Y24" i="126" s="1"/>
  <c r="A24" i="126"/>
  <c r="G24" i="126" s="1"/>
  <c r="A23" i="126"/>
  <c r="G23" i="126" s="1"/>
  <c r="A22" i="126"/>
  <c r="G17" i="126"/>
  <c r="F17" i="126"/>
  <c r="G16" i="126"/>
  <c r="F16" i="126"/>
  <c r="A11" i="126"/>
  <c r="H44" i="36"/>
  <c r="H45" i="36" s="1"/>
  <c r="A44" i="36"/>
  <c r="A43" i="36"/>
  <c r="A36" i="36"/>
  <c r="G22" i="36"/>
  <c r="H17" i="36"/>
  <c r="G17" i="36"/>
  <c r="F17" i="36"/>
  <c r="H16" i="36"/>
  <c r="G16" i="36"/>
  <c r="F16" i="36"/>
  <c r="H15" i="36"/>
  <c r="G15" i="36"/>
  <c r="F15" i="36"/>
  <c r="H14" i="36"/>
  <c r="G14" i="36"/>
  <c r="F14" i="36"/>
  <c r="A11" i="36"/>
  <c r="F11" i="36" s="1"/>
  <c r="C7" i="36"/>
  <c r="J6" i="36"/>
  <c r="A44" i="35"/>
  <c r="H43" i="35"/>
  <c r="H44" i="35" s="1"/>
  <c r="H45" i="35" s="1"/>
  <c r="A43" i="35"/>
  <c r="A22" i="35"/>
  <c r="H17" i="35"/>
  <c r="G17" i="35"/>
  <c r="F17" i="35"/>
  <c r="H16" i="35"/>
  <c r="G16" i="35"/>
  <c r="F16" i="35"/>
  <c r="H15" i="35"/>
  <c r="G15" i="35"/>
  <c r="F15" i="35"/>
  <c r="H14" i="35"/>
  <c r="G14" i="35"/>
  <c r="F14" i="35"/>
  <c r="H13" i="35"/>
  <c r="A13" i="35"/>
  <c r="F13" i="35" s="1"/>
  <c r="A12" i="35"/>
  <c r="A11" i="35"/>
  <c r="F11" i="35" s="1"/>
  <c r="C7" i="35"/>
  <c r="J6" i="35"/>
  <c r="H44" i="34"/>
  <c r="H45" i="34" s="1"/>
  <c r="A44" i="34"/>
  <c r="A43" i="34"/>
  <c r="L36" i="34"/>
  <c r="G36" i="34" s="1"/>
  <c r="A36" i="34"/>
  <c r="A25" i="34"/>
  <c r="H24" i="34"/>
  <c r="A24" i="34"/>
  <c r="A23" i="34"/>
  <c r="A22" i="34"/>
  <c r="H17" i="34"/>
  <c r="G17" i="34"/>
  <c r="F17" i="34"/>
  <c r="H16" i="34"/>
  <c r="G16" i="34"/>
  <c r="F16" i="34"/>
  <c r="H15" i="34"/>
  <c r="G15" i="34"/>
  <c r="F15" i="34"/>
  <c r="H14" i="34"/>
  <c r="G14" i="34"/>
  <c r="F14" i="34"/>
  <c r="H13" i="34"/>
  <c r="G13" i="34"/>
  <c r="F13" i="34"/>
  <c r="A12" i="34"/>
  <c r="I11" i="34"/>
  <c r="A11" i="34"/>
  <c r="C7" i="34"/>
  <c r="J6" i="34"/>
  <c r="H45" i="33"/>
  <c r="H46" i="33" s="1"/>
  <c r="A45" i="33"/>
  <c r="A44" i="33"/>
  <c r="A37" i="33"/>
  <c r="L23" i="33"/>
  <c r="M23" i="33" s="1"/>
  <c r="H23" i="33" s="1"/>
  <c r="M37" i="33" s="1"/>
  <c r="G37" i="33" s="1"/>
  <c r="H18" i="33"/>
  <c r="G18" i="33"/>
  <c r="F18" i="33"/>
  <c r="H17" i="33"/>
  <c r="G17" i="33"/>
  <c r="F17" i="33"/>
  <c r="H16" i="33"/>
  <c r="G16" i="33"/>
  <c r="F16" i="33"/>
  <c r="H15" i="33"/>
  <c r="G15" i="33"/>
  <c r="F15" i="33"/>
  <c r="H14" i="33"/>
  <c r="G14" i="33"/>
  <c r="F14" i="33"/>
  <c r="H13" i="33"/>
  <c r="G13" i="33"/>
  <c r="F13" i="33"/>
  <c r="C7" i="33"/>
  <c r="J6" i="33"/>
  <c r="E44" i="32"/>
  <c r="G44" i="32" s="1"/>
  <c r="H43" i="32"/>
  <c r="E43" i="32"/>
  <c r="G43" i="32" s="1"/>
  <c r="H38" i="32"/>
  <c r="I38" i="32" s="1"/>
  <c r="J38" i="32" s="1"/>
  <c r="H37" i="32"/>
  <c r="I37" i="32" s="1"/>
  <c r="J37" i="32" s="1"/>
  <c r="H36" i="32"/>
  <c r="I36" i="32" s="1"/>
  <c r="J36" i="32" s="1"/>
  <c r="I31" i="32"/>
  <c r="J31" i="32" s="1"/>
  <c r="I30" i="32"/>
  <c r="J30" i="32" s="1"/>
  <c r="I29" i="32"/>
  <c r="J29" i="32" s="1"/>
  <c r="I28" i="32"/>
  <c r="J28" i="32" s="1"/>
  <c r="I27" i="32"/>
  <c r="J27" i="32" s="1"/>
  <c r="I26" i="32"/>
  <c r="J26" i="32" s="1"/>
  <c r="I25" i="32"/>
  <c r="J25" i="32" s="1"/>
  <c r="I24" i="32"/>
  <c r="J24" i="32" s="1"/>
  <c r="I23" i="32"/>
  <c r="J23" i="32" s="1"/>
  <c r="I22" i="32"/>
  <c r="J22" i="32" s="1"/>
  <c r="H17" i="32"/>
  <c r="G17" i="32"/>
  <c r="F17" i="32"/>
  <c r="H16" i="32"/>
  <c r="G16" i="32"/>
  <c r="F16" i="32"/>
  <c r="H15" i="32"/>
  <c r="G15" i="32"/>
  <c r="F15" i="32"/>
  <c r="H14" i="32"/>
  <c r="G14" i="32"/>
  <c r="F14" i="32"/>
  <c r="H13" i="32"/>
  <c r="G13" i="32"/>
  <c r="F13" i="32"/>
  <c r="H12" i="32"/>
  <c r="H44" i="32" s="1"/>
  <c r="G12" i="32"/>
  <c r="F12" i="32"/>
  <c r="G11" i="32"/>
  <c r="I11" i="32" s="1"/>
  <c r="J11" i="32" s="1"/>
  <c r="F11" i="32"/>
  <c r="C7" i="32"/>
  <c r="J6" i="32"/>
  <c r="A53" i="31"/>
  <c r="A50" i="31"/>
  <c r="H49" i="31"/>
  <c r="A42" i="31"/>
  <c r="A34" i="31"/>
  <c r="A33" i="31"/>
  <c r="A32" i="31"/>
  <c r="G32" i="31" s="1"/>
  <c r="A31" i="31"/>
  <c r="H30" i="31"/>
  <c r="A30" i="31"/>
  <c r="G30" i="31" s="1"/>
  <c r="A29" i="31"/>
  <c r="A28" i="31"/>
  <c r="G27" i="31"/>
  <c r="H26" i="31"/>
  <c r="A26" i="31"/>
  <c r="G26" i="31" s="1"/>
  <c r="A19" i="31"/>
  <c r="H52" i="31"/>
  <c r="H53" i="31" s="1"/>
  <c r="A18" i="31"/>
  <c r="F18" i="31" s="1"/>
  <c r="A17" i="31"/>
  <c r="F17" i="31" s="1"/>
  <c r="A16" i="31"/>
  <c r="F16" i="31" s="1"/>
  <c r="A15" i="31"/>
  <c r="F15" i="31" s="1"/>
  <c r="A14" i="31"/>
  <c r="F14" i="31" s="1"/>
  <c r="H51" i="31"/>
  <c r="A13" i="31"/>
  <c r="F13" i="31" s="1"/>
  <c r="H50" i="31"/>
  <c r="A12" i="31"/>
  <c r="F12" i="31" s="1"/>
  <c r="A11" i="31"/>
  <c r="C7" i="31"/>
  <c r="J6" i="31"/>
  <c r="F60" i="142"/>
  <c r="A49" i="142"/>
  <c r="A48" i="142"/>
  <c r="A47" i="142"/>
  <c r="H46" i="142"/>
  <c r="A46" i="142"/>
  <c r="L39" i="142"/>
  <c r="G39" i="142" s="1"/>
  <c r="A33" i="142"/>
  <c r="A32" i="142"/>
  <c r="A28" i="142"/>
  <c r="A26" i="142"/>
  <c r="H25" i="142"/>
  <c r="H29" i="142" s="1"/>
  <c r="A19" i="142"/>
  <c r="A17" i="142"/>
  <c r="A16" i="142"/>
  <c r="F15" i="142"/>
  <c r="A15" i="142"/>
  <c r="F14" i="142"/>
  <c r="A14" i="142"/>
  <c r="F13" i="142"/>
  <c r="A13" i="142"/>
  <c r="H47" i="142"/>
  <c r="F12" i="142"/>
  <c r="A12" i="142"/>
  <c r="F11" i="142"/>
  <c r="A11" i="142"/>
  <c r="C7" i="142"/>
  <c r="J6" i="142"/>
  <c r="A49" i="141"/>
  <c r="A48" i="141"/>
  <c r="A47" i="141"/>
  <c r="H46" i="141"/>
  <c r="A46" i="141"/>
  <c r="A33" i="141"/>
  <c r="A32" i="141"/>
  <c r="A28" i="141"/>
  <c r="A26" i="141"/>
  <c r="H25" i="141"/>
  <c r="A19" i="141"/>
  <c r="A17" i="141"/>
  <c r="A16" i="141"/>
  <c r="F15" i="141"/>
  <c r="A15" i="141"/>
  <c r="F14" i="141"/>
  <c r="A14" i="141"/>
  <c r="F13" i="141"/>
  <c r="A13" i="141"/>
  <c r="F12" i="141"/>
  <c r="A12" i="141"/>
  <c r="F11" i="141"/>
  <c r="A11" i="141"/>
  <c r="C7" i="141"/>
  <c r="J6" i="141"/>
  <c r="A49" i="140"/>
  <c r="A48" i="140"/>
  <c r="A47" i="140"/>
  <c r="H46" i="140"/>
  <c r="A46" i="140"/>
  <c r="A33" i="140"/>
  <c r="A32" i="140"/>
  <c r="A28" i="140"/>
  <c r="A26" i="140"/>
  <c r="H25" i="140"/>
  <c r="A19" i="140"/>
  <c r="F19" i="140" s="1"/>
  <c r="A17" i="140"/>
  <c r="A16" i="140"/>
  <c r="F15" i="140"/>
  <c r="A15" i="140"/>
  <c r="F14" i="140"/>
  <c r="A14" i="140"/>
  <c r="F13" i="140"/>
  <c r="A13" i="140"/>
  <c r="H47" i="140"/>
  <c r="F12" i="140"/>
  <c r="A12" i="140"/>
  <c r="F11" i="140"/>
  <c r="A11" i="140"/>
  <c r="C7" i="140"/>
  <c r="J6" i="140"/>
  <c r="A49" i="27"/>
  <c r="A48" i="27"/>
  <c r="A47" i="27"/>
  <c r="H46" i="27"/>
  <c r="A46" i="27"/>
  <c r="H41" i="27"/>
  <c r="I41" i="27" s="1"/>
  <c r="J41" i="27" s="1"/>
  <c r="H40" i="27"/>
  <c r="I40" i="27" s="1"/>
  <c r="J40" i="27" s="1"/>
  <c r="I34" i="27"/>
  <c r="J34" i="27" s="1"/>
  <c r="A33" i="27"/>
  <c r="A32" i="27"/>
  <c r="I32" i="27" s="1"/>
  <c r="A28" i="27"/>
  <c r="I28" i="27" s="1"/>
  <c r="A26" i="27"/>
  <c r="I26" i="27" s="1"/>
  <c r="H25" i="27"/>
  <c r="H32" i="27" s="1"/>
  <c r="G20" i="27"/>
  <c r="I20" i="27" s="1"/>
  <c r="J20" i="27" s="1"/>
  <c r="F20" i="27"/>
  <c r="A19" i="27"/>
  <c r="A17" i="27"/>
  <c r="A16" i="27"/>
  <c r="F15" i="27"/>
  <c r="A15" i="27"/>
  <c r="F14" i="27"/>
  <c r="A14" i="27"/>
  <c r="F13" i="27"/>
  <c r="A13" i="27"/>
  <c r="H12" i="27"/>
  <c r="H13" i="27" s="1"/>
  <c r="H14" i="27" s="1"/>
  <c r="F12" i="27"/>
  <c r="A12" i="27"/>
  <c r="F11" i="27"/>
  <c r="A11" i="27"/>
  <c r="C7" i="27"/>
  <c r="J6" i="27"/>
  <c r="A63" i="26"/>
  <c r="A62" i="26"/>
  <c r="A61" i="26"/>
  <c r="A60" i="26"/>
  <c r="A46" i="26"/>
  <c r="A44" i="26"/>
  <c r="A43" i="26"/>
  <c r="G43" i="26" s="1"/>
  <c r="A41" i="26"/>
  <c r="G41" i="26" s="1"/>
  <c r="H40" i="26"/>
  <c r="N40" i="26" s="1"/>
  <c r="A40" i="26"/>
  <c r="G40" i="26" s="1"/>
  <c r="A39" i="26"/>
  <c r="G39" i="26" s="1"/>
  <c r="A38" i="26"/>
  <c r="G38" i="26" s="1"/>
  <c r="A37" i="26"/>
  <c r="G37" i="26" s="1"/>
  <c r="A36" i="26"/>
  <c r="A35" i="26"/>
  <c r="G35" i="26" s="1"/>
  <c r="H34" i="26"/>
  <c r="N34" i="26" s="1"/>
  <c r="A34" i="26"/>
  <c r="G34" i="26" s="1"/>
  <c r="A33" i="26"/>
  <c r="G33" i="26" s="1"/>
  <c r="A32" i="26"/>
  <c r="G32" i="26" s="1"/>
  <c r="A31" i="26"/>
  <c r="G31" i="26" s="1"/>
  <c r="M30" i="26"/>
  <c r="A30" i="26"/>
  <c r="A29" i="26"/>
  <c r="M28" i="26"/>
  <c r="H28" i="26"/>
  <c r="A28" i="26"/>
  <c r="G28" i="26" s="1"/>
  <c r="A20" i="26"/>
  <c r="F20" i="26" s="1"/>
  <c r="C7" i="26"/>
  <c r="J6" i="26"/>
  <c r="A49" i="25"/>
  <c r="A53" i="26" s="1"/>
  <c r="G41" i="25"/>
  <c r="H40" i="25"/>
  <c r="N40" i="25" s="1"/>
  <c r="A40" i="25"/>
  <c r="G40" i="25" s="1"/>
  <c r="G39" i="25"/>
  <c r="G38" i="25"/>
  <c r="G37" i="25"/>
  <c r="G36" i="25"/>
  <c r="G35" i="25"/>
  <c r="G34" i="25"/>
  <c r="G33" i="25"/>
  <c r="G32" i="25"/>
  <c r="H31" i="25"/>
  <c r="N31" i="25" s="1"/>
  <c r="G31" i="25"/>
  <c r="G30" i="25"/>
  <c r="G29" i="25"/>
  <c r="A27" i="25"/>
  <c r="G27" i="25" s="1"/>
  <c r="L49" i="25"/>
  <c r="G26" i="25"/>
  <c r="A19" i="25"/>
  <c r="A18" i="25"/>
  <c r="A17" i="25"/>
  <c r="A17" i="26" s="1"/>
  <c r="F17" i="26" s="1"/>
  <c r="A16" i="25"/>
  <c r="F16" i="25" s="1"/>
  <c r="A15" i="25"/>
  <c r="A15" i="26" s="1"/>
  <c r="F15" i="26" s="1"/>
  <c r="A14" i="25"/>
  <c r="F14" i="25" s="1"/>
  <c r="A13" i="25"/>
  <c r="A12" i="25"/>
  <c r="A11" i="25"/>
  <c r="C7" i="25"/>
  <c r="J6" i="25"/>
  <c r="A44" i="24"/>
  <c r="G37" i="24"/>
  <c r="G36" i="24"/>
  <c r="G35" i="24"/>
  <c r="G34" i="24"/>
  <c r="G33" i="24"/>
  <c r="G32" i="24"/>
  <c r="G31" i="24"/>
  <c r="G30" i="24"/>
  <c r="H29" i="24"/>
  <c r="N29" i="24" s="1"/>
  <c r="G29" i="24"/>
  <c r="G28" i="24"/>
  <c r="G27" i="24"/>
  <c r="A26" i="24"/>
  <c r="G25" i="24"/>
  <c r="A19" i="24"/>
  <c r="A18" i="24"/>
  <c r="A17" i="24"/>
  <c r="A16" i="24"/>
  <c r="F16" i="24" s="1"/>
  <c r="A15" i="24"/>
  <c r="F15" i="24" s="1"/>
  <c r="A14" i="24"/>
  <c r="F14" i="24" s="1"/>
  <c r="A13" i="24"/>
  <c r="F13" i="24" s="1"/>
  <c r="A12" i="24"/>
  <c r="F12" i="24" s="1"/>
  <c r="A11" i="24"/>
  <c r="F11" i="24" s="1"/>
  <c r="C7" i="24"/>
  <c r="J6" i="24"/>
  <c r="A45" i="21"/>
  <c r="G37" i="21"/>
  <c r="G36" i="21"/>
  <c r="G35" i="21"/>
  <c r="G34" i="21"/>
  <c r="G33" i="21"/>
  <c r="G32" i="21"/>
  <c r="G31" i="21"/>
  <c r="G30" i="21"/>
  <c r="G29" i="21"/>
  <c r="G28" i="21"/>
  <c r="G27" i="21"/>
  <c r="G25" i="21"/>
  <c r="F19" i="21"/>
  <c r="F18" i="21"/>
  <c r="F17" i="21"/>
  <c r="F16" i="21"/>
  <c r="F15" i="21"/>
  <c r="F14" i="21"/>
  <c r="F13" i="21"/>
  <c r="F12" i="21"/>
  <c r="F11" i="21"/>
  <c r="C7" i="21"/>
  <c r="J6" i="21"/>
  <c r="A46" i="20"/>
  <c r="A39" i="20"/>
  <c r="G39" i="20" s="1"/>
  <c r="A38" i="20"/>
  <c r="A36" i="20"/>
  <c r="G36" i="20" s="1"/>
  <c r="A35" i="20"/>
  <c r="A34" i="20"/>
  <c r="A33" i="20"/>
  <c r="A32" i="20"/>
  <c r="H31" i="20"/>
  <c r="N31" i="20" s="1"/>
  <c r="A31" i="20"/>
  <c r="A30" i="20"/>
  <c r="G29" i="20"/>
  <c r="H34" i="20"/>
  <c r="N34" i="20" s="1"/>
  <c r="F19" i="20"/>
  <c r="F18" i="20"/>
  <c r="F17" i="20"/>
  <c r="F16" i="20"/>
  <c r="F15" i="20"/>
  <c r="F14" i="20"/>
  <c r="F13" i="20"/>
  <c r="F12" i="20"/>
  <c r="F11" i="20"/>
  <c r="C7" i="20"/>
  <c r="J6" i="20"/>
  <c r="A46" i="19"/>
  <c r="A38" i="19"/>
  <c r="A37" i="19"/>
  <c r="G37" i="19" s="1"/>
  <c r="A35" i="19"/>
  <c r="A34" i="19"/>
  <c r="A33" i="19"/>
  <c r="A32" i="19"/>
  <c r="G32" i="19" s="1"/>
  <c r="A31" i="19"/>
  <c r="A30" i="19"/>
  <c r="A29" i="19"/>
  <c r="G29" i="19" s="1"/>
  <c r="G28" i="19"/>
  <c r="C7" i="19"/>
  <c r="J6" i="19"/>
  <c r="A46" i="18"/>
  <c r="A40" i="18"/>
  <c r="A38" i="18"/>
  <c r="G38" i="18" s="1"/>
  <c r="A37" i="18"/>
  <c r="G37" i="18" s="1"/>
  <c r="A35" i="18"/>
  <c r="A34" i="18"/>
  <c r="A33" i="18"/>
  <c r="A32" i="18"/>
  <c r="H31" i="18"/>
  <c r="N31" i="18" s="1"/>
  <c r="A31" i="18"/>
  <c r="G31" i="18" s="1"/>
  <c r="H30" i="18"/>
  <c r="N30" i="18" s="1"/>
  <c r="A30" i="18"/>
  <c r="A29" i="18"/>
  <c r="G29" i="18" s="1"/>
  <c r="A28" i="18"/>
  <c r="A26" i="18"/>
  <c r="E20" i="18"/>
  <c r="A20" i="18"/>
  <c r="F20" i="18" s="1"/>
  <c r="E19" i="18"/>
  <c r="E18" i="18"/>
  <c r="E17" i="18"/>
  <c r="E16" i="18"/>
  <c r="E15" i="18"/>
  <c r="E14" i="18"/>
  <c r="E13" i="18"/>
  <c r="E12" i="18"/>
  <c r="C7" i="18"/>
  <c r="J6" i="18"/>
  <c r="A44" i="17"/>
  <c r="A37" i="17"/>
  <c r="G37" i="17" s="1"/>
  <c r="A36" i="17"/>
  <c r="A34" i="17"/>
  <c r="A33" i="17"/>
  <c r="A32" i="17"/>
  <c r="G32" i="17" s="1"/>
  <c r="A31" i="17"/>
  <c r="H30" i="17"/>
  <c r="N30" i="17" s="1"/>
  <c r="A30" i="17"/>
  <c r="H29" i="17"/>
  <c r="N29" i="17" s="1"/>
  <c r="A29" i="17"/>
  <c r="A28" i="17"/>
  <c r="G27" i="17"/>
  <c r="A26" i="17"/>
  <c r="H25" i="17"/>
  <c r="F20" i="17"/>
  <c r="E20" i="17"/>
  <c r="A19" i="17"/>
  <c r="F19" i="17" s="1"/>
  <c r="E18" i="17"/>
  <c r="A18" i="17"/>
  <c r="F18" i="17" s="1"/>
  <c r="E17" i="17"/>
  <c r="A17" i="17"/>
  <c r="A16" i="17"/>
  <c r="E15" i="17"/>
  <c r="A15" i="17"/>
  <c r="F15" i="17" s="1"/>
  <c r="A14" i="17"/>
  <c r="F14" i="17" s="1"/>
  <c r="E13" i="17"/>
  <c r="A13" i="17"/>
  <c r="F13" i="17" s="1"/>
  <c r="E12" i="17"/>
  <c r="A12" i="17"/>
  <c r="F12" i="17" s="1"/>
  <c r="A11" i="17"/>
  <c r="F11" i="17" s="1"/>
  <c r="C7" i="17"/>
  <c r="J6" i="17"/>
  <c r="A45" i="120"/>
  <c r="H25" i="120"/>
  <c r="E19" i="120"/>
  <c r="A19" i="120"/>
  <c r="A19" i="18" s="1"/>
  <c r="F19" i="18" s="1"/>
  <c r="E18" i="120"/>
  <c r="A18" i="120"/>
  <c r="A18" i="18" s="1"/>
  <c r="F18" i="18" s="1"/>
  <c r="A17" i="120"/>
  <c r="E16" i="120"/>
  <c r="A16" i="120"/>
  <c r="F16" i="120" s="1"/>
  <c r="E15" i="120"/>
  <c r="A15" i="120"/>
  <c r="A15" i="18" s="1"/>
  <c r="A14" i="120"/>
  <c r="E13" i="120"/>
  <c r="A13" i="120"/>
  <c r="A13" i="18" s="1"/>
  <c r="F13" i="18" s="1"/>
  <c r="E12" i="120"/>
  <c r="A12" i="120"/>
  <c r="A11" i="120"/>
  <c r="F11" i="120" s="1"/>
  <c r="C7" i="120"/>
  <c r="J6" i="120"/>
  <c r="A44" i="15"/>
  <c r="H30" i="15"/>
  <c r="N30" i="15" s="1"/>
  <c r="H29" i="15"/>
  <c r="N29" i="15" s="1"/>
  <c r="A19" i="15"/>
  <c r="E18" i="15"/>
  <c r="A18" i="15"/>
  <c r="E17" i="15"/>
  <c r="A17" i="15"/>
  <c r="E16" i="15"/>
  <c r="A16" i="15"/>
  <c r="F16" i="15" s="1"/>
  <c r="A15" i="15"/>
  <c r="F15" i="15" s="1"/>
  <c r="E14" i="15"/>
  <c r="A14" i="15"/>
  <c r="F14" i="15" s="1"/>
  <c r="E13" i="15"/>
  <c r="A13" i="15"/>
  <c r="E12" i="15"/>
  <c r="A12" i="15"/>
  <c r="F12" i="15" s="1"/>
  <c r="A11" i="15"/>
  <c r="F11" i="15" s="1"/>
  <c r="C7" i="15"/>
  <c r="J6" i="15"/>
  <c r="A44" i="14"/>
  <c r="A37" i="14"/>
  <c r="A36" i="14"/>
  <c r="A34" i="14"/>
  <c r="A33" i="14"/>
  <c r="N32" i="14"/>
  <c r="A32" i="14"/>
  <c r="A31" i="14"/>
  <c r="A30" i="14"/>
  <c r="A29" i="14"/>
  <c r="A28" i="14"/>
  <c r="H26" i="14"/>
  <c r="N26" i="14" s="1"/>
  <c r="A19" i="14"/>
  <c r="E18" i="14"/>
  <c r="A18" i="14"/>
  <c r="E17" i="14"/>
  <c r="A17" i="14"/>
  <c r="E16" i="14"/>
  <c r="A16" i="14"/>
  <c r="A15" i="14"/>
  <c r="E14" i="14"/>
  <c r="A14" i="14"/>
  <c r="E13" i="14"/>
  <c r="A13" i="14"/>
  <c r="E12" i="14"/>
  <c r="A12" i="14"/>
  <c r="A11" i="14"/>
  <c r="C7" i="14"/>
  <c r="J6" i="14"/>
  <c r="A51" i="13"/>
  <c r="A50" i="13"/>
  <c r="A49" i="13"/>
  <c r="H48" i="13"/>
  <c r="A48" i="13"/>
  <c r="A41" i="13"/>
  <c r="A33" i="13"/>
  <c r="A32" i="13"/>
  <c r="H31" i="13"/>
  <c r="N31" i="13" s="1"/>
  <c r="A31" i="13"/>
  <c r="A30" i="13"/>
  <c r="A29" i="13"/>
  <c r="A28" i="13"/>
  <c r="A27" i="13"/>
  <c r="H26" i="13"/>
  <c r="N26" i="13" s="1"/>
  <c r="A26" i="13"/>
  <c r="A25" i="13"/>
  <c r="E14" i="13"/>
  <c r="A14" i="13"/>
  <c r="E13" i="13"/>
  <c r="A13" i="13"/>
  <c r="F13" i="13" s="1"/>
  <c r="H12" i="13"/>
  <c r="E12" i="13"/>
  <c r="A12" i="13"/>
  <c r="A11" i="13"/>
  <c r="F11" i="13" s="1"/>
  <c r="C7" i="13"/>
  <c r="J6" i="13"/>
  <c r="A38" i="12"/>
  <c r="A37" i="12"/>
  <c r="A35" i="12"/>
  <c r="A34" i="12"/>
  <c r="A33" i="12"/>
  <c r="A32" i="12"/>
  <c r="A31" i="12"/>
  <c r="A30" i="12"/>
  <c r="A29" i="12"/>
  <c r="A26" i="12"/>
  <c r="A19" i="12"/>
  <c r="A18" i="12"/>
  <c r="A17" i="12"/>
  <c r="A16" i="12"/>
  <c r="A15" i="12"/>
  <c r="A14" i="12"/>
  <c r="A13" i="12"/>
  <c r="A12" i="12"/>
  <c r="A11" i="12"/>
  <c r="C7" i="12"/>
  <c r="J6" i="12"/>
  <c r="A54" i="11"/>
  <c r="A53" i="11"/>
  <c r="A52" i="11"/>
  <c r="A38" i="11"/>
  <c r="A37" i="11"/>
  <c r="A35" i="11"/>
  <c r="A34" i="11"/>
  <c r="A33" i="11"/>
  <c r="A32" i="11"/>
  <c r="A31" i="11"/>
  <c r="A30" i="11"/>
  <c r="A29" i="11"/>
  <c r="A27" i="11"/>
  <c r="A19" i="11"/>
  <c r="A18" i="11"/>
  <c r="A17" i="11"/>
  <c r="A16" i="11"/>
  <c r="A15" i="11"/>
  <c r="F15" i="11" s="1"/>
  <c r="A14" i="11"/>
  <c r="F14" i="11" s="1"/>
  <c r="A13" i="11"/>
  <c r="F13" i="11" s="1"/>
  <c r="A12" i="11"/>
  <c r="F12" i="11" s="1"/>
  <c r="A11" i="11"/>
  <c r="F11" i="11" s="1"/>
  <c r="C7" i="11"/>
  <c r="J6" i="11"/>
  <c r="A52" i="10"/>
  <c r="A45" i="10"/>
  <c r="H45" i="10" s="1"/>
  <c r="A38" i="10"/>
  <c r="A37" i="10"/>
  <c r="A35" i="10"/>
  <c r="A34" i="10"/>
  <c r="A33" i="10"/>
  <c r="A32" i="10"/>
  <c r="A31" i="10"/>
  <c r="H27" i="10"/>
  <c r="A27" i="10"/>
  <c r="F20" i="10"/>
  <c r="A19" i="10"/>
  <c r="F19" i="10" s="1"/>
  <c r="A18" i="10"/>
  <c r="F18" i="10" s="1"/>
  <c r="A17" i="10"/>
  <c r="F17" i="10" s="1"/>
  <c r="A16" i="10"/>
  <c r="A15" i="10"/>
  <c r="F15" i="10" s="1"/>
  <c r="A14" i="10"/>
  <c r="F14" i="10" s="1"/>
  <c r="A13" i="10"/>
  <c r="A12" i="10"/>
  <c r="A11" i="10"/>
  <c r="F11" i="10" s="1"/>
  <c r="C7" i="10"/>
  <c r="J6" i="10"/>
  <c r="A52" i="9"/>
  <c r="A46" i="9"/>
  <c r="A45" i="9"/>
  <c r="A44" i="9"/>
  <c r="O44" i="9" s="1"/>
  <c r="H43" i="9"/>
  <c r="N43" i="9" s="1"/>
  <c r="A43" i="9"/>
  <c r="O43" i="9" s="1"/>
  <c r="H42" i="9"/>
  <c r="N42" i="9" s="1"/>
  <c r="A42" i="9"/>
  <c r="O42" i="9" s="1"/>
  <c r="H40" i="9"/>
  <c r="N40" i="9" s="1"/>
  <c r="A40" i="9"/>
  <c r="A39" i="9"/>
  <c r="A38" i="9"/>
  <c r="A37" i="9"/>
  <c r="A36" i="9"/>
  <c r="A35" i="9"/>
  <c r="A34" i="9"/>
  <c r="A33" i="9"/>
  <c r="H32" i="9"/>
  <c r="N32" i="9" s="1"/>
  <c r="A32" i="9"/>
  <c r="H31" i="9"/>
  <c r="A31" i="9"/>
  <c r="A30" i="9"/>
  <c r="A29" i="9"/>
  <c r="G25" i="9"/>
  <c r="F25" i="9"/>
  <c r="A20" i="9"/>
  <c r="A19" i="9"/>
  <c r="A18" i="9"/>
  <c r="F18" i="9" s="1"/>
  <c r="A17" i="9"/>
  <c r="A16" i="9"/>
  <c r="F16" i="9" s="1"/>
  <c r="A15" i="9"/>
  <c r="F15" i="9" s="1"/>
  <c r="A14" i="9"/>
  <c r="F14" i="9" s="1"/>
  <c r="A13" i="9"/>
  <c r="F13" i="9" s="1"/>
  <c r="H12" i="9"/>
  <c r="H61" i="9" s="1"/>
  <c r="A12" i="9"/>
  <c r="A11" i="9"/>
  <c r="F11" i="9" s="1"/>
  <c r="C7" i="9"/>
  <c r="J6" i="9"/>
  <c r="H46" i="8"/>
  <c r="H47" i="8" s="1"/>
  <c r="H48" i="8" s="1"/>
  <c r="A39" i="8"/>
  <c r="H26" i="8"/>
  <c r="H12" i="8"/>
  <c r="C7" i="8"/>
  <c r="J6" i="8"/>
  <c r="A46" i="7"/>
  <c r="A48" i="8" s="1"/>
  <c r="A45" i="7"/>
  <c r="A47" i="8" s="1"/>
  <c r="H44" i="7"/>
  <c r="H45" i="7" s="1"/>
  <c r="H46" i="7" s="1"/>
  <c r="A44" i="7"/>
  <c r="A46" i="8" s="1"/>
  <c r="A27" i="7"/>
  <c r="A28" i="8" s="1"/>
  <c r="A26" i="7"/>
  <c r="A27" i="8" s="1"/>
  <c r="H25" i="7"/>
  <c r="A25" i="7"/>
  <c r="A26" i="8" s="1"/>
  <c r="A24" i="7"/>
  <c r="A25" i="8" s="1"/>
  <c r="A24" i="8"/>
  <c r="A18" i="7"/>
  <c r="A18" i="8" s="1"/>
  <c r="A17" i="7"/>
  <c r="A16" i="7"/>
  <c r="A15" i="7"/>
  <c r="A15" i="8" s="1"/>
  <c r="A14" i="7"/>
  <c r="A14" i="8" s="1"/>
  <c r="H12" i="7"/>
  <c r="A12" i="7"/>
  <c r="F12" i="7" s="1"/>
  <c r="A11" i="7"/>
  <c r="A11" i="8" s="1"/>
  <c r="C7" i="7"/>
  <c r="J6" i="7"/>
  <c r="A51" i="6"/>
  <c r="A50" i="6"/>
  <c r="A49" i="6"/>
  <c r="A48" i="6"/>
  <c r="H47" i="6"/>
  <c r="H48" i="6" s="1"/>
  <c r="H49" i="6" s="1"/>
  <c r="H50" i="6" s="1"/>
  <c r="H51" i="6" s="1"/>
  <c r="A47" i="6"/>
  <c r="A32" i="6"/>
  <c r="A31" i="6"/>
  <c r="A30" i="6"/>
  <c r="A29" i="6"/>
  <c r="A28" i="6"/>
  <c r="N27" i="6"/>
  <c r="A27" i="6"/>
  <c r="A26" i="6"/>
  <c r="O25" i="6"/>
  <c r="H25" i="6"/>
  <c r="H29" i="6" s="1"/>
  <c r="A25" i="6"/>
  <c r="O24" i="6"/>
  <c r="A24" i="6"/>
  <c r="A25" i="27" s="1"/>
  <c r="I25" i="27" s="1"/>
  <c r="H19" i="6"/>
  <c r="A19" i="6"/>
  <c r="F18" i="6"/>
  <c r="H17" i="6"/>
  <c r="A17" i="6"/>
  <c r="F17" i="6" s="1"/>
  <c r="H16" i="6"/>
  <c r="A16" i="6"/>
  <c r="F16" i="6" s="1"/>
  <c r="H15" i="6"/>
  <c r="F15" i="6"/>
  <c r="H14" i="6"/>
  <c r="A14" i="6"/>
  <c r="F14" i="6" s="1"/>
  <c r="H13" i="6"/>
  <c r="A13" i="6"/>
  <c r="F13" i="6" s="1"/>
  <c r="H12" i="6"/>
  <c r="A12" i="6"/>
  <c r="F12" i="6" s="1"/>
  <c r="A11" i="6"/>
  <c r="C7" i="6"/>
  <c r="J6" i="6"/>
  <c r="A46" i="37"/>
  <c r="A45" i="37"/>
  <c r="A44" i="37"/>
  <c r="H43" i="37"/>
  <c r="H44" i="37" s="1"/>
  <c r="H45" i="37" s="1"/>
  <c r="H46" i="37" s="1"/>
  <c r="A43" i="37"/>
  <c r="A36" i="37"/>
  <c r="H23" i="37"/>
  <c r="A23" i="37"/>
  <c r="A22" i="37"/>
  <c r="G17" i="37"/>
  <c r="F17" i="37"/>
  <c r="G16" i="37"/>
  <c r="F16" i="37"/>
  <c r="G15" i="37"/>
  <c r="F15" i="37"/>
  <c r="H14" i="37"/>
  <c r="A14" i="37"/>
  <c r="F14" i="37" s="1"/>
  <c r="H13" i="37"/>
  <c r="A13" i="37"/>
  <c r="F13" i="37" s="1"/>
  <c r="H12" i="37"/>
  <c r="A12" i="37"/>
  <c r="F12" i="37" s="1"/>
  <c r="A11" i="37"/>
  <c r="C7" i="37"/>
  <c r="J6" i="37"/>
  <c r="A46" i="38"/>
  <c r="A45" i="38"/>
  <c r="A44" i="38"/>
  <c r="H43" i="38"/>
  <c r="H44" i="38" s="1"/>
  <c r="H45" i="38" s="1"/>
  <c r="H46" i="38" s="1"/>
  <c r="A43" i="38"/>
  <c r="A36" i="38"/>
  <c r="H23" i="38"/>
  <c r="A23" i="38"/>
  <c r="H22" i="38"/>
  <c r="A22" i="38"/>
  <c r="G17" i="38"/>
  <c r="F17" i="38"/>
  <c r="G16" i="38"/>
  <c r="F16" i="38"/>
  <c r="G15" i="38"/>
  <c r="F15" i="38"/>
  <c r="H14" i="38"/>
  <c r="A14" i="38"/>
  <c r="F14" i="38" s="1"/>
  <c r="H13" i="38"/>
  <c r="A13" i="38"/>
  <c r="F13" i="38" s="1"/>
  <c r="H12" i="38"/>
  <c r="A12" i="38"/>
  <c r="A11" i="38"/>
  <c r="F11" i="38" s="1"/>
  <c r="M7" i="38"/>
  <c r="C7" i="38"/>
  <c r="J6" i="38"/>
  <c r="A46" i="39"/>
  <c r="A45" i="39"/>
  <c r="A44" i="39"/>
  <c r="H43" i="39"/>
  <c r="H44" i="39" s="1"/>
  <c r="H45" i="39" s="1"/>
  <c r="H46" i="39" s="1"/>
  <c r="A43" i="39"/>
  <c r="A36" i="39"/>
  <c r="H23" i="39"/>
  <c r="A23" i="39"/>
  <c r="H22" i="39"/>
  <c r="L37" i="39" s="1"/>
  <c r="A22" i="39"/>
  <c r="G17" i="39"/>
  <c r="F17" i="39"/>
  <c r="G16" i="39"/>
  <c r="F16" i="39"/>
  <c r="G15" i="39"/>
  <c r="F15" i="39"/>
  <c r="H14" i="39"/>
  <c r="A14" i="39"/>
  <c r="H13" i="39"/>
  <c r="A13" i="39"/>
  <c r="F13" i="39" s="1"/>
  <c r="H12" i="39"/>
  <c r="A12" i="39"/>
  <c r="A11" i="39"/>
  <c r="F11" i="39" s="1"/>
  <c r="C7" i="39"/>
  <c r="J6" i="39"/>
  <c r="A46" i="40"/>
  <c r="A45" i="40"/>
  <c r="A44" i="40"/>
  <c r="O43" i="40"/>
  <c r="O44" i="40" s="1"/>
  <c r="H43" i="40"/>
  <c r="H44" i="40" s="1"/>
  <c r="H45" i="40" s="1"/>
  <c r="H46" i="40" s="1"/>
  <c r="A43" i="40"/>
  <c r="A36" i="40"/>
  <c r="J24" i="40"/>
  <c r="H23" i="40"/>
  <c r="A23" i="40"/>
  <c r="H22" i="40"/>
  <c r="A22" i="40"/>
  <c r="G17" i="40"/>
  <c r="F17" i="40"/>
  <c r="G16" i="40"/>
  <c r="F16" i="40"/>
  <c r="G15" i="40"/>
  <c r="F15" i="40"/>
  <c r="H14" i="40"/>
  <c r="A14" i="40"/>
  <c r="F14" i="40" s="1"/>
  <c r="H13" i="40"/>
  <c r="A13" i="40"/>
  <c r="F13" i="40" s="1"/>
  <c r="H12" i="40"/>
  <c r="A12" i="40"/>
  <c r="F12" i="40" s="1"/>
  <c r="A11" i="40"/>
  <c r="C7" i="40"/>
  <c r="J6" i="40"/>
  <c r="A46" i="41"/>
  <c r="A45" i="41"/>
  <c r="A44" i="41"/>
  <c r="H43" i="41"/>
  <c r="H44" i="41" s="1"/>
  <c r="H45" i="41" s="1"/>
  <c r="H46" i="41" s="1"/>
  <c r="A43" i="41"/>
  <c r="A36" i="41"/>
  <c r="J24" i="41"/>
  <c r="A23" i="41"/>
  <c r="A22" i="41"/>
  <c r="G17" i="41"/>
  <c r="F17" i="41"/>
  <c r="G16" i="41"/>
  <c r="F16" i="41"/>
  <c r="G15" i="41"/>
  <c r="F15" i="41"/>
  <c r="H14" i="41"/>
  <c r="A14" i="41"/>
  <c r="F14" i="41" s="1"/>
  <c r="H13" i="41"/>
  <c r="A13" i="41"/>
  <c r="F13" i="41" s="1"/>
  <c r="H12" i="41"/>
  <c r="A12" i="41"/>
  <c r="F12" i="41" s="1"/>
  <c r="A11" i="41"/>
  <c r="M10" i="41"/>
  <c r="C7" i="41"/>
  <c r="J6" i="41"/>
  <c r="A46" i="43"/>
  <c r="A45" i="43"/>
  <c r="A44" i="43"/>
  <c r="H43" i="43"/>
  <c r="H44" i="43" s="1"/>
  <c r="H45" i="43" s="1"/>
  <c r="H46" i="43" s="1"/>
  <c r="A43" i="43"/>
  <c r="A36" i="43"/>
  <c r="A22" i="43"/>
  <c r="G17" i="43"/>
  <c r="F17" i="43"/>
  <c r="G16" i="43"/>
  <c r="F16" i="43"/>
  <c r="G15" i="43"/>
  <c r="F15" i="43"/>
  <c r="H14" i="43"/>
  <c r="A14" i="43"/>
  <c r="F14" i="43" s="1"/>
  <c r="H13" i="43"/>
  <c r="A13" i="43"/>
  <c r="F13" i="43" s="1"/>
  <c r="H12" i="43"/>
  <c r="A12" i="43"/>
  <c r="A11" i="43"/>
  <c r="C7" i="43"/>
  <c r="J6" i="43"/>
  <c r="A46" i="44"/>
  <c r="A45" i="44"/>
  <c r="A44" i="44"/>
  <c r="H43" i="44"/>
  <c r="H44" i="44" s="1"/>
  <c r="H45" i="44" s="1"/>
  <c r="H46" i="44" s="1"/>
  <c r="A43" i="44"/>
  <c r="H24" i="44"/>
  <c r="A24" i="44"/>
  <c r="H23" i="44"/>
  <c r="A23" i="44"/>
  <c r="H22" i="44"/>
  <c r="A22" i="44"/>
  <c r="G17" i="44"/>
  <c r="I17" i="44" s="1"/>
  <c r="J17" i="44" s="1"/>
  <c r="F17" i="44"/>
  <c r="G16" i="44"/>
  <c r="I16" i="44" s="1"/>
  <c r="J16" i="44" s="1"/>
  <c r="F16" i="44"/>
  <c r="H14" i="44"/>
  <c r="A14" i="44"/>
  <c r="F14" i="44" s="1"/>
  <c r="H13" i="44"/>
  <c r="A13" i="44"/>
  <c r="F13" i="44" s="1"/>
  <c r="H12" i="44"/>
  <c r="A12" i="44"/>
  <c r="M11" i="44"/>
  <c r="A11" i="44"/>
  <c r="C7" i="44"/>
  <c r="J6" i="44"/>
  <c r="E48" i="45"/>
  <c r="E47" i="45"/>
  <c r="A46" i="45"/>
  <c r="A45" i="45"/>
  <c r="A44" i="45"/>
  <c r="H43" i="45"/>
  <c r="H44" i="45" s="1"/>
  <c r="H45" i="45" s="1"/>
  <c r="H46" i="45" s="1"/>
  <c r="A43" i="45"/>
  <c r="A36" i="45"/>
  <c r="H36" i="45" s="1"/>
  <c r="I36" i="45" s="1"/>
  <c r="H24" i="45"/>
  <c r="A24" i="45"/>
  <c r="A23" i="45"/>
  <c r="H22" i="45"/>
  <c r="H23" i="45" s="1"/>
  <c r="A22" i="45"/>
  <c r="G17" i="45"/>
  <c r="F17" i="45"/>
  <c r="G16" i="45"/>
  <c r="F16" i="45"/>
  <c r="H14" i="45"/>
  <c r="A14" i="45"/>
  <c r="H13" i="45"/>
  <c r="A13" i="45"/>
  <c r="F13" i="45" s="1"/>
  <c r="H12" i="45"/>
  <c r="A12" i="45"/>
  <c r="F12" i="45" s="1"/>
  <c r="A11" i="45"/>
  <c r="F11" i="45" s="1"/>
  <c r="C7" i="45"/>
  <c r="J6" i="45"/>
  <c r="A46" i="46"/>
  <c r="A45" i="46"/>
  <c r="A44" i="46"/>
  <c r="H43" i="46"/>
  <c r="H44" i="46" s="1"/>
  <c r="H45" i="46" s="1"/>
  <c r="H46" i="46" s="1"/>
  <c r="A43" i="46"/>
  <c r="A36" i="46"/>
  <c r="H24" i="46"/>
  <c r="A24" i="46"/>
  <c r="A23" i="46"/>
  <c r="H22" i="46"/>
  <c r="H23" i="46" s="1"/>
  <c r="A22" i="46"/>
  <c r="G17" i="46"/>
  <c r="F17" i="46"/>
  <c r="G16" i="46"/>
  <c r="F16" i="46"/>
  <c r="H14" i="46"/>
  <c r="A14" i="46"/>
  <c r="H13" i="46"/>
  <c r="A13" i="46"/>
  <c r="F13" i="46" s="1"/>
  <c r="H12" i="46"/>
  <c r="A12" i="46"/>
  <c r="F12" i="46" s="1"/>
  <c r="A11" i="46"/>
  <c r="F11" i="46" s="1"/>
  <c r="C7" i="46"/>
  <c r="J6" i="46"/>
  <c r="A46" i="47"/>
  <c r="A45" i="47"/>
  <c r="A44" i="47"/>
  <c r="H43" i="47"/>
  <c r="H44" i="47" s="1"/>
  <c r="H45" i="47" s="1"/>
  <c r="H46" i="47" s="1"/>
  <c r="A43" i="47"/>
  <c r="A36" i="47"/>
  <c r="H24" i="47"/>
  <c r="A24" i="47"/>
  <c r="H23" i="47"/>
  <c r="A23" i="47"/>
  <c r="A22" i="47"/>
  <c r="G17" i="47"/>
  <c r="F17" i="47"/>
  <c r="G16" i="47"/>
  <c r="F16" i="47"/>
  <c r="H14" i="47"/>
  <c r="A14" i="47"/>
  <c r="H13" i="47"/>
  <c r="A13" i="47"/>
  <c r="F13" i="47" s="1"/>
  <c r="H12" i="47"/>
  <c r="A12" i="47"/>
  <c r="F12" i="47" s="1"/>
  <c r="O11" i="47"/>
  <c r="A11" i="47"/>
  <c r="F11" i="47" s="1"/>
  <c r="M10" i="47"/>
  <c r="C7" i="47"/>
  <c r="J6" i="47"/>
  <c r="A46" i="48"/>
  <c r="A45" i="48"/>
  <c r="A44" i="48"/>
  <c r="H43" i="48"/>
  <c r="H44" i="48" s="1"/>
  <c r="H45" i="48" s="1"/>
  <c r="H46" i="48" s="1"/>
  <c r="A43" i="48"/>
  <c r="A36" i="48"/>
  <c r="H23" i="48"/>
  <c r="A23" i="48"/>
  <c r="A22" i="48"/>
  <c r="G17" i="48"/>
  <c r="F17" i="48"/>
  <c r="G16" i="48"/>
  <c r="F16" i="48"/>
  <c r="H14" i="48"/>
  <c r="A14" i="48"/>
  <c r="F14" i="48" s="1"/>
  <c r="H13" i="48"/>
  <c r="A13" i="48"/>
  <c r="F13" i="48" s="1"/>
  <c r="H12" i="48"/>
  <c r="A12" i="48"/>
  <c r="F12" i="48" s="1"/>
  <c r="A11" i="48"/>
  <c r="F11" i="48" s="1"/>
  <c r="C7" i="48"/>
  <c r="J6" i="48"/>
  <c r="A46" i="49"/>
  <c r="A45" i="49"/>
  <c r="A44" i="49"/>
  <c r="H43" i="49"/>
  <c r="H44" i="49" s="1"/>
  <c r="H45" i="49" s="1"/>
  <c r="H46" i="49" s="1"/>
  <c r="A43" i="49"/>
  <c r="A36" i="49"/>
  <c r="H23" i="49"/>
  <c r="A23" i="49"/>
  <c r="M22" i="49"/>
  <c r="A22" i="49"/>
  <c r="G17" i="49"/>
  <c r="I17" i="49" s="1"/>
  <c r="J17" i="49" s="1"/>
  <c r="F17" i="49"/>
  <c r="G16" i="49"/>
  <c r="I16" i="49" s="1"/>
  <c r="J16" i="49" s="1"/>
  <c r="F16" i="49"/>
  <c r="H14" i="49"/>
  <c r="A14" i="49"/>
  <c r="F14" i="49" s="1"/>
  <c r="H13" i="49"/>
  <c r="A13" i="49"/>
  <c r="F13" i="49" s="1"/>
  <c r="H12" i="49"/>
  <c r="A12" i="49"/>
  <c r="A11" i="49"/>
  <c r="F11" i="49" s="1"/>
  <c r="C7" i="49"/>
  <c r="J6" i="49"/>
  <c r="A46" i="50"/>
  <c r="A45" i="50"/>
  <c r="A44" i="50"/>
  <c r="H43" i="50"/>
  <c r="H44" i="50" s="1"/>
  <c r="H45" i="50" s="1"/>
  <c r="H46" i="50" s="1"/>
  <c r="A43" i="50"/>
  <c r="A36" i="50"/>
  <c r="H23" i="50"/>
  <c r="A23" i="50"/>
  <c r="H22" i="50"/>
  <c r="A22" i="50"/>
  <c r="G17" i="50"/>
  <c r="F17" i="50"/>
  <c r="G16" i="50"/>
  <c r="F16" i="50"/>
  <c r="H14" i="50"/>
  <c r="A14" i="50"/>
  <c r="F14" i="50" s="1"/>
  <c r="H13" i="50"/>
  <c r="A13" i="50"/>
  <c r="F13" i="50" s="1"/>
  <c r="H12" i="50"/>
  <c r="A12" i="50"/>
  <c r="F12" i="50" s="1"/>
  <c r="A11" i="50"/>
  <c r="C7" i="50"/>
  <c r="J6" i="50"/>
  <c r="A46" i="51"/>
  <c r="A45" i="51"/>
  <c r="A44" i="51"/>
  <c r="H43" i="51"/>
  <c r="H44" i="51" s="1"/>
  <c r="H45" i="51" s="1"/>
  <c r="H46" i="51" s="1"/>
  <c r="A43" i="51"/>
  <c r="A36" i="51"/>
  <c r="H23" i="51"/>
  <c r="A23" i="51"/>
  <c r="H22" i="51"/>
  <c r="A22" i="51"/>
  <c r="G17" i="51"/>
  <c r="F17" i="51"/>
  <c r="G16" i="51"/>
  <c r="F16" i="51"/>
  <c r="H14" i="51"/>
  <c r="A14" i="51"/>
  <c r="F14" i="51" s="1"/>
  <c r="H13" i="51"/>
  <c r="A13" i="51"/>
  <c r="F13" i="51" s="1"/>
  <c r="H12" i="51"/>
  <c r="A12" i="51"/>
  <c r="A11" i="51"/>
  <c r="F11" i="51" s="1"/>
  <c r="C7" i="51"/>
  <c r="J6" i="51"/>
  <c r="E48" i="52"/>
  <c r="E47" i="52"/>
  <c r="A46" i="52"/>
  <c r="A45" i="52"/>
  <c r="A44" i="52"/>
  <c r="H43" i="52"/>
  <c r="H44" i="52" s="1"/>
  <c r="H45" i="52" s="1"/>
  <c r="H46" i="52" s="1"/>
  <c r="A43" i="52"/>
  <c r="A36" i="52"/>
  <c r="M23" i="52"/>
  <c r="H23" i="52"/>
  <c r="A23" i="52"/>
  <c r="H22" i="52"/>
  <c r="A22" i="52"/>
  <c r="G17" i="52"/>
  <c r="F17" i="52"/>
  <c r="G16" i="52"/>
  <c r="F16" i="52"/>
  <c r="H14" i="52"/>
  <c r="A14" i="52"/>
  <c r="F14" i="52" s="1"/>
  <c r="H13" i="52"/>
  <c r="A13" i="52"/>
  <c r="F13" i="52" s="1"/>
  <c r="H12" i="52"/>
  <c r="A12" i="52"/>
  <c r="F12" i="52" s="1"/>
  <c r="A11" i="52"/>
  <c r="C7" i="52"/>
  <c r="J6" i="52"/>
  <c r="A46" i="53"/>
  <c r="A45" i="53"/>
  <c r="A44" i="53"/>
  <c r="H43" i="53"/>
  <c r="H44" i="53" s="1"/>
  <c r="H45" i="53" s="1"/>
  <c r="H46" i="53" s="1"/>
  <c r="A43" i="53"/>
  <c r="A36" i="53"/>
  <c r="H23" i="53"/>
  <c r="A23" i="53"/>
  <c r="A22" i="53"/>
  <c r="G17" i="53"/>
  <c r="F17" i="53"/>
  <c r="G16" i="53"/>
  <c r="F16" i="53"/>
  <c r="H14" i="53"/>
  <c r="A14" i="53"/>
  <c r="F14" i="53" s="1"/>
  <c r="H13" i="53"/>
  <c r="A13" i="53"/>
  <c r="F13" i="53" s="1"/>
  <c r="H12" i="53"/>
  <c r="F12" i="53"/>
  <c r="A12" i="53"/>
  <c r="A11" i="53"/>
  <c r="F11" i="53" s="1"/>
  <c r="C7" i="53"/>
  <c r="J6" i="53"/>
  <c r="A46" i="54"/>
  <c r="A45" i="54"/>
  <c r="A44" i="54"/>
  <c r="H43" i="54"/>
  <c r="H44" i="54" s="1"/>
  <c r="H45" i="54" s="1"/>
  <c r="H46" i="54" s="1"/>
  <c r="A43" i="54"/>
  <c r="A36" i="54"/>
  <c r="A22" i="54"/>
  <c r="F17" i="54"/>
  <c r="F16" i="54"/>
  <c r="H14" i="54"/>
  <c r="A14" i="54"/>
  <c r="F14" i="54" s="1"/>
  <c r="H13" i="54"/>
  <c r="A13" i="54"/>
  <c r="F13" i="54" s="1"/>
  <c r="H12" i="54"/>
  <c r="A12" i="54"/>
  <c r="F12" i="54" s="1"/>
  <c r="A11" i="54"/>
  <c r="F11" i="54" s="1"/>
  <c r="C7" i="54"/>
  <c r="J6" i="54"/>
  <c r="A46" i="55"/>
  <c r="A45" i="55"/>
  <c r="A44" i="55"/>
  <c r="H43" i="55"/>
  <c r="H44" i="55" s="1"/>
  <c r="H45" i="55" s="1"/>
  <c r="H46" i="55" s="1"/>
  <c r="A43" i="55"/>
  <c r="A36" i="55"/>
  <c r="A22" i="55"/>
  <c r="H14" i="55"/>
  <c r="A14" i="55"/>
  <c r="F14" i="55" s="1"/>
  <c r="H13" i="55"/>
  <c r="A13" i="55"/>
  <c r="F13" i="55" s="1"/>
  <c r="H12" i="55"/>
  <c r="A12" i="55"/>
  <c r="F12" i="55" s="1"/>
  <c r="A11" i="55"/>
  <c r="C7" i="55"/>
  <c r="J6" i="55"/>
  <c r="A46" i="56"/>
  <c r="A45" i="56"/>
  <c r="A44" i="56"/>
  <c r="H43" i="56"/>
  <c r="H44" i="56" s="1"/>
  <c r="H45" i="56" s="1"/>
  <c r="H46" i="56" s="1"/>
  <c r="A43" i="56"/>
  <c r="H22" i="56"/>
  <c r="A22" i="56"/>
  <c r="H14" i="56"/>
  <c r="A14" i="56"/>
  <c r="F14" i="56" s="1"/>
  <c r="H13" i="56"/>
  <c r="A13" i="56"/>
  <c r="F13" i="56" s="1"/>
  <c r="H12" i="56"/>
  <c r="A12" i="56"/>
  <c r="F12" i="56" s="1"/>
  <c r="A11" i="56"/>
  <c r="F11" i="56" s="1"/>
  <c r="C7" i="56"/>
  <c r="J6" i="56"/>
  <c r="A46" i="57"/>
  <c r="A45" i="57"/>
  <c r="H44" i="57"/>
  <c r="A44" i="57"/>
  <c r="H43" i="57"/>
  <c r="A43" i="57"/>
  <c r="A22" i="57"/>
  <c r="H14" i="57"/>
  <c r="A14" i="57"/>
  <c r="F14" i="57" s="1"/>
  <c r="H13" i="57"/>
  <c r="A13" i="57"/>
  <c r="F13" i="57" s="1"/>
  <c r="H12" i="57"/>
  <c r="A12" i="57"/>
  <c r="A11" i="57"/>
  <c r="F11" i="57" s="1"/>
  <c r="C7" i="57"/>
  <c r="J6" i="57"/>
  <c r="A46" i="58"/>
  <c r="A45" i="58"/>
  <c r="A44" i="58"/>
  <c r="H43" i="58"/>
  <c r="H44" i="58" s="1"/>
  <c r="H45" i="58" s="1"/>
  <c r="H46" i="58" s="1"/>
  <c r="A43" i="58"/>
  <c r="M24" i="58"/>
  <c r="P24" i="58" s="1"/>
  <c r="A23" i="58"/>
  <c r="H22" i="58"/>
  <c r="H23" i="58" s="1"/>
  <c r="A22" i="58"/>
  <c r="Q14" i="58"/>
  <c r="P14" i="58"/>
  <c r="H14" i="58"/>
  <c r="A14" i="58"/>
  <c r="H13" i="58"/>
  <c r="A13" i="58"/>
  <c r="F13" i="58" s="1"/>
  <c r="H12" i="58"/>
  <c r="A12" i="58"/>
  <c r="F12" i="58" s="1"/>
  <c r="A11" i="58"/>
  <c r="F11" i="58" s="1"/>
  <c r="Q10" i="58"/>
  <c r="P10" i="58"/>
  <c r="C7" i="58"/>
  <c r="J6" i="58"/>
  <c r="A46" i="59"/>
  <c r="A45" i="59"/>
  <c r="H44" i="59"/>
  <c r="H45" i="59" s="1"/>
  <c r="H46" i="59" s="1"/>
  <c r="A44" i="59"/>
  <c r="H43" i="59"/>
  <c r="A43" i="59"/>
  <c r="L28" i="59"/>
  <c r="M24" i="59"/>
  <c r="P24" i="59" s="1"/>
  <c r="A23" i="59"/>
  <c r="H22" i="59"/>
  <c r="H23" i="59" s="1"/>
  <c r="A22" i="59"/>
  <c r="Q14" i="59"/>
  <c r="P14" i="59"/>
  <c r="H14" i="59"/>
  <c r="A14" i="59"/>
  <c r="F14" i="59" s="1"/>
  <c r="H13" i="59"/>
  <c r="A13" i="59"/>
  <c r="F13" i="59" s="1"/>
  <c r="H12" i="59"/>
  <c r="A12" i="59"/>
  <c r="F12" i="59" s="1"/>
  <c r="A11" i="59"/>
  <c r="F11" i="59" s="1"/>
  <c r="Q10" i="59"/>
  <c r="P10" i="59"/>
  <c r="C7" i="59"/>
  <c r="J6" i="59"/>
  <c r="A46" i="60"/>
  <c r="A45" i="60"/>
  <c r="A44" i="60"/>
  <c r="H43" i="60"/>
  <c r="H44" i="60" s="1"/>
  <c r="H45" i="60" s="1"/>
  <c r="H46" i="60" s="1"/>
  <c r="A43" i="60"/>
  <c r="M24" i="60"/>
  <c r="P24" i="60" s="1"/>
  <c r="P23" i="60"/>
  <c r="A23" i="60"/>
  <c r="H22" i="60"/>
  <c r="H23" i="60" s="1"/>
  <c r="A22" i="60"/>
  <c r="Q14" i="60"/>
  <c r="P14" i="60"/>
  <c r="H14" i="60"/>
  <c r="A14" i="60"/>
  <c r="F14" i="60" s="1"/>
  <c r="H13" i="60"/>
  <c r="A13" i="60"/>
  <c r="F13" i="60" s="1"/>
  <c r="H12" i="60"/>
  <c r="A12" i="60"/>
  <c r="F12" i="60" s="1"/>
  <c r="A11" i="60"/>
  <c r="F11" i="60" s="1"/>
  <c r="Q10" i="60"/>
  <c r="P10" i="60"/>
  <c r="C7" i="60"/>
  <c r="J6" i="60"/>
  <c r="A46" i="61"/>
  <c r="A45" i="61"/>
  <c r="A44" i="61"/>
  <c r="H43" i="61"/>
  <c r="H44" i="61" s="1"/>
  <c r="H45" i="61" s="1"/>
  <c r="H46" i="61" s="1"/>
  <c r="A43" i="61"/>
  <c r="A22" i="61"/>
  <c r="G17" i="61"/>
  <c r="F17" i="61"/>
  <c r="G16" i="61"/>
  <c r="F16" i="61"/>
  <c r="H14" i="61"/>
  <c r="A14" i="61"/>
  <c r="F14" i="61" s="1"/>
  <c r="H13" i="61"/>
  <c r="A13" i="61"/>
  <c r="F13" i="61" s="1"/>
  <c r="H12" i="61"/>
  <c r="A12" i="61"/>
  <c r="F12" i="61" s="1"/>
  <c r="A11" i="61"/>
  <c r="F11" i="61" s="1"/>
  <c r="C7" i="61"/>
  <c r="J6" i="61"/>
  <c r="A46" i="62"/>
  <c r="A45" i="62"/>
  <c r="A44" i="62"/>
  <c r="H43" i="62"/>
  <c r="H44" i="62" s="1"/>
  <c r="H45" i="62" s="1"/>
  <c r="H46" i="62" s="1"/>
  <c r="A43" i="62"/>
  <c r="H23" i="62"/>
  <c r="A23" i="62"/>
  <c r="A22" i="62"/>
  <c r="H14" i="62"/>
  <c r="A14" i="62"/>
  <c r="H13" i="62"/>
  <c r="A13" i="62"/>
  <c r="F13" i="62" s="1"/>
  <c r="H12" i="62"/>
  <c r="A12" i="62"/>
  <c r="F12" i="62" s="1"/>
  <c r="A11" i="62"/>
  <c r="F11" i="62" s="1"/>
  <c r="C7" i="62"/>
  <c r="J6" i="62"/>
  <c r="A46" i="63"/>
  <c r="A45" i="63"/>
  <c r="A44" i="63"/>
  <c r="H43" i="63"/>
  <c r="H44" i="63" s="1"/>
  <c r="H45" i="63" s="1"/>
  <c r="H46" i="63" s="1"/>
  <c r="A43" i="63"/>
  <c r="H24" i="63"/>
  <c r="A24" i="63"/>
  <c r="H23" i="63"/>
  <c r="A23" i="63"/>
  <c r="H22" i="63"/>
  <c r="A22" i="63"/>
  <c r="N17" i="63"/>
  <c r="R16" i="63"/>
  <c r="H14" i="63"/>
  <c r="A14" i="63"/>
  <c r="F14" i="63" s="1"/>
  <c r="H13" i="63"/>
  <c r="A13" i="63"/>
  <c r="F13" i="63" s="1"/>
  <c r="P12" i="63"/>
  <c r="H12" i="63"/>
  <c r="A12" i="63"/>
  <c r="Q11" i="63"/>
  <c r="A11" i="63"/>
  <c r="C7" i="63"/>
  <c r="J6" i="63"/>
  <c r="A46" i="64"/>
  <c r="A45" i="64"/>
  <c r="A44" i="64"/>
  <c r="H43" i="64"/>
  <c r="H44" i="64" s="1"/>
  <c r="H45" i="64" s="1"/>
  <c r="H46" i="64" s="1"/>
  <c r="A43" i="64"/>
  <c r="H24" i="64"/>
  <c r="A24" i="64"/>
  <c r="H23" i="64"/>
  <c r="A23" i="64"/>
  <c r="H22" i="64"/>
  <c r="A22" i="64"/>
  <c r="G17" i="64"/>
  <c r="F17" i="64"/>
  <c r="G16" i="64"/>
  <c r="F16" i="64"/>
  <c r="H14" i="64"/>
  <c r="A14" i="64"/>
  <c r="F14" i="64" s="1"/>
  <c r="H13" i="64"/>
  <c r="A13" i="64"/>
  <c r="F13" i="64" s="1"/>
  <c r="H12" i="64"/>
  <c r="A12" i="64"/>
  <c r="F12" i="64" s="1"/>
  <c r="A11" i="64"/>
  <c r="C7" i="64"/>
  <c r="J6" i="64"/>
  <c r="A46" i="65"/>
  <c r="A45" i="65"/>
  <c r="A44" i="65"/>
  <c r="H43" i="65"/>
  <c r="H44" i="65" s="1"/>
  <c r="H45" i="65" s="1"/>
  <c r="H46" i="65" s="1"/>
  <c r="A43" i="65"/>
  <c r="H24" i="65"/>
  <c r="A24" i="65"/>
  <c r="H23" i="65"/>
  <c r="A23" i="65"/>
  <c r="L22" i="65"/>
  <c r="H22" i="65"/>
  <c r="L24" i="65" s="1"/>
  <c r="A22" i="65"/>
  <c r="A14" i="65"/>
  <c r="A13" i="65"/>
  <c r="F13" i="65" s="1"/>
  <c r="N12" i="65"/>
  <c r="H12" i="65"/>
  <c r="H13" i="65" s="1"/>
  <c r="H14" i="65" s="1"/>
  <c r="A12" i="65"/>
  <c r="F12" i="65" s="1"/>
  <c r="N11" i="65"/>
  <c r="A11" i="65"/>
  <c r="F11" i="65" s="1"/>
  <c r="C7" i="65"/>
  <c r="J6" i="65"/>
  <c r="A46" i="66"/>
  <c r="A45" i="66"/>
  <c r="A44" i="66"/>
  <c r="H43" i="66"/>
  <c r="H44" i="66" s="1"/>
  <c r="H45" i="66" s="1"/>
  <c r="H46" i="66" s="1"/>
  <c r="A43" i="66"/>
  <c r="H24" i="66"/>
  <c r="A24" i="66"/>
  <c r="H23" i="66"/>
  <c r="A23" i="66"/>
  <c r="A22" i="66"/>
  <c r="G17" i="66"/>
  <c r="F17" i="66"/>
  <c r="G16" i="66"/>
  <c r="F16" i="66"/>
  <c r="H14" i="66"/>
  <c r="A14" i="66"/>
  <c r="H13" i="66"/>
  <c r="A13" i="66"/>
  <c r="F13" i="66" s="1"/>
  <c r="H12" i="66"/>
  <c r="A12" i="66"/>
  <c r="F12" i="66" s="1"/>
  <c r="L11" i="66"/>
  <c r="A11" i="66"/>
  <c r="F11" i="66" s="1"/>
  <c r="C7" i="66"/>
  <c r="J6" i="66"/>
  <c r="A45" i="67"/>
  <c r="A44" i="67"/>
  <c r="A43" i="67"/>
  <c r="H42" i="67"/>
  <c r="H43" i="67" s="1"/>
  <c r="H44" i="67" s="1"/>
  <c r="H45" i="67" s="1"/>
  <c r="A42" i="67"/>
  <c r="H23" i="67"/>
  <c r="A23" i="67"/>
  <c r="A22" i="67"/>
  <c r="N14" i="67"/>
  <c r="A14" i="67"/>
  <c r="A13" i="67"/>
  <c r="F13" i="67" s="1"/>
  <c r="H12" i="67"/>
  <c r="H13" i="67" s="1"/>
  <c r="H14" i="67" s="1"/>
  <c r="A12" i="67"/>
  <c r="F12" i="67" s="1"/>
  <c r="A11" i="67"/>
  <c r="F11" i="67" s="1"/>
  <c r="C7" i="67"/>
  <c r="J6" i="67"/>
  <c r="A46" i="68"/>
  <c r="A45" i="68"/>
  <c r="A44" i="68"/>
  <c r="H43" i="68"/>
  <c r="H44" i="68" s="1"/>
  <c r="H45" i="68" s="1"/>
  <c r="H46" i="68" s="1"/>
  <c r="A43" i="68"/>
  <c r="A36" i="68"/>
  <c r="H24" i="68"/>
  <c r="A24" i="68"/>
  <c r="H23" i="68"/>
  <c r="A23" i="68"/>
  <c r="L22" i="68"/>
  <c r="H22" i="68"/>
  <c r="A22" i="68"/>
  <c r="N14" i="68"/>
  <c r="H14" i="68"/>
  <c r="A14" i="68"/>
  <c r="H13" i="68"/>
  <c r="A13" i="68"/>
  <c r="F13" i="68" s="1"/>
  <c r="H12" i="68"/>
  <c r="A12" i="68"/>
  <c r="F12" i="68" s="1"/>
  <c r="A11" i="68"/>
  <c r="C7" i="68"/>
  <c r="J6" i="68"/>
  <c r="A46" i="69"/>
  <c r="A45" i="69"/>
  <c r="A44" i="69"/>
  <c r="H43" i="69"/>
  <c r="H44" i="69" s="1"/>
  <c r="H45" i="69" s="1"/>
  <c r="H46" i="69" s="1"/>
  <c r="A43" i="69"/>
  <c r="A36" i="69"/>
  <c r="H24" i="69"/>
  <c r="A24" i="69"/>
  <c r="H23" i="69"/>
  <c r="A23" i="69"/>
  <c r="H22" i="69"/>
  <c r="A22" i="69"/>
  <c r="G17" i="69"/>
  <c r="F17" i="69"/>
  <c r="G16" i="69"/>
  <c r="F16" i="69"/>
  <c r="H14" i="69"/>
  <c r="A14" i="69"/>
  <c r="H13" i="69"/>
  <c r="A13" i="69"/>
  <c r="F13" i="69" s="1"/>
  <c r="H12" i="69"/>
  <c r="A12" i="69"/>
  <c r="F12" i="69" s="1"/>
  <c r="A11" i="69"/>
  <c r="F11" i="69" s="1"/>
  <c r="C7" i="69"/>
  <c r="J6" i="69"/>
  <c r="A46" i="70"/>
  <c r="A45" i="70"/>
  <c r="A44" i="70"/>
  <c r="H43" i="70"/>
  <c r="H44" i="70" s="1"/>
  <c r="H45" i="70" s="1"/>
  <c r="H46" i="70" s="1"/>
  <c r="A43" i="70"/>
  <c r="A36" i="70"/>
  <c r="H24" i="70"/>
  <c r="A24" i="70"/>
  <c r="H23" i="70"/>
  <c r="A23" i="70"/>
  <c r="H22" i="70"/>
  <c r="A22" i="70"/>
  <c r="H14" i="70"/>
  <c r="A14" i="70"/>
  <c r="H13" i="70"/>
  <c r="A13" i="70"/>
  <c r="F13" i="70" s="1"/>
  <c r="H12" i="70"/>
  <c r="A12" i="70"/>
  <c r="A11" i="70"/>
  <c r="F11" i="70" s="1"/>
  <c r="C7" i="70"/>
  <c r="J6" i="70"/>
  <c r="A46" i="71"/>
  <c r="A45" i="71"/>
  <c r="A44" i="71"/>
  <c r="H43" i="71"/>
  <c r="H44" i="71" s="1"/>
  <c r="H45" i="71" s="1"/>
  <c r="H46" i="71" s="1"/>
  <c r="A43" i="71"/>
  <c r="A36" i="71"/>
  <c r="H24" i="71"/>
  <c r="A24" i="71"/>
  <c r="H23" i="71"/>
  <c r="A23" i="71"/>
  <c r="H22" i="71"/>
  <c r="A22" i="71"/>
  <c r="G17" i="71"/>
  <c r="F17" i="71"/>
  <c r="G16" i="71"/>
  <c r="F16" i="71"/>
  <c r="H14" i="71"/>
  <c r="A14" i="71"/>
  <c r="H13" i="71"/>
  <c r="A13" i="71"/>
  <c r="F13" i="71" s="1"/>
  <c r="H12" i="71"/>
  <c r="A12" i="71"/>
  <c r="F12" i="71" s="1"/>
  <c r="A11" i="71"/>
  <c r="F11" i="71" s="1"/>
  <c r="C7" i="71"/>
  <c r="J6" i="71"/>
  <c r="A46" i="130"/>
  <c r="A45" i="130"/>
  <c r="A44" i="130"/>
  <c r="H43" i="130"/>
  <c r="H44" i="130" s="1"/>
  <c r="H45" i="130" s="1"/>
  <c r="H46" i="130" s="1"/>
  <c r="A43" i="130"/>
  <c r="A36" i="130"/>
  <c r="H24" i="130"/>
  <c r="A24" i="130"/>
  <c r="H22" i="130"/>
  <c r="A22" i="130"/>
  <c r="G17" i="130"/>
  <c r="F17" i="130"/>
  <c r="G16" i="130"/>
  <c r="F16" i="130"/>
  <c r="H14" i="130"/>
  <c r="A14" i="130"/>
  <c r="H13" i="130"/>
  <c r="A13" i="130"/>
  <c r="F13" i="130" s="1"/>
  <c r="H12" i="130"/>
  <c r="A12" i="130"/>
  <c r="A11" i="130"/>
  <c r="F11" i="130" s="1"/>
  <c r="C7" i="130"/>
  <c r="J6" i="130"/>
  <c r="A44" i="73"/>
  <c r="H43" i="73"/>
  <c r="A43" i="73"/>
  <c r="H42" i="73"/>
  <c r="A42" i="73"/>
  <c r="A35" i="73"/>
  <c r="A23" i="73"/>
  <c r="A22" i="73"/>
  <c r="A21" i="73"/>
  <c r="H16" i="73"/>
  <c r="G16" i="73"/>
  <c r="F16" i="73"/>
  <c r="F14" i="73"/>
  <c r="H13" i="73"/>
  <c r="A13" i="73"/>
  <c r="H12" i="73"/>
  <c r="H44" i="73" s="1"/>
  <c r="A12" i="73"/>
  <c r="F12" i="73" s="1"/>
  <c r="A11" i="73"/>
  <c r="F11" i="73" s="1"/>
  <c r="C7" i="73"/>
  <c r="J6" i="73"/>
  <c r="A44" i="131"/>
  <c r="H43" i="131"/>
  <c r="A43" i="131"/>
  <c r="H42" i="131"/>
  <c r="A42" i="131"/>
  <c r="A35" i="131"/>
  <c r="A23" i="131"/>
  <c r="A21" i="131"/>
  <c r="H16" i="131"/>
  <c r="G16" i="131"/>
  <c r="F16" i="131"/>
  <c r="F14" i="131"/>
  <c r="A13" i="131"/>
  <c r="H12" i="131"/>
  <c r="A12" i="131"/>
  <c r="F12" i="131" s="1"/>
  <c r="A11" i="131"/>
  <c r="F11" i="131" s="1"/>
  <c r="C7" i="131"/>
  <c r="J6" i="131"/>
  <c r="A44" i="132"/>
  <c r="H43" i="132"/>
  <c r="H44" i="132" s="1"/>
  <c r="A43" i="132"/>
  <c r="H42" i="132"/>
  <c r="A42" i="132"/>
  <c r="A35" i="132"/>
  <c r="A22" i="132"/>
  <c r="A21" i="132"/>
  <c r="H16" i="132"/>
  <c r="G16" i="132"/>
  <c r="F16" i="132"/>
  <c r="F14" i="132"/>
  <c r="H13" i="132"/>
  <c r="A13" i="132"/>
  <c r="H12" i="132"/>
  <c r="A12" i="132"/>
  <c r="F12" i="132" s="1"/>
  <c r="A11" i="132"/>
  <c r="F11" i="132" s="1"/>
  <c r="C7" i="132"/>
  <c r="J6" i="132"/>
  <c r="A44" i="76"/>
  <c r="A36" i="76"/>
  <c r="A22" i="76"/>
  <c r="A12" i="76"/>
  <c r="F12" i="76" s="1"/>
  <c r="C7" i="76"/>
  <c r="J6" i="76"/>
  <c r="A44" i="77"/>
  <c r="A43" i="77"/>
  <c r="H42" i="77"/>
  <c r="H43" i="77" s="1"/>
  <c r="H44" i="77" s="1"/>
  <c r="A42" i="77"/>
  <c r="M40" i="77"/>
  <c r="A23" i="77"/>
  <c r="H22" i="77"/>
  <c r="A22" i="77"/>
  <c r="A21" i="77"/>
  <c r="G16" i="77"/>
  <c r="F16" i="77"/>
  <c r="G15" i="77"/>
  <c r="F15" i="77"/>
  <c r="A14" i="77"/>
  <c r="H13" i="77"/>
  <c r="A13" i="77"/>
  <c r="F13" i="77" s="1"/>
  <c r="H12" i="77"/>
  <c r="A12" i="77"/>
  <c r="F12" i="77" s="1"/>
  <c r="A11" i="77"/>
  <c r="F11" i="77" s="1"/>
  <c r="C7" i="77"/>
  <c r="J6" i="77"/>
  <c r="A45" i="78"/>
  <c r="A44" i="78"/>
  <c r="H43" i="78"/>
  <c r="H44" i="78" s="1"/>
  <c r="H45" i="78" s="1"/>
  <c r="A43" i="78"/>
  <c r="P40" i="78"/>
  <c r="O40" i="78"/>
  <c r="A25" i="78"/>
  <c r="A24" i="78"/>
  <c r="H23" i="78"/>
  <c r="A23" i="78"/>
  <c r="A22" i="78"/>
  <c r="H17" i="78"/>
  <c r="G17" i="78"/>
  <c r="F17" i="78"/>
  <c r="A15" i="78"/>
  <c r="F15" i="78" s="1"/>
  <c r="H14" i="78"/>
  <c r="A14" i="78"/>
  <c r="F14" i="78" s="1"/>
  <c r="H13" i="78"/>
  <c r="A13" i="78"/>
  <c r="F13" i="78" s="1"/>
  <c r="H12" i="78"/>
  <c r="A12" i="78"/>
  <c r="F12" i="78" s="1"/>
  <c r="M11" i="78"/>
  <c r="A11" i="78"/>
  <c r="F11" i="78" s="1"/>
  <c r="C7" i="78"/>
  <c r="J6" i="78"/>
  <c r="A45" i="79"/>
  <c r="A44" i="79"/>
  <c r="H43" i="79"/>
  <c r="H44" i="79" s="1"/>
  <c r="H45" i="79" s="1"/>
  <c r="A43" i="79"/>
  <c r="A24" i="79"/>
  <c r="H23" i="79"/>
  <c r="A23" i="79"/>
  <c r="A22" i="79"/>
  <c r="N21" i="79"/>
  <c r="H17" i="79"/>
  <c r="G17" i="79"/>
  <c r="F17" i="79"/>
  <c r="H16" i="79"/>
  <c r="G16" i="79"/>
  <c r="F16" i="79"/>
  <c r="H15" i="79"/>
  <c r="G15" i="79"/>
  <c r="F15" i="79"/>
  <c r="H13" i="79"/>
  <c r="A13" i="79"/>
  <c r="F13" i="79" s="1"/>
  <c r="H12" i="79"/>
  <c r="A12" i="79"/>
  <c r="F12" i="79" s="1"/>
  <c r="A11" i="79"/>
  <c r="E11" i="79" s="1"/>
  <c r="C7" i="79"/>
  <c r="J6" i="79"/>
  <c r="A45" i="133"/>
  <c r="A44" i="133"/>
  <c r="H43" i="133"/>
  <c r="H44" i="133" s="1"/>
  <c r="H45" i="133" s="1"/>
  <c r="A43" i="133"/>
  <c r="A25" i="133"/>
  <c r="A24" i="133"/>
  <c r="H23" i="133"/>
  <c r="A23" i="133"/>
  <c r="A22" i="133"/>
  <c r="H17" i="133"/>
  <c r="G17" i="133"/>
  <c r="F17" i="133"/>
  <c r="A15" i="133"/>
  <c r="F15" i="133" s="1"/>
  <c r="H14" i="133"/>
  <c r="A14" i="133"/>
  <c r="F14" i="133" s="1"/>
  <c r="H13" i="133"/>
  <c r="A13" i="133"/>
  <c r="F13" i="133" s="1"/>
  <c r="H12" i="133"/>
  <c r="A12" i="133"/>
  <c r="F12" i="133" s="1"/>
  <c r="A11" i="133"/>
  <c r="F11" i="133" s="1"/>
  <c r="C7" i="133"/>
  <c r="J6" i="133"/>
  <c r="A45" i="134"/>
  <c r="A44" i="134"/>
  <c r="H43" i="134"/>
  <c r="H44" i="134" s="1"/>
  <c r="H45" i="134" s="1"/>
  <c r="A43" i="134"/>
  <c r="A25" i="134"/>
  <c r="A24" i="134"/>
  <c r="H23" i="134"/>
  <c r="A23" i="134"/>
  <c r="A22" i="134"/>
  <c r="H17" i="134"/>
  <c r="G17" i="134"/>
  <c r="F17" i="134"/>
  <c r="A15" i="134"/>
  <c r="F15" i="134" s="1"/>
  <c r="H14" i="134"/>
  <c r="A14" i="134"/>
  <c r="F14" i="134" s="1"/>
  <c r="H13" i="134"/>
  <c r="A13" i="134"/>
  <c r="F13" i="134" s="1"/>
  <c r="H12" i="134"/>
  <c r="A12" i="134"/>
  <c r="F12" i="134" s="1"/>
  <c r="A11" i="134"/>
  <c r="F11" i="134" s="1"/>
  <c r="C7" i="134"/>
  <c r="J6" i="134"/>
  <c r="A45" i="82"/>
  <c r="A44" i="82"/>
  <c r="H43" i="82"/>
  <c r="A43" i="82"/>
  <c r="A25" i="82"/>
  <c r="A24" i="82"/>
  <c r="H23" i="82"/>
  <c r="A23" i="82"/>
  <c r="A22" i="82"/>
  <c r="H17" i="82"/>
  <c r="G17" i="82"/>
  <c r="F17" i="82"/>
  <c r="H16" i="82"/>
  <c r="G16" i="82"/>
  <c r="F16" i="82"/>
  <c r="A15" i="82"/>
  <c r="F15" i="82" s="1"/>
  <c r="H14" i="82"/>
  <c r="A14" i="82"/>
  <c r="F14" i="82" s="1"/>
  <c r="H13" i="82"/>
  <c r="H45" i="82" s="1"/>
  <c r="A13" i="82"/>
  <c r="F13" i="82" s="1"/>
  <c r="H12" i="82"/>
  <c r="H44" i="82" s="1"/>
  <c r="A12" i="82"/>
  <c r="F12" i="82" s="1"/>
  <c r="A11" i="82"/>
  <c r="F11" i="82" s="1"/>
  <c r="C7" i="82"/>
  <c r="J6" i="82"/>
  <c r="A45" i="83"/>
  <c r="A44" i="83"/>
  <c r="H43" i="83"/>
  <c r="A43" i="83"/>
  <c r="A25" i="83"/>
  <c r="A24" i="83"/>
  <c r="H23" i="83"/>
  <c r="A23" i="83"/>
  <c r="A22" i="83"/>
  <c r="G17" i="83"/>
  <c r="F17" i="83"/>
  <c r="G16" i="83"/>
  <c r="F16" i="83"/>
  <c r="A15" i="83"/>
  <c r="F15" i="83" s="1"/>
  <c r="H14" i="83"/>
  <c r="A14" i="83"/>
  <c r="F14" i="83" s="1"/>
  <c r="H13" i="83"/>
  <c r="H45" i="83" s="1"/>
  <c r="A13" i="83"/>
  <c r="F13" i="83" s="1"/>
  <c r="H12" i="83"/>
  <c r="H44" i="83" s="1"/>
  <c r="A12" i="83"/>
  <c r="F12" i="83" s="1"/>
  <c r="A11" i="83"/>
  <c r="F11" i="83" s="1"/>
  <c r="J6" i="83"/>
  <c r="A45" i="84"/>
  <c r="A44" i="84"/>
  <c r="H43" i="84"/>
  <c r="H44" i="84" s="1"/>
  <c r="H45" i="84" s="1"/>
  <c r="A43" i="84"/>
  <c r="M37" i="84"/>
  <c r="M36" i="84"/>
  <c r="N36" i="84" s="1"/>
  <c r="A25" i="84"/>
  <c r="A24" i="84"/>
  <c r="H23" i="84"/>
  <c r="A23" i="84"/>
  <c r="A22" i="84"/>
  <c r="A15" i="84"/>
  <c r="F15" i="84" s="1"/>
  <c r="H14" i="84"/>
  <c r="A14" i="84"/>
  <c r="H13" i="84"/>
  <c r="A13" i="84"/>
  <c r="F13" i="84" s="1"/>
  <c r="H12" i="84"/>
  <c r="A12" i="84"/>
  <c r="F12" i="84" s="1"/>
  <c r="A11" i="84"/>
  <c r="C7" i="84"/>
  <c r="J6" i="84"/>
  <c r="A45" i="86"/>
  <c r="H44" i="86"/>
  <c r="H45" i="86" s="1"/>
  <c r="A44" i="86"/>
  <c r="A43" i="86"/>
  <c r="M35" i="86"/>
  <c r="N35" i="86" s="1"/>
  <c r="A26" i="86"/>
  <c r="A25" i="86"/>
  <c r="A24" i="86"/>
  <c r="H23" i="86"/>
  <c r="A23" i="86"/>
  <c r="A22" i="86"/>
  <c r="H17" i="86"/>
  <c r="G17" i="86"/>
  <c r="F17" i="86"/>
  <c r="H16" i="86"/>
  <c r="G16" i="86"/>
  <c r="F16" i="86"/>
  <c r="A15" i="86"/>
  <c r="F15" i="86" s="1"/>
  <c r="H14" i="86"/>
  <c r="A14" i="86"/>
  <c r="F14" i="86" s="1"/>
  <c r="H13" i="86"/>
  <c r="A13" i="86"/>
  <c r="F13" i="86" s="1"/>
  <c r="H12" i="86"/>
  <c r="A12" i="86"/>
  <c r="F12" i="86" s="1"/>
  <c r="F11" i="86"/>
  <c r="A11" i="86"/>
  <c r="M10" i="86"/>
  <c r="M8" i="86"/>
  <c r="C7" i="86"/>
  <c r="J6" i="86"/>
  <c r="A45" i="88"/>
  <c r="A44" i="88"/>
  <c r="H43" i="88"/>
  <c r="H44" i="88" s="1"/>
  <c r="H45" i="88" s="1"/>
  <c r="A43" i="88"/>
  <c r="M29" i="88"/>
  <c r="L25" i="88"/>
  <c r="A25" i="88"/>
  <c r="A23" i="88"/>
  <c r="A22" i="88"/>
  <c r="H17" i="88"/>
  <c r="G17" i="88"/>
  <c r="F17" i="88"/>
  <c r="H16" i="88"/>
  <c r="G16" i="88"/>
  <c r="F16" i="88"/>
  <c r="A15" i="88"/>
  <c r="F15" i="88" s="1"/>
  <c r="A14" i="88"/>
  <c r="F14" i="88" s="1"/>
  <c r="A13" i="88"/>
  <c r="F13" i="88" s="1"/>
  <c r="H12" i="88"/>
  <c r="H13" i="88" s="1"/>
  <c r="H14" i="88" s="1"/>
  <c r="A12" i="88"/>
  <c r="F12" i="88" s="1"/>
  <c r="A11" i="88"/>
  <c r="C7" i="88"/>
  <c r="J6" i="88"/>
  <c r="A45" i="89"/>
  <c r="A44" i="89"/>
  <c r="H43" i="89"/>
  <c r="H44" i="89" s="1"/>
  <c r="H45" i="89" s="1"/>
  <c r="A43" i="89"/>
  <c r="A26" i="89"/>
  <c r="A25" i="89"/>
  <c r="A24" i="89"/>
  <c r="A23" i="89"/>
  <c r="A22" i="89"/>
  <c r="H17" i="89"/>
  <c r="G17" i="89"/>
  <c r="F17" i="89"/>
  <c r="H16" i="89"/>
  <c r="G16" i="89"/>
  <c r="F16" i="89"/>
  <c r="A15" i="89"/>
  <c r="F15" i="89" s="1"/>
  <c r="H14" i="89"/>
  <c r="A14" i="89"/>
  <c r="F14" i="89" s="1"/>
  <c r="H13" i="89"/>
  <c r="A13" i="89"/>
  <c r="F13" i="89" s="1"/>
  <c r="H12" i="89"/>
  <c r="A12" i="89"/>
  <c r="F12" i="89" s="1"/>
  <c r="A11" i="89"/>
  <c r="C7" i="89"/>
  <c r="J6" i="89"/>
  <c r="A45" i="90"/>
  <c r="A44" i="90"/>
  <c r="H43" i="90"/>
  <c r="A43" i="90"/>
  <c r="A26" i="90"/>
  <c r="A25" i="90"/>
  <c r="A24" i="90"/>
  <c r="A23" i="90"/>
  <c r="A22" i="90"/>
  <c r="H17" i="90"/>
  <c r="G17" i="90"/>
  <c r="F17" i="90"/>
  <c r="H16" i="90"/>
  <c r="G16" i="90"/>
  <c r="F16" i="90"/>
  <c r="A15" i="90"/>
  <c r="F15" i="90" s="1"/>
  <c r="H14" i="90"/>
  <c r="A14" i="90"/>
  <c r="F14" i="90" s="1"/>
  <c r="H13" i="90"/>
  <c r="H45" i="90" s="1"/>
  <c r="A13" i="90"/>
  <c r="F13" i="90" s="1"/>
  <c r="H12" i="90"/>
  <c r="H44" i="90" s="1"/>
  <c r="A12" i="90"/>
  <c r="F12" i="90" s="1"/>
  <c r="A11" i="90"/>
  <c r="C7" i="90"/>
  <c r="J6" i="90"/>
  <c r="A45" i="91"/>
  <c r="A44" i="91"/>
  <c r="H43" i="91"/>
  <c r="H44" i="91" s="1"/>
  <c r="H45" i="91" s="1"/>
  <c r="A43" i="91"/>
  <c r="M36" i="91"/>
  <c r="A28" i="91"/>
  <c r="H27" i="91"/>
  <c r="A26" i="91"/>
  <c r="A25" i="91"/>
  <c r="A24" i="91"/>
  <c r="A23" i="91"/>
  <c r="A22" i="91"/>
  <c r="H17" i="91"/>
  <c r="G17" i="91"/>
  <c r="F17" i="91"/>
  <c r="H16" i="91"/>
  <c r="G16" i="91"/>
  <c r="F16" i="91"/>
  <c r="A15" i="91"/>
  <c r="F15" i="91" s="1"/>
  <c r="A14" i="91"/>
  <c r="F14" i="91" s="1"/>
  <c r="A13" i="91"/>
  <c r="F13" i="91" s="1"/>
  <c r="H12" i="91"/>
  <c r="H13" i="91" s="1"/>
  <c r="H14" i="91" s="1"/>
  <c r="A12" i="91"/>
  <c r="F12" i="91" s="1"/>
  <c r="A11" i="91"/>
  <c r="F11" i="91" s="1"/>
  <c r="C7" i="91"/>
  <c r="J6" i="91"/>
  <c r="A45" i="92"/>
  <c r="A44" i="92"/>
  <c r="H43" i="92"/>
  <c r="H44" i="92" s="1"/>
  <c r="H45" i="92" s="1"/>
  <c r="A43" i="92"/>
  <c r="A25" i="92"/>
  <c r="A24" i="92"/>
  <c r="A23" i="92"/>
  <c r="H17" i="92"/>
  <c r="G17" i="92"/>
  <c r="F17" i="92"/>
  <c r="G16" i="92"/>
  <c r="F16" i="92"/>
  <c r="A15" i="92"/>
  <c r="F15" i="92" s="1"/>
  <c r="F14" i="92"/>
  <c r="A13" i="92"/>
  <c r="F13" i="92" s="1"/>
  <c r="H12" i="92"/>
  <c r="H13" i="92" s="1"/>
  <c r="A12" i="92"/>
  <c r="F12" i="92" s="1"/>
  <c r="A11" i="92"/>
  <c r="C7" i="92"/>
  <c r="J6" i="92"/>
  <c r="A45" i="135"/>
  <c r="A44" i="135"/>
  <c r="H43" i="135"/>
  <c r="H44" i="135" s="1"/>
  <c r="H45" i="135" s="1"/>
  <c r="A43" i="135"/>
  <c r="A25" i="135"/>
  <c r="G25" i="135" s="1"/>
  <c r="A24" i="135"/>
  <c r="G24" i="135" s="1"/>
  <c r="A23" i="135"/>
  <c r="G23" i="135" s="1"/>
  <c r="H17" i="135"/>
  <c r="G17" i="135"/>
  <c r="F17" i="135"/>
  <c r="G16" i="135"/>
  <c r="F16" i="135"/>
  <c r="A15" i="135"/>
  <c r="F15" i="135" s="1"/>
  <c r="F14" i="135"/>
  <c r="A13" i="135"/>
  <c r="F13" i="135" s="1"/>
  <c r="H12" i="135"/>
  <c r="H13" i="135" s="1"/>
  <c r="A12" i="135"/>
  <c r="F12" i="135" s="1"/>
  <c r="A11" i="135"/>
  <c r="F11" i="135" s="1"/>
  <c r="C7" i="135"/>
  <c r="J6" i="135"/>
  <c r="A45" i="137"/>
  <c r="A44" i="137"/>
  <c r="H43" i="137"/>
  <c r="H44" i="137" s="1"/>
  <c r="H45" i="137" s="1"/>
  <c r="A43" i="137"/>
  <c r="A25" i="137"/>
  <c r="G25" i="137" s="1"/>
  <c r="A24" i="137"/>
  <c r="G24" i="137" s="1"/>
  <c r="A23" i="137"/>
  <c r="G23" i="137" s="1"/>
  <c r="G22" i="137"/>
  <c r="H17" i="137"/>
  <c r="G17" i="137"/>
  <c r="F17" i="137"/>
  <c r="G16" i="137"/>
  <c r="F16" i="137"/>
  <c r="A15" i="137"/>
  <c r="F15" i="137" s="1"/>
  <c r="F14" i="137"/>
  <c r="A13" i="137"/>
  <c r="F13" i="137" s="1"/>
  <c r="H12" i="137"/>
  <c r="H13" i="137" s="1"/>
  <c r="A12" i="137"/>
  <c r="F12" i="137" s="1"/>
  <c r="A11" i="137"/>
  <c r="F11" i="137" s="1"/>
  <c r="C7" i="137"/>
  <c r="J6" i="137"/>
  <c r="A45" i="95"/>
  <c r="A44" i="95"/>
  <c r="H43" i="95"/>
  <c r="H44" i="95" s="1"/>
  <c r="H45" i="95" s="1"/>
  <c r="A43" i="95"/>
  <c r="A26" i="95"/>
  <c r="A25" i="95"/>
  <c r="A24" i="95"/>
  <c r="A23" i="95"/>
  <c r="G23" i="95" s="1"/>
  <c r="A22" i="95"/>
  <c r="H17" i="95"/>
  <c r="G17" i="95"/>
  <c r="F17" i="95"/>
  <c r="H16" i="95"/>
  <c r="G16" i="95"/>
  <c r="F16" i="95"/>
  <c r="O14" i="95"/>
  <c r="H14" i="95"/>
  <c r="A14" i="95"/>
  <c r="F14" i="95" s="1"/>
  <c r="H13" i="95"/>
  <c r="A13" i="95"/>
  <c r="F13" i="95" s="1"/>
  <c r="H12" i="95"/>
  <c r="A12" i="95"/>
  <c r="F12" i="95" s="1"/>
  <c r="A11" i="95"/>
  <c r="F11" i="95" s="1"/>
  <c r="Q7" i="95"/>
  <c r="P7" i="95"/>
  <c r="C7" i="95"/>
  <c r="J6" i="95"/>
  <c r="A45" i="96"/>
  <c r="A44" i="96"/>
  <c r="H43" i="96"/>
  <c r="A43" i="96"/>
  <c r="A26" i="96"/>
  <c r="G26" i="96" s="1"/>
  <c r="A25" i="96"/>
  <c r="A24" i="96"/>
  <c r="G24" i="96" s="1"/>
  <c r="A23" i="96"/>
  <c r="A22" i="96"/>
  <c r="H17" i="96"/>
  <c r="G17" i="96"/>
  <c r="F17" i="96"/>
  <c r="H16" i="96"/>
  <c r="G16" i="96"/>
  <c r="F16" i="96"/>
  <c r="H14" i="96"/>
  <c r="A14" i="96"/>
  <c r="F14" i="96" s="1"/>
  <c r="H13" i="96"/>
  <c r="A13" i="96"/>
  <c r="F13" i="96" s="1"/>
  <c r="H12" i="96"/>
  <c r="H44" i="96" s="1"/>
  <c r="A12" i="96"/>
  <c r="F12" i="96" s="1"/>
  <c r="A11" i="96"/>
  <c r="F11" i="96" s="1"/>
  <c r="C7" i="96"/>
  <c r="J6" i="96"/>
  <c r="A45" i="97"/>
  <c r="A44" i="97"/>
  <c r="H43" i="97"/>
  <c r="H44" i="97" s="1"/>
  <c r="A43" i="97"/>
  <c r="A26" i="97"/>
  <c r="A25" i="97"/>
  <c r="A24" i="97"/>
  <c r="N23" i="97"/>
  <c r="A23" i="97"/>
  <c r="A22" i="97"/>
  <c r="H17" i="97"/>
  <c r="G17" i="97"/>
  <c r="F17" i="97"/>
  <c r="H16" i="97"/>
  <c r="G16" i="97"/>
  <c r="F16" i="97"/>
  <c r="A15" i="97"/>
  <c r="F15" i="97" s="1"/>
  <c r="H14" i="97"/>
  <c r="A14" i="97"/>
  <c r="F14" i="97" s="1"/>
  <c r="H13" i="97"/>
  <c r="A13" i="97"/>
  <c r="F13" i="97" s="1"/>
  <c r="H12" i="97"/>
  <c r="A12" i="97"/>
  <c r="F12" i="97" s="1"/>
  <c r="A11" i="97"/>
  <c r="F11" i="97" s="1"/>
  <c r="C7" i="97"/>
  <c r="J6" i="97"/>
  <c r="A45" i="98"/>
  <c r="H44" i="98"/>
  <c r="H45" i="98" s="1"/>
  <c r="A44" i="98"/>
  <c r="A43" i="98"/>
  <c r="H23" i="98"/>
  <c r="A23" i="98"/>
  <c r="A22" i="98"/>
  <c r="H17" i="98"/>
  <c r="G17" i="98"/>
  <c r="F17" i="98"/>
  <c r="H16" i="98"/>
  <c r="G16" i="98"/>
  <c r="F16" i="98"/>
  <c r="G15" i="98"/>
  <c r="F15" i="98"/>
  <c r="G14" i="98"/>
  <c r="F14" i="98"/>
  <c r="A13" i="98"/>
  <c r="F13" i="98" s="1"/>
  <c r="A12" i="98"/>
  <c r="F12" i="98" s="1"/>
  <c r="C7" i="98"/>
  <c r="J6" i="98"/>
  <c r="H44" i="99"/>
  <c r="A44" i="99"/>
  <c r="A43" i="99"/>
  <c r="H23" i="99"/>
  <c r="A23" i="99"/>
  <c r="A22" i="99"/>
  <c r="H17" i="99"/>
  <c r="G17" i="99"/>
  <c r="F17" i="99"/>
  <c r="H16" i="99"/>
  <c r="G16" i="99"/>
  <c r="F16" i="99"/>
  <c r="G15" i="99"/>
  <c r="F15" i="99"/>
  <c r="G14" i="99"/>
  <c r="F14" i="99"/>
  <c r="G13" i="99"/>
  <c r="F13" i="99"/>
  <c r="G12" i="99"/>
  <c r="F12" i="99"/>
  <c r="A11" i="99"/>
  <c r="F11" i="99" s="1"/>
  <c r="C7" i="99"/>
  <c r="J6" i="99"/>
  <c r="H44" i="100"/>
  <c r="A44" i="100"/>
  <c r="A43" i="100"/>
  <c r="H23" i="100"/>
  <c r="A23" i="100"/>
  <c r="A22" i="100"/>
  <c r="H17" i="100"/>
  <c r="G17" i="100"/>
  <c r="F17" i="100"/>
  <c r="H16" i="100"/>
  <c r="G16" i="100"/>
  <c r="F16" i="100"/>
  <c r="G15" i="100"/>
  <c r="F15" i="100"/>
  <c r="G14" i="100"/>
  <c r="F14" i="100"/>
  <c r="G13" i="100"/>
  <c r="F13" i="100"/>
  <c r="G12" i="100"/>
  <c r="F12" i="100"/>
  <c r="A11" i="100"/>
  <c r="F11" i="100" s="1"/>
  <c r="C7" i="100"/>
  <c r="J6" i="100"/>
  <c r="H44" i="101"/>
  <c r="A44" i="101"/>
  <c r="A43" i="101"/>
  <c r="A22" i="101"/>
  <c r="H17" i="101"/>
  <c r="G17" i="101"/>
  <c r="F17" i="101"/>
  <c r="H16" i="101"/>
  <c r="G16" i="101"/>
  <c r="F16" i="101"/>
  <c r="G15" i="101"/>
  <c r="F15" i="101"/>
  <c r="G14" i="101"/>
  <c r="F14" i="101"/>
  <c r="G13" i="101"/>
  <c r="F13" i="101"/>
  <c r="G12" i="101"/>
  <c r="F12" i="101"/>
  <c r="A11" i="101"/>
  <c r="F11" i="101" s="1"/>
  <c r="C7" i="101"/>
  <c r="J6" i="101"/>
  <c r="A47" i="102"/>
  <c r="A46" i="102"/>
  <c r="A45" i="102"/>
  <c r="H44" i="102"/>
  <c r="H45" i="102" s="1"/>
  <c r="H46" i="102" s="1"/>
  <c r="H47" i="102" s="1"/>
  <c r="A44" i="102"/>
  <c r="A43" i="102"/>
  <c r="H27" i="102"/>
  <c r="L26" i="102"/>
  <c r="H26" i="102"/>
  <c r="A26" i="102"/>
  <c r="A25" i="102"/>
  <c r="A24" i="102"/>
  <c r="A23" i="102"/>
  <c r="A22" i="102"/>
  <c r="H17" i="102"/>
  <c r="G17" i="102"/>
  <c r="F17" i="102"/>
  <c r="H16" i="102"/>
  <c r="G16" i="102"/>
  <c r="F16" i="102"/>
  <c r="G15" i="102"/>
  <c r="F15" i="102"/>
  <c r="A14" i="102"/>
  <c r="F14" i="102" s="1"/>
  <c r="H13" i="102"/>
  <c r="H14" i="102" s="1"/>
  <c r="A13" i="102"/>
  <c r="F13" i="102" s="1"/>
  <c r="A12" i="102"/>
  <c r="A11" i="102"/>
  <c r="F11" i="102" s="1"/>
  <c r="M7" i="102"/>
  <c r="C7" i="102"/>
  <c r="J6" i="102"/>
  <c r="H48" i="103"/>
  <c r="E48" i="103"/>
  <c r="G48" i="103" s="1"/>
  <c r="H47" i="103"/>
  <c r="E47" i="103"/>
  <c r="G47" i="103" s="1"/>
  <c r="H46" i="103"/>
  <c r="E46" i="103"/>
  <c r="G46" i="103" s="1"/>
  <c r="H45" i="103"/>
  <c r="E45" i="103"/>
  <c r="G45" i="103" s="1"/>
  <c r="H44" i="103"/>
  <c r="A44" i="103"/>
  <c r="A43" i="103"/>
  <c r="H38" i="103"/>
  <c r="I38" i="103" s="1"/>
  <c r="J38" i="103" s="1"/>
  <c r="H37" i="103"/>
  <c r="I37" i="103" s="1"/>
  <c r="J37" i="103" s="1"/>
  <c r="G36" i="103"/>
  <c r="L36" i="103" s="1"/>
  <c r="I31" i="103"/>
  <c r="J31" i="103" s="1"/>
  <c r="I30" i="103"/>
  <c r="J30" i="103" s="1"/>
  <c r="I29" i="103"/>
  <c r="J29" i="103" s="1"/>
  <c r="I28" i="103"/>
  <c r="J28" i="103" s="1"/>
  <c r="I27" i="103"/>
  <c r="J27" i="103" s="1"/>
  <c r="I26" i="103"/>
  <c r="J26" i="103" s="1"/>
  <c r="I25" i="103"/>
  <c r="J25" i="103" s="1"/>
  <c r="I24" i="103"/>
  <c r="J24" i="103" s="1"/>
  <c r="I23" i="103"/>
  <c r="J23" i="103" s="1"/>
  <c r="A22" i="103"/>
  <c r="I22" i="103" s="1"/>
  <c r="J22" i="103" s="1"/>
  <c r="H17" i="103"/>
  <c r="G17" i="103"/>
  <c r="F17" i="103"/>
  <c r="H16" i="103"/>
  <c r="G16" i="103"/>
  <c r="F16" i="103"/>
  <c r="G15" i="103"/>
  <c r="I15" i="103" s="1"/>
  <c r="J15" i="103" s="1"/>
  <c r="F15" i="103"/>
  <c r="G14" i="103"/>
  <c r="I14" i="103" s="1"/>
  <c r="J14" i="103" s="1"/>
  <c r="F14" i="103"/>
  <c r="G13" i="103"/>
  <c r="I13" i="103" s="1"/>
  <c r="J13" i="103" s="1"/>
  <c r="F13" i="103"/>
  <c r="G12" i="103"/>
  <c r="I12" i="103" s="1"/>
  <c r="J12" i="103" s="1"/>
  <c r="F12" i="103"/>
  <c r="A11" i="103"/>
  <c r="F11" i="103" s="1"/>
  <c r="C7" i="103"/>
  <c r="J6" i="103"/>
  <c r="H44" i="104"/>
  <c r="A44" i="104"/>
  <c r="A43" i="104"/>
  <c r="H25" i="104"/>
  <c r="A25" i="104"/>
  <c r="H24" i="104"/>
  <c r="A24" i="104"/>
  <c r="H23" i="104"/>
  <c r="A23" i="104"/>
  <c r="A22" i="104"/>
  <c r="H17" i="104"/>
  <c r="G17" i="104"/>
  <c r="F17" i="104"/>
  <c r="H16" i="104"/>
  <c r="G16" i="104"/>
  <c r="F16" i="104"/>
  <c r="G15" i="104"/>
  <c r="F15" i="104"/>
  <c r="G14" i="104"/>
  <c r="F14" i="104"/>
  <c r="G13" i="104"/>
  <c r="F13" i="104"/>
  <c r="G12" i="104"/>
  <c r="F12" i="104"/>
  <c r="A11" i="104"/>
  <c r="F11" i="104" s="1"/>
  <c r="C7" i="104"/>
  <c r="J6" i="104"/>
  <c r="A45" i="105"/>
  <c r="A44" i="105"/>
  <c r="H43" i="105"/>
  <c r="H44" i="105" s="1"/>
  <c r="A43" i="105"/>
  <c r="M36" i="105"/>
  <c r="A23" i="105"/>
  <c r="A22" i="105"/>
  <c r="H17" i="105"/>
  <c r="G17" i="105"/>
  <c r="F17" i="105"/>
  <c r="H16" i="105"/>
  <c r="G16" i="105"/>
  <c r="F16" i="105"/>
  <c r="G15" i="105"/>
  <c r="F15" i="105"/>
  <c r="H14" i="105"/>
  <c r="A14" i="105"/>
  <c r="F14" i="105" s="1"/>
  <c r="H13" i="105"/>
  <c r="A13" i="105"/>
  <c r="F13" i="105" s="1"/>
  <c r="A12" i="105"/>
  <c r="F12" i="105" s="1"/>
  <c r="A11" i="105"/>
  <c r="F11" i="105" s="1"/>
  <c r="C7" i="105"/>
  <c r="J6" i="105"/>
  <c r="A45" i="106"/>
  <c r="H44" i="106"/>
  <c r="H45" i="106" s="1"/>
  <c r="A44" i="106"/>
  <c r="A43" i="106"/>
  <c r="H17" i="106"/>
  <c r="G17" i="106"/>
  <c r="F17" i="106"/>
  <c r="H16" i="106"/>
  <c r="G16" i="106"/>
  <c r="F16" i="106"/>
  <c r="G15" i="106"/>
  <c r="F15" i="106"/>
  <c r="G14" i="106"/>
  <c r="F14" i="106"/>
  <c r="G13" i="106"/>
  <c r="F13" i="106"/>
  <c r="A12" i="106"/>
  <c r="F12" i="106" s="1"/>
  <c r="A11" i="106"/>
  <c r="F11" i="106" s="1"/>
  <c r="C7" i="106"/>
  <c r="J6" i="106"/>
  <c r="A45" i="107"/>
  <c r="H44" i="107"/>
  <c r="H45" i="107" s="1"/>
  <c r="A44" i="107"/>
  <c r="A43" i="107"/>
  <c r="M35" i="107"/>
  <c r="M37" i="107" s="1"/>
  <c r="H17" i="107"/>
  <c r="G17" i="107"/>
  <c r="F17" i="107"/>
  <c r="H16" i="107"/>
  <c r="G16" i="107"/>
  <c r="F16" i="107"/>
  <c r="G15" i="107"/>
  <c r="F15" i="107"/>
  <c r="G14" i="107"/>
  <c r="F14" i="107"/>
  <c r="G13" i="107"/>
  <c r="F13" i="107"/>
  <c r="A12" i="107"/>
  <c r="F12" i="107" s="1"/>
  <c r="A11" i="107"/>
  <c r="F11" i="107" s="1"/>
  <c r="C7" i="107"/>
  <c r="J6" i="107"/>
  <c r="A45" i="108"/>
  <c r="A44" i="108"/>
  <c r="H43" i="108"/>
  <c r="H44" i="108" s="1"/>
  <c r="H45" i="108" s="1"/>
  <c r="A43" i="108"/>
  <c r="H17" i="108"/>
  <c r="G17" i="108"/>
  <c r="F17" i="108"/>
  <c r="H16" i="108"/>
  <c r="G16" i="108"/>
  <c r="F16" i="108"/>
  <c r="G15" i="108"/>
  <c r="F15" i="108"/>
  <c r="A14" i="108"/>
  <c r="F14" i="108" s="1"/>
  <c r="H13" i="108"/>
  <c r="H14" i="108" s="1"/>
  <c r="A13" i="108"/>
  <c r="F13" i="108" s="1"/>
  <c r="A12" i="108"/>
  <c r="F12" i="108" s="1"/>
  <c r="A11" i="108"/>
  <c r="F11" i="108" s="1"/>
  <c r="C7" i="108"/>
  <c r="J6" i="108"/>
  <c r="A48" i="109"/>
  <c r="A47" i="109"/>
  <c r="H46" i="109"/>
  <c r="H47" i="109" s="1"/>
  <c r="H48" i="109" s="1"/>
  <c r="A46" i="109"/>
  <c r="H16" i="109"/>
  <c r="A16" i="109"/>
  <c r="F16" i="109" s="1"/>
  <c r="H15" i="109"/>
  <c r="A15" i="109"/>
  <c r="H14" i="109"/>
  <c r="A14" i="109"/>
  <c r="F14" i="109" s="1"/>
  <c r="A13" i="109"/>
  <c r="F13" i="109" s="1"/>
  <c r="H12" i="109"/>
  <c r="A12" i="109"/>
  <c r="F12" i="109" s="1"/>
  <c r="A11" i="109"/>
  <c r="F11" i="109" s="1"/>
  <c r="C7" i="109"/>
  <c r="J6" i="109"/>
  <c r="A44" i="110"/>
  <c r="H43" i="110"/>
  <c r="H44" i="110" s="1"/>
  <c r="A43" i="110"/>
  <c r="A36" i="110"/>
  <c r="H17" i="110"/>
  <c r="G17" i="110"/>
  <c r="F17" i="110"/>
  <c r="H16" i="110"/>
  <c r="G16" i="110"/>
  <c r="F16" i="110"/>
  <c r="F15" i="110"/>
  <c r="H14" i="110"/>
  <c r="A14" i="110"/>
  <c r="F14" i="110" s="1"/>
  <c r="A13" i="110"/>
  <c r="F13" i="110" s="1"/>
  <c r="H12" i="110"/>
  <c r="A12" i="110"/>
  <c r="F12" i="110" s="1"/>
  <c r="A11" i="110"/>
  <c r="C7" i="110"/>
  <c r="J6" i="110"/>
  <c r="A46" i="111"/>
  <c r="A45" i="111"/>
  <c r="A44" i="111"/>
  <c r="H43" i="111"/>
  <c r="A43" i="111"/>
  <c r="A36" i="111"/>
  <c r="G17" i="111"/>
  <c r="F17" i="111"/>
  <c r="G16" i="111"/>
  <c r="F16" i="111"/>
  <c r="G15" i="111"/>
  <c r="F15" i="111"/>
  <c r="G14" i="111"/>
  <c r="F14" i="111"/>
  <c r="G13" i="111"/>
  <c r="F13" i="111"/>
  <c r="H12" i="111"/>
  <c r="A12" i="111"/>
  <c r="F12" i="111" s="1"/>
  <c r="A11" i="111"/>
  <c r="F11" i="111" s="1"/>
  <c r="C7" i="111"/>
  <c r="J6" i="111"/>
  <c r="H44" i="138"/>
  <c r="A44" i="138"/>
  <c r="A43" i="138"/>
  <c r="M36" i="138"/>
  <c r="A23" i="138"/>
  <c r="H17" i="138"/>
  <c r="G17" i="138"/>
  <c r="F17" i="138"/>
  <c r="H16" i="138"/>
  <c r="G16" i="138"/>
  <c r="F16" i="138"/>
  <c r="G15" i="138"/>
  <c r="F15" i="138"/>
  <c r="G14" i="138"/>
  <c r="F14" i="138"/>
  <c r="G13" i="138"/>
  <c r="F13" i="138"/>
  <c r="G12" i="138"/>
  <c r="F12" i="138"/>
  <c r="A11" i="138"/>
  <c r="F11" i="138" s="1"/>
  <c r="C7" i="138"/>
  <c r="J6" i="138"/>
  <c r="A45" i="144"/>
  <c r="A44" i="144"/>
  <c r="A43" i="144"/>
  <c r="M36" i="144"/>
  <c r="A26" i="144"/>
  <c r="A25" i="144"/>
  <c r="A24" i="144"/>
  <c r="A23" i="144"/>
  <c r="A22" i="144"/>
  <c r="H17" i="144"/>
  <c r="G17" i="144"/>
  <c r="F17" i="144"/>
  <c r="H16" i="144"/>
  <c r="G16" i="144"/>
  <c r="F16" i="144"/>
  <c r="A15" i="144"/>
  <c r="F15" i="144" s="1"/>
  <c r="A14" i="144"/>
  <c r="F14" i="144" s="1"/>
  <c r="A13" i="144"/>
  <c r="F13" i="144" s="1"/>
  <c r="A12" i="144"/>
  <c r="F12" i="144" s="1"/>
  <c r="H11" i="144"/>
  <c r="H43" i="144" s="1"/>
  <c r="H44" i="144" s="1"/>
  <c r="H45" i="144" s="1"/>
  <c r="A11" i="144"/>
  <c r="F11" i="144" s="1"/>
  <c r="C7" i="144"/>
  <c r="J6" i="144"/>
  <c r="H45" i="146"/>
  <c r="A45" i="146"/>
  <c r="H44" i="146"/>
  <c r="A44" i="146"/>
  <c r="H43" i="146"/>
  <c r="A43" i="146"/>
  <c r="A26" i="146"/>
  <c r="A25" i="146"/>
  <c r="A24" i="146"/>
  <c r="A23" i="146"/>
  <c r="A22" i="146"/>
  <c r="H17" i="146"/>
  <c r="G17" i="146"/>
  <c r="F17" i="146"/>
  <c r="H16" i="146"/>
  <c r="G16" i="146"/>
  <c r="F16" i="146"/>
  <c r="A15" i="146"/>
  <c r="F15" i="146" s="1"/>
  <c r="A14" i="146"/>
  <c r="F14" i="146" s="1"/>
  <c r="A13" i="146"/>
  <c r="F13" i="146" s="1"/>
  <c r="A12" i="146"/>
  <c r="F12" i="146" s="1"/>
  <c r="A11" i="146"/>
  <c r="C7" i="146"/>
  <c r="J6" i="146"/>
  <c r="A45" i="145"/>
  <c r="H44" i="145"/>
  <c r="H45" i="145" s="1"/>
  <c r="A44" i="145"/>
  <c r="A43" i="145"/>
  <c r="M36" i="145"/>
  <c r="A26" i="145"/>
  <c r="A25" i="145"/>
  <c r="A24" i="145"/>
  <c r="A23" i="145"/>
  <c r="A22" i="145"/>
  <c r="H17" i="145"/>
  <c r="G17" i="145"/>
  <c r="F17" i="145"/>
  <c r="H16" i="145"/>
  <c r="G16" i="145"/>
  <c r="F16" i="145"/>
  <c r="A15" i="145"/>
  <c r="F15" i="145" s="1"/>
  <c r="A14" i="145"/>
  <c r="F14" i="145" s="1"/>
  <c r="A13" i="145"/>
  <c r="A12" i="145"/>
  <c r="F12" i="145" s="1"/>
  <c r="H11" i="145"/>
  <c r="H12" i="145" s="1"/>
  <c r="H13" i="145" s="1"/>
  <c r="H14" i="145" s="1"/>
  <c r="A11" i="145"/>
  <c r="F11" i="145" s="1"/>
  <c r="C7" i="145"/>
  <c r="J6" i="145"/>
  <c r="A45" i="147"/>
  <c r="A44" i="147"/>
  <c r="A43" i="147"/>
  <c r="A26" i="147"/>
  <c r="G26" i="147" s="1"/>
  <c r="A25" i="147"/>
  <c r="G25" i="147" s="1"/>
  <c r="A24" i="147"/>
  <c r="A23" i="147"/>
  <c r="G23" i="147" s="1"/>
  <c r="A22" i="147"/>
  <c r="G22" i="147" s="1"/>
  <c r="H17" i="147"/>
  <c r="G17" i="147"/>
  <c r="F17" i="147"/>
  <c r="H16" i="147"/>
  <c r="G16" i="147"/>
  <c r="F16" i="147"/>
  <c r="A14" i="147"/>
  <c r="F14" i="147" s="1"/>
  <c r="A13" i="147"/>
  <c r="F13" i="147" s="1"/>
  <c r="A12" i="147"/>
  <c r="F12" i="147" s="1"/>
  <c r="H11" i="147"/>
  <c r="H12" i="147" s="1"/>
  <c r="H13" i="147" s="1"/>
  <c r="H14" i="147" s="1"/>
  <c r="A11" i="147"/>
  <c r="F11" i="147" s="1"/>
  <c r="C7" i="147"/>
  <c r="J6" i="147"/>
  <c r="A45" i="148"/>
  <c r="A44" i="148"/>
  <c r="A43" i="148"/>
  <c r="A26" i="148"/>
  <c r="G26" i="148" s="1"/>
  <c r="A25" i="148"/>
  <c r="N24" i="148"/>
  <c r="N25" i="148" s="1"/>
  <c r="A24" i="148"/>
  <c r="G24" i="148" s="1"/>
  <c r="A23" i="148"/>
  <c r="G23" i="148" s="1"/>
  <c r="A22" i="148"/>
  <c r="G22" i="148" s="1"/>
  <c r="H17" i="148"/>
  <c r="G17" i="148"/>
  <c r="F17" i="148"/>
  <c r="H16" i="148"/>
  <c r="G16" i="148"/>
  <c r="F16" i="148"/>
  <c r="A14" i="148"/>
  <c r="F14" i="148" s="1"/>
  <c r="A13" i="148"/>
  <c r="F13" i="148" s="1"/>
  <c r="H12" i="148"/>
  <c r="A12" i="148"/>
  <c r="F12" i="148" s="1"/>
  <c r="A11" i="148"/>
  <c r="C7" i="148"/>
  <c r="J6" i="148"/>
  <c r="A45" i="150"/>
  <c r="A44" i="150"/>
  <c r="H43" i="150"/>
  <c r="A43" i="150"/>
  <c r="A26" i="150"/>
  <c r="G26" i="150" s="1"/>
  <c r="A25" i="150"/>
  <c r="G25" i="150" s="1"/>
  <c r="A24" i="150"/>
  <c r="A23" i="150"/>
  <c r="G23" i="150" s="1"/>
  <c r="A22" i="150"/>
  <c r="G22" i="150" s="1"/>
  <c r="H17" i="150"/>
  <c r="G17" i="150"/>
  <c r="F17" i="150"/>
  <c r="H16" i="150"/>
  <c r="G16" i="150"/>
  <c r="F16" i="150"/>
  <c r="H14" i="150"/>
  <c r="A14" i="150"/>
  <c r="H13" i="150"/>
  <c r="A13" i="150"/>
  <c r="F13" i="150" s="1"/>
  <c r="H12" i="150"/>
  <c r="H44" i="150" s="1"/>
  <c r="A12" i="150"/>
  <c r="F12" i="150" s="1"/>
  <c r="A11" i="150"/>
  <c r="C7" i="150"/>
  <c r="J6" i="150"/>
  <c r="A45" i="151"/>
  <c r="A44" i="151"/>
  <c r="A43" i="151"/>
  <c r="A26" i="151"/>
  <c r="G26" i="151" s="1"/>
  <c r="A25" i="151"/>
  <c r="G25" i="151" s="1"/>
  <c r="A24" i="151"/>
  <c r="A23" i="151"/>
  <c r="A22" i="151"/>
  <c r="G22" i="151" s="1"/>
  <c r="H17" i="151"/>
  <c r="G17" i="151"/>
  <c r="F17" i="151"/>
  <c r="H16" i="151"/>
  <c r="G16" i="151"/>
  <c r="F16" i="151"/>
  <c r="A14" i="151"/>
  <c r="A13" i="151"/>
  <c r="F13" i="151" s="1"/>
  <c r="A12" i="151"/>
  <c r="F12" i="151" s="1"/>
  <c r="H11" i="151"/>
  <c r="A11" i="151"/>
  <c r="F11" i="151" s="1"/>
  <c r="C7" i="151"/>
  <c r="J6" i="151"/>
  <c r="H45" i="152"/>
  <c r="A45" i="152"/>
  <c r="H44" i="152"/>
  <c r="A44" i="152"/>
  <c r="A43" i="152"/>
  <c r="A26" i="152"/>
  <c r="G26" i="152" s="1"/>
  <c r="A25" i="152"/>
  <c r="G25" i="152" s="1"/>
  <c r="A24" i="152"/>
  <c r="G24" i="152" s="1"/>
  <c r="A23" i="152"/>
  <c r="G23" i="152" s="1"/>
  <c r="A22" i="152"/>
  <c r="G22" i="152" s="1"/>
  <c r="H17" i="152"/>
  <c r="G17" i="152"/>
  <c r="F17" i="152"/>
  <c r="H16" i="152"/>
  <c r="G16" i="152"/>
  <c r="F16" i="152"/>
  <c r="A14" i="152"/>
  <c r="F14" i="152" s="1"/>
  <c r="A13" i="152"/>
  <c r="F13" i="152" s="1"/>
  <c r="A12" i="152"/>
  <c r="F12" i="152" s="1"/>
  <c r="A11" i="152"/>
  <c r="C7" i="152"/>
  <c r="J6" i="152"/>
  <c r="A45" i="154"/>
  <c r="A44" i="154"/>
  <c r="A43" i="154"/>
  <c r="A26" i="154"/>
  <c r="A25" i="154"/>
  <c r="A24" i="154"/>
  <c r="A23" i="154"/>
  <c r="G22" i="154"/>
  <c r="H17" i="154"/>
  <c r="G17" i="154"/>
  <c r="F17" i="154"/>
  <c r="H16" i="154"/>
  <c r="G16" i="154"/>
  <c r="F16" i="154"/>
  <c r="A14" i="154"/>
  <c r="F14" i="154" s="1"/>
  <c r="A13" i="154"/>
  <c r="F13" i="154" s="1"/>
  <c r="H12" i="154"/>
  <c r="H13" i="154" s="1"/>
  <c r="H14" i="154" s="1"/>
  <c r="A12" i="154"/>
  <c r="F12" i="154" s="1"/>
  <c r="A11" i="154"/>
  <c r="F11" i="154" s="1"/>
  <c r="C7" i="154"/>
  <c r="J6" i="154"/>
  <c r="A45" i="157"/>
  <c r="A44" i="157"/>
  <c r="A43" i="157"/>
  <c r="A26" i="157"/>
  <c r="G26" i="157" s="1"/>
  <c r="A25" i="157"/>
  <c r="A24" i="157"/>
  <c r="A23" i="157"/>
  <c r="A22" i="157"/>
  <c r="G22" i="157" s="1"/>
  <c r="H17" i="157"/>
  <c r="G17" i="157"/>
  <c r="F17" i="157"/>
  <c r="H16" i="157"/>
  <c r="G16" i="157"/>
  <c r="F16" i="157"/>
  <c r="A14" i="157"/>
  <c r="A13" i="157"/>
  <c r="F13" i="157" s="1"/>
  <c r="H12" i="157"/>
  <c r="H13" i="157" s="1"/>
  <c r="H14" i="157" s="1"/>
  <c r="A12" i="157"/>
  <c r="F12" i="157" s="1"/>
  <c r="A11" i="157"/>
  <c r="F11" i="157" s="1"/>
  <c r="C7" i="157"/>
  <c r="J6" i="157"/>
  <c r="A45" i="158"/>
  <c r="A44" i="158"/>
  <c r="H43" i="158"/>
  <c r="A43" i="158"/>
  <c r="A26" i="158"/>
  <c r="A25" i="158"/>
  <c r="G25" i="158" s="1"/>
  <c r="A24" i="158"/>
  <c r="G24" i="158" s="1"/>
  <c r="A23" i="158"/>
  <c r="G23" i="158" s="1"/>
  <c r="A22" i="158"/>
  <c r="G22" i="158" s="1"/>
  <c r="H17" i="158"/>
  <c r="G17" i="158"/>
  <c r="F17" i="158"/>
  <c r="H16" i="158"/>
  <c r="G16" i="158"/>
  <c r="F16" i="158"/>
  <c r="A14" i="158"/>
  <c r="F14" i="158" s="1"/>
  <c r="A13" i="158"/>
  <c r="F13" i="158" s="1"/>
  <c r="H12" i="158"/>
  <c r="H44" i="158" s="1"/>
  <c r="A12" i="158"/>
  <c r="F12" i="158" s="1"/>
  <c r="A11" i="158"/>
  <c r="F11" i="158" s="1"/>
  <c r="C7" i="158"/>
  <c r="J6" i="158"/>
  <c r="A45" i="156"/>
  <c r="A44" i="156"/>
  <c r="A43" i="156"/>
  <c r="A26" i="156"/>
  <c r="G26" i="156" s="1"/>
  <c r="A25" i="156"/>
  <c r="A24" i="156"/>
  <c r="A23" i="156"/>
  <c r="G22" i="156"/>
  <c r="H17" i="156"/>
  <c r="G17" i="156"/>
  <c r="F17" i="156"/>
  <c r="H16" i="156"/>
  <c r="G16" i="156"/>
  <c r="F16" i="156"/>
  <c r="A14" i="156"/>
  <c r="F14" i="156" s="1"/>
  <c r="A13" i="156"/>
  <c r="F13" i="156" s="1"/>
  <c r="H12" i="156"/>
  <c r="H13" i="156" s="1"/>
  <c r="H14" i="156" s="1"/>
  <c r="A12" i="156"/>
  <c r="F12" i="156" s="1"/>
  <c r="A11" i="156"/>
  <c r="F11" i="156" s="1"/>
  <c r="C7" i="156"/>
  <c r="J6" i="156"/>
  <c r="A45" i="164"/>
  <c r="A44" i="164"/>
  <c r="H43" i="164"/>
  <c r="H44" i="164" s="1"/>
  <c r="H45" i="164" s="1"/>
  <c r="A43" i="164"/>
  <c r="A25" i="164"/>
  <c r="A24" i="164"/>
  <c r="A23" i="164"/>
  <c r="A22" i="164"/>
  <c r="H17" i="164"/>
  <c r="G17" i="164"/>
  <c r="F17" i="164"/>
  <c r="A15" i="164"/>
  <c r="F15" i="164" s="1"/>
  <c r="H14" i="164"/>
  <c r="A14" i="164"/>
  <c r="F14" i="164" s="1"/>
  <c r="H13" i="164"/>
  <c r="A13" i="164"/>
  <c r="F13" i="164" s="1"/>
  <c r="H12" i="164"/>
  <c r="A12" i="164"/>
  <c r="F12" i="164" s="1"/>
  <c r="M11" i="164"/>
  <c r="A11" i="164"/>
  <c r="F11" i="164" s="1"/>
  <c r="C7" i="164"/>
  <c r="J6" i="164"/>
  <c r="A45" i="160"/>
  <c r="A44" i="160"/>
  <c r="H43" i="160"/>
  <c r="A43" i="160"/>
  <c r="A23" i="160"/>
  <c r="A22" i="160"/>
  <c r="A13" i="160"/>
  <c r="F13" i="160" s="1"/>
  <c r="H12" i="160"/>
  <c r="H13" i="160" s="1"/>
  <c r="A12" i="160"/>
  <c r="F12" i="160" s="1"/>
  <c r="A11" i="160"/>
  <c r="C7" i="160"/>
  <c r="J6" i="160"/>
  <c r="A45" i="175"/>
  <c r="A44" i="175"/>
  <c r="H43" i="175"/>
  <c r="A43" i="175"/>
  <c r="A23" i="175"/>
  <c r="A22" i="175"/>
  <c r="A13" i="175"/>
  <c r="H12" i="175"/>
  <c r="H13" i="175" s="1"/>
  <c r="A12" i="175"/>
  <c r="F12" i="175" s="1"/>
  <c r="A11" i="175"/>
  <c r="F11" i="175" s="1"/>
  <c r="C7" i="175"/>
  <c r="J6" i="175"/>
  <c r="A45" i="176"/>
  <c r="A44" i="176"/>
  <c r="A43" i="176"/>
  <c r="A23" i="176"/>
  <c r="A22" i="176"/>
  <c r="A13" i="176"/>
  <c r="F13" i="176" s="1"/>
  <c r="H12" i="176"/>
  <c r="H13" i="176" s="1"/>
  <c r="A12" i="176"/>
  <c r="F12" i="176" s="1"/>
  <c r="A11" i="176"/>
  <c r="F11" i="176" s="1"/>
  <c r="C7" i="176"/>
  <c r="J6" i="176"/>
  <c r="A45" i="177"/>
  <c r="A44" i="177"/>
  <c r="H43" i="177"/>
  <c r="A43" i="177"/>
  <c r="A23" i="177"/>
  <c r="A22" i="177"/>
  <c r="H17" i="177"/>
  <c r="G17" i="177"/>
  <c r="F17" i="177"/>
  <c r="H16" i="177"/>
  <c r="G16" i="177"/>
  <c r="F16" i="177"/>
  <c r="F14" i="177"/>
  <c r="A13" i="177"/>
  <c r="H12" i="177"/>
  <c r="H13" i="177" s="1"/>
  <c r="H14" i="177" s="1"/>
  <c r="A12" i="177"/>
  <c r="F12" i="177" s="1"/>
  <c r="A11" i="177"/>
  <c r="F11" i="177" s="1"/>
  <c r="C7" i="177"/>
  <c r="J6" i="177"/>
  <c r="A45" i="178"/>
  <c r="A44" i="178"/>
  <c r="A43" i="178"/>
  <c r="A23" i="178"/>
  <c r="A22" i="178"/>
  <c r="A13" i="178"/>
  <c r="H12" i="178"/>
  <c r="H13" i="178" s="1"/>
  <c r="A12" i="178"/>
  <c r="F12" i="178" s="1"/>
  <c r="A11" i="178"/>
  <c r="F11" i="178" s="1"/>
  <c r="C7" i="178"/>
  <c r="J6" i="178"/>
  <c r="A45" i="179"/>
  <c r="A44" i="179"/>
  <c r="H43" i="179"/>
  <c r="A43" i="179"/>
  <c r="A23" i="179"/>
  <c r="A22" i="179"/>
  <c r="A13" i="179"/>
  <c r="F13" i="179" s="1"/>
  <c r="H12" i="179"/>
  <c r="H44" i="179" s="1"/>
  <c r="A12" i="179"/>
  <c r="F12" i="179" s="1"/>
  <c r="A11" i="179"/>
  <c r="F11" i="179" s="1"/>
  <c r="C7" i="179"/>
  <c r="J6" i="179"/>
  <c r="A45" i="180"/>
  <c r="A44" i="180"/>
  <c r="A43" i="180"/>
  <c r="A23" i="180"/>
  <c r="A22" i="180"/>
  <c r="N16" i="180"/>
  <c r="A13" i="180"/>
  <c r="F13" i="180" s="1"/>
  <c r="H12" i="180"/>
  <c r="H13" i="180" s="1"/>
  <c r="A12" i="180"/>
  <c r="F12" i="180" s="1"/>
  <c r="A11" i="180"/>
  <c r="C7" i="180"/>
  <c r="J6" i="180"/>
  <c r="A45" i="181"/>
  <c r="A44" i="181"/>
  <c r="H43" i="181"/>
  <c r="A43" i="181"/>
  <c r="A23" i="181"/>
  <c r="A22" i="181"/>
  <c r="H17" i="181"/>
  <c r="G17" i="181"/>
  <c r="F17" i="181"/>
  <c r="H16" i="181"/>
  <c r="G16" i="181"/>
  <c r="F16" i="181"/>
  <c r="F14" i="181"/>
  <c r="A13" i="181"/>
  <c r="F13" i="181" s="1"/>
  <c r="H12" i="181"/>
  <c r="H44" i="181" s="1"/>
  <c r="A12" i="181"/>
  <c r="F12" i="181" s="1"/>
  <c r="A11" i="181"/>
  <c r="C7" i="181"/>
  <c r="J6" i="181"/>
  <c r="A45" i="186"/>
  <c r="A44" i="186"/>
  <c r="H43" i="186"/>
  <c r="H44" i="186" s="1"/>
  <c r="H45" i="186" s="1"/>
  <c r="A43" i="186"/>
  <c r="N36" i="186"/>
  <c r="O36" i="186" s="1"/>
  <c r="M36" i="186"/>
  <c r="L36" i="186"/>
  <c r="A25" i="186"/>
  <c r="G24" i="186"/>
  <c r="L23" i="186"/>
  <c r="H23" i="186"/>
  <c r="A23" i="186"/>
  <c r="L22" i="186"/>
  <c r="H22" i="186"/>
  <c r="A22" i="186"/>
  <c r="H17" i="186"/>
  <c r="G17" i="186"/>
  <c r="F17" i="186"/>
  <c r="G16" i="186"/>
  <c r="F16" i="186"/>
  <c r="A15" i="186"/>
  <c r="F15" i="186" s="1"/>
  <c r="F14" i="186"/>
  <c r="A13" i="186"/>
  <c r="F13" i="186" s="1"/>
  <c r="H12" i="186"/>
  <c r="H13" i="186" s="1"/>
  <c r="A12" i="186"/>
  <c r="F12" i="186" s="1"/>
  <c r="A11" i="186"/>
  <c r="F11" i="186" s="1"/>
  <c r="C7" i="186"/>
  <c r="J6" i="186"/>
  <c r="A45" i="187"/>
  <c r="A44" i="187"/>
  <c r="H43" i="187"/>
  <c r="H44" i="187" s="1"/>
  <c r="H45" i="187" s="1"/>
  <c r="A43" i="187"/>
  <c r="N36" i="187"/>
  <c r="O36" i="187" s="1"/>
  <c r="M36" i="187"/>
  <c r="L36" i="187"/>
  <c r="A25" i="187"/>
  <c r="G24" i="187"/>
  <c r="L23" i="187"/>
  <c r="H23" i="187"/>
  <c r="A23" i="187"/>
  <c r="G23" i="187" s="1"/>
  <c r="L22" i="187"/>
  <c r="H22" i="187"/>
  <c r="A22" i="187"/>
  <c r="G22" i="187" s="1"/>
  <c r="H17" i="187"/>
  <c r="G17" i="187"/>
  <c r="F17" i="187"/>
  <c r="G16" i="187"/>
  <c r="F16" i="187"/>
  <c r="A15" i="187"/>
  <c r="F15" i="187" s="1"/>
  <c r="F14" i="187"/>
  <c r="A13" i="187"/>
  <c r="F13" i="187" s="1"/>
  <c r="H12" i="187"/>
  <c r="H13" i="187" s="1"/>
  <c r="A12" i="187"/>
  <c r="F12" i="187" s="1"/>
  <c r="A11" i="187"/>
  <c r="C7" i="187"/>
  <c r="J6" i="187"/>
  <c r="A44" i="194"/>
  <c r="A43" i="194"/>
  <c r="H42" i="194"/>
  <c r="H43" i="194" s="1"/>
  <c r="H44" i="194" s="1"/>
  <c r="A42" i="194"/>
  <c r="M34" i="194"/>
  <c r="N34" i="194" s="1"/>
  <c r="A25" i="194"/>
  <c r="A24" i="194"/>
  <c r="A23" i="194"/>
  <c r="H22" i="194"/>
  <c r="A22" i="194"/>
  <c r="H17" i="194"/>
  <c r="G17" i="194"/>
  <c r="F17" i="194"/>
  <c r="H16" i="194"/>
  <c r="G16" i="194"/>
  <c r="F16" i="194"/>
  <c r="A15" i="194"/>
  <c r="F15" i="194" s="1"/>
  <c r="H14" i="194"/>
  <c r="A14" i="194"/>
  <c r="F14" i="194" s="1"/>
  <c r="H13" i="194"/>
  <c r="A13" i="194"/>
  <c r="F13" i="194" s="1"/>
  <c r="H12" i="194"/>
  <c r="A12" i="194"/>
  <c r="F12" i="194" s="1"/>
  <c r="A11" i="194"/>
  <c r="F11" i="194" s="1"/>
  <c r="M10" i="194"/>
  <c r="M8" i="194"/>
  <c r="C7" i="194"/>
  <c r="J6" i="194"/>
  <c r="A44" i="196"/>
  <c r="H43" i="196"/>
  <c r="H44" i="196" s="1"/>
  <c r="A43" i="196"/>
  <c r="H42" i="196"/>
  <c r="A42" i="196"/>
  <c r="A35" i="196"/>
  <c r="H23" i="196"/>
  <c r="A23" i="196"/>
  <c r="A22" i="196"/>
  <c r="A21" i="196"/>
  <c r="H16" i="196"/>
  <c r="G16" i="196"/>
  <c r="F16" i="196"/>
  <c r="H15" i="196"/>
  <c r="G15" i="196"/>
  <c r="F15" i="196"/>
  <c r="F14" i="196"/>
  <c r="H13" i="196"/>
  <c r="A13" i="196"/>
  <c r="H12" i="196"/>
  <c r="A12" i="196"/>
  <c r="F12" i="196" s="1"/>
  <c r="A11" i="196"/>
  <c r="F11" i="196" s="1"/>
  <c r="C7" i="196"/>
  <c r="J6" i="196"/>
  <c r="A46" i="197"/>
  <c r="A45" i="197"/>
  <c r="A44" i="197"/>
  <c r="H43" i="197"/>
  <c r="H44" i="197" s="1"/>
  <c r="H45" i="197" s="1"/>
  <c r="H46" i="197" s="1"/>
  <c r="A43" i="197"/>
  <c r="A36" i="197"/>
  <c r="H23" i="197"/>
  <c r="A23" i="197"/>
  <c r="A22" i="197"/>
  <c r="H14" i="197"/>
  <c r="A14" i="197"/>
  <c r="F14" i="197" s="1"/>
  <c r="H13" i="197"/>
  <c r="A13" i="197"/>
  <c r="F13" i="197" s="1"/>
  <c r="H12" i="197"/>
  <c r="A12" i="197"/>
  <c r="F12" i="197" s="1"/>
  <c r="A11" i="197"/>
  <c r="F11" i="197" s="1"/>
  <c r="C7" i="197"/>
  <c r="J6" i="197"/>
  <c r="A49" i="198"/>
  <c r="A48" i="198"/>
  <c r="A47" i="198"/>
  <c r="H46" i="198"/>
  <c r="H47" i="198" s="1"/>
  <c r="H48" i="198" s="1"/>
  <c r="H49" i="198" s="1"/>
  <c r="A46" i="198"/>
  <c r="A45" i="198"/>
  <c r="A38" i="198"/>
  <c r="H38" i="198" s="1"/>
  <c r="I38" i="198" s="1"/>
  <c r="H31" i="198"/>
  <c r="A31" i="198"/>
  <c r="A30" i="198"/>
  <c r="A29" i="198"/>
  <c r="A28" i="198"/>
  <c r="A27" i="198"/>
  <c r="A26" i="198"/>
  <c r="H25" i="198"/>
  <c r="A25" i="198"/>
  <c r="A24" i="198"/>
  <c r="A19" i="198"/>
  <c r="H18" i="198"/>
  <c r="A18" i="198"/>
  <c r="A17" i="198"/>
  <c r="A16" i="198"/>
  <c r="F16" i="198" s="1"/>
  <c r="A15" i="198"/>
  <c r="F15" i="198" s="1"/>
  <c r="A14" i="198"/>
  <c r="A13" i="198"/>
  <c r="F13" i="198" s="1"/>
  <c r="A12" i="198"/>
  <c r="M11" i="198"/>
  <c r="A11" i="198"/>
  <c r="F11" i="198" s="1"/>
  <c r="C7" i="198"/>
  <c r="J6" i="198"/>
  <c r="N21" i="184"/>
  <c r="J21" i="184"/>
  <c r="F21" i="184"/>
  <c r="P15" i="184"/>
  <c r="P14" i="184"/>
  <c r="P13" i="184"/>
  <c r="P12" i="184"/>
  <c r="P11" i="184"/>
  <c r="P10" i="184"/>
  <c r="P9" i="184"/>
  <c r="P8" i="184"/>
  <c r="P7" i="184"/>
  <c r="P6" i="184"/>
  <c r="P5" i="184"/>
  <c r="P4" i="184"/>
  <c r="D1" i="184"/>
  <c r="H17" i="139"/>
  <c r="K17" i="139" s="1"/>
  <c r="H16" i="139"/>
  <c r="K16" i="139" s="1"/>
  <c r="H15" i="139"/>
  <c r="K15" i="139" s="1"/>
  <c r="H14" i="139"/>
  <c r="K14" i="139" s="1"/>
  <c r="H13" i="139"/>
  <c r="K13" i="139" s="1"/>
  <c r="H12" i="139"/>
  <c r="K12" i="139" s="1"/>
  <c r="H11" i="139"/>
  <c r="K11" i="139" s="1"/>
  <c r="H10" i="139"/>
  <c r="K10" i="139" s="1"/>
  <c r="H9" i="139"/>
  <c r="K9" i="139" s="1"/>
  <c r="H8" i="139"/>
  <c r="K8" i="139" s="1"/>
  <c r="H7" i="139"/>
  <c r="K7" i="139" s="1"/>
  <c r="H6" i="139"/>
  <c r="K6" i="139" s="1"/>
  <c r="H5" i="139"/>
  <c r="K5" i="139" s="1"/>
  <c r="H4" i="139"/>
  <c r="K4" i="139" s="1"/>
  <c r="N61" i="2"/>
  <c r="M61" i="2"/>
  <c r="W60" i="2"/>
  <c r="M60" i="2" s="1"/>
  <c r="E59" i="2"/>
  <c r="N59" i="2" s="1"/>
  <c r="V58" i="2"/>
  <c r="N58" i="2" s="1"/>
  <c r="N57" i="2"/>
  <c r="M57" i="2"/>
  <c r="I56" i="2"/>
  <c r="M56" i="2" s="1"/>
  <c r="G55" i="2"/>
  <c r="M55" i="2" s="1"/>
  <c r="N54" i="2"/>
  <c r="M54" i="2"/>
  <c r="E53" i="2"/>
  <c r="N53" i="2" s="1"/>
  <c r="I52" i="2"/>
  <c r="G52" i="2"/>
  <c r="E51" i="2"/>
  <c r="E50" i="2"/>
  <c r="M50" i="2" s="1"/>
  <c r="E49" i="2"/>
  <c r="M49" i="2" s="1"/>
  <c r="G15" i="197" s="1"/>
  <c r="I15" i="197" s="1"/>
  <c r="J15" i="197" s="1"/>
  <c r="P48" i="2"/>
  <c r="N47" i="2"/>
  <c r="M47" i="2"/>
  <c r="I45" i="2"/>
  <c r="M45" i="2" s="1"/>
  <c r="I44" i="2"/>
  <c r="M44" i="2" s="1"/>
  <c r="N43" i="2"/>
  <c r="M43" i="2"/>
  <c r="N42" i="2"/>
  <c r="M42" i="2"/>
  <c r="G41" i="2"/>
  <c r="I40" i="2"/>
  <c r="I39" i="2"/>
  <c r="X38" i="2"/>
  <c r="N38" i="2" s="1"/>
  <c r="G37" i="2"/>
  <c r="I36" i="2"/>
  <c r="E35" i="2"/>
  <c r="N34" i="2"/>
  <c r="M34" i="2"/>
  <c r="N33" i="2"/>
  <c r="M33" i="2"/>
  <c r="N32" i="2"/>
  <c r="M32" i="2"/>
  <c r="N31" i="2"/>
  <c r="M31" i="2"/>
  <c r="N30" i="2"/>
  <c r="M30" i="2"/>
  <c r="E29" i="2"/>
  <c r="N29" i="2" s="1"/>
  <c r="N28" i="2"/>
  <c r="M28" i="2"/>
  <c r="G27" i="2"/>
  <c r="M27" i="2" s="1"/>
  <c r="E26" i="2"/>
  <c r="M26" i="2" s="1"/>
  <c r="E25" i="2"/>
  <c r="M25" i="2" s="1"/>
  <c r="R24" i="2"/>
  <c r="E24" i="2"/>
  <c r="E23" i="2"/>
  <c r="N23" i="2" s="1"/>
  <c r="E22" i="2"/>
  <c r="N22" i="2" s="1"/>
  <c r="T21" i="2"/>
  <c r="N21" i="2" s="1"/>
  <c r="T20" i="2"/>
  <c r="M20" i="2" s="1"/>
  <c r="E19" i="2"/>
  <c r="N19" i="2" s="1"/>
  <c r="Q18" i="2"/>
  <c r="N18" i="2" s="1"/>
  <c r="S17" i="2"/>
  <c r="M17" i="2" s="1"/>
  <c r="S16" i="2"/>
  <c r="M16" i="2" s="1"/>
  <c r="N16" i="2"/>
  <c r="Y15" i="2"/>
  <c r="N15" i="2" s="1"/>
  <c r="N14" i="2"/>
  <c r="M14" i="2"/>
  <c r="G13" i="2"/>
  <c r="M13" i="2" s="1"/>
  <c r="E12" i="2"/>
  <c r="M12" i="2" s="1"/>
  <c r="O11" i="2"/>
  <c r="U10" i="2"/>
  <c r="J9" i="2"/>
  <c r="G9" i="2"/>
  <c r="E8" i="2"/>
  <c r="N8" i="2" s="1"/>
  <c r="E7" i="2"/>
  <c r="N7" i="2" s="1"/>
  <c r="N6" i="2"/>
  <c r="N5" i="2"/>
  <c r="M5" i="2"/>
  <c r="E4" i="2"/>
  <c r="M4" i="2" s="1"/>
  <c r="A4" i="2"/>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Z3" i="2"/>
  <c r="M3" i="2" s="1"/>
  <c r="E49" i="80"/>
  <c r="G49" i="80" s="1"/>
  <c r="E48" i="80"/>
  <c r="G48" i="80" s="1"/>
  <c r="H47" i="80"/>
  <c r="E47" i="80"/>
  <c r="G47" i="80" s="1"/>
  <c r="H46" i="80"/>
  <c r="E46" i="80"/>
  <c r="G46" i="80" s="1"/>
  <c r="E45" i="80"/>
  <c r="G45" i="80" s="1"/>
  <c r="E44" i="80"/>
  <c r="G44" i="80" s="1"/>
  <c r="H43" i="80"/>
  <c r="H44" i="80" s="1"/>
  <c r="H45" i="80" s="1"/>
  <c r="E43" i="80"/>
  <c r="G43" i="80" s="1"/>
  <c r="H38" i="80"/>
  <c r="I38" i="80" s="1"/>
  <c r="J38" i="80" s="1"/>
  <c r="H37" i="80"/>
  <c r="I37" i="80" s="1"/>
  <c r="J37" i="80" s="1"/>
  <c r="H36" i="80"/>
  <c r="G36" i="80"/>
  <c r="I31" i="80"/>
  <c r="J31" i="80" s="1"/>
  <c r="I30" i="80"/>
  <c r="J30" i="80" s="1"/>
  <c r="I29" i="80"/>
  <c r="J29" i="80" s="1"/>
  <c r="I28" i="80"/>
  <c r="J28" i="80" s="1"/>
  <c r="I27" i="80"/>
  <c r="J27" i="80" s="1"/>
  <c r="I26" i="80"/>
  <c r="J26" i="80" s="1"/>
  <c r="I25" i="80"/>
  <c r="J25" i="80" s="1"/>
  <c r="I24" i="80"/>
  <c r="J24" i="80" s="1"/>
  <c r="I23" i="80"/>
  <c r="J23" i="80" s="1"/>
  <c r="I22" i="80"/>
  <c r="J22" i="80" s="1"/>
  <c r="H17" i="80"/>
  <c r="H49" i="80" s="1"/>
  <c r="G17" i="80"/>
  <c r="F17" i="80"/>
  <c r="H16" i="80"/>
  <c r="H48" i="80" s="1"/>
  <c r="G16" i="80"/>
  <c r="F16" i="80"/>
  <c r="G15" i="80"/>
  <c r="I15" i="80" s="1"/>
  <c r="J15" i="80" s="1"/>
  <c r="F15" i="80"/>
  <c r="G14" i="80"/>
  <c r="I14" i="80" s="1"/>
  <c r="J14" i="80" s="1"/>
  <c r="F14" i="80"/>
  <c r="G13" i="80"/>
  <c r="I13" i="80" s="1"/>
  <c r="J13" i="80" s="1"/>
  <c r="F13" i="80"/>
  <c r="G12" i="80"/>
  <c r="I12" i="80" s="1"/>
  <c r="J12" i="80" s="1"/>
  <c r="F12" i="80"/>
  <c r="G11" i="80"/>
  <c r="I11" i="80" s="1"/>
  <c r="J11" i="80" s="1"/>
  <c r="F11" i="80"/>
  <c r="C7" i="80"/>
  <c r="J6" i="80"/>
  <c r="C56" i="3"/>
  <c r="F56" i="3" s="1"/>
  <c r="C55" i="3"/>
  <c r="D55" i="3" s="1"/>
  <c r="E55" i="3" s="1"/>
  <c r="C54" i="3"/>
  <c r="D54" i="3" s="1"/>
  <c r="E54" i="3" s="1"/>
  <c r="C53" i="3"/>
  <c r="F53" i="3" s="1"/>
  <c r="C52" i="3"/>
  <c r="F52" i="3" s="1"/>
  <c r="M51" i="3"/>
  <c r="P51" i="3" s="1"/>
  <c r="S51" i="3" s="1"/>
  <c r="Q50" i="3"/>
  <c r="N50" i="3" s="1"/>
  <c r="M50" i="3"/>
  <c r="Q49" i="3"/>
  <c r="N49" i="3" s="1"/>
  <c r="M49" i="3"/>
  <c r="N48" i="3"/>
  <c r="M48" i="3"/>
  <c r="Q47" i="3"/>
  <c r="N47" i="3" s="1"/>
  <c r="O47" i="3"/>
  <c r="M47" i="3"/>
  <c r="R46" i="3"/>
  <c r="M46" i="3" s="1"/>
  <c r="O46" i="3"/>
  <c r="N45" i="3"/>
  <c r="M45" i="3"/>
  <c r="Q44" i="3"/>
  <c r="N44" i="3" s="1"/>
  <c r="M44" i="3"/>
  <c r="Q43" i="3"/>
  <c r="N43" i="3" s="1"/>
  <c r="O43" i="3"/>
  <c r="M43" i="3"/>
  <c r="Q42" i="3"/>
  <c r="N42" i="3" s="1"/>
  <c r="O42" i="3"/>
  <c r="M42" i="3"/>
  <c r="Q41" i="3"/>
  <c r="N41" i="3" s="1"/>
  <c r="O41" i="3"/>
  <c r="M41" i="3"/>
  <c r="Q40" i="3"/>
  <c r="N40" i="3" s="1"/>
  <c r="O40" i="3"/>
  <c r="M40" i="3"/>
  <c r="O39" i="3"/>
  <c r="M39" i="3"/>
  <c r="Q38" i="3"/>
  <c r="N38" i="3" s="1"/>
  <c r="O38" i="3"/>
  <c r="M38" i="3"/>
  <c r="Q37" i="3"/>
  <c r="N37" i="3" s="1"/>
  <c r="M37" i="3"/>
  <c r="Q36" i="3"/>
  <c r="N36" i="3" s="1"/>
  <c r="O36" i="3"/>
  <c r="M36" i="3"/>
  <c r="Q35" i="3"/>
  <c r="N35" i="3" s="1"/>
  <c r="O35" i="3"/>
  <c r="M35" i="3"/>
  <c r="Q34" i="3"/>
  <c r="N34" i="3" s="1"/>
  <c r="M34" i="3"/>
  <c r="Q33" i="3"/>
  <c r="N33" i="3" s="1"/>
  <c r="M33" i="3"/>
  <c r="Q32" i="3"/>
  <c r="N32" i="3" s="1"/>
  <c r="O32" i="3"/>
  <c r="M32" i="3"/>
  <c r="Q31" i="3"/>
  <c r="N31" i="3" s="1"/>
  <c r="M31" i="3"/>
  <c r="Q30" i="3"/>
  <c r="N30" i="3" s="1"/>
  <c r="M30" i="3"/>
  <c r="Q29" i="3"/>
  <c r="N29" i="3" s="1"/>
  <c r="M29" i="3"/>
  <c r="Q28" i="3"/>
  <c r="N28" i="3" s="1"/>
  <c r="O28" i="3"/>
  <c r="M28" i="3"/>
  <c r="Q27" i="3"/>
  <c r="N27" i="3" s="1"/>
  <c r="O27" i="3"/>
  <c r="M27" i="3"/>
  <c r="O26" i="3"/>
  <c r="M26" i="3"/>
  <c r="Q25" i="3"/>
  <c r="N25" i="3" s="1"/>
  <c r="O25" i="3"/>
  <c r="M25" i="3"/>
  <c r="Q24" i="3"/>
  <c r="N24" i="3" s="1"/>
  <c r="O24" i="3"/>
  <c r="M24" i="3"/>
  <c r="O23" i="3"/>
  <c r="M23" i="3"/>
  <c r="Q22" i="3"/>
  <c r="Q23" i="3" s="1"/>
  <c r="N23" i="3" s="1"/>
  <c r="O22" i="3"/>
  <c r="M22" i="3"/>
  <c r="Q21" i="3"/>
  <c r="N21" i="3" s="1"/>
  <c r="O21" i="3"/>
  <c r="M21" i="3"/>
  <c r="Q20" i="3"/>
  <c r="N20" i="3" s="1"/>
  <c r="O20" i="3"/>
  <c r="M20" i="3"/>
  <c r="O19" i="3"/>
  <c r="M19" i="3"/>
  <c r="Q18" i="3"/>
  <c r="Q19" i="3" s="1"/>
  <c r="N19" i="3" s="1"/>
  <c r="O18" i="3"/>
  <c r="M18" i="3"/>
  <c r="O17" i="3"/>
  <c r="M17" i="3"/>
  <c r="Q16" i="3"/>
  <c r="Q17" i="3" s="1"/>
  <c r="N17" i="3" s="1"/>
  <c r="O16" i="3"/>
  <c r="M16" i="3"/>
  <c r="Q15" i="3"/>
  <c r="N15" i="3" s="1"/>
  <c r="O15" i="3"/>
  <c r="M15" i="3"/>
  <c r="Q14" i="3"/>
  <c r="N14" i="3" s="1"/>
  <c r="M14" i="3"/>
  <c r="Q13" i="3"/>
  <c r="N13" i="3" s="1"/>
  <c r="M13" i="3"/>
  <c r="O12" i="3"/>
  <c r="M12" i="3"/>
  <c r="Q11" i="3"/>
  <c r="N11" i="3" s="1"/>
  <c r="M11" i="3"/>
  <c r="Q10" i="3"/>
  <c r="N10" i="3" s="1"/>
  <c r="O10" i="3"/>
  <c r="M10" i="3"/>
  <c r="Q9" i="3"/>
  <c r="N9" i="3" s="1"/>
  <c r="O9" i="3"/>
  <c r="M9" i="3"/>
  <c r="Q8" i="3"/>
  <c r="N8" i="3" s="1"/>
  <c r="O8" i="3"/>
  <c r="M8" i="3"/>
  <c r="Q7" i="3"/>
  <c r="Q39" i="3" s="1"/>
  <c r="N39" i="3" s="1"/>
  <c r="O7" i="3"/>
  <c r="M7" i="3"/>
  <c r="Q6" i="3"/>
  <c r="N6" i="3" s="1"/>
  <c r="O6" i="3"/>
  <c r="M6" i="3"/>
  <c r="Q5" i="3"/>
  <c r="N5" i="3" s="1"/>
  <c r="O5" i="3"/>
  <c r="M5" i="3"/>
  <c r="Q4" i="3"/>
  <c r="N4" i="3" s="1"/>
  <c r="O4" i="3"/>
  <c r="M4" i="3"/>
  <c r="A4" i="3"/>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Q3" i="3"/>
  <c r="N3" i="3" s="1"/>
  <c r="O3" i="3"/>
  <c r="M3" i="3"/>
  <c r="D77" i="195"/>
  <c r="A3" i="195"/>
  <c r="A4" i="195" s="1"/>
  <c r="A5" i="195" s="1"/>
  <c r="A6" i="195" s="1"/>
  <c r="A7" i="195" s="1"/>
  <c r="A8" i="195" s="1"/>
  <c r="A9" i="195" s="1"/>
  <c r="A10" i="195" s="1"/>
  <c r="A11" i="195" s="1"/>
  <c r="A12" i="195" s="1"/>
  <c r="A13" i="195" s="1"/>
  <c r="A14" i="195" s="1"/>
  <c r="A15" i="195" s="1"/>
  <c r="A16" i="195" s="1"/>
  <c r="A17" i="195" s="1"/>
  <c r="A18" i="195" s="1"/>
  <c r="A19" i="195" s="1"/>
  <c r="A20" i="195" s="1"/>
  <c r="A21" i="195" s="1"/>
  <c r="A22" i="195" s="1"/>
  <c r="A23" i="195" s="1"/>
  <c r="A24" i="195" s="1"/>
  <c r="A25" i="195" s="1"/>
  <c r="A26" i="195" s="1"/>
  <c r="A27" i="195" s="1"/>
  <c r="A28" i="195" s="1"/>
  <c r="A29" i="195" s="1"/>
  <c r="A30" i="195" s="1"/>
  <c r="A31" i="195" s="1"/>
  <c r="A32" i="195" s="1"/>
  <c r="A33" i="195" s="1"/>
  <c r="A34" i="195" s="1"/>
  <c r="A35" i="195" s="1"/>
  <c r="A36" i="195" s="1"/>
  <c r="A37" i="195" s="1"/>
  <c r="A38" i="195" s="1"/>
  <c r="A39" i="195" s="1"/>
  <c r="A40" i="195" s="1"/>
  <c r="A41" i="195" s="1"/>
  <c r="A42" i="195" s="1"/>
  <c r="A43" i="195" s="1"/>
  <c r="A44" i="195" s="1"/>
  <c r="A45" i="195" s="1"/>
  <c r="A46" i="195" s="1"/>
  <c r="A47" i="195" s="1"/>
  <c r="A48" i="195" s="1"/>
  <c r="A49" i="195" s="1"/>
  <c r="A50" i="195" s="1"/>
  <c r="A51" i="195" s="1"/>
  <c r="A52" i="195" s="1"/>
  <c r="A53" i="195" s="1"/>
  <c r="A54" i="195" s="1"/>
  <c r="A55" i="195" s="1"/>
  <c r="A56" i="195" s="1"/>
  <c r="A57" i="195" s="1"/>
  <c r="A58" i="195" s="1"/>
  <c r="A59" i="195" s="1"/>
  <c r="A60" i="195" s="1"/>
  <c r="A61" i="195" s="1"/>
  <c r="A62" i="195" s="1"/>
  <c r="A63" i="195" s="1"/>
  <c r="A64" i="195" s="1"/>
  <c r="A65" i="195" s="1"/>
  <c r="A66" i="195" s="1"/>
  <c r="A67" i="195" s="1"/>
  <c r="A68" i="195" s="1"/>
  <c r="A69" i="195" s="1"/>
  <c r="A70" i="195" s="1"/>
  <c r="A71" i="195" s="1"/>
  <c r="A72" i="195" s="1"/>
  <c r="A73" i="195" s="1"/>
  <c r="A74" i="195" s="1"/>
  <c r="A75" i="195" s="1"/>
  <c r="A76" i="195" s="1"/>
  <c r="A77" i="195" s="1"/>
  <c r="A78" i="195" s="1"/>
  <c r="A79" i="195" s="1"/>
  <c r="A80" i="195" s="1"/>
  <c r="A81" i="195" s="1"/>
  <c r="A82" i="195" s="1"/>
  <c r="A83" i="195" s="1"/>
  <c r="A84" i="195" s="1"/>
  <c r="A85" i="195" s="1"/>
  <c r="A86" i="195" s="1"/>
  <c r="A87" i="195" s="1"/>
  <c r="A88" i="195" s="1"/>
  <c r="A89" i="195" s="1"/>
  <c r="A90" i="195" s="1"/>
  <c r="A91" i="195" s="1"/>
  <c r="A92" i="195" s="1"/>
  <c r="A93" i="195" s="1"/>
  <c r="A94" i="195" s="1"/>
  <c r="A95" i="195" s="1"/>
  <c r="A96" i="195" s="1"/>
  <c r="A97" i="195" s="1"/>
  <c r="A98" i="195" s="1"/>
  <c r="A99" i="195" s="1"/>
  <c r="A100" i="195" s="1"/>
  <c r="A101" i="195" s="1"/>
  <c r="A102" i="195" s="1"/>
  <c r="A103" i="195" s="1"/>
  <c r="A104" i="195" s="1"/>
  <c r="A105" i="195" s="1"/>
  <c r="A106" i="195" s="1"/>
  <c r="A107" i="195" s="1"/>
  <c r="A108" i="195" s="1"/>
  <c r="A109" i="195" s="1"/>
  <c r="A110" i="195" s="1"/>
  <c r="A111" i="195" s="1"/>
  <c r="A112" i="195" s="1"/>
  <c r="A113" i="195" s="1"/>
  <c r="A114" i="195" s="1"/>
  <c r="A115" i="195" s="1"/>
  <c r="A116" i="195" s="1"/>
  <c r="A117" i="195" s="1"/>
  <c r="A118" i="195" s="1"/>
  <c r="A119" i="195" s="1"/>
  <c r="A120" i="195" s="1"/>
  <c r="A121" i="195" s="1"/>
  <c r="A122" i="195" s="1"/>
  <c r="A123" i="195" s="1"/>
  <c r="A124" i="195" s="1"/>
  <c r="A125" i="195" s="1"/>
  <c r="A126" i="195" s="1"/>
  <c r="A127" i="195" s="1"/>
  <c r="A128" i="195" s="1"/>
  <c r="A129" i="195" s="1"/>
  <c r="A130" i="195" s="1"/>
  <c r="A131" i="195" s="1"/>
  <c r="A132" i="195" s="1"/>
  <c r="A133" i="195" s="1"/>
  <c r="A134" i="195" s="1"/>
  <c r="A135" i="195" s="1"/>
  <c r="A136" i="195" s="1"/>
  <c r="A137" i="195" s="1"/>
  <c r="A138" i="195" s="1"/>
  <c r="A139" i="195" s="1"/>
  <c r="A140" i="195" s="1"/>
  <c r="A141" i="195" s="1"/>
  <c r="A142" i="195" s="1"/>
  <c r="A143" i="195" s="1"/>
  <c r="A144" i="195" s="1"/>
  <c r="A145" i="195" s="1"/>
  <c r="A146" i="195" s="1"/>
  <c r="A147" i="195" s="1"/>
  <c r="A148" i="195" s="1"/>
  <c r="A149" i="195" s="1"/>
  <c r="A150" i="195" s="1"/>
  <c r="A151" i="195" s="1"/>
  <c r="A152" i="195" s="1"/>
  <c r="A153" i="195" s="1"/>
  <c r="A154" i="195" s="1"/>
  <c r="A155" i="195" s="1"/>
  <c r="A156" i="195" s="1"/>
  <c r="A157" i="195" s="1"/>
  <c r="A158" i="195" s="1"/>
  <c r="A159" i="195" s="1"/>
  <c r="A160" i="195" s="1"/>
  <c r="A161" i="195" s="1"/>
  <c r="A162" i="195" s="1"/>
  <c r="A163" i="195" s="1"/>
  <c r="A164" i="195" s="1"/>
  <c r="A165" i="195" s="1"/>
  <c r="A166" i="195" s="1"/>
  <c r="A167" i="195" s="1"/>
  <c r="A168" i="195" s="1"/>
  <c r="A169" i="195" s="1"/>
  <c r="A170" i="195" s="1"/>
  <c r="A171" i="195" s="1"/>
  <c r="A172" i="195" s="1"/>
  <c r="A173" i="195" s="1"/>
  <c r="A174" i="195" s="1"/>
  <c r="A175" i="195" s="1"/>
  <c r="A176" i="195" s="1"/>
  <c r="A177" i="195" s="1"/>
  <c r="A178" i="195" s="1"/>
  <c r="A179" i="195" s="1"/>
  <c r="A180" i="195" s="1"/>
  <c r="A181" i="195" s="1"/>
  <c r="A182" i="195" s="1"/>
  <c r="A183" i="195" s="1"/>
  <c r="A184" i="195" s="1"/>
  <c r="A185" i="195" s="1"/>
  <c r="A186" i="195" s="1"/>
  <c r="A187" i="195" s="1"/>
  <c r="A188" i="195" s="1"/>
  <c r="A189" i="195" s="1"/>
  <c r="A190" i="195" s="1"/>
  <c r="A191" i="195" s="1"/>
  <c r="A192" i="195" s="1"/>
  <c r="A193" i="195" s="1"/>
  <c r="A194" i="195" s="1"/>
  <c r="A195" i="195" s="1"/>
  <c r="A196" i="195" s="1"/>
  <c r="A197" i="195" s="1"/>
  <c r="A198" i="195" s="1"/>
  <c r="A199" i="195" s="1"/>
  <c r="A200" i="195" s="1"/>
  <c r="A201" i="195" s="1"/>
  <c r="B230" i="1"/>
  <c r="B229" i="1"/>
  <c r="C226" i="1"/>
  <c r="C227" i="1" s="1"/>
  <c r="G215" i="1"/>
  <c r="H216" i="1" s="1"/>
  <c r="F211" i="1"/>
  <c r="F213" i="1" s="1"/>
  <c r="G213" i="1" s="1"/>
  <c r="AO202" i="1"/>
  <c r="AN201" i="1"/>
  <c r="AN202" i="1" s="1"/>
  <c r="E175" i="1"/>
  <c r="E174" i="1"/>
  <c r="D173" i="1"/>
  <c r="C170" i="1"/>
  <c r="AN169" i="1"/>
  <c r="F169" i="1"/>
  <c r="AP161" i="1"/>
  <c r="AO161" i="1"/>
  <c r="BA161" i="1" s="1"/>
  <c r="AN161" i="1"/>
  <c r="AP160" i="1"/>
  <c r="AO160" i="1"/>
  <c r="BA160" i="1" s="1"/>
  <c r="AN160" i="1"/>
  <c r="AP159" i="1"/>
  <c r="AO159" i="1"/>
  <c r="BA159" i="1" s="1"/>
  <c r="AN159" i="1"/>
  <c r="AP158" i="1"/>
  <c r="AO158" i="1"/>
  <c r="BA158" i="1" s="1"/>
  <c r="AN158" i="1"/>
  <c r="AN157" i="1"/>
  <c r="AP156" i="1"/>
  <c r="AO156" i="1"/>
  <c r="BA156" i="1" s="1"/>
  <c r="AN156" i="1"/>
  <c r="AP155" i="1"/>
  <c r="AO155" i="1"/>
  <c r="BA155" i="1" s="1"/>
  <c r="AN155" i="1"/>
  <c r="AP154" i="1"/>
  <c r="AO154" i="1"/>
  <c r="BA154" i="1" s="1"/>
  <c r="AN154" i="1"/>
  <c r="AO153" i="1"/>
  <c r="BA153" i="1" s="1"/>
  <c r="AP152" i="1"/>
  <c r="AO152" i="1"/>
  <c r="BA152" i="1" s="1"/>
  <c r="AN152" i="1"/>
  <c r="AP151" i="1"/>
  <c r="AO151" i="1"/>
  <c r="BA151" i="1" s="1"/>
  <c r="AN151" i="1"/>
  <c r="AP150" i="1"/>
  <c r="AO150" i="1"/>
  <c r="BA150" i="1" s="1"/>
  <c r="AN150" i="1"/>
  <c r="AP149" i="1"/>
  <c r="AO149" i="1"/>
  <c r="BA149" i="1" s="1"/>
  <c r="AN149" i="1"/>
  <c r="AP148" i="1"/>
  <c r="AO148" i="1"/>
  <c r="BA148" i="1" s="1"/>
  <c r="AN148" i="1"/>
  <c r="AP147" i="1"/>
  <c r="AO147" i="1"/>
  <c r="BA147" i="1" s="1"/>
  <c r="AN147" i="1"/>
  <c r="AP146" i="1"/>
  <c r="AO146" i="1"/>
  <c r="BA146" i="1" s="1"/>
  <c r="AN146" i="1"/>
  <c r="AP145" i="1"/>
  <c r="AO145" i="1"/>
  <c r="BA145" i="1" s="1"/>
  <c r="AN145" i="1"/>
  <c r="AP144" i="1"/>
  <c r="AO144" i="1"/>
  <c r="BA144" i="1" s="1"/>
  <c r="AN144" i="1"/>
  <c r="AP143" i="1"/>
  <c r="AO143" i="1"/>
  <c r="BA143" i="1" s="1"/>
  <c r="AN143" i="1"/>
  <c r="AN142" i="1"/>
  <c r="AP142" i="1"/>
  <c r="AP141" i="1"/>
  <c r="AO141" i="1"/>
  <c r="BA141" i="1" s="1"/>
  <c r="AN141" i="1"/>
  <c r="AP140" i="1"/>
  <c r="AO140" i="1"/>
  <c r="BA140" i="1" s="1"/>
  <c r="AN140" i="1"/>
  <c r="G139" i="1"/>
  <c r="AO139" i="1" s="1"/>
  <c r="BA139" i="1" s="1"/>
  <c r="AP136" i="1"/>
  <c r="AO136" i="1"/>
  <c r="BA136" i="1" s="1"/>
  <c r="AN136" i="1"/>
  <c r="AP134" i="1"/>
  <c r="AO134" i="1"/>
  <c r="BA134" i="1" s="1"/>
  <c r="AN134" i="1"/>
  <c r="AB133" i="1"/>
  <c r="AP132" i="1"/>
  <c r="AO132" i="1"/>
  <c r="BA132" i="1" s="1"/>
  <c r="AN132" i="1"/>
  <c r="AP131" i="1"/>
  <c r="AO131" i="1"/>
  <c r="BA131" i="1" s="1"/>
  <c r="AN131" i="1"/>
  <c r="AP130" i="1"/>
  <c r="AO130" i="1"/>
  <c r="BA130" i="1" s="1"/>
  <c r="AN130" i="1"/>
  <c r="AB129" i="1"/>
  <c r="AP128" i="1"/>
  <c r="AO128" i="1"/>
  <c r="BA128" i="1" s="1"/>
  <c r="AN128" i="1"/>
  <c r="AP126" i="1"/>
  <c r="AO126" i="1"/>
  <c r="BA126" i="1" s="1"/>
  <c r="AN126" i="1"/>
  <c r="AP125" i="1"/>
  <c r="AP124" i="1"/>
  <c r="AP123" i="1"/>
  <c r="AP122" i="1"/>
  <c r="AP121" i="1"/>
  <c r="AP120" i="1"/>
  <c r="AO120" i="1"/>
  <c r="BA120" i="1" s="1"/>
  <c r="AN120" i="1"/>
  <c r="AP119" i="1"/>
  <c r="AO119" i="1"/>
  <c r="BA119" i="1" s="1"/>
  <c r="AN119" i="1"/>
  <c r="AP118" i="1"/>
  <c r="AO118" i="1"/>
  <c r="BA118" i="1" s="1"/>
  <c r="AN118" i="1"/>
  <c r="AP117" i="1"/>
  <c r="AO117" i="1"/>
  <c r="BA117" i="1" s="1"/>
  <c r="AN117" i="1"/>
  <c r="AO116" i="1"/>
  <c r="BA116" i="1" s="1"/>
  <c r="AN116" i="1"/>
  <c r="AP116" i="1"/>
  <c r="AP115" i="1"/>
  <c r="AO115" i="1"/>
  <c r="BA115" i="1" s="1"/>
  <c r="AN115" i="1"/>
  <c r="AP114" i="1"/>
  <c r="AO114" i="1"/>
  <c r="BA114" i="1" s="1"/>
  <c r="AN114" i="1"/>
  <c r="AP113" i="1"/>
  <c r="AO113" i="1"/>
  <c r="BA113" i="1" s="1"/>
  <c r="AN113" i="1"/>
  <c r="AP112" i="1"/>
  <c r="AO112" i="1"/>
  <c r="BA112" i="1" s="1"/>
  <c r="AN112" i="1"/>
  <c r="AP111" i="1"/>
  <c r="AO111" i="1"/>
  <c r="BA111" i="1" s="1"/>
  <c r="AN111" i="1"/>
  <c r="AP110" i="1"/>
  <c r="AO110" i="1"/>
  <c r="BA110" i="1" s="1"/>
  <c r="AN110" i="1"/>
  <c r="AP109" i="1"/>
  <c r="AO109" i="1"/>
  <c r="BA109" i="1" s="1"/>
  <c r="AN109" i="1"/>
  <c r="AP108" i="1"/>
  <c r="AO108" i="1"/>
  <c r="BA108" i="1" s="1"/>
  <c r="AN108" i="1"/>
  <c r="AP107" i="1"/>
  <c r="AO107" i="1"/>
  <c r="BA107" i="1" s="1"/>
  <c r="AN107" i="1"/>
  <c r="AP106" i="1"/>
  <c r="AO106" i="1"/>
  <c r="BA106" i="1" s="1"/>
  <c r="AN106" i="1"/>
  <c r="AN105" i="1"/>
  <c r="AP103" i="1"/>
  <c r="AO103" i="1"/>
  <c r="BA103" i="1" s="1"/>
  <c r="AN103" i="1"/>
  <c r="AP102" i="1"/>
  <c r="AP101" i="1"/>
  <c r="AO101" i="1"/>
  <c r="BA101" i="1" s="1"/>
  <c r="AN101" i="1"/>
  <c r="AP100" i="1"/>
  <c r="AP99" i="1"/>
  <c r="AO99" i="1"/>
  <c r="BA99" i="1" s="1"/>
  <c r="AN99" i="1"/>
  <c r="AP98" i="1"/>
  <c r="AO98" i="1"/>
  <c r="BA98" i="1" s="1"/>
  <c r="AN98" i="1"/>
  <c r="AP97" i="1"/>
  <c r="AO97" i="1"/>
  <c r="BA97" i="1" s="1"/>
  <c r="AN97" i="1"/>
  <c r="AP96" i="1"/>
  <c r="AO96" i="1"/>
  <c r="BA96" i="1" s="1"/>
  <c r="AN96" i="1"/>
  <c r="AP95" i="1"/>
  <c r="AO95" i="1"/>
  <c r="BA95" i="1" s="1"/>
  <c r="AN95" i="1"/>
  <c r="AP94" i="1"/>
  <c r="AO94" i="1"/>
  <c r="BA94" i="1" s="1"/>
  <c r="AN94" i="1"/>
  <c r="AP93" i="1"/>
  <c r="AO93" i="1"/>
  <c r="BA93" i="1" s="1"/>
  <c r="AN93" i="1"/>
  <c r="AP92" i="1"/>
  <c r="AO92" i="1"/>
  <c r="BA92" i="1" s="1"/>
  <c r="AN92" i="1"/>
  <c r="AP91" i="1"/>
  <c r="AO91" i="1"/>
  <c r="BA91" i="1" s="1"/>
  <c r="AN91" i="1"/>
  <c r="AP90" i="1"/>
  <c r="AO90" i="1"/>
  <c r="BA90" i="1" s="1"/>
  <c r="AN90" i="1"/>
  <c r="AP89" i="1"/>
  <c r="AO89" i="1"/>
  <c r="BA89" i="1" s="1"/>
  <c r="AN89" i="1"/>
  <c r="T88" i="1"/>
  <c r="AP88" i="1" s="1"/>
  <c r="AP87" i="1"/>
  <c r="AP86" i="1"/>
  <c r="AO86" i="1"/>
  <c r="BA86" i="1" s="1"/>
  <c r="AN86" i="1"/>
  <c r="AO85" i="1"/>
  <c r="BA85" i="1" s="1"/>
  <c r="AP84" i="1"/>
  <c r="AO84" i="1"/>
  <c r="BA84" i="1" s="1"/>
  <c r="AN84" i="1"/>
  <c r="AP83" i="1"/>
  <c r="AO83" i="1"/>
  <c r="BA83" i="1" s="1"/>
  <c r="AN83" i="1"/>
  <c r="AE82" i="1"/>
  <c r="AP81" i="1"/>
  <c r="AO81" i="1"/>
  <c r="BA81" i="1" s="1"/>
  <c r="AN81" i="1"/>
  <c r="S80" i="1"/>
  <c r="AP80" i="1" s="1"/>
  <c r="AP79" i="1"/>
  <c r="AO79" i="1"/>
  <c r="BA79" i="1" s="1"/>
  <c r="AN79" i="1"/>
  <c r="AP78" i="1"/>
  <c r="AO78" i="1"/>
  <c r="BA78" i="1" s="1"/>
  <c r="AN78" i="1"/>
  <c r="I77" i="1"/>
  <c r="AP77" i="1" s="1"/>
  <c r="AP76" i="1"/>
  <c r="AO76" i="1"/>
  <c r="BA76" i="1" s="1"/>
  <c r="AN76" i="1"/>
  <c r="AP75" i="1"/>
  <c r="AO75" i="1"/>
  <c r="BA75" i="1" s="1"/>
  <c r="AN75" i="1"/>
  <c r="AP74" i="1"/>
  <c r="AO74" i="1"/>
  <c r="BA74" i="1" s="1"/>
  <c r="AN74" i="1"/>
  <c r="AP73" i="1"/>
  <c r="AO73" i="1"/>
  <c r="BA73" i="1" s="1"/>
  <c r="AN73" i="1"/>
  <c r="AP72" i="1"/>
  <c r="AO72" i="1"/>
  <c r="BA72" i="1" s="1"/>
  <c r="AN72" i="1"/>
  <c r="AP71" i="1"/>
  <c r="AO71" i="1"/>
  <c r="BA71" i="1" s="1"/>
  <c r="AN71" i="1"/>
  <c r="AP70" i="1"/>
  <c r="AO70" i="1"/>
  <c r="BA70" i="1" s="1"/>
  <c r="AN70" i="1"/>
  <c r="AP69" i="1"/>
  <c r="AO69" i="1"/>
  <c r="BA69" i="1" s="1"/>
  <c r="AN69" i="1"/>
  <c r="AP68" i="1"/>
  <c r="AO68" i="1"/>
  <c r="BA68" i="1" s="1"/>
  <c r="AN68" i="1"/>
  <c r="AN67" i="1"/>
  <c r="AP66" i="1"/>
  <c r="AO66" i="1"/>
  <c r="BA66" i="1" s="1"/>
  <c r="AN66" i="1"/>
  <c r="AP65" i="1"/>
  <c r="AO65" i="1"/>
  <c r="BA65" i="1" s="1"/>
  <c r="AN65" i="1"/>
  <c r="AP64" i="1"/>
  <c r="AP63" i="1"/>
  <c r="AN63" i="1"/>
  <c r="AO63" i="1"/>
  <c r="BA63" i="1" s="1"/>
  <c r="AP62" i="1"/>
  <c r="AO61" i="1"/>
  <c r="BA61" i="1" s="1"/>
  <c r="AP60" i="1"/>
  <c r="AO60" i="1"/>
  <c r="BA60" i="1" s="1"/>
  <c r="AN60" i="1"/>
  <c r="AP59" i="1"/>
  <c r="AO59" i="1"/>
  <c r="BA59" i="1" s="1"/>
  <c r="AN59" i="1"/>
  <c r="AN58" i="1"/>
  <c r="AP57" i="1"/>
  <c r="AO57" i="1"/>
  <c r="BA57" i="1" s="1"/>
  <c r="AN57" i="1"/>
  <c r="AE56" i="1"/>
  <c r="AP55" i="1"/>
  <c r="AO55" i="1"/>
  <c r="BA55" i="1" s="1"/>
  <c r="AN55" i="1"/>
  <c r="AE54" i="1"/>
  <c r="AD54" i="1"/>
  <c r="AE53" i="1"/>
  <c r="AD53" i="1"/>
  <c r="AE52" i="1"/>
  <c r="AD52" i="1"/>
  <c r="AO51" i="1"/>
  <c r="BA51" i="1" s="1"/>
  <c r="AP51" i="1"/>
  <c r="AP50" i="1"/>
  <c r="AN50" i="1"/>
  <c r="AP49" i="1"/>
  <c r="AO49" i="1"/>
  <c r="BA49" i="1" s="1"/>
  <c r="AN49" i="1"/>
  <c r="AP48" i="1"/>
  <c r="AO48" i="1"/>
  <c r="BA48" i="1" s="1"/>
  <c r="AN48" i="1"/>
  <c r="N47" i="1"/>
  <c r="AP47" i="1" s="1"/>
  <c r="Z46" i="1"/>
  <c r="AP46" i="1" s="1"/>
  <c r="S45" i="1"/>
  <c r="AA44" i="1"/>
  <c r="AP44" i="1" s="1"/>
  <c r="AP43" i="1"/>
  <c r="AO43" i="1"/>
  <c r="BA43" i="1" s="1"/>
  <c r="AN43" i="1"/>
  <c r="AP42" i="1"/>
  <c r="AO42" i="1"/>
  <c r="BA42" i="1" s="1"/>
  <c r="AN42" i="1"/>
  <c r="AP41" i="1"/>
  <c r="AO41" i="1"/>
  <c r="BA41" i="1" s="1"/>
  <c r="AN41" i="1"/>
  <c r="AP40" i="1"/>
  <c r="AO40" i="1"/>
  <c r="AN40" i="1"/>
  <c r="AP39" i="1"/>
  <c r="AO39" i="1"/>
  <c r="AN39" i="1"/>
  <c r="AP38" i="1"/>
  <c r="AO38" i="1"/>
  <c r="AN38" i="1"/>
  <c r="AP37" i="1"/>
  <c r="AO37" i="1"/>
  <c r="AN37" i="1"/>
  <c r="Z36" i="1"/>
  <c r="AP35" i="1"/>
  <c r="AO35" i="1"/>
  <c r="AN35" i="1"/>
  <c r="AP34" i="1"/>
  <c r="AO34" i="1"/>
  <c r="AN34" i="1"/>
  <c r="AP33" i="1"/>
  <c r="AO33" i="1"/>
  <c r="AN33" i="1"/>
  <c r="AP32" i="1"/>
  <c r="AO32" i="1"/>
  <c r="AN32" i="1"/>
  <c r="AP31" i="1"/>
  <c r="AO31" i="1"/>
  <c r="AN31" i="1"/>
  <c r="AP30" i="1"/>
  <c r="AO30" i="1"/>
  <c r="AN30" i="1"/>
  <c r="AP29" i="1"/>
  <c r="AO29" i="1"/>
  <c r="AN29" i="1"/>
  <c r="AP28" i="1"/>
  <c r="AO28" i="1"/>
  <c r="AN28" i="1"/>
  <c r="AP27" i="1"/>
  <c r="AO27" i="1"/>
  <c r="AN27" i="1"/>
  <c r="AP26" i="1"/>
  <c r="AN26" i="1"/>
  <c r="AO26" i="1"/>
  <c r="AP25" i="1"/>
  <c r="AO25" i="1"/>
  <c r="AN25" i="1"/>
  <c r="AN24" i="1"/>
  <c r="AP24" i="1"/>
  <c r="AP23" i="1"/>
  <c r="AO23" i="1"/>
  <c r="AN23" i="1"/>
  <c r="AP22" i="1"/>
  <c r="AO22" i="1"/>
  <c r="AN22" i="1"/>
  <c r="AP21" i="1"/>
  <c r="AO21" i="1"/>
  <c r="AN21" i="1"/>
  <c r="AP20" i="1"/>
  <c r="AO20" i="1"/>
  <c r="AN20" i="1"/>
  <c r="AP19" i="1"/>
  <c r="AO19" i="1"/>
  <c r="AN19" i="1"/>
  <c r="AP18" i="1"/>
  <c r="AO18" i="1"/>
  <c r="AN18" i="1"/>
  <c r="AP17" i="1"/>
  <c r="AO17" i="1"/>
  <c r="AN17" i="1"/>
  <c r="AP16" i="1"/>
  <c r="AO16" i="1"/>
  <c r="AN16" i="1"/>
  <c r="AP15" i="1"/>
  <c r="AO15" i="1"/>
  <c r="AN15" i="1"/>
  <c r="AP14" i="1"/>
  <c r="AO14" i="1"/>
  <c r="AN14" i="1"/>
  <c r="AP13" i="1"/>
  <c r="AO13" i="1"/>
  <c r="AN13" i="1"/>
  <c r="AB12" i="1"/>
  <c r="AP11" i="1"/>
  <c r="AO11" i="1"/>
  <c r="AN11" i="1"/>
  <c r="AP10" i="1"/>
  <c r="AO10" i="1"/>
  <c r="AN10" i="1"/>
  <c r="I9" i="1"/>
  <c r="AP9" i="1" s="1"/>
  <c r="AP6" i="1"/>
  <c r="AO6" i="1"/>
  <c r="AN6" i="1"/>
  <c r="AP5" i="1"/>
  <c r="AO5" i="1"/>
  <c r="AN5" i="1"/>
  <c r="AP4" i="1"/>
  <c r="AO4" i="1"/>
  <c r="AN4" i="1"/>
  <c r="AP3" i="1"/>
  <c r="AO3" i="1"/>
  <c r="BA3" i="1" s="1"/>
  <c r="AN3" i="1"/>
  <c r="AO2" i="1"/>
  <c r="C32" i="128"/>
  <c r="H27" i="128"/>
  <c r="J16" i="128"/>
  <c r="J14" i="128"/>
  <c r="H14" i="128"/>
  <c r="F13" i="128"/>
  <c r="H12" i="128"/>
  <c r="I12" i="128" s="1"/>
  <c r="I11" i="128"/>
  <c r="H11" i="128"/>
  <c r="I10" i="128"/>
  <c r="H9" i="128"/>
  <c r="J8" i="128"/>
  <c r="H8" i="128"/>
  <c r="H7" i="128"/>
  <c r="I7" i="128" s="1"/>
  <c r="F7" i="128"/>
  <c r="G7" i="128" s="1"/>
  <c r="K6" i="128"/>
  <c r="H6" i="128"/>
  <c r="I6" i="128" s="1"/>
  <c r="F6" i="128"/>
  <c r="G6" i="128" s="1"/>
  <c r="H5" i="128"/>
  <c r="I5" i="128" s="1"/>
  <c r="F5" i="128"/>
  <c r="G5" i="128" s="1"/>
  <c r="H4" i="128"/>
  <c r="I4" i="128" s="1"/>
  <c r="G4" i="128"/>
  <c r="G76" i="121"/>
  <c r="G75" i="121"/>
  <c r="G74" i="121"/>
  <c r="G73" i="121"/>
  <c r="G72" i="121"/>
  <c r="G71" i="121"/>
  <c r="G70" i="121"/>
  <c r="G69" i="121"/>
  <c r="G68" i="121"/>
  <c r="G67" i="121"/>
  <c r="G66" i="121"/>
  <c r="G65" i="121"/>
  <c r="G64" i="121"/>
  <c r="G63" i="121"/>
  <c r="G62" i="121"/>
  <c r="G61" i="121"/>
  <c r="G60" i="121"/>
  <c r="G59" i="121"/>
  <c r="E58" i="121"/>
  <c r="G58" i="121" s="1"/>
  <c r="D19" i="121"/>
  <c r="C6" i="121"/>
  <c r="C9" i="121" s="1"/>
  <c r="L53" i="185"/>
  <c r="J53" i="185"/>
  <c r="I53" i="185"/>
  <c r="M53" i="185" s="1"/>
  <c r="L52" i="185"/>
  <c r="I52" i="185"/>
  <c r="M52" i="185" s="1"/>
  <c r="B46" i="185"/>
  <c r="L42" i="185"/>
  <c r="B41" i="185"/>
  <c r="M41" i="185" s="1"/>
  <c r="M40" i="185"/>
  <c r="L40" i="185"/>
  <c r="J40" i="185"/>
  <c r="B39" i="185"/>
  <c r="J39" i="185" s="1"/>
  <c r="B38" i="185"/>
  <c r="M38" i="185" s="1"/>
  <c r="B37" i="185"/>
  <c r="B36" i="185"/>
  <c r="M36" i="185" s="1"/>
  <c r="D32" i="185"/>
  <c r="J32" i="185" s="1"/>
  <c r="K32" i="185" s="1"/>
  <c r="L32" i="185" s="1"/>
  <c r="M32" i="185" s="1"/>
  <c r="J31" i="185"/>
  <c r="K31" i="185" s="1"/>
  <c r="L31" i="185" s="1"/>
  <c r="M31" i="185" s="1"/>
  <c r="D28" i="185"/>
  <c r="J28" i="185" s="1"/>
  <c r="K28" i="185" s="1"/>
  <c r="L28" i="185" s="1"/>
  <c r="M28" i="185" s="1"/>
  <c r="D27" i="185"/>
  <c r="J27" i="185" s="1"/>
  <c r="K27" i="185" s="1"/>
  <c r="L27" i="185" s="1"/>
  <c r="M27" i="185" s="1"/>
  <c r="J26" i="185"/>
  <c r="K26" i="185" s="1"/>
  <c r="L26" i="185" s="1"/>
  <c r="M26" i="185" s="1"/>
  <c r="D25" i="185"/>
  <c r="J25" i="185" s="1"/>
  <c r="K25" i="185" s="1"/>
  <c r="L25" i="185" s="1"/>
  <c r="M25" i="185" s="1"/>
  <c r="D20" i="185"/>
  <c r="J20" i="185" s="1"/>
  <c r="K20" i="185" s="1"/>
  <c r="L20" i="185" s="1"/>
  <c r="M20" i="185" s="1"/>
  <c r="D19" i="185"/>
  <c r="J19" i="185" s="1"/>
  <c r="K19" i="185" s="1"/>
  <c r="L19" i="185" s="1"/>
  <c r="M19" i="185" s="1"/>
  <c r="D18" i="185"/>
  <c r="J18" i="185" s="1"/>
  <c r="K18" i="185" s="1"/>
  <c r="L18" i="185" s="1"/>
  <c r="M18" i="185" s="1"/>
  <c r="D17" i="185"/>
  <c r="P16" i="185"/>
  <c r="S11" i="185"/>
  <c r="O10" i="185"/>
  <c r="O11" i="185" s="1"/>
  <c r="O12" i="185" s="1"/>
  <c r="S9" i="185"/>
  <c r="S10" i="185" s="1"/>
  <c r="S8" i="185"/>
  <c r="P24" i="190"/>
  <c r="G24" i="190"/>
  <c r="P9" i="190"/>
  <c r="P11" i="190" s="1"/>
  <c r="G9" i="190"/>
  <c r="G11" i="190" s="1"/>
  <c r="P8" i="190"/>
  <c r="G8" i="190"/>
  <c r="C48" i="122"/>
  <c r="C49" i="122" s="1"/>
  <c r="S40" i="122"/>
  <c r="Q40" i="122"/>
  <c r="O40" i="122"/>
  <c r="M40" i="122"/>
  <c r="K40" i="122"/>
  <c r="I40" i="122"/>
  <c r="G40" i="122"/>
  <c r="E40" i="122"/>
  <c r="C40" i="122"/>
  <c r="S11" i="122"/>
  <c r="S15" i="122" s="1"/>
  <c r="Q11" i="122"/>
  <c r="Q15" i="122" s="1"/>
  <c r="O11" i="122"/>
  <c r="M11" i="122"/>
  <c r="K11" i="122"/>
  <c r="K15" i="122" s="1"/>
  <c r="I11" i="122"/>
  <c r="I15" i="122" s="1"/>
  <c r="G11" i="122"/>
  <c r="G15" i="122" s="1"/>
  <c r="E11" i="122"/>
  <c r="E15" i="122" s="1"/>
  <c r="C11" i="122"/>
  <c r="C15" i="122" s="1"/>
  <c r="S10" i="122"/>
  <c r="S14" i="122" s="1"/>
  <c r="Q10" i="122"/>
  <c r="O10" i="122"/>
  <c r="O24" i="122" s="1"/>
  <c r="M10" i="122"/>
  <c r="M14" i="122" s="1"/>
  <c r="M34" i="122" s="1"/>
  <c r="K10" i="122"/>
  <c r="K14" i="122" s="1"/>
  <c r="K34" i="122" s="1"/>
  <c r="I10" i="122"/>
  <c r="I14" i="122" s="1"/>
  <c r="G10" i="122"/>
  <c r="G24" i="122" s="1"/>
  <c r="E10" i="122"/>
  <c r="E14" i="122" s="1"/>
  <c r="E28" i="122" s="1"/>
  <c r="C10" i="122"/>
  <c r="C14" i="122" s="1"/>
  <c r="K35" i="122" s="1"/>
  <c r="P26" i="143"/>
  <c r="O26" i="143"/>
  <c r="N26" i="143"/>
  <c r="M26" i="143"/>
  <c r="L26" i="143"/>
  <c r="K26" i="143"/>
  <c r="J26" i="143"/>
  <c r="I26" i="143"/>
  <c r="H26" i="143"/>
  <c r="G26" i="143"/>
  <c r="F26" i="143"/>
  <c r="E26" i="143"/>
  <c r="D26" i="143"/>
  <c r="P25" i="143"/>
  <c r="O25" i="143"/>
  <c r="N25" i="143"/>
  <c r="M25" i="143"/>
  <c r="L25" i="143"/>
  <c r="K25" i="143"/>
  <c r="J25" i="143"/>
  <c r="I25" i="143"/>
  <c r="H25" i="143"/>
  <c r="G25" i="143"/>
  <c r="F25" i="143"/>
  <c r="O24" i="143"/>
  <c r="N24" i="143"/>
  <c r="M24" i="143"/>
  <c r="L24" i="143"/>
  <c r="K24" i="143"/>
  <c r="J24" i="143"/>
  <c r="I24" i="143"/>
  <c r="H24" i="143"/>
  <c r="G24" i="143"/>
  <c r="F24" i="143"/>
  <c r="P24" i="191"/>
  <c r="G24" i="191"/>
  <c r="P9" i="191"/>
  <c r="P11" i="191" s="1"/>
  <c r="G9" i="191"/>
  <c r="G11" i="191" s="1"/>
  <c r="P8" i="191"/>
  <c r="G8" i="191"/>
  <c r="G11" i="65" l="1"/>
  <c r="I11" i="65" s="1"/>
  <c r="J11" i="65" s="1"/>
  <c r="N60" i="2"/>
  <c r="N40" i="14"/>
  <c r="G44" i="14" s="1"/>
  <c r="I43" i="32"/>
  <c r="J43" i="32" s="1"/>
  <c r="G36" i="66"/>
  <c r="I36" i="66" s="1"/>
  <c r="J36" i="66" s="1"/>
  <c r="J39" i="66" s="1"/>
  <c r="F17" i="7"/>
  <c r="A17" i="8"/>
  <c r="G17" i="8" s="1"/>
  <c r="I17" i="8" s="1"/>
  <c r="J17" i="8" s="1"/>
  <c r="AO77" i="1"/>
  <c r="BA77" i="1" s="1"/>
  <c r="N18" i="3"/>
  <c r="P33" i="3"/>
  <c r="H13" i="7"/>
  <c r="I13" i="7" s="1"/>
  <c r="J13" i="7" s="1"/>
  <c r="H29" i="140"/>
  <c r="H26" i="140"/>
  <c r="P14" i="3"/>
  <c r="S14" i="3" s="1"/>
  <c r="P20" i="3"/>
  <c r="C20" i="3" s="1"/>
  <c r="D20" i="3" s="1"/>
  <c r="F14" i="8"/>
  <c r="F15" i="8"/>
  <c r="G15" i="8"/>
  <c r="H17" i="8"/>
  <c r="H13" i="8"/>
  <c r="G16" i="12"/>
  <c r="I16" i="12" s="1"/>
  <c r="J16" i="12" s="1"/>
  <c r="P31" i="3"/>
  <c r="S31" i="3" s="1"/>
  <c r="F16" i="7"/>
  <c r="A16" i="8"/>
  <c r="I26" i="140"/>
  <c r="F11" i="79"/>
  <c r="E12" i="79"/>
  <c r="G13" i="196"/>
  <c r="I13" i="196" s="1"/>
  <c r="J13" i="196" s="1"/>
  <c r="AN77" i="1"/>
  <c r="P50" i="3"/>
  <c r="S50" i="3" s="1"/>
  <c r="M38" i="2"/>
  <c r="G12" i="108" s="1"/>
  <c r="I12" i="108" s="1"/>
  <c r="J12" i="108" s="1"/>
  <c r="M52" i="2"/>
  <c r="M23" i="122"/>
  <c r="D6" i="121"/>
  <c r="I36" i="35"/>
  <c r="J36" i="35" s="1"/>
  <c r="J39" i="35" s="1"/>
  <c r="M29" i="2"/>
  <c r="G11" i="111" s="1"/>
  <c r="I11" i="111" s="1"/>
  <c r="J11" i="111" s="1"/>
  <c r="H12" i="144"/>
  <c r="H13" i="144" s="1"/>
  <c r="H14" i="144" s="1"/>
  <c r="L39" i="141"/>
  <c r="G39" i="141" s="1"/>
  <c r="H29" i="141"/>
  <c r="M29" i="122"/>
  <c r="H44" i="160"/>
  <c r="M39" i="8"/>
  <c r="G39" i="8" s="1"/>
  <c r="M31" i="7"/>
  <c r="G37" i="7" s="1"/>
  <c r="M23" i="2"/>
  <c r="N44" i="2"/>
  <c r="H45" i="150"/>
  <c r="M9" i="2"/>
  <c r="G17" i="12" s="1"/>
  <c r="I17" i="12" s="1"/>
  <c r="J17" i="12" s="1"/>
  <c r="L35" i="65"/>
  <c r="H26" i="27"/>
  <c r="J26" i="27" s="1"/>
  <c r="D52" i="3"/>
  <c r="E52" i="3" s="1"/>
  <c r="E24" i="122"/>
  <c r="M7" i="2"/>
  <c r="G12" i="202" s="1"/>
  <c r="I12" i="202" s="1"/>
  <c r="J12" i="202" s="1"/>
  <c r="N22" i="3"/>
  <c r="F55" i="3"/>
  <c r="N9" i="2"/>
  <c r="G13" i="160"/>
  <c r="I13" i="160" s="1"/>
  <c r="J13" i="160" s="1"/>
  <c r="F15" i="25"/>
  <c r="H32" i="31"/>
  <c r="L42" i="31"/>
  <c r="G42" i="31" s="1"/>
  <c r="C10" i="121"/>
  <c r="C11" i="121" s="1"/>
  <c r="E9" i="121"/>
  <c r="D9" i="121"/>
  <c r="G15" i="202"/>
  <c r="I15" i="202" s="1"/>
  <c r="J15" i="202" s="1"/>
  <c r="G15" i="203"/>
  <c r="I15" i="203" s="1"/>
  <c r="J15" i="203" s="1"/>
  <c r="M24" i="122"/>
  <c r="E6" i="121"/>
  <c r="BA13" i="1"/>
  <c r="AR13" i="1"/>
  <c r="AR21" i="1"/>
  <c r="BA21" i="1"/>
  <c r="AR32" i="1"/>
  <c r="BA32" i="1"/>
  <c r="BA38" i="1"/>
  <c r="AR38" i="1"/>
  <c r="P9" i="3"/>
  <c r="S9" i="3" s="1"/>
  <c r="P11" i="3"/>
  <c r="S11" i="3" s="1"/>
  <c r="P18" i="3"/>
  <c r="C18" i="3" s="1"/>
  <c r="P45" i="3"/>
  <c r="C45" i="3" s="1"/>
  <c r="N27" i="2"/>
  <c r="M58" i="2"/>
  <c r="G15" i="198" s="1"/>
  <c r="I15" i="198" s="1"/>
  <c r="J15" i="198" s="1"/>
  <c r="H45" i="177"/>
  <c r="E13" i="79"/>
  <c r="E13" i="77"/>
  <c r="I34" i="11"/>
  <c r="J34" i="11" s="1"/>
  <c r="H33" i="18"/>
  <c r="N33" i="18" s="1"/>
  <c r="H35" i="18"/>
  <c r="N35" i="18" s="1"/>
  <c r="N26" i="18"/>
  <c r="H34" i="18"/>
  <c r="N34" i="18" s="1"/>
  <c r="H36" i="26"/>
  <c r="N36" i="26" s="1"/>
  <c r="H38" i="26"/>
  <c r="N38" i="26" s="1"/>
  <c r="N28" i="26"/>
  <c r="E29" i="122"/>
  <c r="C7" i="121"/>
  <c r="AR10" i="1"/>
  <c r="BA10" i="1"/>
  <c r="BA16" i="1"/>
  <c r="AR16" i="1"/>
  <c r="AR27" i="1"/>
  <c r="BA27" i="1"/>
  <c r="AR35" i="1"/>
  <c r="BA35" i="1"/>
  <c r="P6" i="3"/>
  <c r="C6" i="3" s="1"/>
  <c r="D6" i="3" s="1"/>
  <c r="P23" i="3"/>
  <c r="S23" i="3" s="1"/>
  <c r="P28" i="3"/>
  <c r="P37" i="3"/>
  <c r="S37" i="3" s="1"/>
  <c r="P42" i="3"/>
  <c r="C42" i="3" s="1"/>
  <c r="G15" i="73"/>
  <c r="I15" i="73" s="1"/>
  <c r="J15" i="73" s="1"/>
  <c r="G15" i="130"/>
  <c r="I15" i="130" s="1"/>
  <c r="J15" i="130" s="1"/>
  <c r="G15" i="70"/>
  <c r="I15" i="70" s="1"/>
  <c r="J15" i="70" s="1"/>
  <c r="G15" i="61"/>
  <c r="I15" i="61" s="1"/>
  <c r="J15" i="61" s="1"/>
  <c r="G15" i="60"/>
  <c r="I15" i="60" s="1"/>
  <c r="J15" i="60" s="1"/>
  <c r="G15" i="65"/>
  <c r="I15" i="65" s="1"/>
  <c r="J15" i="65" s="1"/>
  <c r="G15" i="63"/>
  <c r="I15" i="63" s="1"/>
  <c r="J15" i="63" s="1"/>
  <c r="G15" i="54"/>
  <c r="I15" i="54" s="1"/>
  <c r="J15" i="54" s="1"/>
  <c r="G15" i="66"/>
  <c r="I15" i="66" s="1"/>
  <c r="J15" i="66" s="1"/>
  <c r="G15" i="59"/>
  <c r="I15" i="59" s="1"/>
  <c r="J15" i="59" s="1"/>
  <c r="G15" i="53"/>
  <c r="I15" i="53" s="1"/>
  <c r="J15" i="53" s="1"/>
  <c r="G15" i="44"/>
  <c r="I15" i="44" s="1"/>
  <c r="J15" i="44" s="1"/>
  <c r="G15" i="56"/>
  <c r="I15" i="56" s="1"/>
  <c r="J15" i="56" s="1"/>
  <c r="G15" i="47"/>
  <c r="I15" i="47" s="1"/>
  <c r="J15" i="47" s="1"/>
  <c r="G15" i="50"/>
  <c r="I15" i="50" s="1"/>
  <c r="J15" i="50" s="1"/>
  <c r="G15" i="45"/>
  <c r="I15" i="45" s="1"/>
  <c r="J15" i="45" s="1"/>
  <c r="G15" i="67"/>
  <c r="I15" i="67" s="1"/>
  <c r="J15" i="67" s="1"/>
  <c r="G15" i="131"/>
  <c r="I15" i="131" s="1"/>
  <c r="J15" i="131" s="1"/>
  <c r="G15" i="69"/>
  <c r="I15" i="69" s="1"/>
  <c r="J15" i="69" s="1"/>
  <c r="G15" i="49"/>
  <c r="I15" i="49" s="1"/>
  <c r="J15" i="49" s="1"/>
  <c r="G15" i="71"/>
  <c r="I15" i="71" s="1"/>
  <c r="J15" i="71" s="1"/>
  <c r="G15" i="68"/>
  <c r="I15" i="68" s="1"/>
  <c r="J15" i="68" s="1"/>
  <c r="G15" i="57"/>
  <c r="I15" i="57" s="1"/>
  <c r="J15" i="57" s="1"/>
  <c r="G15" i="51"/>
  <c r="I15" i="51" s="1"/>
  <c r="J15" i="51" s="1"/>
  <c r="G15" i="46"/>
  <c r="I15" i="46" s="1"/>
  <c r="J15" i="46" s="1"/>
  <c r="G15" i="52"/>
  <c r="I15" i="52" s="1"/>
  <c r="J15" i="52" s="1"/>
  <c r="G15" i="55"/>
  <c r="I15" i="55" s="1"/>
  <c r="J15" i="55" s="1"/>
  <c r="G15" i="58"/>
  <c r="I15" i="58" s="1"/>
  <c r="J15" i="58" s="1"/>
  <c r="G15" i="48"/>
  <c r="I15" i="48" s="1"/>
  <c r="J15" i="48" s="1"/>
  <c r="G15" i="132"/>
  <c r="I15" i="132" s="1"/>
  <c r="J15" i="132" s="1"/>
  <c r="G15" i="62"/>
  <c r="I15" i="62" s="1"/>
  <c r="J15" i="62" s="1"/>
  <c r="G15" i="64"/>
  <c r="I15" i="64" s="1"/>
  <c r="J15" i="64" s="1"/>
  <c r="G14" i="203"/>
  <c r="I14" i="203" s="1"/>
  <c r="J14" i="203" s="1"/>
  <c r="G14" i="202"/>
  <c r="I14" i="202" s="1"/>
  <c r="J14" i="202" s="1"/>
  <c r="G18" i="13"/>
  <c r="N27" i="10"/>
  <c r="N41" i="10" s="1"/>
  <c r="F13" i="120"/>
  <c r="N42" i="20"/>
  <c r="G46" i="20" s="1"/>
  <c r="H36" i="9"/>
  <c r="N36" i="9" s="1"/>
  <c r="N31" i="9"/>
  <c r="BA5" i="1"/>
  <c r="AR5" i="1"/>
  <c r="I37" i="11"/>
  <c r="J37" i="11" s="1"/>
  <c r="G11" i="12"/>
  <c r="I11" i="12" s="1"/>
  <c r="J11" i="12" s="1"/>
  <c r="H26" i="17"/>
  <c r="N26" i="17" s="1"/>
  <c r="H34" i="17"/>
  <c r="N34" i="17" s="1"/>
  <c r="N25" i="17"/>
  <c r="H33" i="17"/>
  <c r="N33" i="17" s="1"/>
  <c r="S16" i="122"/>
  <c r="E34" i="122"/>
  <c r="BA14" i="1"/>
  <c r="AR14" i="1"/>
  <c r="BA22" i="1"/>
  <c r="AR22" i="1"/>
  <c r="BA25" i="1"/>
  <c r="AR25" i="1"/>
  <c r="BA33" i="1"/>
  <c r="AR33" i="1"/>
  <c r="BA39" i="1"/>
  <c r="AR39" i="1"/>
  <c r="P4" i="3"/>
  <c r="S4" i="3" s="1"/>
  <c r="P47" i="3"/>
  <c r="S47" i="3" s="1"/>
  <c r="F54" i="3"/>
  <c r="M24" i="2"/>
  <c r="G14" i="8" s="1"/>
  <c r="N50" i="2"/>
  <c r="H44" i="175"/>
  <c r="N35" i="107"/>
  <c r="P41" i="78"/>
  <c r="E11" i="77"/>
  <c r="I38" i="11"/>
  <c r="J38" i="11" s="1"/>
  <c r="N26" i="19"/>
  <c r="H35" i="19"/>
  <c r="N35" i="19" s="1"/>
  <c r="H34" i="19"/>
  <c r="N34" i="19" s="1"/>
  <c r="BA4" i="1"/>
  <c r="AR4" i="1"/>
  <c r="I22" i="47"/>
  <c r="J22" i="47" s="1"/>
  <c r="I37" i="203"/>
  <c r="J37" i="203" s="1"/>
  <c r="I32" i="202"/>
  <c r="J32" i="202" s="1"/>
  <c r="I37" i="202"/>
  <c r="J37" i="202" s="1"/>
  <c r="I34" i="202"/>
  <c r="J34" i="202" s="1"/>
  <c r="I38" i="203"/>
  <c r="J38" i="203" s="1"/>
  <c r="I36" i="203"/>
  <c r="J36" i="203" s="1"/>
  <c r="I34" i="203"/>
  <c r="J34" i="203" s="1"/>
  <c r="I36" i="202"/>
  <c r="J36" i="202" s="1"/>
  <c r="I38" i="202"/>
  <c r="J38" i="202" s="1"/>
  <c r="I32" i="203"/>
  <c r="J32" i="203" s="1"/>
  <c r="I36" i="11"/>
  <c r="J36" i="11" s="1"/>
  <c r="BA30" i="1"/>
  <c r="AR30" i="1"/>
  <c r="G12" i="203"/>
  <c r="I12" i="203" s="1"/>
  <c r="J12" i="203" s="1"/>
  <c r="BA28" i="1"/>
  <c r="AR28" i="1"/>
  <c r="G12" i="197"/>
  <c r="I12" i="197" s="1"/>
  <c r="J12" i="197" s="1"/>
  <c r="G17" i="203"/>
  <c r="I17" i="203" s="1"/>
  <c r="J17" i="203" s="1"/>
  <c r="G17" i="202"/>
  <c r="I17" i="202" s="1"/>
  <c r="J17" i="202" s="1"/>
  <c r="G16" i="203"/>
  <c r="I16" i="203" s="1"/>
  <c r="J16" i="203" s="1"/>
  <c r="G16" i="202"/>
  <c r="I16" i="202" s="1"/>
  <c r="J16" i="202" s="1"/>
  <c r="G13" i="12"/>
  <c r="I13" i="12" s="1"/>
  <c r="J13" i="12" s="1"/>
  <c r="N37" i="13"/>
  <c r="G41" i="13" s="1"/>
  <c r="H34" i="120"/>
  <c r="N34" i="120" s="1"/>
  <c r="N25" i="120"/>
  <c r="H33" i="120"/>
  <c r="N33" i="120" s="1"/>
  <c r="H47" i="27"/>
  <c r="AR29" i="1"/>
  <c r="BA29" i="1"/>
  <c r="AR11" i="1"/>
  <c r="BA11" i="1"/>
  <c r="BA17" i="1"/>
  <c r="AR17" i="1"/>
  <c r="K12" i="122"/>
  <c r="K13" i="122" s="1"/>
  <c r="BA6" i="1"/>
  <c r="AR6" i="1"/>
  <c r="BA20" i="1"/>
  <c r="AR20" i="1"/>
  <c r="BA26" i="1"/>
  <c r="AR26" i="1"/>
  <c r="BA31" i="1"/>
  <c r="AR31" i="1"/>
  <c r="AR37" i="1"/>
  <c r="BA37" i="1"/>
  <c r="P35" i="3"/>
  <c r="C35" i="3" s="1"/>
  <c r="D35" i="3" s="1"/>
  <c r="M21" i="2"/>
  <c r="G11" i="71" s="1"/>
  <c r="I11" i="71" s="1"/>
  <c r="J11" i="71" s="1"/>
  <c r="N25" i="2"/>
  <c r="G11" i="202"/>
  <c r="I11" i="202" s="1"/>
  <c r="J11" i="202" s="1"/>
  <c r="G11" i="203"/>
  <c r="I11" i="203" s="1"/>
  <c r="J11" i="203" s="1"/>
  <c r="N52" i="2"/>
  <c r="N56" i="2"/>
  <c r="H45" i="105"/>
  <c r="E12" i="77"/>
  <c r="I34" i="10"/>
  <c r="J34" i="10" s="1"/>
  <c r="G14" i="12"/>
  <c r="I14" i="12" s="1"/>
  <c r="J14" i="12" s="1"/>
  <c r="H32" i="141"/>
  <c r="BA15" i="1"/>
  <c r="AR15" i="1"/>
  <c r="BA23" i="1"/>
  <c r="AR23" i="1"/>
  <c r="BA34" i="1"/>
  <c r="AR34" i="1"/>
  <c r="BA40" i="1"/>
  <c r="AR40" i="1"/>
  <c r="P22" i="3"/>
  <c r="I32" i="11"/>
  <c r="J32" i="11" s="1"/>
  <c r="G15" i="12"/>
  <c r="I15" i="12" s="1"/>
  <c r="J15" i="12" s="1"/>
  <c r="N45" i="25"/>
  <c r="G49" i="25" s="1"/>
  <c r="I43" i="42"/>
  <c r="J43" i="42" s="1"/>
  <c r="AR19" i="1"/>
  <c r="BA19" i="1"/>
  <c r="AR18" i="1"/>
  <c r="BA18" i="1"/>
  <c r="J25" i="27"/>
  <c r="J28" i="27"/>
  <c r="I27" i="11"/>
  <c r="J27" i="11" s="1"/>
  <c r="J36" i="85"/>
  <c r="J39" i="85" s="1"/>
  <c r="A11" i="18"/>
  <c r="F11" i="18" s="1"/>
  <c r="P40" i="3"/>
  <c r="I32" i="122"/>
  <c r="I27" i="122"/>
  <c r="S12" i="185"/>
  <c r="T9" i="185" s="1"/>
  <c r="E23" i="122"/>
  <c r="S24" i="122"/>
  <c r="H36" i="197"/>
  <c r="M15" i="2"/>
  <c r="G11" i="46" s="1"/>
  <c r="I11" i="46" s="1"/>
  <c r="J11" i="46" s="1"/>
  <c r="M18" i="2"/>
  <c r="N49" i="2"/>
  <c r="M53" i="2"/>
  <c r="C23" i="122"/>
  <c r="S35" i="122"/>
  <c r="P18" i="191"/>
  <c r="C12" i="122"/>
  <c r="C13" i="122" s="1"/>
  <c r="K23" i="122"/>
  <c r="J17" i="185"/>
  <c r="K17" i="185" s="1"/>
  <c r="L17" i="185" s="1"/>
  <c r="M17" i="185" s="1"/>
  <c r="AP53" i="1"/>
  <c r="P39" i="3"/>
  <c r="S39" i="3" s="1"/>
  <c r="P34" i="3"/>
  <c r="S34" i="3" s="1"/>
  <c r="Q46" i="3"/>
  <c r="N46" i="3" s="1"/>
  <c r="P46" i="3" s="1"/>
  <c r="P49" i="3"/>
  <c r="F12" i="198"/>
  <c r="G12" i="198"/>
  <c r="I12" i="198" s="1"/>
  <c r="J12" i="198" s="1"/>
  <c r="H44" i="176"/>
  <c r="G13" i="175"/>
  <c r="I13" i="175" s="1"/>
  <c r="J13" i="175" s="1"/>
  <c r="N12" i="2"/>
  <c r="H44" i="177"/>
  <c r="A12" i="18"/>
  <c r="F12" i="18" s="1"/>
  <c r="F12" i="120"/>
  <c r="H26" i="120"/>
  <c r="N26" i="120" s="1"/>
  <c r="H32" i="120"/>
  <c r="N32" i="120" s="1"/>
  <c r="M22" i="2"/>
  <c r="G11" i="62" s="1"/>
  <c r="I11" i="62" s="1"/>
  <c r="J11" i="62" s="1"/>
  <c r="M51" i="2"/>
  <c r="G18" i="12" s="1"/>
  <c r="I18" i="12" s="1"/>
  <c r="J18" i="12" s="1"/>
  <c r="N51" i="2"/>
  <c r="P29" i="3"/>
  <c r="S29" i="3" s="1"/>
  <c r="D53" i="3"/>
  <c r="E53" i="3" s="1"/>
  <c r="D56" i="3"/>
  <c r="E56" i="3" s="1"/>
  <c r="N4" i="2"/>
  <c r="M8" i="2"/>
  <c r="G13" i="31" s="1"/>
  <c r="I13" i="31" s="1"/>
  <c r="J13" i="31" s="1"/>
  <c r="M19" i="2"/>
  <c r="G11" i="197" s="1"/>
  <c r="I11" i="197" s="1"/>
  <c r="J11" i="197" s="1"/>
  <c r="G13" i="177"/>
  <c r="I13" i="177" s="1"/>
  <c r="J13" i="177" s="1"/>
  <c r="F13" i="177"/>
  <c r="F18" i="7"/>
  <c r="H33" i="12"/>
  <c r="N33" i="12" s="1"/>
  <c r="S12" i="122"/>
  <c r="S13" i="122" s="1"/>
  <c r="S23" i="122"/>
  <c r="P24" i="3"/>
  <c r="C24" i="3" s="1"/>
  <c r="F24" i="3" s="1"/>
  <c r="N26" i="2"/>
  <c r="N45" i="2"/>
  <c r="G18" i="191"/>
  <c r="C24" i="122"/>
  <c r="M12" i="122"/>
  <c r="M13" i="122" s="1"/>
  <c r="N16" i="3"/>
  <c r="P16" i="3" s="1"/>
  <c r="C16" i="3" s="1"/>
  <c r="D16" i="3" s="1"/>
  <c r="S20" i="3"/>
  <c r="P30" i="3"/>
  <c r="S30" i="3" s="1"/>
  <c r="N13" i="2"/>
  <c r="N20" i="2"/>
  <c r="N55" i="2"/>
  <c r="M59" i="2"/>
  <c r="H44" i="111"/>
  <c r="H45" i="111"/>
  <c r="H46" i="111" s="1"/>
  <c r="G11" i="64"/>
  <c r="I11" i="64" s="1"/>
  <c r="J11" i="64" s="1"/>
  <c r="F15" i="7"/>
  <c r="A16" i="26"/>
  <c r="H47" i="141"/>
  <c r="I36" i="80"/>
  <c r="J36" i="80" s="1"/>
  <c r="J39" i="80" s="1"/>
  <c r="G5" i="122"/>
  <c r="K16" i="122"/>
  <c r="K21" i="122" s="1"/>
  <c r="K24" i="122"/>
  <c r="C35" i="122"/>
  <c r="P21" i="3"/>
  <c r="S21" i="3" s="1"/>
  <c r="P38" i="3"/>
  <c r="C38" i="3" s="1"/>
  <c r="D38" i="3" s="1"/>
  <c r="E38" i="3" s="1"/>
  <c r="N17" i="2"/>
  <c r="N24" i="2"/>
  <c r="H35" i="196"/>
  <c r="I35" i="196" s="1"/>
  <c r="J35" i="196" s="1"/>
  <c r="J38" i="196" s="1"/>
  <c r="H13" i="131"/>
  <c r="H44" i="131"/>
  <c r="F11" i="64"/>
  <c r="A14" i="26"/>
  <c r="F14" i="26" s="1"/>
  <c r="A12" i="8"/>
  <c r="F12" i="8" s="1"/>
  <c r="H48" i="142"/>
  <c r="I36" i="42"/>
  <c r="J36" i="42" s="1"/>
  <c r="J39" i="42" s="1"/>
  <c r="AN54" i="1"/>
  <c r="P13" i="3"/>
  <c r="S13" i="3" s="1"/>
  <c r="P43" i="3"/>
  <c r="P48" i="3"/>
  <c r="C48" i="3" s="1"/>
  <c r="G11" i="198"/>
  <c r="I11" i="198" s="1"/>
  <c r="J11" i="198" s="1"/>
  <c r="H45" i="97"/>
  <c r="H26" i="15"/>
  <c r="N26" i="15" s="1"/>
  <c r="N40" i="15" s="1"/>
  <c r="G44" i="15" s="1"/>
  <c r="Y25" i="126"/>
  <c r="Z34" i="126" s="1"/>
  <c r="H45" i="96"/>
  <c r="L39" i="27"/>
  <c r="G39" i="27" s="1"/>
  <c r="H26" i="141"/>
  <c r="AO122" i="1"/>
  <c r="BA122" i="1" s="1"/>
  <c r="AN61" i="1"/>
  <c r="AN85" i="1"/>
  <c r="AP61" i="1"/>
  <c r="AP85" i="1"/>
  <c r="AO121" i="1"/>
  <c r="BA121" i="1" s="1"/>
  <c r="AO124" i="1"/>
  <c r="BA124" i="1" s="1"/>
  <c r="AN122" i="1"/>
  <c r="AN125" i="1"/>
  <c r="AN47" i="1"/>
  <c r="G211" i="1"/>
  <c r="AN123" i="1"/>
  <c r="AN139" i="1"/>
  <c r="AP139" i="1"/>
  <c r="AP45" i="1"/>
  <c r="AN52" i="1"/>
  <c r="AN100" i="1"/>
  <c r="AN121" i="1"/>
  <c r="AN124" i="1"/>
  <c r="AO142" i="1"/>
  <c r="BA142" i="1" s="1"/>
  <c r="I22" i="175"/>
  <c r="J22" i="175" s="1"/>
  <c r="AP153" i="1"/>
  <c r="I26" i="198"/>
  <c r="J26" i="198" s="1"/>
  <c r="I25" i="158"/>
  <c r="J25" i="158" s="1"/>
  <c r="I22" i="165"/>
  <c r="J22" i="165" s="1"/>
  <c r="J32" i="165" s="1"/>
  <c r="I21" i="77"/>
  <c r="J21" i="77" s="1"/>
  <c r="AO100" i="1"/>
  <c r="I34" i="120" s="1"/>
  <c r="AO125" i="1"/>
  <c r="I26" i="21" s="1"/>
  <c r="I27" i="198"/>
  <c r="J27" i="198" s="1"/>
  <c r="I23" i="152"/>
  <c r="J23" i="152" s="1"/>
  <c r="AO45" i="1"/>
  <c r="BA45" i="1" s="1"/>
  <c r="I22" i="174"/>
  <c r="J22" i="174" s="1"/>
  <c r="J32" i="174" s="1"/>
  <c r="AN62" i="1"/>
  <c r="AN64" i="1"/>
  <c r="AN9" i="1"/>
  <c r="AN44" i="1"/>
  <c r="AN46" i="1"/>
  <c r="AN51" i="1"/>
  <c r="AO62" i="1"/>
  <c r="I27" i="31" s="1"/>
  <c r="AO64" i="1"/>
  <c r="BA64" i="1" s="1"/>
  <c r="AO123" i="1"/>
  <c r="AO157" i="1"/>
  <c r="I29" i="198"/>
  <c r="J29" i="198" s="1"/>
  <c r="I25" i="194"/>
  <c r="J25" i="194" s="1"/>
  <c r="I25" i="187"/>
  <c r="J25" i="187" s="1"/>
  <c r="I22" i="160"/>
  <c r="J22" i="160" s="1"/>
  <c r="I22" i="100"/>
  <c r="J22" i="100" s="1"/>
  <c r="I23" i="135"/>
  <c r="J23" i="135" s="1"/>
  <c r="AO9" i="1"/>
  <c r="I25" i="64" s="1"/>
  <c r="J25" i="64" s="1"/>
  <c r="AO44" i="1"/>
  <c r="I23" i="175" s="1"/>
  <c r="J23" i="175" s="1"/>
  <c r="AO46" i="1"/>
  <c r="I22" i="92" s="1"/>
  <c r="J22" i="92" s="1"/>
  <c r="AO54" i="1"/>
  <c r="I22" i="133"/>
  <c r="J22" i="133" s="1"/>
  <c r="AP54" i="1"/>
  <c r="AC201" i="1"/>
  <c r="AC202" i="1" s="1"/>
  <c r="I25" i="154"/>
  <c r="J25" i="154" s="1"/>
  <c r="L53" i="26"/>
  <c r="AO47" i="1"/>
  <c r="BA47" i="1" s="1"/>
  <c r="I23" i="126"/>
  <c r="J23" i="126" s="1"/>
  <c r="I27" i="102"/>
  <c r="J27" i="102" s="1"/>
  <c r="H29" i="26"/>
  <c r="AN8" i="1"/>
  <c r="AN45" i="1"/>
  <c r="AN153" i="1"/>
  <c r="I26" i="150"/>
  <c r="J26" i="150" s="1"/>
  <c r="I23" i="164"/>
  <c r="J23" i="164" s="1"/>
  <c r="I23" i="158"/>
  <c r="J23" i="158" s="1"/>
  <c r="I23" i="156"/>
  <c r="J23" i="156" s="1"/>
  <c r="S21" i="122"/>
  <c r="C29" i="3"/>
  <c r="A51" i="2"/>
  <c r="A52" i="2" s="1"/>
  <c r="A53" i="2" s="1"/>
  <c r="A54" i="2" s="1"/>
  <c r="A55" i="2" s="1"/>
  <c r="A56" i="2" s="1"/>
  <c r="A57" i="2" s="1"/>
  <c r="A58" i="2" s="1"/>
  <c r="A59" i="2" s="1"/>
  <c r="A60" i="2" s="1"/>
  <c r="A61" i="2" s="1"/>
  <c r="A46" i="2"/>
  <c r="A47" i="2" s="1"/>
  <c r="A48" i="2" s="1"/>
  <c r="A49" i="2" s="1"/>
  <c r="A50" i="2" s="1"/>
  <c r="O14" i="122"/>
  <c r="M15" i="122"/>
  <c r="M16" i="122" s="1"/>
  <c r="AO36" i="1"/>
  <c r="AN36" i="1"/>
  <c r="AO56" i="1"/>
  <c r="BA56" i="1" s="1"/>
  <c r="AN56" i="1"/>
  <c r="AP129" i="1"/>
  <c r="AO129" i="1"/>
  <c r="BA129" i="1" s="1"/>
  <c r="I24" i="122"/>
  <c r="I12" i="122"/>
  <c r="I13" i="122" s="1"/>
  <c r="I23" i="122"/>
  <c r="Q24" i="122"/>
  <c r="Q12" i="122"/>
  <c r="Q13" i="122" s="1"/>
  <c r="Q23" i="122"/>
  <c r="G12" i="122"/>
  <c r="G13" i="122" s="1"/>
  <c r="O12" i="122"/>
  <c r="O13" i="122" s="1"/>
  <c r="E12" i="122"/>
  <c r="E13" i="122" s="1"/>
  <c r="Q14" i="122"/>
  <c r="O15" i="122"/>
  <c r="O23" i="122"/>
  <c r="C29" i="122"/>
  <c r="S29" i="122"/>
  <c r="M33" i="122"/>
  <c r="I35" i="122"/>
  <c r="P18" i="190"/>
  <c r="G18" i="190"/>
  <c r="J21" i="185"/>
  <c r="J22" i="185"/>
  <c r="J23" i="185"/>
  <c r="J52" i="185"/>
  <c r="J42" i="185"/>
  <c r="AN7" i="1"/>
  <c r="AO24" i="1"/>
  <c r="AP36" i="1"/>
  <c r="AO50" i="1"/>
  <c r="BA50" i="1" s="1"/>
  <c r="AP56" i="1"/>
  <c r="AP58" i="1"/>
  <c r="AO58" i="1"/>
  <c r="AO80" i="1"/>
  <c r="AN80" i="1"/>
  <c r="AO87" i="1"/>
  <c r="AN87" i="1"/>
  <c r="AO102" i="1"/>
  <c r="I30" i="18" s="1"/>
  <c r="J30" i="18" s="1"/>
  <c r="AN102" i="1"/>
  <c r="AN129" i="1"/>
  <c r="P5" i="3"/>
  <c r="P10" i="3"/>
  <c r="P15" i="3"/>
  <c r="P25" i="3"/>
  <c r="P32" i="3"/>
  <c r="P44" i="3"/>
  <c r="S45" i="3"/>
  <c r="G14" i="142"/>
  <c r="G14" i="141"/>
  <c r="I14" i="141" s="1"/>
  <c r="J14" i="141" s="1"/>
  <c r="G14" i="27"/>
  <c r="G14" i="31"/>
  <c r="I14" i="31" s="1"/>
  <c r="J14" i="31" s="1"/>
  <c r="G13" i="20"/>
  <c r="G13" i="24"/>
  <c r="G13" i="19"/>
  <c r="I13" i="19" s="1"/>
  <c r="J13" i="19" s="1"/>
  <c r="G13" i="21"/>
  <c r="G13" i="120"/>
  <c r="I13" i="120" s="1"/>
  <c r="J13" i="120" s="1"/>
  <c r="G13" i="14"/>
  <c r="N35" i="2"/>
  <c r="M35" i="2"/>
  <c r="G14" i="133"/>
  <c r="I14" i="133" s="1"/>
  <c r="J14" i="133" s="1"/>
  <c r="G14" i="134"/>
  <c r="I14" i="134" s="1"/>
  <c r="J14" i="134" s="1"/>
  <c r="G14" i="91"/>
  <c r="I14" i="91" s="1"/>
  <c r="J14" i="91" s="1"/>
  <c r="G14" i="95"/>
  <c r="I14" i="95" s="1"/>
  <c r="J14" i="95" s="1"/>
  <c r="G14" i="96"/>
  <c r="I14" i="96" s="1"/>
  <c r="J14" i="96" s="1"/>
  <c r="G14" i="97"/>
  <c r="I14" i="97" s="1"/>
  <c r="J14" i="97" s="1"/>
  <c r="G14" i="144"/>
  <c r="I14" i="144" s="1"/>
  <c r="J14" i="144" s="1"/>
  <c r="G14" i="78"/>
  <c r="I14" i="78" s="1"/>
  <c r="J14" i="78" s="1"/>
  <c r="G14" i="146"/>
  <c r="I14" i="146" s="1"/>
  <c r="J14" i="146" s="1"/>
  <c r="G14" i="158"/>
  <c r="G14" i="164"/>
  <c r="I14" i="164" s="1"/>
  <c r="J14" i="164" s="1"/>
  <c r="G14" i="88"/>
  <c r="I14" i="88" s="1"/>
  <c r="J14" i="88" s="1"/>
  <c r="G14" i="145"/>
  <c r="I14" i="145" s="1"/>
  <c r="J14" i="145" s="1"/>
  <c r="G14" i="194"/>
  <c r="I14" i="194" s="1"/>
  <c r="J14" i="194" s="1"/>
  <c r="G13" i="198"/>
  <c r="I13" i="198" s="1"/>
  <c r="J13" i="198" s="1"/>
  <c r="I25" i="198"/>
  <c r="J25" i="198" s="1"/>
  <c r="G11" i="187"/>
  <c r="I11" i="187" s="1"/>
  <c r="J11" i="187" s="1"/>
  <c r="F11" i="187"/>
  <c r="G23" i="186"/>
  <c r="I23" i="186"/>
  <c r="J23" i="186" s="1"/>
  <c r="I25" i="186"/>
  <c r="J25" i="186" s="1"/>
  <c r="G25" i="186"/>
  <c r="S22" i="3"/>
  <c r="C22" i="3"/>
  <c r="G18" i="21"/>
  <c r="G16" i="31"/>
  <c r="I16" i="31" s="1"/>
  <c r="J16" i="31" s="1"/>
  <c r="G18" i="11"/>
  <c r="I18" i="11" s="1"/>
  <c r="J18" i="11" s="1"/>
  <c r="G11" i="180"/>
  <c r="I11" i="180" s="1"/>
  <c r="J11" i="180" s="1"/>
  <c r="F11" i="180"/>
  <c r="K33" i="122"/>
  <c r="K28" i="122"/>
  <c r="K32" i="122"/>
  <c r="K27" i="122"/>
  <c r="G14" i="122"/>
  <c r="C16" i="122"/>
  <c r="G23" i="122"/>
  <c r="K22" i="185"/>
  <c r="K21" i="185"/>
  <c r="G60" i="185"/>
  <c r="K23" i="185"/>
  <c r="K42" i="185"/>
  <c r="K40" i="185"/>
  <c r="E7" i="121"/>
  <c r="D7" i="121"/>
  <c r="AO8" i="1"/>
  <c r="I29" i="10" s="1"/>
  <c r="J29" i="10" s="1"/>
  <c r="AP12" i="1"/>
  <c r="AO12" i="1"/>
  <c r="AO53" i="1"/>
  <c r="AN53" i="1"/>
  <c r="AP82" i="1"/>
  <c r="AO82" i="1"/>
  <c r="BA82" i="1" s="1"/>
  <c r="AP104" i="1"/>
  <c r="AO104" i="1"/>
  <c r="BA104" i="1" s="1"/>
  <c r="P3" i="3"/>
  <c r="P8" i="3"/>
  <c r="C11" i="3"/>
  <c r="P19" i="3"/>
  <c r="P27" i="3"/>
  <c r="C31" i="3"/>
  <c r="S33" i="3"/>
  <c r="C33" i="3"/>
  <c r="P41" i="3"/>
  <c r="N10" i="2"/>
  <c r="M10" i="2"/>
  <c r="G14" i="198" s="1"/>
  <c r="I14" i="198" s="1"/>
  <c r="J14" i="198" s="1"/>
  <c r="G13" i="142"/>
  <c r="G13" i="141"/>
  <c r="I13" i="141" s="1"/>
  <c r="J13" i="141" s="1"/>
  <c r="G13" i="27"/>
  <c r="G16" i="19"/>
  <c r="I16" i="19" s="1"/>
  <c r="J16" i="19" s="1"/>
  <c r="G16" i="25"/>
  <c r="I16" i="25" s="1"/>
  <c r="J16" i="25" s="1"/>
  <c r="G16" i="21"/>
  <c r="G16" i="20"/>
  <c r="G16" i="24"/>
  <c r="G13" i="13"/>
  <c r="G16" i="120"/>
  <c r="G16" i="11"/>
  <c r="I16" i="11" s="1"/>
  <c r="J16" i="11" s="1"/>
  <c r="G16" i="9"/>
  <c r="G15" i="142"/>
  <c r="G15" i="141"/>
  <c r="G15" i="20"/>
  <c r="G15" i="31"/>
  <c r="I15" i="31" s="1"/>
  <c r="J15" i="31" s="1"/>
  <c r="G15" i="27"/>
  <c r="G15" i="25"/>
  <c r="I15" i="25" s="1"/>
  <c r="J15" i="25" s="1"/>
  <c r="G15" i="21"/>
  <c r="G15" i="19"/>
  <c r="I15" i="19" s="1"/>
  <c r="J15" i="19" s="1"/>
  <c r="G15" i="17"/>
  <c r="G15" i="24"/>
  <c r="G15" i="15"/>
  <c r="G15" i="14"/>
  <c r="G15" i="9"/>
  <c r="N36" i="2"/>
  <c r="M36" i="2"/>
  <c r="G13" i="186" s="1"/>
  <c r="I13" i="186" s="1"/>
  <c r="J13" i="186" s="1"/>
  <c r="N39" i="2"/>
  <c r="M39" i="2"/>
  <c r="G19" i="12" s="1"/>
  <c r="I19" i="12" s="1"/>
  <c r="J19" i="12" s="1"/>
  <c r="G14" i="50"/>
  <c r="I14" i="50" s="1"/>
  <c r="J14" i="50" s="1"/>
  <c r="G14" i="52"/>
  <c r="I14" i="52" s="1"/>
  <c r="J14" i="52" s="1"/>
  <c r="G14" i="55"/>
  <c r="I14" i="55" s="1"/>
  <c r="J14" i="55" s="1"/>
  <c r="G14" i="64"/>
  <c r="I14" i="64" s="1"/>
  <c r="J14" i="64" s="1"/>
  <c r="G14" i="37"/>
  <c r="I14" i="37" s="1"/>
  <c r="J14" i="37" s="1"/>
  <c r="G14" i="43"/>
  <c r="I14" i="43" s="1"/>
  <c r="J14" i="43" s="1"/>
  <c r="G14" i="53"/>
  <c r="I14" i="53" s="1"/>
  <c r="J14" i="53" s="1"/>
  <c r="G14" i="56"/>
  <c r="I14" i="56" s="1"/>
  <c r="J14" i="56" s="1"/>
  <c r="G14" i="61"/>
  <c r="I14" i="61" s="1"/>
  <c r="J14" i="61" s="1"/>
  <c r="G14" i="65"/>
  <c r="I14" i="65" s="1"/>
  <c r="J14" i="65" s="1"/>
  <c r="G14" i="66"/>
  <c r="I14" i="66" s="1"/>
  <c r="J14" i="66" s="1"/>
  <c r="G14" i="69"/>
  <c r="I14" i="69" s="1"/>
  <c r="J14" i="69" s="1"/>
  <c r="G13" i="73"/>
  <c r="I13" i="73" s="1"/>
  <c r="J13" i="73" s="1"/>
  <c r="G13" i="131"/>
  <c r="G13" i="132"/>
  <c r="I13" i="132" s="1"/>
  <c r="J13" i="132" s="1"/>
  <c r="G14" i="40"/>
  <c r="I14" i="40" s="1"/>
  <c r="J14" i="40" s="1"/>
  <c r="G14" i="41"/>
  <c r="I14" i="41" s="1"/>
  <c r="J14" i="41" s="1"/>
  <c r="G14" i="54"/>
  <c r="I14" i="54" s="1"/>
  <c r="J14" i="54" s="1"/>
  <c r="G14" i="60"/>
  <c r="I14" i="60" s="1"/>
  <c r="J14" i="60" s="1"/>
  <c r="G14" i="70"/>
  <c r="I14" i="70" s="1"/>
  <c r="J14" i="70" s="1"/>
  <c r="G14" i="130"/>
  <c r="I14" i="130" s="1"/>
  <c r="J14" i="130" s="1"/>
  <c r="G14" i="57"/>
  <c r="I14" i="57" s="1"/>
  <c r="J14" i="57" s="1"/>
  <c r="G14" i="51"/>
  <c r="I14" i="51" s="1"/>
  <c r="J14" i="51" s="1"/>
  <c r="G14" i="63"/>
  <c r="I14" i="63" s="1"/>
  <c r="J14" i="63" s="1"/>
  <c r="G14" i="48"/>
  <c r="I14" i="48" s="1"/>
  <c r="J14" i="48" s="1"/>
  <c r="G14" i="197"/>
  <c r="I14" i="197" s="1"/>
  <c r="J14" i="197" s="1"/>
  <c r="G11" i="194"/>
  <c r="I11" i="194" s="1"/>
  <c r="J11" i="194" s="1"/>
  <c r="G11" i="181"/>
  <c r="I11" i="181" s="1"/>
  <c r="J11" i="181" s="1"/>
  <c r="F11" i="181"/>
  <c r="AP105" i="1"/>
  <c r="AO105" i="1"/>
  <c r="I28" i="25" s="1"/>
  <c r="J28" i="25" s="1"/>
  <c r="S43" i="3"/>
  <c r="C43" i="3"/>
  <c r="N41" i="2"/>
  <c r="M41" i="2"/>
  <c r="O35" i="122"/>
  <c r="G35" i="122"/>
  <c r="C33" i="122"/>
  <c r="C28" i="122"/>
  <c r="M35" i="122"/>
  <c r="E35" i="122"/>
  <c r="C32" i="122"/>
  <c r="C27" i="122"/>
  <c r="S33" i="122"/>
  <c r="S28" i="122"/>
  <c r="S32" i="122"/>
  <c r="S27" i="122"/>
  <c r="E32" i="122"/>
  <c r="E27" i="122"/>
  <c r="M32" i="122"/>
  <c r="M27" i="122"/>
  <c r="I34" i="122"/>
  <c r="I29" i="122"/>
  <c r="I16" i="122"/>
  <c r="I33" i="122"/>
  <c r="I28" i="122"/>
  <c r="E16" i="122"/>
  <c r="M28" i="122"/>
  <c r="K29" i="122"/>
  <c r="E33" i="122"/>
  <c r="C34" i="122"/>
  <c r="S34" i="122"/>
  <c r="Q35" i="122"/>
  <c r="K52" i="185"/>
  <c r="K53" i="185"/>
  <c r="C8" i="121"/>
  <c r="AP8" i="1"/>
  <c r="AN12" i="1"/>
  <c r="AP52" i="1"/>
  <c r="AP67" i="1"/>
  <c r="AO67" i="1"/>
  <c r="I33" i="203" s="1"/>
  <c r="J33" i="203" s="1"/>
  <c r="AN82" i="1"/>
  <c r="AO88" i="1"/>
  <c r="I31" i="11" s="1"/>
  <c r="J31" i="11" s="1"/>
  <c r="AN88" i="1"/>
  <c r="AN104" i="1"/>
  <c r="AP133" i="1"/>
  <c r="AO133" i="1"/>
  <c r="AN133" i="1"/>
  <c r="P17" i="3"/>
  <c r="S18" i="3"/>
  <c r="F20" i="3"/>
  <c r="E20" i="3"/>
  <c r="P36" i="3"/>
  <c r="S40" i="3"/>
  <c r="C40" i="3"/>
  <c r="C47" i="3"/>
  <c r="C51" i="3"/>
  <c r="G12" i="142"/>
  <c r="I12" i="142" s="1"/>
  <c r="J12" i="142" s="1"/>
  <c r="G12" i="141"/>
  <c r="I12" i="141" s="1"/>
  <c r="J12" i="141" s="1"/>
  <c r="G17" i="26"/>
  <c r="G12" i="27"/>
  <c r="G17" i="24"/>
  <c r="G12" i="31"/>
  <c r="I12" i="31" s="1"/>
  <c r="J12" i="31" s="1"/>
  <c r="G17" i="20"/>
  <c r="G17" i="25"/>
  <c r="I17" i="25" s="1"/>
  <c r="J17" i="25" s="1"/>
  <c r="G17" i="21"/>
  <c r="G17" i="19"/>
  <c r="I17" i="19" s="1"/>
  <c r="J17" i="19" s="1"/>
  <c r="G17" i="15"/>
  <c r="G17" i="14"/>
  <c r="G17" i="10"/>
  <c r="I17" i="10" s="1"/>
  <c r="J17" i="10" s="1"/>
  <c r="G12" i="45"/>
  <c r="I12" i="45" s="1"/>
  <c r="J12" i="45" s="1"/>
  <c r="G12" i="53"/>
  <c r="I12" i="53" s="1"/>
  <c r="J12" i="53" s="1"/>
  <c r="G12" i="56"/>
  <c r="I12" i="56" s="1"/>
  <c r="J12" i="56" s="1"/>
  <c r="G12" i="61"/>
  <c r="I12" i="61" s="1"/>
  <c r="J12" i="61" s="1"/>
  <c r="G12" i="65"/>
  <c r="I12" i="65" s="1"/>
  <c r="J12" i="65" s="1"/>
  <c r="G12" i="67"/>
  <c r="I12" i="67" s="1"/>
  <c r="J12" i="67" s="1"/>
  <c r="G12" i="71"/>
  <c r="I12" i="71" s="1"/>
  <c r="J12" i="71" s="1"/>
  <c r="G11" i="82"/>
  <c r="I11" i="82" s="1"/>
  <c r="J11" i="82" s="1"/>
  <c r="G11" i="83"/>
  <c r="I11" i="83" s="1"/>
  <c r="J11" i="83" s="1"/>
  <c r="G11" i="86"/>
  <c r="I11" i="86" s="1"/>
  <c r="J11" i="86" s="1"/>
  <c r="G11" i="135"/>
  <c r="I11" i="135" s="1"/>
  <c r="J11" i="135" s="1"/>
  <c r="G11" i="137"/>
  <c r="I11" i="137" s="1"/>
  <c r="J11" i="137" s="1"/>
  <c r="G11" i="145"/>
  <c r="I11" i="145" s="1"/>
  <c r="J11" i="145" s="1"/>
  <c r="G12" i="41"/>
  <c r="I12" i="41" s="1"/>
  <c r="J12" i="41" s="1"/>
  <c r="G12" i="47"/>
  <c r="I12" i="47" s="1"/>
  <c r="J12" i="47" s="1"/>
  <c r="G12" i="58"/>
  <c r="I12" i="58" s="1"/>
  <c r="J12" i="58" s="1"/>
  <c r="G12" i="62"/>
  <c r="I12" i="62" s="1"/>
  <c r="J12" i="62" s="1"/>
  <c r="G11" i="77"/>
  <c r="I11" i="77" s="1"/>
  <c r="J11" i="77" s="1"/>
  <c r="G12" i="46"/>
  <c r="I12" i="46" s="1"/>
  <c r="J12" i="46" s="1"/>
  <c r="G12" i="48"/>
  <c r="I12" i="48" s="1"/>
  <c r="J12" i="48" s="1"/>
  <c r="G12" i="52"/>
  <c r="I12" i="52" s="1"/>
  <c r="J12" i="52" s="1"/>
  <c r="G12" i="55"/>
  <c r="I12" i="55" s="1"/>
  <c r="J12" i="55" s="1"/>
  <c r="G12" i="64"/>
  <c r="I12" i="64" s="1"/>
  <c r="J12" i="64" s="1"/>
  <c r="G11" i="95"/>
  <c r="I11" i="95" s="1"/>
  <c r="J11" i="95" s="1"/>
  <c r="G12" i="50"/>
  <c r="I12" i="50" s="1"/>
  <c r="J12" i="50" s="1"/>
  <c r="G11" i="133"/>
  <c r="I11" i="133" s="1"/>
  <c r="J11" i="133" s="1"/>
  <c r="G11" i="89"/>
  <c r="I11" i="89" s="1"/>
  <c r="J11" i="89" s="1"/>
  <c r="G11" i="90"/>
  <c r="I11" i="90" s="1"/>
  <c r="J11" i="90" s="1"/>
  <c r="G11" i="146"/>
  <c r="I11" i="146" s="1"/>
  <c r="J11" i="146" s="1"/>
  <c r="G11" i="164"/>
  <c r="I11" i="164" s="1"/>
  <c r="J11" i="164" s="1"/>
  <c r="G12" i="66"/>
  <c r="I12" i="66" s="1"/>
  <c r="J12" i="66" s="1"/>
  <c r="G11" i="144"/>
  <c r="I11" i="144" s="1"/>
  <c r="J11" i="144" s="1"/>
  <c r="G11" i="178"/>
  <c r="I11" i="178" s="1"/>
  <c r="J11" i="178" s="1"/>
  <c r="G12" i="69"/>
  <c r="I12" i="69" s="1"/>
  <c r="J12" i="69" s="1"/>
  <c r="G11" i="79"/>
  <c r="I11" i="79" s="1"/>
  <c r="J11" i="79" s="1"/>
  <c r="G11" i="154"/>
  <c r="I11" i="154" s="1"/>
  <c r="J11" i="154" s="1"/>
  <c r="G11" i="156"/>
  <c r="I11" i="156" s="1"/>
  <c r="J11" i="156" s="1"/>
  <c r="G11" i="176"/>
  <c r="I11" i="176" s="1"/>
  <c r="J11" i="176" s="1"/>
  <c r="G11" i="175"/>
  <c r="I11" i="175" s="1"/>
  <c r="J11" i="175" s="1"/>
  <c r="G11" i="186"/>
  <c r="I11" i="186" s="1"/>
  <c r="J11" i="186" s="1"/>
  <c r="N11" i="2"/>
  <c r="M11" i="2"/>
  <c r="G17" i="9" s="1"/>
  <c r="N37" i="2"/>
  <c r="M37" i="2"/>
  <c r="N40" i="2"/>
  <c r="M40" i="2"/>
  <c r="G11" i="21"/>
  <c r="I11" i="21" s="1"/>
  <c r="J11" i="21" s="1"/>
  <c r="G11" i="24"/>
  <c r="I11" i="24" s="1"/>
  <c r="J11" i="24" s="1"/>
  <c r="G11" i="20"/>
  <c r="I11" i="20" s="1"/>
  <c r="J11" i="20" s="1"/>
  <c r="G11" i="19"/>
  <c r="I11" i="19" s="1"/>
  <c r="J11" i="19" s="1"/>
  <c r="G11" i="120"/>
  <c r="I11" i="120" s="1"/>
  <c r="J11" i="120" s="1"/>
  <c r="G11" i="15"/>
  <c r="I11" i="15" s="1"/>
  <c r="J11" i="15" s="1"/>
  <c r="G11" i="17"/>
  <c r="I11" i="17" s="1"/>
  <c r="J11" i="17" s="1"/>
  <c r="G11" i="10"/>
  <c r="I11" i="10" s="1"/>
  <c r="J11" i="10" s="1"/>
  <c r="G11" i="14"/>
  <c r="I11" i="14" s="1"/>
  <c r="J11" i="14" s="1"/>
  <c r="N48" i="2"/>
  <c r="M48" i="2"/>
  <c r="F14" i="198"/>
  <c r="F17" i="198"/>
  <c r="G11" i="196"/>
  <c r="I11" i="196" s="1"/>
  <c r="J11" i="196" s="1"/>
  <c r="H13" i="181"/>
  <c r="I22" i="181"/>
  <c r="J22" i="181" s="1"/>
  <c r="I22" i="177"/>
  <c r="J22" i="177" s="1"/>
  <c r="F11" i="152"/>
  <c r="G11" i="152"/>
  <c r="H43" i="151"/>
  <c r="H12" i="151"/>
  <c r="F11" i="150"/>
  <c r="G11" i="150"/>
  <c r="I11" i="150" s="1"/>
  <c r="J11" i="150" s="1"/>
  <c r="F11" i="110"/>
  <c r="G11" i="110"/>
  <c r="I11" i="110" s="1"/>
  <c r="J11" i="110" s="1"/>
  <c r="I24" i="104"/>
  <c r="J24" i="104" s="1"/>
  <c r="F11" i="92"/>
  <c r="G11" i="92"/>
  <c r="I11" i="92" s="1"/>
  <c r="J11" i="92" s="1"/>
  <c r="I23" i="92"/>
  <c r="J23" i="92" s="1"/>
  <c r="I25" i="92"/>
  <c r="J25" i="92" s="1"/>
  <c r="I23" i="91"/>
  <c r="J23" i="91" s="1"/>
  <c r="F14" i="84"/>
  <c r="G14" i="84"/>
  <c r="I14" i="84" s="1"/>
  <c r="J14" i="84" s="1"/>
  <c r="H36" i="134"/>
  <c r="I36" i="134" s="1"/>
  <c r="J36" i="134" s="1"/>
  <c r="J39" i="134" s="1"/>
  <c r="H36" i="41"/>
  <c r="I36" i="41" s="1"/>
  <c r="J36" i="41" s="1"/>
  <c r="J39" i="41" s="1"/>
  <c r="H49" i="13"/>
  <c r="H13" i="13"/>
  <c r="I26" i="13"/>
  <c r="I29" i="13"/>
  <c r="J29" i="13" s="1"/>
  <c r="G17" i="17"/>
  <c r="F17" i="17"/>
  <c r="I33" i="24"/>
  <c r="J33" i="24" s="1"/>
  <c r="H36" i="174"/>
  <c r="I36" i="174" s="1"/>
  <c r="J36" i="174" s="1"/>
  <c r="J39" i="174" s="1"/>
  <c r="H36" i="193"/>
  <c r="I24" i="157"/>
  <c r="J24" i="157" s="1"/>
  <c r="F11" i="148"/>
  <c r="G11" i="148"/>
  <c r="I11" i="148" s="1"/>
  <c r="J11" i="148" s="1"/>
  <c r="K37" i="185"/>
  <c r="L21" i="185"/>
  <c r="L22" i="185"/>
  <c r="H60" i="185"/>
  <c r="L23" i="185"/>
  <c r="I22" i="134"/>
  <c r="J22" i="134" s="1"/>
  <c r="AO52" i="1"/>
  <c r="BA52" i="1" s="1"/>
  <c r="I22" i="148"/>
  <c r="J22" i="148" s="1"/>
  <c r="I22" i="192"/>
  <c r="J22" i="192" s="1"/>
  <c r="J32" i="192" s="1"/>
  <c r="AP157" i="1"/>
  <c r="Q26" i="3"/>
  <c r="N26" i="3" s="1"/>
  <c r="P26" i="3" s="1"/>
  <c r="I44" i="80"/>
  <c r="J44" i="80" s="1"/>
  <c r="I46" i="80"/>
  <c r="J46" i="80" s="1"/>
  <c r="G11" i="59"/>
  <c r="I11" i="59" s="1"/>
  <c r="J11" i="59" s="1"/>
  <c r="G11" i="58"/>
  <c r="I11" i="58" s="1"/>
  <c r="J11" i="58" s="1"/>
  <c r="G11" i="66"/>
  <c r="I11" i="66" s="1"/>
  <c r="J11" i="66" s="1"/>
  <c r="G11" i="67"/>
  <c r="I11" i="67" s="1"/>
  <c r="J11" i="67" s="1"/>
  <c r="G11" i="70"/>
  <c r="I11" i="70" s="1"/>
  <c r="J11" i="70" s="1"/>
  <c r="I22" i="197"/>
  <c r="J22" i="197" s="1"/>
  <c r="I21" i="196"/>
  <c r="J21" i="196" s="1"/>
  <c r="I22" i="194"/>
  <c r="J22" i="194" s="1"/>
  <c r="I26" i="187"/>
  <c r="J26" i="187" s="1"/>
  <c r="H36" i="178"/>
  <c r="I36" i="178" s="1"/>
  <c r="J36" i="178" s="1"/>
  <c r="J39" i="178" s="1"/>
  <c r="G11" i="177"/>
  <c r="I11" i="177" s="1"/>
  <c r="J11" i="177" s="1"/>
  <c r="G13" i="176"/>
  <c r="I13" i="176" s="1"/>
  <c r="J13" i="176" s="1"/>
  <c r="F13" i="175"/>
  <c r="F11" i="160"/>
  <c r="G11" i="160"/>
  <c r="I11" i="160" s="1"/>
  <c r="J11" i="160" s="1"/>
  <c r="I24" i="164"/>
  <c r="J24" i="164" s="1"/>
  <c r="I24" i="156"/>
  <c r="J24" i="156" s="1"/>
  <c r="G24" i="156"/>
  <c r="G11" i="157"/>
  <c r="I11" i="157" s="1"/>
  <c r="J11" i="157" s="1"/>
  <c r="F14" i="157"/>
  <c r="G14" i="157"/>
  <c r="I14" i="157" s="1"/>
  <c r="J14" i="157" s="1"/>
  <c r="G25" i="154"/>
  <c r="I25" i="151"/>
  <c r="J25" i="151" s="1"/>
  <c r="H36" i="151"/>
  <c r="I36" i="151" s="1"/>
  <c r="J36" i="151" s="1"/>
  <c r="J39" i="151" s="1"/>
  <c r="I25" i="150"/>
  <c r="J25" i="150" s="1"/>
  <c r="G14" i="148"/>
  <c r="I14" i="148" s="1"/>
  <c r="J14" i="148" s="1"/>
  <c r="I24" i="147"/>
  <c r="J24" i="147" s="1"/>
  <c r="I26" i="147"/>
  <c r="J26" i="147" s="1"/>
  <c r="I25" i="145"/>
  <c r="J25" i="145" s="1"/>
  <c r="I24" i="146"/>
  <c r="J24" i="146" s="1"/>
  <c r="H36" i="146"/>
  <c r="I36" i="146" s="1"/>
  <c r="J36" i="146" s="1"/>
  <c r="J39" i="146" s="1"/>
  <c r="H36" i="138"/>
  <c r="G16" i="109"/>
  <c r="I16" i="109" s="1"/>
  <c r="J16" i="109" s="1"/>
  <c r="G13" i="108"/>
  <c r="I13" i="108" s="1"/>
  <c r="J13" i="108" s="1"/>
  <c r="I26" i="102"/>
  <c r="J26" i="102" s="1"/>
  <c r="I26" i="95"/>
  <c r="J26" i="95" s="1"/>
  <c r="G26" i="95"/>
  <c r="I23" i="89"/>
  <c r="J23" i="89" s="1"/>
  <c r="I26" i="89"/>
  <c r="J26" i="89" s="1"/>
  <c r="I22" i="88"/>
  <c r="J22" i="88" s="1"/>
  <c r="I24" i="82"/>
  <c r="J24" i="82" s="1"/>
  <c r="G14" i="68"/>
  <c r="I14" i="68" s="1"/>
  <c r="J14" i="68" s="1"/>
  <c r="G11" i="179"/>
  <c r="I11" i="179" s="1"/>
  <c r="J11" i="179" s="1"/>
  <c r="H13" i="179"/>
  <c r="H45" i="179" s="1"/>
  <c r="I24" i="150"/>
  <c r="J24" i="150" s="1"/>
  <c r="M42" i="185"/>
  <c r="M22" i="185"/>
  <c r="M21" i="185"/>
  <c r="I60" i="185"/>
  <c r="M23" i="185"/>
  <c r="I22" i="113"/>
  <c r="J22" i="113" s="1"/>
  <c r="J32" i="113" s="1"/>
  <c r="I24" i="126"/>
  <c r="J24" i="126" s="1"/>
  <c r="I40" i="26"/>
  <c r="J40" i="26" s="1"/>
  <c r="I39" i="26"/>
  <c r="J39" i="26" s="1"/>
  <c r="I32" i="26"/>
  <c r="J32" i="26" s="1"/>
  <c r="I42" i="25"/>
  <c r="J42" i="25" s="1"/>
  <c r="I37" i="25"/>
  <c r="J37" i="25" s="1"/>
  <c r="I35" i="25"/>
  <c r="J35" i="25" s="1"/>
  <c r="I30" i="25"/>
  <c r="J30" i="25" s="1"/>
  <c r="I32" i="140"/>
  <c r="I43" i="26"/>
  <c r="J43" i="26" s="1"/>
  <c r="I41" i="26"/>
  <c r="J41" i="26" s="1"/>
  <c r="I32" i="142"/>
  <c r="I41" i="25"/>
  <c r="J41" i="25" s="1"/>
  <c r="I31" i="24"/>
  <c r="J31" i="24" s="1"/>
  <c r="I35" i="21"/>
  <c r="J35" i="21" s="1"/>
  <c r="I33" i="21"/>
  <c r="J33" i="21" s="1"/>
  <c r="I39" i="25"/>
  <c r="J39" i="25" s="1"/>
  <c r="I35" i="24"/>
  <c r="J35" i="24" s="1"/>
  <c r="I37" i="21"/>
  <c r="J37" i="21" s="1"/>
  <c r="I31" i="21"/>
  <c r="J31" i="21" s="1"/>
  <c r="I36" i="24"/>
  <c r="J36" i="24" s="1"/>
  <c r="I38" i="25"/>
  <c r="J38" i="25" s="1"/>
  <c r="I33" i="25"/>
  <c r="J33" i="25" s="1"/>
  <c r="I32" i="24"/>
  <c r="I28" i="24"/>
  <c r="J28" i="24" s="1"/>
  <c r="I36" i="21"/>
  <c r="J36" i="21" s="1"/>
  <c r="I30" i="31"/>
  <c r="J30" i="31" s="1"/>
  <c r="I35" i="120"/>
  <c r="J35" i="120" s="1"/>
  <c r="I37" i="15"/>
  <c r="J37" i="15" s="1"/>
  <c r="I37" i="24"/>
  <c r="J37" i="24" s="1"/>
  <c r="I27" i="18"/>
  <c r="I37" i="120"/>
  <c r="J37" i="120" s="1"/>
  <c r="I36" i="15"/>
  <c r="J36" i="15" s="1"/>
  <c r="I29" i="25"/>
  <c r="J29" i="25" s="1"/>
  <c r="I39" i="20"/>
  <c r="J39" i="20" s="1"/>
  <c r="I36" i="120"/>
  <c r="J36" i="120" s="1"/>
  <c r="I33" i="120"/>
  <c r="I31" i="120"/>
  <c r="J31" i="120" s="1"/>
  <c r="I33" i="15"/>
  <c r="J33" i="15" s="1"/>
  <c r="I31" i="15"/>
  <c r="J31" i="15" s="1"/>
  <c r="I26" i="15"/>
  <c r="J26" i="15" s="1"/>
  <c r="I35" i="14"/>
  <c r="J35" i="14" s="1"/>
  <c r="I36" i="12"/>
  <c r="J36" i="12" s="1"/>
  <c r="I26" i="120"/>
  <c r="I35" i="15"/>
  <c r="J35" i="15" s="1"/>
  <c r="I35" i="9"/>
  <c r="J35" i="9" s="1"/>
  <c r="I22" i="38"/>
  <c r="J22" i="38" s="1"/>
  <c r="I38" i="18"/>
  <c r="J38" i="18" s="1"/>
  <c r="I26" i="7"/>
  <c r="J26" i="7" s="1"/>
  <c r="I46" i="9"/>
  <c r="J46" i="9" s="1"/>
  <c r="I32" i="6"/>
  <c r="J32" i="6" s="1"/>
  <c r="I25" i="7"/>
  <c r="J25" i="7" s="1"/>
  <c r="I22" i="39"/>
  <c r="J22" i="39" s="1"/>
  <c r="I23" i="52"/>
  <c r="J23" i="52" s="1"/>
  <c r="I22" i="71"/>
  <c r="J22" i="71" s="1"/>
  <c r="I23" i="95"/>
  <c r="J23" i="95" s="1"/>
  <c r="I24" i="96"/>
  <c r="J24" i="96" s="1"/>
  <c r="I25" i="147"/>
  <c r="J25" i="147" s="1"/>
  <c r="I23" i="147"/>
  <c r="J23" i="147" s="1"/>
  <c r="I22" i="62"/>
  <c r="J22" i="62" s="1"/>
  <c r="I25" i="78"/>
  <c r="J25" i="78" s="1"/>
  <c r="I23" i="40"/>
  <c r="J23" i="40" s="1"/>
  <c r="I24" i="47"/>
  <c r="J24" i="47" s="1"/>
  <c r="I22" i="110"/>
  <c r="J22" i="110" s="1"/>
  <c r="I24" i="130"/>
  <c r="J24" i="130" s="1"/>
  <c r="I22" i="83"/>
  <c r="J22" i="83" s="1"/>
  <c r="I27" i="91"/>
  <c r="J27" i="91" s="1"/>
  <c r="I25" i="91"/>
  <c r="J25" i="91" s="1"/>
  <c r="I24" i="135"/>
  <c r="J24" i="135" s="1"/>
  <c r="I25" i="97"/>
  <c r="J25" i="97" s="1"/>
  <c r="I23" i="98"/>
  <c r="J23" i="98" s="1"/>
  <c r="I22" i="46"/>
  <c r="J22" i="46" s="1"/>
  <c r="I24" i="65"/>
  <c r="J24" i="65" s="1"/>
  <c r="I24" i="78"/>
  <c r="J24" i="78" s="1"/>
  <c r="I22" i="78"/>
  <c r="J22" i="78" s="1"/>
  <c r="I24" i="88"/>
  <c r="J24" i="88" s="1"/>
  <c r="I26" i="145"/>
  <c r="J26" i="145" s="1"/>
  <c r="I24" i="145"/>
  <c r="J24" i="145" s="1"/>
  <c r="I26" i="152"/>
  <c r="J26" i="152" s="1"/>
  <c r="I23" i="63"/>
  <c r="J23" i="63" s="1"/>
  <c r="I23" i="67"/>
  <c r="J23" i="67" s="1"/>
  <c r="I28" i="91"/>
  <c r="J28" i="91" s="1"/>
  <c r="I24" i="97"/>
  <c r="J24" i="97" s="1"/>
  <c r="I23" i="110"/>
  <c r="J23" i="110" s="1"/>
  <c r="I23" i="148"/>
  <c r="J23" i="148" s="1"/>
  <c r="I22" i="152"/>
  <c r="J22" i="152" s="1"/>
  <c r="I25" i="126"/>
  <c r="J25" i="126" s="1"/>
  <c r="I22" i="157"/>
  <c r="J22" i="157" s="1"/>
  <c r="I22" i="170"/>
  <c r="J22" i="170" s="1"/>
  <c r="J32" i="170" s="1"/>
  <c r="H36" i="192"/>
  <c r="I36" i="192" s="1"/>
  <c r="J36" i="192" s="1"/>
  <c r="J39" i="192" s="1"/>
  <c r="H36" i="171"/>
  <c r="I36" i="171" s="1"/>
  <c r="J36" i="171" s="1"/>
  <c r="J39" i="171" s="1"/>
  <c r="H36" i="170"/>
  <c r="I36" i="170" s="1"/>
  <c r="J36" i="170" s="1"/>
  <c r="J39" i="170" s="1"/>
  <c r="H36" i="116"/>
  <c r="I36" i="116" s="1"/>
  <c r="J36" i="116" s="1"/>
  <c r="J39" i="116" s="1"/>
  <c r="H36" i="126"/>
  <c r="I36" i="126" s="1"/>
  <c r="J36" i="126" s="1"/>
  <c r="J39" i="126" s="1"/>
  <c r="H37" i="33"/>
  <c r="I37" i="33" s="1"/>
  <c r="J37" i="33" s="1"/>
  <c r="J40" i="33" s="1"/>
  <c r="H36" i="36"/>
  <c r="I36" i="36" s="1"/>
  <c r="J36" i="36" s="1"/>
  <c r="J39" i="36" s="1"/>
  <c r="H49" i="25"/>
  <c r="H44" i="24"/>
  <c r="H36" i="169"/>
  <c r="I36" i="169" s="1"/>
  <c r="J36" i="169" s="1"/>
  <c r="J39" i="169" s="1"/>
  <c r="H42" i="31"/>
  <c r="H46" i="20"/>
  <c r="H44" i="17"/>
  <c r="H45" i="120"/>
  <c r="H41" i="13"/>
  <c r="I41" i="13" s="1"/>
  <c r="J41" i="13" s="1"/>
  <c r="J44" i="13" s="1"/>
  <c r="H45" i="12"/>
  <c r="H45" i="11"/>
  <c r="I45" i="11" s="1"/>
  <c r="J45" i="11" s="1"/>
  <c r="J48" i="11" s="1"/>
  <c r="H40" i="6"/>
  <c r="I40" i="6" s="1"/>
  <c r="J40" i="6" s="1"/>
  <c r="J43" i="6" s="1"/>
  <c r="H36" i="37"/>
  <c r="I36" i="37" s="1"/>
  <c r="J36" i="37" s="1"/>
  <c r="J39" i="37" s="1"/>
  <c r="H37" i="7"/>
  <c r="J36" i="44"/>
  <c r="J39" i="44" s="1"/>
  <c r="H36" i="58"/>
  <c r="J36" i="45"/>
  <c r="J39" i="45" s="1"/>
  <c r="H36" i="51"/>
  <c r="H36" i="52"/>
  <c r="H36" i="53"/>
  <c r="H36" i="56"/>
  <c r="H35" i="67"/>
  <c r="H36" i="68"/>
  <c r="H36" i="130"/>
  <c r="H35" i="131"/>
  <c r="H35" i="132"/>
  <c r="H36" i="79"/>
  <c r="I36" i="79" s="1"/>
  <c r="J36" i="79" s="1"/>
  <c r="J39" i="79" s="1"/>
  <c r="H36" i="82"/>
  <c r="I36" i="82" s="1"/>
  <c r="J36" i="82" s="1"/>
  <c r="J39" i="82" s="1"/>
  <c r="H36" i="86"/>
  <c r="I36" i="86" s="1"/>
  <c r="J36" i="86" s="1"/>
  <c r="J39" i="86" s="1"/>
  <c r="H36" i="88"/>
  <c r="I36" i="88" s="1"/>
  <c r="J36" i="88" s="1"/>
  <c r="J39" i="88" s="1"/>
  <c r="I36" i="92"/>
  <c r="H36" i="97"/>
  <c r="I36" i="97" s="1"/>
  <c r="J36" i="97" s="1"/>
  <c r="J39" i="97" s="1"/>
  <c r="H36" i="104"/>
  <c r="I36" i="104" s="1"/>
  <c r="J36" i="104" s="1"/>
  <c r="J39" i="104" s="1"/>
  <c r="H36" i="105"/>
  <c r="I36" i="105" s="1"/>
  <c r="J36" i="105" s="1"/>
  <c r="J39" i="105" s="1"/>
  <c r="H36" i="106"/>
  <c r="I36" i="106" s="1"/>
  <c r="J36" i="106" s="1"/>
  <c r="J39" i="106" s="1"/>
  <c r="H36" i="108"/>
  <c r="H36" i="111"/>
  <c r="I36" i="111" s="1"/>
  <c r="J36" i="111" s="1"/>
  <c r="J39" i="111" s="1"/>
  <c r="H36" i="46"/>
  <c r="H36" i="49"/>
  <c r="H36" i="57"/>
  <c r="H36" i="62"/>
  <c r="H39" i="8"/>
  <c r="H36" i="40"/>
  <c r="I36" i="40" s="1"/>
  <c r="J36" i="40" s="1"/>
  <c r="J39" i="40" s="1"/>
  <c r="H36" i="43"/>
  <c r="I36" i="43" s="1"/>
  <c r="J36" i="43" s="1"/>
  <c r="J39" i="43" s="1"/>
  <c r="H36" i="61"/>
  <c r="H36" i="64"/>
  <c r="H35" i="77"/>
  <c r="I35" i="77" s="1"/>
  <c r="J35" i="77" s="1"/>
  <c r="J38" i="77" s="1"/>
  <c r="H36" i="133"/>
  <c r="I36" i="133" s="1"/>
  <c r="J36" i="133" s="1"/>
  <c r="J39" i="133" s="1"/>
  <c r="H36" i="83"/>
  <c r="I36" i="83" s="1"/>
  <c r="J36" i="83" s="1"/>
  <c r="J39" i="83" s="1"/>
  <c r="H36" i="90"/>
  <c r="I36" i="90" s="1"/>
  <c r="J36" i="90" s="1"/>
  <c r="J39" i="90" s="1"/>
  <c r="H36" i="137"/>
  <c r="I36" i="137" s="1"/>
  <c r="J36" i="137" s="1"/>
  <c r="J39" i="137" s="1"/>
  <c r="H36" i="95"/>
  <c r="I36" i="95" s="1"/>
  <c r="J36" i="95" s="1"/>
  <c r="J39" i="95" s="1"/>
  <c r="H36" i="99"/>
  <c r="I36" i="99" s="1"/>
  <c r="J36" i="99" s="1"/>
  <c r="J39" i="99" s="1"/>
  <c r="H36" i="145"/>
  <c r="I36" i="145" s="1"/>
  <c r="J36" i="145" s="1"/>
  <c r="J39" i="145" s="1"/>
  <c r="H36" i="152"/>
  <c r="I36" i="152" s="1"/>
  <c r="J36" i="152" s="1"/>
  <c r="J39" i="152" s="1"/>
  <c r="H36" i="164"/>
  <c r="I36" i="164" s="1"/>
  <c r="J36" i="164" s="1"/>
  <c r="J39" i="164" s="1"/>
  <c r="H36" i="39"/>
  <c r="I36" i="39" s="1"/>
  <c r="J36" i="39" s="1"/>
  <c r="J39" i="39" s="1"/>
  <c r="H36" i="47"/>
  <c r="H36" i="54"/>
  <c r="H36" i="59"/>
  <c r="H36" i="60"/>
  <c r="H36" i="91"/>
  <c r="I36" i="91" s="1"/>
  <c r="J36" i="91" s="1"/>
  <c r="J39" i="91" s="1"/>
  <c r="H36" i="101"/>
  <c r="I36" i="101" s="1"/>
  <c r="J36" i="101" s="1"/>
  <c r="J39" i="101" s="1"/>
  <c r="H36" i="70"/>
  <c r="H36" i="84"/>
  <c r="I36" i="84" s="1"/>
  <c r="J36" i="84" s="1"/>
  <c r="J39" i="84" s="1"/>
  <c r="H36" i="89"/>
  <c r="I36" i="89" s="1"/>
  <c r="J36" i="89" s="1"/>
  <c r="J39" i="89" s="1"/>
  <c r="H36" i="135"/>
  <c r="I36" i="135" s="1"/>
  <c r="J36" i="135" s="1"/>
  <c r="J39" i="135" s="1"/>
  <c r="H36" i="96"/>
  <c r="I36" i="96" s="1"/>
  <c r="J36" i="96" s="1"/>
  <c r="J39" i="96" s="1"/>
  <c r="H36" i="100"/>
  <c r="I36" i="100" s="1"/>
  <c r="J36" i="100" s="1"/>
  <c r="J39" i="100" s="1"/>
  <c r="H39" i="109"/>
  <c r="I39" i="109" s="1"/>
  <c r="J39" i="109" s="1"/>
  <c r="J42" i="109" s="1"/>
  <c r="H36" i="147"/>
  <c r="I36" i="147" s="1"/>
  <c r="J36" i="147" s="1"/>
  <c r="J39" i="147" s="1"/>
  <c r="H36" i="157"/>
  <c r="I36" i="157" s="1"/>
  <c r="J36" i="157" s="1"/>
  <c r="J39" i="157" s="1"/>
  <c r="H36" i="55"/>
  <c r="H36" i="63"/>
  <c r="H36" i="65"/>
  <c r="H36" i="78"/>
  <c r="I36" i="78" s="1"/>
  <c r="J36" i="78" s="1"/>
  <c r="J39" i="78" s="1"/>
  <c r="H36" i="98"/>
  <c r="I36" i="98" s="1"/>
  <c r="J36" i="98" s="1"/>
  <c r="J39" i="98" s="1"/>
  <c r="H36" i="102"/>
  <c r="I36" i="102" s="1"/>
  <c r="J36" i="102" s="1"/>
  <c r="J39" i="102" s="1"/>
  <c r="H36" i="103"/>
  <c r="I36" i="103" s="1"/>
  <c r="J36" i="103" s="1"/>
  <c r="J39" i="103" s="1"/>
  <c r="H36" i="148"/>
  <c r="I36" i="148" s="1"/>
  <c r="J36" i="148" s="1"/>
  <c r="J39" i="148" s="1"/>
  <c r="H36" i="150"/>
  <c r="I36" i="150" s="1"/>
  <c r="J36" i="150" s="1"/>
  <c r="J39" i="150" s="1"/>
  <c r="G11" i="141"/>
  <c r="I11" i="141" s="1"/>
  <c r="J11" i="141" s="1"/>
  <c r="G11" i="142"/>
  <c r="I11" i="142" s="1"/>
  <c r="J11" i="142" s="1"/>
  <c r="I30" i="198"/>
  <c r="J30" i="198" s="1"/>
  <c r="J38" i="198"/>
  <c r="J41" i="198" s="1"/>
  <c r="I23" i="197"/>
  <c r="J23" i="197" s="1"/>
  <c r="I22" i="196"/>
  <c r="J22" i="196" s="1"/>
  <c r="I23" i="194"/>
  <c r="J23" i="194" s="1"/>
  <c r="H36" i="186"/>
  <c r="I36" i="186" s="1"/>
  <c r="J36" i="186" s="1"/>
  <c r="J39" i="186" s="1"/>
  <c r="I22" i="179"/>
  <c r="J22" i="179" s="1"/>
  <c r="H36" i="179"/>
  <c r="I36" i="179" s="1"/>
  <c r="J36" i="179" s="1"/>
  <c r="J39" i="179" s="1"/>
  <c r="G13" i="178"/>
  <c r="I13" i="178" s="1"/>
  <c r="J13" i="178" s="1"/>
  <c r="I22" i="178"/>
  <c r="J22" i="178" s="1"/>
  <c r="H36" i="176"/>
  <c r="I36" i="176" s="1"/>
  <c r="J36" i="176" s="1"/>
  <c r="J39" i="176" s="1"/>
  <c r="H45" i="175"/>
  <c r="I25" i="164"/>
  <c r="J25" i="164" s="1"/>
  <c r="I25" i="156"/>
  <c r="J25" i="156" s="1"/>
  <c r="H36" i="156"/>
  <c r="I36" i="156" s="1"/>
  <c r="J36" i="156" s="1"/>
  <c r="J39" i="156" s="1"/>
  <c r="I23" i="151"/>
  <c r="J23" i="151" s="1"/>
  <c r="G23" i="151"/>
  <c r="F14" i="150"/>
  <c r="G14" i="150"/>
  <c r="I14" i="150" s="1"/>
  <c r="J14" i="150" s="1"/>
  <c r="I23" i="145"/>
  <c r="J23" i="145" s="1"/>
  <c r="F15" i="109"/>
  <c r="G15" i="109"/>
  <c r="I15" i="109" s="1"/>
  <c r="J15" i="109" s="1"/>
  <c r="I23" i="102"/>
  <c r="J23" i="102" s="1"/>
  <c r="F11" i="84"/>
  <c r="G11" i="84"/>
  <c r="I11" i="84" s="1"/>
  <c r="J11" i="84" s="1"/>
  <c r="G14" i="82"/>
  <c r="I14" i="82" s="1"/>
  <c r="J14" i="82" s="1"/>
  <c r="I23" i="82"/>
  <c r="J23" i="82" s="1"/>
  <c r="I22" i="79"/>
  <c r="J22" i="79" s="1"/>
  <c r="G11" i="132"/>
  <c r="I11" i="132" s="1"/>
  <c r="J11" i="132" s="1"/>
  <c r="I24" i="69"/>
  <c r="J24" i="69" s="1"/>
  <c r="G14" i="67"/>
  <c r="I14" i="67" s="1"/>
  <c r="J14" i="67" s="1"/>
  <c r="G11" i="63"/>
  <c r="I11" i="63" s="1"/>
  <c r="J11" i="63" s="1"/>
  <c r="F11" i="63"/>
  <c r="G12" i="57"/>
  <c r="I12" i="57" s="1"/>
  <c r="J12" i="57" s="1"/>
  <c r="F12" i="57"/>
  <c r="I22" i="48"/>
  <c r="J22" i="48" s="1"/>
  <c r="I24" i="186"/>
  <c r="J24" i="186" s="1"/>
  <c r="I43" i="80"/>
  <c r="J43" i="80" s="1"/>
  <c r="I45" i="80"/>
  <c r="J45" i="80" s="1"/>
  <c r="I47" i="80"/>
  <c r="J47" i="80" s="1"/>
  <c r="G19" i="140"/>
  <c r="I19" i="140" s="1"/>
  <c r="J19" i="140" s="1"/>
  <c r="G14" i="21"/>
  <c r="G14" i="19"/>
  <c r="I14" i="19" s="1"/>
  <c r="J14" i="19" s="1"/>
  <c r="G18" i="31"/>
  <c r="I18" i="31" s="1"/>
  <c r="J18" i="31" s="1"/>
  <c r="G14" i="25"/>
  <c r="I14" i="25" s="1"/>
  <c r="J14" i="25" s="1"/>
  <c r="G14" i="24"/>
  <c r="G14" i="20"/>
  <c r="G14" i="17"/>
  <c r="G14" i="14"/>
  <c r="G14" i="15"/>
  <c r="G14" i="9"/>
  <c r="G14" i="10"/>
  <c r="I14" i="10" s="1"/>
  <c r="J14" i="10" s="1"/>
  <c r="I24" i="198"/>
  <c r="J24" i="198" s="1"/>
  <c r="I23" i="196"/>
  <c r="J23" i="196" s="1"/>
  <c r="I24" i="194"/>
  <c r="J24" i="194" s="1"/>
  <c r="I24" i="187"/>
  <c r="J24" i="187" s="1"/>
  <c r="H36" i="187"/>
  <c r="I36" i="187" s="1"/>
  <c r="J36" i="187" s="1"/>
  <c r="J39" i="187" s="1"/>
  <c r="G13" i="181"/>
  <c r="H36" i="181"/>
  <c r="I36" i="181" s="1"/>
  <c r="J36" i="181" s="1"/>
  <c r="J39" i="181" s="1"/>
  <c r="G13" i="180"/>
  <c r="I13" i="180" s="1"/>
  <c r="J13" i="180" s="1"/>
  <c r="I22" i="180"/>
  <c r="J22" i="180" s="1"/>
  <c r="H36" i="180"/>
  <c r="I36" i="180" s="1"/>
  <c r="J36" i="180" s="1"/>
  <c r="J39" i="180" s="1"/>
  <c r="G13" i="179"/>
  <c r="F13" i="178"/>
  <c r="I26" i="156"/>
  <c r="J26" i="156" s="1"/>
  <c r="G11" i="158"/>
  <c r="I11" i="158" s="1"/>
  <c r="J11" i="158" s="1"/>
  <c r="H13" i="158"/>
  <c r="H14" i="158" s="1"/>
  <c r="H45" i="158" s="1"/>
  <c r="H36" i="158"/>
  <c r="I36" i="158" s="1"/>
  <c r="J36" i="158" s="1"/>
  <c r="J39" i="158" s="1"/>
  <c r="G23" i="157"/>
  <c r="I23" i="157"/>
  <c r="J23" i="157" s="1"/>
  <c r="I26" i="157"/>
  <c r="J26" i="157" s="1"/>
  <c r="G14" i="154"/>
  <c r="I14" i="154" s="1"/>
  <c r="J14" i="154" s="1"/>
  <c r="I24" i="154"/>
  <c r="J24" i="154" s="1"/>
  <c r="G24" i="154"/>
  <c r="G14" i="152"/>
  <c r="G24" i="151"/>
  <c r="I24" i="151"/>
  <c r="J24" i="151" s="1"/>
  <c r="I26" i="148"/>
  <c r="J26" i="148" s="1"/>
  <c r="F13" i="145"/>
  <c r="I24" i="144"/>
  <c r="J24" i="144" s="1"/>
  <c r="H36" i="144"/>
  <c r="I36" i="144" s="1"/>
  <c r="J36" i="144" s="1"/>
  <c r="J39" i="144" s="1"/>
  <c r="I22" i="105"/>
  <c r="J22" i="105" s="1"/>
  <c r="F12" i="102"/>
  <c r="F11" i="88"/>
  <c r="G11" i="88"/>
  <c r="I11" i="88" s="1"/>
  <c r="J11" i="88" s="1"/>
  <c r="G14" i="86"/>
  <c r="I14" i="86" s="1"/>
  <c r="J14" i="86" s="1"/>
  <c r="I22" i="86"/>
  <c r="J22" i="86" s="1"/>
  <c r="I24" i="86"/>
  <c r="J24" i="86" s="1"/>
  <c r="I22" i="84"/>
  <c r="J22" i="84" s="1"/>
  <c r="I25" i="84"/>
  <c r="J25" i="84" s="1"/>
  <c r="F14" i="77"/>
  <c r="E14" i="77"/>
  <c r="I23" i="77"/>
  <c r="J23" i="77" s="1"/>
  <c r="I22" i="64"/>
  <c r="J22" i="64" s="1"/>
  <c r="I24" i="64"/>
  <c r="J24" i="64" s="1"/>
  <c r="F11" i="50"/>
  <c r="G14" i="151"/>
  <c r="I26" i="146"/>
  <c r="J26" i="146" s="1"/>
  <c r="I25" i="144"/>
  <c r="J25" i="144" s="1"/>
  <c r="I23" i="105"/>
  <c r="J23" i="105" s="1"/>
  <c r="I22" i="101"/>
  <c r="J22" i="101" s="1"/>
  <c r="J32" i="101" s="1"/>
  <c r="I22" i="99"/>
  <c r="J22" i="99" s="1"/>
  <c r="Q11" i="95"/>
  <c r="G11" i="91"/>
  <c r="I11" i="91" s="1"/>
  <c r="J11" i="91" s="1"/>
  <c r="I24" i="91"/>
  <c r="J24" i="91" s="1"/>
  <c r="I24" i="90"/>
  <c r="J24" i="90" s="1"/>
  <c r="I24" i="89"/>
  <c r="J24" i="89" s="1"/>
  <c r="I23" i="88"/>
  <c r="J23" i="88" s="1"/>
  <c r="I23" i="84"/>
  <c r="J23" i="84" s="1"/>
  <c r="G14" i="83"/>
  <c r="I14" i="83" s="1"/>
  <c r="J14" i="83" s="1"/>
  <c r="I24" i="134"/>
  <c r="J24" i="134" s="1"/>
  <c r="G11" i="78"/>
  <c r="I11" i="78" s="1"/>
  <c r="J11" i="78" s="1"/>
  <c r="I22" i="73"/>
  <c r="J22" i="73" s="1"/>
  <c r="I23" i="71"/>
  <c r="J23" i="71" s="1"/>
  <c r="H36" i="71"/>
  <c r="G11" i="69"/>
  <c r="I11" i="69" s="1"/>
  <c r="J11" i="69" s="1"/>
  <c r="F11" i="68"/>
  <c r="I22" i="66"/>
  <c r="J22" i="66" s="1"/>
  <c r="I22" i="63"/>
  <c r="J22" i="63" s="1"/>
  <c r="F11" i="55"/>
  <c r="F11" i="52"/>
  <c r="I22" i="51"/>
  <c r="J22" i="51" s="1"/>
  <c r="G14" i="45"/>
  <c r="I14" i="45" s="1"/>
  <c r="J14" i="45" s="1"/>
  <c r="F14" i="45"/>
  <c r="F11" i="40"/>
  <c r="G12" i="39"/>
  <c r="I12" i="39" s="1"/>
  <c r="J12" i="39" s="1"/>
  <c r="F12" i="39"/>
  <c r="G14" i="39"/>
  <c r="I14" i="39" s="1"/>
  <c r="J14" i="39" s="1"/>
  <c r="F14" i="39"/>
  <c r="H18" i="8"/>
  <c r="I32" i="10"/>
  <c r="J32" i="10" s="1"/>
  <c r="I22" i="176"/>
  <c r="J22" i="176" s="1"/>
  <c r="G14" i="156"/>
  <c r="I14" i="156" s="1"/>
  <c r="J14" i="156" s="1"/>
  <c r="I24" i="158"/>
  <c r="J24" i="158" s="1"/>
  <c r="I26" i="158"/>
  <c r="J26" i="158" s="1"/>
  <c r="I25" i="157"/>
  <c r="J25" i="157" s="1"/>
  <c r="I23" i="154"/>
  <c r="J23" i="154" s="1"/>
  <c r="I25" i="152"/>
  <c r="J25" i="152" s="1"/>
  <c r="G11" i="151"/>
  <c r="I11" i="151" s="1"/>
  <c r="J11" i="151" s="1"/>
  <c r="F14" i="151"/>
  <c r="G11" i="147"/>
  <c r="I11" i="147" s="1"/>
  <c r="J11" i="147" s="1"/>
  <c r="G14" i="147"/>
  <c r="I14" i="147" s="1"/>
  <c r="J14" i="147" s="1"/>
  <c r="I23" i="146"/>
  <c r="J23" i="146" s="1"/>
  <c r="I26" i="144"/>
  <c r="J26" i="144" s="1"/>
  <c r="H36" i="110"/>
  <c r="I36" i="110" s="1"/>
  <c r="J36" i="110" s="1"/>
  <c r="J39" i="110" s="1"/>
  <c r="I25" i="104"/>
  <c r="J25" i="104" s="1"/>
  <c r="G13" i="102"/>
  <c r="I13" i="102" s="1"/>
  <c r="J13" i="102" s="1"/>
  <c r="I23" i="97"/>
  <c r="J23" i="97" s="1"/>
  <c r="G11" i="96"/>
  <c r="I11" i="96" s="1"/>
  <c r="J11" i="96" s="1"/>
  <c r="I25" i="96"/>
  <c r="J25" i="96" s="1"/>
  <c r="I24" i="95"/>
  <c r="J24" i="95" s="1"/>
  <c r="I25" i="137"/>
  <c r="J25" i="137" s="1"/>
  <c r="G14" i="90"/>
  <c r="I14" i="90" s="1"/>
  <c r="J14" i="90" s="1"/>
  <c r="I25" i="90"/>
  <c r="J25" i="90" s="1"/>
  <c r="G14" i="89"/>
  <c r="I14" i="89" s="1"/>
  <c r="J14" i="89" s="1"/>
  <c r="I25" i="89"/>
  <c r="J25" i="89" s="1"/>
  <c r="I26" i="86"/>
  <c r="J26" i="86" s="1"/>
  <c r="I25" i="134"/>
  <c r="J25" i="134" s="1"/>
  <c r="I23" i="133"/>
  <c r="J23" i="133" s="1"/>
  <c r="I22" i="77"/>
  <c r="J22" i="77" s="1"/>
  <c r="H36" i="76"/>
  <c r="I36" i="76" s="1"/>
  <c r="J36" i="76" s="1"/>
  <c r="J39" i="76" s="1"/>
  <c r="I22" i="132"/>
  <c r="J22" i="132" s="1"/>
  <c r="G11" i="131"/>
  <c r="I11" i="131" s="1"/>
  <c r="J11" i="131" s="1"/>
  <c r="G12" i="130"/>
  <c r="I12" i="130" s="1"/>
  <c r="J12" i="130" s="1"/>
  <c r="F12" i="130"/>
  <c r="G12" i="70"/>
  <c r="I12" i="70" s="1"/>
  <c r="J12" i="70" s="1"/>
  <c r="F12" i="70"/>
  <c r="I23" i="69"/>
  <c r="J23" i="69" s="1"/>
  <c r="G12" i="68"/>
  <c r="I12" i="68" s="1"/>
  <c r="J12" i="68" s="1"/>
  <c r="I22" i="67"/>
  <c r="J22" i="67" s="1"/>
  <c r="I23" i="66"/>
  <c r="J23" i="66" s="1"/>
  <c r="I23" i="65"/>
  <c r="J23" i="65" s="1"/>
  <c r="F12" i="63"/>
  <c r="G12" i="63"/>
  <c r="I12" i="63" s="1"/>
  <c r="J12" i="63" s="1"/>
  <c r="F11" i="6"/>
  <c r="G19" i="6"/>
  <c r="I19" i="6" s="1"/>
  <c r="J19" i="6" s="1"/>
  <c r="F19" i="6"/>
  <c r="I22" i="102"/>
  <c r="J22" i="102" s="1"/>
  <c r="G11" i="97"/>
  <c r="I11" i="97" s="1"/>
  <c r="J11" i="97" s="1"/>
  <c r="I23" i="96"/>
  <c r="J23" i="96" s="1"/>
  <c r="I24" i="137"/>
  <c r="J24" i="137" s="1"/>
  <c r="I24" i="92"/>
  <c r="J24" i="92" s="1"/>
  <c r="I22" i="90"/>
  <c r="J22" i="90" s="1"/>
  <c r="I26" i="90"/>
  <c r="J26" i="90" s="1"/>
  <c r="I22" i="89"/>
  <c r="J22" i="89" s="1"/>
  <c r="I24" i="84"/>
  <c r="J24" i="84" s="1"/>
  <c r="I25" i="83"/>
  <c r="J25" i="83" s="1"/>
  <c r="G11" i="134"/>
  <c r="I11" i="134" s="1"/>
  <c r="J11" i="134" s="1"/>
  <c r="I23" i="134"/>
  <c r="J23" i="134" s="1"/>
  <c r="I24" i="79"/>
  <c r="J24" i="79" s="1"/>
  <c r="G11" i="76"/>
  <c r="I11" i="76" s="1"/>
  <c r="J11" i="76" s="1"/>
  <c r="I23" i="131"/>
  <c r="J23" i="131" s="1"/>
  <c r="G11" i="73"/>
  <c r="I11" i="73" s="1"/>
  <c r="J11" i="73" s="1"/>
  <c r="H35" i="73"/>
  <c r="I22" i="130"/>
  <c r="J22" i="130" s="1"/>
  <c r="G14" i="71"/>
  <c r="I14" i="71" s="1"/>
  <c r="J14" i="71" s="1"/>
  <c r="I23" i="70"/>
  <c r="J23" i="70" s="1"/>
  <c r="H36" i="69"/>
  <c r="I22" i="65"/>
  <c r="J22" i="65" s="1"/>
  <c r="I22" i="61"/>
  <c r="K22" i="61" s="1"/>
  <c r="G12" i="60"/>
  <c r="I12" i="60" s="1"/>
  <c r="J12" i="60" s="1"/>
  <c r="I22" i="60"/>
  <c r="J22" i="60" s="1"/>
  <c r="G12" i="54"/>
  <c r="I12" i="54" s="1"/>
  <c r="J12" i="54" s="1"/>
  <c r="G12" i="51"/>
  <c r="I12" i="51" s="1"/>
  <c r="J12" i="51" s="1"/>
  <c r="F12" i="51"/>
  <c r="I23" i="39"/>
  <c r="J23" i="39" s="1"/>
  <c r="G18" i="8"/>
  <c r="I26" i="154"/>
  <c r="J26" i="154" s="1"/>
  <c r="I24" i="152"/>
  <c r="J24" i="152" s="1"/>
  <c r="I26" i="151"/>
  <c r="J26" i="151" s="1"/>
  <c r="I25" i="148"/>
  <c r="J25" i="148" s="1"/>
  <c r="I46" i="103"/>
  <c r="J46" i="103" s="1"/>
  <c r="I23" i="100"/>
  <c r="J23" i="100" s="1"/>
  <c r="I22" i="97"/>
  <c r="J22" i="97" s="1"/>
  <c r="I26" i="97"/>
  <c r="J26" i="97" s="1"/>
  <c r="I26" i="96"/>
  <c r="J26" i="96" s="1"/>
  <c r="I25" i="135"/>
  <c r="J25" i="135" s="1"/>
  <c r="I23" i="90"/>
  <c r="J23" i="90" s="1"/>
  <c r="I23" i="86"/>
  <c r="J23" i="86" s="1"/>
  <c r="I25" i="86"/>
  <c r="J25" i="86" s="1"/>
  <c r="I24" i="83"/>
  <c r="J24" i="83" s="1"/>
  <c r="I25" i="82"/>
  <c r="J25" i="82" s="1"/>
  <c r="I23" i="78"/>
  <c r="J23" i="78" s="1"/>
  <c r="I23" i="68"/>
  <c r="J23" i="68" s="1"/>
  <c r="I24" i="63"/>
  <c r="J24" i="63" s="1"/>
  <c r="G11" i="60"/>
  <c r="I11" i="60" s="1"/>
  <c r="J11" i="60" s="1"/>
  <c r="I23" i="58"/>
  <c r="J23" i="58" s="1"/>
  <c r="I22" i="54"/>
  <c r="J22" i="54" s="1"/>
  <c r="I23" i="50"/>
  <c r="J23" i="50" s="1"/>
  <c r="I23" i="48"/>
  <c r="J23" i="48" s="1"/>
  <c r="I23" i="47"/>
  <c r="J23" i="47" s="1"/>
  <c r="G11" i="44"/>
  <c r="I11" i="44" s="1"/>
  <c r="J11" i="44" s="1"/>
  <c r="F11" i="44"/>
  <c r="F11" i="43"/>
  <c r="I22" i="41"/>
  <c r="J22" i="41" s="1"/>
  <c r="G12" i="40"/>
  <c r="I12" i="40" s="1"/>
  <c r="J12" i="40" s="1"/>
  <c r="I22" i="40"/>
  <c r="J22" i="40" s="1"/>
  <c r="I23" i="38"/>
  <c r="J23" i="38" s="1"/>
  <c r="F11" i="37"/>
  <c r="G14" i="7"/>
  <c r="F14" i="7"/>
  <c r="I24" i="133"/>
  <c r="J24" i="133" s="1"/>
  <c r="I23" i="79"/>
  <c r="J23" i="79" s="1"/>
  <c r="I23" i="73"/>
  <c r="J23" i="73" s="1"/>
  <c r="I24" i="71"/>
  <c r="J24" i="71" s="1"/>
  <c r="I22" i="70"/>
  <c r="J22" i="70" s="1"/>
  <c r="I22" i="69"/>
  <c r="J22" i="69" s="1"/>
  <c r="I22" i="68"/>
  <c r="J22" i="68" s="1"/>
  <c r="I24" i="66"/>
  <c r="J24" i="66" s="1"/>
  <c r="I23" i="64"/>
  <c r="J23" i="64" s="1"/>
  <c r="G14" i="62"/>
  <c r="I14" i="62" s="1"/>
  <c r="J14" i="62" s="1"/>
  <c r="I23" i="60"/>
  <c r="J23" i="60" s="1"/>
  <c r="I23" i="59"/>
  <c r="J23" i="59" s="1"/>
  <c r="G14" i="58"/>
  <c r="I14" i="58" s="1"/>
  <c r="J14" i="58" s="1"/>
  <c r="I22" i="57"/>
  <c r="J22" i="57" s="1"/>
  <c r="I22" i="53"/>
  <c r="J22" i="53" s="1"/>
  <c r="I23" i="49"/>
  <c r="J23" i="49" s="1"/>
  <c r="G14" i="46"/>
  <c r="I14" i="46" s="1"/>
  <c r="J14" i="46" s="1"/>
  <c r="F14" i="46"/>
  <c r="I24" i="46"/>
  <c r="J24" i="46" s="1"/>
  <c r="I23" i="45"/>
  <c r="J23" i="45" s="1"/>
  <c r="I23" i="44"/>
  <c r="J23" i="44" s="1"/>
  <c r="G12" i="43"/>
  <c r="I12" i="43" s="1"/>
  <c r="J12" i="43" s="1"/>
  <c r="I22" i="43"/>
  <c r="J22" i="43" s="1"/>
  <c r="I24" i="43" s="1"/>
  <c r="J24" i="43" s="1"/>
  <c r="G11" i="41"/>
  <c r="I11" i="41" s="1"/>
  <c r="J11" i="41" s="1"/>
  <c r="I23" i="41"/>
  <c r="J23" i="41" s="1"/>
  <c r="G12" i="38"/>
  <c r="I12" i="38" s="1"/>
  <c r="J12" i="38" s="1"/>
  <c r="F12" i="38"/>
  <c r="G14" i="38"/>
  <c r="I14" i="38" s="1"/>
  <c r="J14" i="38" s="1"/>
  <c r="G12" i="37"/>
  <c r="I12" i="37" s="1"/>
  <c r="J12" i="37" s="1"/>
  <c r="I22" i="37"/>
  <c r="J22" i="37" s="1"/>
  <c r="G22" i="37"/>
  <c r="A29" i="8"/>
  <c r="G11" i="8"/>
  <c r="I11" i="8" s="1"/>
  <c r="J11" i="8" s="1"/>
  <c r="F11" i="8"/>
  <c r="I32" i="9"/>
  <c r="J32" i="9" s="1"/>
  <c r="F16" i="10"/>
  <c r="G16" i="10"/>
  <c r="I16" i="10" s="1"/>
  <c r="J16" i="10" s="1"/>
  <c r="I31" i="14"/>
  <c r="J31" i="14" s="1"/>
  <c r="I36" i="14"/>
  <c r="J36" i="14" s="1"/>
  <c r="G16" i="15"/>
  <c r="I25" i="146"/>
  <c r="J25" i="146" s="1"/>
  <c r="I23" i="144"/>
  <c r="J23" i="144" s="1"/>
  <c r="I45" i="103"/>
  <c r="J45" i="103" s="1"/>
  <c r="I22" i="98"/>
  <c r="J22" i="98" s="1"/>
  <c r="I22" i="96"/>
  <c r="J22" i="96" s="1"/>
  <c r="J22" i="135"/>
  <c r="I26" i="91"/>
  <c r="J26" i="91" s="1"/>
  <c r="I25" i="88"/>
  <c r="J25" i="88" s="1"/>
  <c r="I23" i="83"/>
  <c r="J23" i="83" s="1"/>
  <c r="I22" i="82"/>
  <c r="J22" i="82" s="1"/>
  <c r="I25" i="133"/>
  <c r="J25" i="133" s="1"/>
  <c r="I21" i="132"/>
  <c r="J21" i="132" s="1"/>
  <c r="I21" i="131"/>
  <c r="J21" i="131" s="1"/>
  <c r="I21" i="73"/>
  <c r="J21" i="73" s="1"/>
  <c r="I24" i="70"/>
  <c r="J24" i="70" s="1"/>
  <c r="I24" i="68"/>
  <c r="J24" i="68" s="1"/>
  <c r="F14" i="62"/>
  <c r="G12" i="59"/>
  <c r="I12" i="59" s="1"/>
  <c r="J12" i="59" s="1"/>
  <c r="G14" i="59"/>
  <c r="I14" i="59" s="1"/>
  <c r="J14" i="59" s="1"/>
  <c r="F14" i="58"/>
  <c r="I23" i="53"/>
  <c r="J23" i="53" s="1"/>
  <c r="I22" i="52"/>
  <c r="J22" i="52" s="1"/>
  <c r="I23" i="51"/>
  <c r="J23" i="51" s="1"/>
  <c r="I22" i="50"/>
  <c r="J22" i="50" s="1"/>
  <c r="H36" i="50"/>
  <c r="G12" i="49"/>
  <c r="I12" i="49" s="1"/>
  <c r="J12" i="49" s="1"/>
  <c r="F12" i="49"/>
  <c r="G14" i="49"/>
  <c r="I14" i="49" s="1"/>
  <c r="J14" i="49" s="1"/>
  <c r="H36" i="48"/>
  <c r="G14" i="47"/>
  <c r="I14" i="47" s="1"/>
  <c r="J14" i="47" s="1"/>
  <c r="F14" i="47"/>
  <c r="I24" i="45"/>
  <c r="J24" i="45" s="1"/>
  <c r="G12" i="44"/>
  <c r="I12" i="44" s="1"/>
  <c r="J12" i="44" s="1"/>
  <c r="F12" i="44"/>
  <c r="G14" i="44"/>
  <c r="I14" i="44" s="1"/>
  <c r="J14" i="44" s="1"/>
  <c r="F12" i="43"/>
  <c r="F11" i="41"/>
  <c r="H36" i="38"/>
  <c r="I36" i="38" s="1"/>
  <c r="J36" i="38" s="1"/>
  <c r="J39" i="38" s="1"/>
  <c r="F12" i="9"/>
  <c r="F13" i="10"/>
  <c r="G13" i="10"/>
  <c r="I13" i="10" s="1"/>
  <c r="J13" i="10" s="1"/>
  <c r="I23" i="62"/>
  <c r="J23" i="62" s="1"/>
  <c r="I22" i="59"/>
  <c r="M28" i="59" s="1"/>
  <c r="I22" i="58"/>
  <c r="J22" i="58" s="1"/>
  <c r="I22" i="56"/>
  <c r="J22" i="56" s="1"/>
  <c r="I22" i="55"/>
  <c r="J22" i="55" s="1"/>
  <c r="I23" i="46"/>
  <c r="J23" i="46" s="1"/>
  <c r="I22" i="44"/>
  <c r="J22" i="44" s="1"/>
  <c r="A27" i="142"/>
  <c r="A27" i="27"/>
  <c r="I27" i="27" s="1"/>
  <c r="A27" i="141"/>
  <c r="I28" i="6"/>
  <c r="J28" i="6" s="1"/>
  <c r="G11" i="7"/>
  <c r="I11" i="7" s="1"/>
  <c r="J11" i="7" s="1"/>
  <c r="F11" i="7"/>
  <c r="I27" i="8"/>
  <c r="J27" i="8" s="1"/>
  <c r="F17" i="9"/>
  <c r="I30" i="9"/>
  <c r="J30" i="9" s="1"/>
  <c r="I27" i="10"/>
  <c r="J27" i="10" s="1"/>
  <c r="I38" i="12"/>
  <c r="J38" i="12" s="1"/>
  <c r="I22" i="49"/>
  <c r="J22" i="49" s="1"/>
  <c r="I22" i="45"/>
  <c r="J22" i="45" s="1"/>
  <c r="I24" i="44"/>
  <c r="J24" i="44" s="1"/>
  <c r="I25" i="6"/>
  <c r="J25" i="6" s="1"/>
  <c r="I30" i="6"/>
  <c r="J30" i="6" s="1"/>
  <c r="G15" i="7"/>
  <c r="I26" i="8"/>
  <c r="J26" i="8" s="1"/>
  <c r="G18" i="9"/>
  <c r="I42" i="9"/>
  <c r="J42" i="9" s="1"/>
  <c r="I44" i="9"/>
  <c r="J44" i="9" s="1"/>
  <c r="H52" i="9"/>
  <c r="F12" i="10"/>
  <c r="I38" i="10"/>
  <c r="J38" i="10" s="1"/>
  <c r="G12" i="13"/>
  <c r="I12" i="13" s="1"/>
  <c r="J12" i="13" s="1"/>
  <c r="F12" i="13"/>
  <c r="G19" i="14"/>
  <c r="G13" i="15"/>
  <c r="I13" i="15" s="1"/>
  <c r="J13" i="15" s="1"/>
  <c r="F13" i="15"/>
  <c r="H44" i="15"/>
  <c r="I36" i="18"/>
  <c r="J36" i="18" s="1"/>
  <c r="G12" i="6"/>
  <c r="I12" i="6" s="1"/>
  <c r="J12" i="6" s="1"/>
  <c r="G13" i="6"/>
  <c r="I13" i="6" s="1"/>
  <c r="J13" i="6" s="1"/>
  <c r="G14" i="6"/>
  <c r="I14" i="6" s="1"/>
  <c r="J14" i="6" s="1"/>
  <c r="G15" i="6"/>
  <c r="I15" i="6" s="1"/>
  <c r="J15" i="6" s="1"/>
  <c r="G16" i="6"/>
  <c r="I16" i="6" s="1"/>
  <c r="J16" i="6" s="1"/>
  <c r="G17" i="6"/>
  <c r="I17" i="6" s="1"/>
  <c r="J17" i="6" s="1"/>
  <c r="A29" i="141"/>
  <c r="A29" i="140"/>
  <c r="A29" i="142"/>
  <c r="G13" i="9"/>
  <c r="I36" i="10"/>
  <c r="J36" i="10" s="1"/>
  <c r="G15" i="11"/>
  <c r="I15" i="11" s="1"/>
  <c r="J15" i="11" s="1"/>
  <c r="G14" i="13"/>
  <c r="F14" i="13"/>
  <c r="G16" i="14"/>
  <c r="G15" i="18"/>
  <c r="F15" i="18"/>
  <c r="G13" i="18"/>
  <c r="I41" i="9"/>
  <c r="J41" i="9" s="1"/>
  <c r="I45" i="9"/>
  <c r="J45" i="9" s="1"/>
  <c r="G14" i="11"/>
  <c r="I14" i="11" s="1"/>
  <c r="J14" i="11" s="1"/>
  <c r="G17" i="11"/>
  <c r="I17" i="11" s="1"/>
  <c r="J17" i="11" s="1"/>
  <c r="G19" i="11"/>
  <c r="I19" i="11" s="1"/>
  <c r="J19" i="11" s="1"/>
  <c r="I34" i="12"/>
  <c r="J34" i="12" s="1"/>
  <c r="G17" i="120"/>
  <c r="G36" i="17"/>
  <c r="I36" i="17"/>
  <c r="J36" i="17" s="1"/>
  <c r="H32" i="24"/>
  <c r="N32" i="24" s="1"/>
  <c r="N40" i="24" s="1"/>
  <c r="G44" i="24" s="1"/>
  <c r="G30" i="26"/>
  <c r="I37" i="26"/>
  <c r="A31" i="142"/>
  <c r="I31" i="142" s="1"/>
  <c r="J31" i="142" s="1"/>
  <c r="A31" i="141"/>
  <c r="I31" i="141" s="1"/>
  <c r="J31" i="141" s="1"/>
  <c r="A31" i="27"/>
  <c r="I31" i="27" s="1"/>
  <c r="G12" i="7"/>
  <c r="I12" i="7" s="1"/>
  <c r="J12" i="7" s="1"/>
  <c r="G16" i="7"/>
  <c r="I28" i="8"/>
  <c r="J28" i="8" s="1"/>
  <c r="G11" i="9"/>
  <c r="I11" i="9" s="1"/>
  <c r="J11" i="9" s="1"/>
  <c r="I36" i="9"/>
  <c r="J36" i="9" s="1"/>
  <c r="I39" i="9"/>
  <c r="J39" i="9" s="1"/>
  <c r="G15" i="10"/>
  <c r="I15" i="10" s="1"/>
  <c r="J15" i="10" s="1"/>
  <c r="G19" i="10"/>
  <c r="I19" i="10" s="1"/>
  <c r="J19" i="10" s="1"/>
  <c r="I37" i="10"/>
  <c r="J37" i="10" s="1"/>
  <c r="G11" i="11"/>
  <c r="I11" i="11" s="1"/>
  <c r="J11" i="11" s="1"/>
  <c r="G13" i="11"/>
  <c r="I13" i="11" s="1"/>
  <c r="J13" i="11" s="1"/>
  <c r="I32" i="12"/>
  <c r="J32" i="12" s="1"/>
  <c r="I37" i="12"/>
  <c r="J37" i="12" s="1"/>
  <c r="I33" i="13"/>
  <c r="J33" i="13" s="1"/>
  <c r="I37" i="14"/>
  <c r="J37" i="14" s="1"/>
  <c r="A14" i="18"/>
  <c r="G14" i="120"/>
  <c r="F14" i="120"/>
  <c r="G19" i="120"/>
  <c r="G13" i="17"/>
  <c r="G25" i="17"/>
  <c r="G30" i="17"/>
  <c r="H46" i="18"/>
  <c r="A19" i="26"/>
  <c r="G19" i="25"/>
  <c r="F16" i="26"/>
  <c r="G16" i="26"/>
  <c r="I33" i="14"/>
  <c r="J33" i="14" s="1"/>
  <c r="H44" i="14"/>
  <c r="I44" i="14" s="1"/>
  <c r="J44" i="14" s="1"/>
  <c r="J47" i="14" s="1"/>
  <c r="G15" i="120"/>
  <c r="F15" i="120"/>
  <c r="G18" i="18"/>
  <c r="G16" i="17"/>
  <c r="F16" i="17"/>
  <c r="G28" i="17"/>
  <c r="G32" i="18"/>
  <c r="I32" i="18"/>
  <c r="J32" i="18" s="1"/>
  <c r="I34" i="19"/>
  <c r="G34" i="19"/>
  <c r="H45" i="21"/>
  <c r="H56" i="25"/>
  <c r="I27" i="13"/>
  <c r="J27" i="13" s="1"/>
  <c r="I32" i="13"/>
  <c r="J32" i="13" s="1"/>
  <c r="G12" i="120"/>
  <c r="I12" i="120" s="1"/>
  <c r="J12" i="120" s="1"/>
  <c r="A16" i="18"/>
  <c r="H27" i="18"/>
  <c r="N27" i="18" s="1"/>
  <c r="G34" i="18"/>
  <c r="I34" i="18"/>
  <c r="J34" i="18" s="1"/>
  <c r="G30" i="19"/>
  <c r="I37" i="19"/>
  <c r="J37" i="19" s="1"/>
  <c r="I37" i="20"/>
  <c r="J37" i="20" s="1"/>
  <c r="H26" i="21"/>
  <c r="N26" i="21" s="1"/>
  <c r="A13" i="26"/>
  <c r="G13" i="25"/>
  <c r="I13" i="25" s="1"/>
  <c r="J13" i="25" s="1"/>
  <c r="F13" i="25"/>
  <c r="L39" i="140"/>
  <c r="G39" i="140" s="1"/>
  <c r="H32" i="140"/>
  <c r="I26" i="126"/>
  <c r="J26" i="126" s="1"/>
  <c r="G26" i="126"/>
  <c r="A17" i="18"/>
  <c r="G19" i="18"/>
  <c r="G32" i="20"/>
  <c r="H48" i="141"/>
  <c r="G17" i="7"/>
  <c r="G18" i="7"/>
  <c r="H13" i="9"/>
  <c r="H14" i="9" s="1"/>
  <c r="H15" i="9" s="1"/>
  <c r="H62" i="9" s="1"/>
  <c r="I43" i="9"/>
  <c r="J43" i="9" s="1"/>
  <c r="H27" i="12"/>
  <c r="N27" i="12" s="1"/>
  <c r="G18" i="120"/>
  <c r="I31" i="17"/>
  <c r="J31" i="17" s="1"/>
  <c r="I33" i="17"/>
  <c r="I37" i="17"/>
  <c r="J37" i="17" s="1"/>
  <c r="I32" i="19"/>
  <c r="H46" i="19"/>
  <c r="I33" i="20"/>
  <c r="J33" i="20" s="1"/>
  <c r="G33" i="20"/>
  <c r="A12" i="26"/>
  <c r="F12" i="25"/>
  <c r="G28" i="31"/>
  <c r="I38" i="20"/>
  <c r="J38" i="20" s="1"/>
  <c r="G18" i="24"/>
  <c r="A39" i="140"/>
  <c r="H39" i="140" s="1"/>
  <c r="H53" i="26"/>
  <c r="A39" i="142"/>
  <c r="H39" i="142" s="1"/>
  <c r="I39" i="142" s="1"/>
  <c r="J39" i="142" s="1"/>
  <c r="J42" i="142" s="1"/>
  <c r="A39" i="27"/>
  <c r="H39" i="27" s="1"/>
  <c r="A39" i="141"/>
  <c r="H39" i="141" s="1"/>
  <c r="G19" i="141"/>
  <c r="I19" i="141" s="1"/>
  <c r="J19" i="141" s="1"/>
  <c r="F19" i="141"/>
  <c r="G12" i="35"/>
  <c r="I12" i="35" s="1"/>
  <c r="J12" i="35" s="1"/>
  <c r="F12" i="35"/>
  <c r="H36" i="113"/>
  <c r="I36" i="113" s="1"/>
  <c r="J36" i="113" s="1"/>
  <c r="J39" i="113" s="1"/>
  <c r="H36" i="115"/>
  <c r="I36" i="115" s="1"/>
  <c r="J36" i="115" s="1"/>
  <c r="J39" i="115" s="1"/>
  <c r="A11" i="26"/>
  <c r="G11" i="25"/>
  <c r="I11" i="25" s="1"/>
  <c r="J11" i="25" s="1"/>
  <c r="A18" i="26"/>
  <c r="G18" i="25"/>
  <c r="I26" i="142"/>
  <c r="F11" i="31"/>
  <c r="G24" i="34"/>
  <c r="I28" i="18"/>
  <c r="J28" i="18" s="1"/>
  <c r="I37" i="18"/>
  <c r="J37" i="18" s="1"/>
  <c r="F11" i="25"/>
  <c r="G15" i="26"/>
  <c r="G36" i="26"/>
  <c r="G17" i="27"/>
  <c r="G12" i="140"/>
  <c r="I12" i="140" s="1"/>
  <c r="J12" i="140" s="1"/>
  <c r="G19" i="142"/>
  <c r="I19" i="142" s="1"/>
  <c r="J19" i="142" s="1"/>
  <c r="F19" i="142"/>
  <c r="H36" i="112"/>
  <c r="I36" i="112" s="1"/>
  <c r="J36" i="112" s="1"/>
  <c r="J39" i="112" s="1"/>
  <c r="I26" i="24"/>
  <c r="G14" i="140"/>
  <c r="G16" i="141"/>
  <c r="G16" i="142"/>
  <c r="G31" i="31"/>
  <c r="G29" i="26"/>
  <c r="G19" i="27"/>
  <c r="F19" i="27"/>
  <c r="I28" i="140"/>
  <c r="J28" i="140" s="1"/>
  <c r="G12" i="34"/>
  <c r="I12" i="34" s="1"/>
  <c r="J12" i="34" s="1"/>
  <c r="F12" i="34"/>
  <c r="I22" i="36"/>
  <c r="J22" i="36" s="1"/>
  <c r="J32" i="36" s="1"/>
  <c r="H36" i="114"/>
  <c r="I36" i="114" s="1"/>
  <c r="J36" i="114" s="1"/>
  <c r="J39" i="114" s="1"/>
  <c r="I22" i="116"/>
  <c r="J22" i="116" s="1"/>
  <c r="J32" i="116" s="1"/>
  <c r="I22" i="173"/>
  <c r="J22" i="173" s="1"/>
  <c r="J32" i="173" s="1"/>
  <c r="I31" i="26"/>
  <c r="J31" i="26" s="1"/>
  <c r="I35" i="26"/>
  <c r="J35" i="26" s="1"/>
  <c r="I44" i="26"/>
  <c r="J44" i="26" s="1"/>
  <c r="G44" i="26"/>
  <c r="H48" i="27"/>
  <c r="H15" i="27"/>
  <c r="G13" i="140"/>
  <c r="G15" i="140"/>
  <c r="G17" i="141"/>
  <c r="I26" i="141"/>
  <c r="J26" i="141" s="1"/>
  <c r="I32" i="141"/>
  <c r="J32" i="141" s="1"/>
  <c r="G17" i="142"/>
  <c r="H32" i="142"/>
  <c r="H26" i="142"/>
  <c r="I23" i="33"/>
  <c r="J23" i="33" s="1"/>
  <c r="J33" i="33" s="1"/>
  <c r="G23" i="33"/>
  <c r="H36" i="34"/>
  <c r="I36" i="34" s="1"/>
  <c r="J36" i="34" s="1"/>
  <c r="J39" i="34" s="1"/>
  <c r="I22" i="126"/>
  <c r="J22" i="126" s="1"/>
  <c r="I22" i="115"/>
  <c r="J22" i="115" s="1"/>
  <c r="J32" i="115" s="1"/>
  <c r="H36" i="165"/>
  <c r="I36" i="165" s="1"/>
  <c r="J36" i="165" s="1"/>
  <c r="J39" i="165" s="1"/>
  <c r="H36" i="172"/>
  <c r="I36" i="172" s="1"/>
  <c r="J36" i="172" s="1"/>
  <c r="J39" i="172" s="1"/>
  <c r="H36" i="173"/>
  <c r="I36" i="173" s="1"/>
  <c r="J36" i="173" s="1"/>
  <c r="J39" i="173" s="1"/>
  <c r="J32" i="27"/>
  <c r="J26" i="140"/>
  <c r="I33" i="31"/>
  <c r="J33" i="31" s="1"/>
  <c r="I22" i="112"/>
  <c r="J22" i="112" s="1"/>
  <c r="J32" i="112" s="1"/>
  <c r="I22" i="171"/>
  <c r="J22" i="171" s="1"/>
  <c r="J32" i="171" s="1"/>
  <c r="I28" i="141"/>
  <c r="J28" i="141" s="1"/>
  <c r="I28" i="142"/>
  <c r="J28" i="142" s="1"/>
  <c r="I34" i="31"/>
  <c r="I12" i="32"/>
  <c r="J12" i="32" s="1"/>
  <c r="I44" i="32"/>
  <c r="J44" i="32" s="1"/>
  <c r="J50" i="32" s="1"/>
  <c r="I22" i="34"/>
  <c r="J22" i="34" s="1"/>
  <c r="I22" i="35"/>
  <c r="J22" i="35" s="1"/>
  <c r="J32" i="35" s="1"/>
  <c r="I44" i="42"/>
  <c r="J44" i="42" s="1"/>
  <c r="I46" i="42"/>
  <c r="J46" i="42" s="1"/>
  <c r="I48" i="42"/>
  <c r="J48" i="42" s="1"/>
  <c r="I45" i="42"/>
  <c r="J45" i="42" s="1"/>
  <c r="W45" i="126"/>
  <c r="Y45" i="126" s="1"/>
  <c r="G26" i="158"/>
  <c r="G24" i="157"/>
  <c r="I24" i="148"/>
  <c r="J24" i="148" s="1"/>
  <c r="A25" i="142"/>
  <c r="A25" i="140"/>
  <c r="I27" i="7"/>
  <c r="J27" i="7" s="1"/>
  <c r="A25" i="141"/>
  <c r="H34" i="31"/>
  <c r="H27" i="31"/>
  <c r="H31" i="31"/>
  <c r="G22" i="35"/>
  <c r="G22" i="126"/>
  <c r="G22" i="186"/>
  <c r="G22" i="96"/>
  <c r="G24" i="95"/>
  <c r="I23" i="37"/>
  <c r="J23" i="37" s="1"/>
  <c r="G23" i="37"/>
  <c r="I36" i="19"/>
  <c r="J36" i="19" s="1"/>
  <c r="G30" i="20"/>
  <c r="I22" i="193"/>
  <c r="J22" i="193" s="1"/>
  <c r="J32" i="193" s="1"/>
  <c r="G25" i="187"/>
  <c r="G25" i="156"/>
  <c r="G23" i="154"/>
  <c r="G26" i="154"/>
  <c r="I23" i="150"/>
  <c r="J23" i="150" s="1"/>
  <c r="G25" i="96"/>
  <c r="I35" i="17"/>
  <c r="J35" i="17" s="1"/>
  <c r="G35" i="17"/>
  <c r="I27" i="19"/>
  <c r="H33" i="19"/>
  <c r="N33" i="19" s="1"/>
  <c r="A42" i="26"/>
  <c r="I40" i="25"/>
  <c r="J40" i="25" s="1"/>
  <c r="G33" i="31"/>
  <c r="I22" i="147"/>
  <c r="J22" i="147" s="1"/>
  <c r="I22" i="172"/>
  <c r="J22" i="172" s="1"/>
  <c r="J32" i="172" s="1"/>
  <c r="A30" i="141"/>
  <c r="I30" i="141" s="1"/>
  <c r="J30" i="141" s="1"/>
  <c r="A30" i="27"/>
  <c r="I30" i="27" s="1"/>
  <c r="I31" i="6"/>
  <c r="J31" i="6" s="1"/>
  <c r="G23" i="156"/>
  <c r="G25" i="157"/>
  <c r="G24" i="150"/>
  <c r="G25" i="148"/>
  <c r="G23" i="96"/>
  <c r="G22" i="95"/>
  <c r="H32" i="17"/>
  <c r="N32" i="17" s="1"/>
  <c r="G31" i="19"/>
  <c r="A30" i="140"/>
  <c r="I30" i="140" s="1"/>
  <c r="J30" i="140" s="1"/>
  <c r="A30" i="142"/>
  <c r="I30" i="142" s="1"/>
  <c r="J30" i="142" s="1"/>
  <c r="I25" i="34"/>
  <c r="J25" i="34" s="1"/>
  <c r="G25" i="34"/>
  <c r="H27" i="19"/>
  <c r="N27" i="19" s="1"/>
  <c r="I25" i="95"/>
  <c r="J25" i="95" s="1"/>
  <c r="G25" i="95"/>
  <c r="I23" i="187"/>
  <c r="J23" i="187" s="1"/>
  <c r="I23" i="137"/>
  <c r="J23" i="137" s="1"/>
  <c r="I35" i="20"/>
  <c r="G35" i="20"/>
  <c r="G24" i="147"/>
  <c r="I26" i="17"/>
  <c r="G26" i="17"/>
  <c r="G26" i="24"/>
  <c r="G22" i="34"/>
  <c r="I22" i="169"/>
  <c r="J22" i="169" s="1"/>
  <c r="J32" i="169" s="1"/>
  <c r="I38" i="19"/>
  <c r="J38" i="19" s="1"/>
  <c r="G38" i="19"/>
  <c r="G29" i="31"/>
  <c r="G33" i="17"/>
  <c r="A29" i="27"/>
  <c r="I29" i="27" s="1"/>
  <c r="A27" i="140"/>
  <c r="A31" i="140"/>
  <c r="I31" i="140" s="1"/>
  <c r="J31" i="140" s="1"/>
  <c r="G34" i="31"/>
  <c r="G23" i="34"/>
  <c r="G29" i="17"/>
  <c r="G31" i="17"/>
  <c r="G31" i="20"/>
  <c r="G38" i="20"/>
  <c r="H32" i="21"/>
  <c r="N32" i="21" s="1"/>
  <c r="G28" i="18"/>
  <c r="G30" i="18"/>
  <c r="I17" i="97"/>
  <c r="J17" i="97" s="1"/>
  <c r="I16" i="32"/>
  <c r="J16" i="32" s="1"/>
  <c r="K39" i="185"/>
  <c r="L39" i="185"/>
  <c r="I15" i="32"/>
  <c r="J15" i="32" s="1"/>
  <c r="M39" i="185"/>
  <c r="L37" i="185"/>
  <c r="I16" i="151"/>
  <c r="J16" i="151" s="1"/>
  <c r="I16" i="91"/>
  <c r="J16" i="91" s="1"/>
  <c r="I22" i="156"/>
  <c r="J22" i="156" s="1"/>
  <c r="I17" i="80"/>
  <c r="J17" i="80" s="1"/>
  <c r="I47" i="103"/>
  <c r="J47" i="103" s="1"/>
  <c r="I14" i="32"/>
  <c r="J14" i="32" s="1"/>
  <c r="I16" i="97"/>
  <c r="J16" i="97" s="1"/>
  <c r="I17" i="32"/>
  <c r="J17" i="32" s="1"/>
  <c r="W44" i="126"/>
  <c r="Y44" i="126" s="1"/>
  <c r="L38" i="185"/>
  <c r="I48" i="80"/>
  <c r="J48" i="80" s="1"/>
  <c r="I16" i="96"/>
  <c r="J16" i="96" s="1"/>
  <c r="I49" i="80"/>
  <c r="J49" i="80" s="1"/>
  <c r="M37" i="185"/>
  <c r="J32" i="80"/>
  <c r="J32" i="42"/>
  <c r="J36" i="185"/>
  <c r="J41" i="185"/>
  <c r="K36" i="185"/>
  <c r="K41" i="185"/>
  <c r="N7" i="3"/>
  <c r="P7" i="3" s="1"/>
  <c r="L36" i="185"/>
  <c r="J38" i="185"/>
  <c r="L41" i="185"/>
  <c r="Q12" i="3"/>
  <c r="N12" i="3" s="1"/>
  <c r="P12" i="3" s="1"/>
  <c r="K38" i="185"/>
  <c r="I16" i="103"/>
  <c r="J16" i="103" s="1"/>
  <c r="I16" i="80"/>
  <c r="J16" i="80" s="1"/>
  <c r="J37" i="185"/>
  <c r="I17" i="151"/>
  <c r="J17" i="151" s="1"/>
  <c r="I17" i="103"/>
  <c r="J17" i="103" s="1"/>
  <c r="I48" i="103"/>
  <c r="J48" i="103" s="1"/>
  <c r="I22" i="146"/>
  <c r="J22" i="146" s="1"/>
  <c r="I13" i="32"/>
  <c r="J13" i="32" s="1"/>
  <c r="J32" i="32"/>
  <c r="J39" i="32"/>
  <c r="I17" i="96"/>
  <c r="J17" i="96" s="1"/>
  <c r="I17" i="91"/>
  <c r="J17" i="91" s="1"/>
  <c r="J18" i="42"/>
  <c r="J32" i="103"/>
  <c r="I22" i="114"/>
  <c r="J22" i="114" s="1"/>
  <c r="J32" i="114" s="1"/>
  <c r="G45" i="10" l="1"/>
  <c r="I45" i="10" s="1"/>
  <c r="J45" i="10" s="1"/>
  <c r="J48" i="10" s="1"/>
  <c r="G11" i="31"/>
  <c r="I11" i="31" s="1"/>
  <c r="J11" i="31" s="1"/>
  <c r="G12" i="9"/>
  <c r="I12" i="9" s="1"/>
  <c r="J12" i="9" s="1"/>
  <c r="G12" i="19"/>
  <c r="I12" i="19" s="1"/>
  <c r="J12" i="19" s="1"/>
  <c r="G12" i="17"/>
  <c r="I12" i="17" s="1"/>
  <c r="J12" i="17" s="1"/>
  <c r="C50" i="3"/>
  <c r="D50" i="3" s="1"/>
  <c r="E50" i="3" s="1"/>
  <c r="G11" i="6"/>
  <c r="I11" i="6" s="1"/>
  <c r="J11" i="6" s="1"/>
  <c r="G12" i="14"/>
  <c r="I12" i="14" s="1"/>
  <c r="J12" i="14" s="1"/>
  <c r="E30" i="122"/>
  <c r="H14" i="7"/>
  <c r="H15" i="7" s="1"/>
  <c r="H17" i="7" s="1"/>
  <c r="H18" i="7" s="1"/>
  <c r="I13" i="179"/>
  <c r="J13" i="179" s="1"/>
  <c r="I25" i="141"/>
  <c r="J25" i="141" s="1"/>
  <c r="G12" i="11"/>
  <c r="I12" i="11" s="1"/>
  <c r="J12" i="11" s="1"/>
  <c r="G12" i="15"/>
  <c r="I12" i="15" s="1"/>
  <c r="J12" i="15" s="1"/>
  <c r="F35" i="3"/>
  <c r="D9" i="185" s="1"/>
  <c r="J9" i="185" s="1"/>
  <c r="K9" i="185" s="1"/>
  <c r="L9" i="185" s="1"/>
  <c r="M9" i="185" s="1"/>
  <c r="C12" i="121"/>
  <c r="G12" i="12"/>
  <c r="I12" i="12" s="1"/>
  <c r="J12" i="12" s="1"/>
  <c r="I23" i="34"/>
  <c r="J23" i="34" s="1"/>
  <c r="G11" i="140"/>
  <c r="I11" i="140" s="1"/>
  <c r="J11" i="140" s="1"/>
  <c r="G12" i="20"/>
  <c r="I12" i="20" s="1"/>
  <c r="J12" i="20" s="1"/>
  <c r="G11" i="27"/>
  <c r="G12" i="25"/>
  <c r="I12" i="25" s="1"/>
  <c r="J12" i="25" s="1"/>
  <c r="G12" i="24"/>
  <c r="I12" i="24" s="1"/>
  <c r="J12" i="24" s="1"/>
  <c r="C13" i="3"/>
  <c r="C34" i="3"/>
  <c r="C14" i="3"/>
  <c r="S48" i="3"/>
  <c r="G11" i="13"/>
  <c r="I11" i="13" s="1"/>
  <c r="J11" i="13" s="1"/>
  <c r="G12" i="10"/>
  <c r="I12" i="10" s="1"/>
  <c r="J12" i="10" s="1"/>
  <c r="G12" i="21"/>
  <c r="I12" i="21" s="1"/>
  <c r="J12" i="21" s="1"/>
  <c r="J26" i="120"/>
  <c r="I36" i="138"/>
  <c r="J36" i="138" s="1"/>
  <c r="J39" i="138" s="1"/>
  <c r="I36" i="193"/>
  <c r="J36" i="193" s="1"/>
  <c r="J39" i="193" s="1"/>
  <c r="G11" i="38"/>
  <c r="I11" i="38" s="1"/>
  <c r="J11" i="38" s="1"/>
  <c r="I28" i="20"/>
  <c r="I27" i="12"/>
  <c r="J27" i="12" s="1"/>
  <c r="G11" i="51"/>
  <c r="I11" i="51" s="1"/>
  <c r="J11" i="51" s="1"/>
  <c r="I14" i="7"/>
  <c r="J14" i="7" s="1"/>
  <c r="G11" i="68"/>
  <c r="I11" i="68" s="1"/>
  <c r="J11" i="68" s="1"/>
  <c r="G11" i="130"/>
  <c r="I11" i="130" s="1"/>
  <c r="J11" i="130" s="1"/>
  <c r="G19" i="9"/>
  <c r="G18" i="19"/>
  <c r="I18" i="19" s="1"/>
  <c r="J18" i="19" s="1"/>
  <c r="J34" i="120"/>
  <c r="F16" i="8"/>
  <c r="G16" i="8"/>
  <c r="G11" i="37"/>
  <c r="I11" i="37" s="1"/>
  <c r="J11" i="37" s="1"/>
  <c r="G18" i="10"/>
  <c r="I18" i="10" s="1"/>
  <c r="J18" i="10" s="1"/>
  <c r="G16" i="27"/>
  <c r="G11" i="52"/>
  <c r="I11" i="52" s="1"/>
  <c r="J11" i="52" s="1"/>
  <c r="G11" i="18"/>
  <c r="I11" i="18" s="1"/>
  <c r="J11" i="18" s="1"/>
  <c r="C21" i="3"/>
  <c r="D21" i="3" s="1"/>
  <c r="E21" i="3" s="1"/>
  <c r="G18" i="17"/>
  <c r="G16" i="140"/>
  <c r="G18" i="14"/>
  <c r="C30" i="3"/>
  <c r="D24" i="3"/>
  <c r="E24" i="3" s="1"/>
  <c r="G18" i="15"/>
  <c r="H14" i="8"/>
  <c r="H15" i="8" s="1"/>
  <c r="I15" i="8" s="1"/>
  <c r="J15" i="8" s="1"/>
  <c r="I13" i="8"/>
  <c r="J13" i="8" s="1"/>
  <c r="I18" i="7"/>
  <c r="J18" i="7" s="1"/>
  <c r="G11" i="40"/>
  <c r="I11" i="40" s="1"/>
  <c r="J11" i="40" s="1"/>
  <c r="G11" i="50"/>
  <c r="I11" i="50" s="1"/>
  <c r="J11" i="50" s="1"/>
  <c r="G11" i="39"/>
  <c r="I11" i="39" s="1"/>
  <c r="J11" i="39" s="1"/>
  <c r="S24" i="3"/>
  <c r="G18" i="20"/>
  <c r="I39" i="141"/>
  <c r="J39" i="141" s="1"/>
  <c r="J42" i="141" s="1"/>
  <c r="J34" i="19"/>
  <c r="G12" i="18"/>
  <c r="I12" i="18" s="1"/>
  <c r="J12" i="18" s="1"/>
  <c r="I49" i="25"/>
  <c r="J49" i="25" s="1"/>
  <c r="J52" i="25" s="1"/>
  <c r="I30" i="21"/>
  <c r="J30" i="21" s="1"/>
  <c r="S38" i="3"/>
  <c r="I25" i="46"/>
  <c r="J25" i="46" s="1"/>
  <c r="I26" i="46" s="1"/>
  <c r="J26" i="46" s="1"/>
  <c r="J32" i="46" s="1"/>
  <c r="G13" i="148"/>
  <c r="I13" i="148" s="1"/>
  <c r="J13" i="148" s="1"/>
  <c r="G12" i="102"/>
  <c r="I12" i="102" s="1"/>
  <c r="J12" i="102" s="1"/>
  <c r="I42" i="31"/>
  <c r="J42" i="31" s="1"/>
  <c r="J45" i="31" s="1"/>
  <c r="S6" i="3"/>
  <c r="F38" i="3"/>
  <c r="D13" i="185" s="1"/>
  <c r="J13" i="185" s="1"/>
  <c r="K13" i="185" s="1"/>
  <c r="L13" i="185" s="1"/>
  <c r="M13" i="185" s="1"/>
  <c r="G14" i="26"/>
  <c r="I13" i="181"/>
  <c r="J13" i="181" s="1"/>
  <c r="E6" i="3"/>
  <c r="C39" i="3"/>
  <c r="D39" i="3" s="1"/>
  <c r="E39" i="3" s="1"/>
  <c r="E47" i="102" s="1"/>
  <c r="G47" i="102" s="1"/>
  <c r="I47" i="102" s="1"/>
  <c r="J47" i="102" s="1"/>
  <c r="G13" i="84"/>
  <c r="I13" i="84" s="1"/>
  <c r="J13" i="84" s="1"/>
  <c r="J33" i="120"/>
  <c r="F6" i="3"/>
  <c r="G13" i="150"/>
  <c r="I13" i="150" s="1"/>
  <c r="J13" i="150" s="1"/>
  <c r="E44" i="53"/>
  <c r="G44" i="53" s="1"/>
  <c r="I44" i="53" s="1"/>
  <c r="J44" i="53" s="1"/>
  <c r="G14" i="105"/>
  <c r="I14" i="105" s="1"/>
  <c r="J14" i="105" s="1"/>
  <c r="E44" i="152"/>
  <c r="G44" i="152" s="1"/>
  <c r="I44" i="152" s="1"/>
  <c r="J44" i="152" s="1"/>
  <c r="G13" i="86"/>
  <c r="I13" i="86" s="1"/>
  <c r="J13" i="86" s="1"/>
  <c r="I40" i="20"/>
  <c r="J40" i="20" s="1"/>
  <c r="G13" i="145"/>
  <c r="I13" i="145" s="1"/>
  <c r="J13" i="145" s="1"/>
  <c r="E44" i="43"/>
  <c r="G44" i="43" s="1"/>
  <c r="I44" i="43" s="1"/>
  <c r="J44" i="43" s="1"/>
  <c r="G13" i="83"/>
  <c r="I13" i="83" s="1"/>
  <c r="J13" i="83" s="1"/>
  <c r="E35" i="3"/>
  <c r="S35" i="3"/>
  <c r="I24" i="60"/>
  <c r="J24" i="60" s="1"/>
  <c r="I26" i="60" s="1"/>
  <c r="J26" i="60" s="1"/>
  <c r="J32" i="60" s="1"/>
  <c r="I14" i="142"/>
  <c r="J14" i="142" s="1"/>
  <c r="I30" i="11"/>
  <c r="J30" i="11" s="1"/>
  <c r="G12" i="8"/>
  <c r="I12" i="8" s="1"/>
  <c r="J12" i="8" s="1"/>
  <c r="E44" i="150"/>
  <c r="G44" i="150" s="1"/>
  <c r="I44" i="150" s="1"/>
  <c r="J44" i="150" s="1"/>
  <c r="G13" i="156"/>
  <c r="I13" i="156" s="1"/>
  <c r="J13" i="156" s="1"/>
  <c r="I29" i="20"/>
  <c r="J29" i="20" s="1"/>
  <c r="I13" i="142"/>
  <c r="J13" i="142" s="1"/>
  <c r="C23" i="3"/>
  <c r="I25" i="44"/>
  <c r="J25" i="44" s="1"/>
  <c r="I26" i="44" s="1"/>
  <c r="J26" i="44" s="1"/>
  <c r="J32" i="44" s="1"/>
  <c r="I29" i="203"/>
  <c r="J29" i="203" s="1"/>
  <c r="I27" i="140"/>
  <c r="J27" i="140" s="1"/>
  <c r="N40" i="12"/>
  <c r="G13" i="92"/>
  <c r="I13" i="92" s="1"/>
  <c r="J13" i="92" s="1"/>
  <c r="I25" i="17"/>
  <c r="J25" i="17" s="1"/>
  <c r="G13" i="88"/>
  <c r="I13" i="88" s="1"/>
  <c r="J13" i="88" s="1"/>
  <c r="G13" i="135"/>
  <c r="I13" i="135" s="1"/>
  <c r="J13" i="135" s="1"/>
  <c r="E44" i="99"/>
  <c r="G44" i="99" s="1"/>
  <c r="I44" i="99" s="1"/>
  <c r="J44" i="99" s="1"/>
  <c r="E44" i="70"/>
  <c r="G44" i="70" s="1"/>
  <c r="I44" i="70" s="1"/>
  <c r="J44" i="70" s="1"/>
  <c r="G13" i="82"/>
  <c r="I13" i="82" s="1"/>
  <c r="J13" i="82" s="1"/>
  <c r="G13" i="164"/>
  <c r="I13" i="164" s="1"/>
  <c r="J13" i="164" s="1"/>
  <c r="I25" i="70"/>
  <c r="J25" i="70" s="1"/>
  <c r="I26" i="70" s="1"/>
  <c r="J26" i="70" s="1"/>
  <c r="J32" i="70" s="1"/>
  <c r="I13" i="18"/>
  <c r="J13" i="18" s="1"/>
  <c r="I27" i="142"/>
  <c r="J27" i="142" s="1"/>
  <c r="E44" i="49"/>
  <c r="G44" i="49" s="1"/>
  <c r="I44" i="49" s="1"/>
  <c r="J44" i="49" s="1"/>
  <c r="G13" i="151"/>
  <c r="G13" i="154"/>
  <c r="I13" i="154" s="1"/>
  <c r="J13" i="154" s="1"/>
  <c r="G11" i="45"/>
  <c r="I11" i="45" s="1"/>
  <c r="J11" i="45" s="1"/>
  <c r="G17" i="198"/>
  <c r="I17" i="198" s="1"/>
  <c r="J17" i="198" s="1"/>
  <c r="C37" i="3"/>
  <c r="D37" i="3" s="1"/>
  <c r="E37" i="3" s="1"/>
  <c r="I25" i="197"/>
  <c r="J25" i="197" s="1"/>
  <c r="I25" i="13"/>
  <c r="J25" i="13" s="1"/>
  <c r="G13" i="137"/>
  <c r="I13" i="137" s="1"/>
  <c r="J13" i="137" s="1"/>
  <c r="E44" i="65"/>
  <c r="G44" i="65" s="1"/>
  <c r="I44" i="65" s="1"/>
  <c r="J44" i="65" s="1"/>
  <c r="E44" i="154"/>
  <c r="G44" i="154" s="1"/>
  <c r="I44" i="154" s="1"/>
  <c r="J44" i="154" s="1"/>
  <c r="I13" i="20"/>
  <c r="J13" i="20" s="1"/>
  <c r="I28" i="11"/>
  <c r="J28" i="11" s="1"/>
  <c r="D42" i="3"/>
  <c r="E42" i="3" s="1"/>
  <c r="F42" i="3"/>
  <c r="I36" i="20"/>
  <c r="J36" i="20" s="1"/>
  <c r="I34" i="14"/>
  <c r="J34" i="14" s="1"/>
  <c r="I38" i="9"/>
  <c r="J38" i="9" s="1"/>
  <c r="G11" i="56"/>
  <c r="I11" i="56" s="1"/>
  <c r="J11" i="56" s="1"/>
  <c r="I28" i="7"/>
  <c r="J28" i="7" s="1"/>
  <c r="G11" i="49"/>
  <c r="I11" i="49" s="1"/>
  <c r="J11" i="49" s="1"/>
  <c r="I22" i="144"/>
  <c r="J22" i="144" s="1"/>
  <c r="J32" i="144" s="1"/>
  <c r="I30" i="13"/>
  <c r="J30" i="13" s="1"/>
  <c r="I23" i="179"/>
  <c r="J23" i="179" s="1"/>
  <c r="J32" i="179" s="1"/>
  <c r="BA44" i="1"/>
  <c r="I28" i="198"/>
  <c r="J28" i="198" s="1"/>
  <c r="BA157" i="1"/>
  <c r="N41" i="15"/>
  <c r="I44" i="15"/>
  <c r="J44" i="15" s="1"/>
  <c r="J47" i="15" s="1"/>
  <c r="S42" i="3"/>
  <c r="I39" i="10"/>
  <c r="J39" i="10" s="1"/>
  <c r="I38" i="120"/>
  <c r="J38" i="120" s="1"/>
  <c r="I23" i="56"/>
  <c r="J23" i="56" s="1"/>
  <c r="I26" i="56" s="1"/>
  <c r="J26" i="56" s="1"/>
  <c r="J32" i="56" s="1"/>
  <c r="I24" i="59"/>
  <c r="J24" i="59" s="1"/>
  <c r="I25" i="45"/>
  <c r="J25" i="45" s="1"/>
  <c r="I25" i="66"/>
  <c r="J25" i="66" s="1"/>
  <c r="I26" i="66" s="1"/>
  <c r="J26" i="66" s="1"/>
  <c r="J32" i="66" s="1"/>
  <c r="I28" i="202"/>
  <c r="J28" i="202" s="1"/>
  <c r="G11" i="57"/>
  <c r="I11" i="57" s="1"/>
  <c r="J11" i="57" s="1"/>
  <c r="G11" i="47"/>
  <c r="I11" i="47" s="1"/>
  <c r="J11" i="47" s="1"/>
  <c r="I36" i="122"/>
  <c r="I29" i="24"/>
  <c r="J29" i="24" s="1"/>
  <c r="BA102" i="1"/>
  <c r="I22" i="76"/>
  <c r="J22" i="76" s="1"/>
  <c r="I26" i="76" s="1"/>
  <c r="J26" i="76" s="1"/>
  <c r="J32" i="76" s="1"/>
  <c r="K32" i="76" s="1"/>
  <c r="AR9" i="1"/>
  <c r="BA9" i="1"/>
  <c r="I30" i="10"/>
  <c r="J30" i="10" s="1"/>
  <c r="I29" i="7"/>
  <c r="J29" i="7" s="1"/>
  <c r="I23" i="54"/>
  <c r="J23" i="54" s="1"/>
  <c r="I26" i="54" s="1"/>
  <c r="J26" i="54" s="1"/>
  <c r="J32" i="54" s="1"/>
  <c r="I23" i="61"/>
  <c r="J23" i="61" s="1"/>
  <c r="I24" i="50"/>
  <c r="J24" i="50" s="1"/>
  <c r="I26" i="50" s="1"/>
  <c r="J26" i="50" s="1"/>
  <c r="J32" i="50" s="1"/>
  <c r="I38" i="24"/>
  <c r="J38" i="24" s="1"/>
  <c r="I23" i="130"/>
  <c r="J23" i="130" s="1"/>
  <c r="I26" i="130" s="1"/>
  <c r="J26" i="130" s="1"/>
  <c r="J32" i="130" s="1"/>
  <c r="I28" i="203"/>
  <c r="J28" i="203" s="1"/>
  <c r="I26" i="202"/>
  <c r="J26" i="202" s="1"/>
  <c r="I30" i="202"/>
  <c r="J30" i="202" s="1"/>
  <c r="C28" i="3"/>
  <c r="S28" i="3"/>
  <c r="G11" i="48"/>
  <c r="I11" i="48" s="1"/>
  <c r="J11" i="48" s="1"/>
  <c r="C4" i="3"/>
  <c r="I25" i="102"/>
  <c r="J25" i="102" s="1"/>
  <c r="BA53" i="1"/>
  <c r="I30" i="8"/>
  <c r="J30" i="8" s="1"/>
  <c r="I38" i="21"/>
  <c r="J38" i="21" s="1"/>
  <c r="I24" i="51"/>
  <c r="J24" i="51" s="1"/>
  <c r="I26" i="51" s="1"/>
  <c r="J26" i="51" s="1"/>
  <c r="J32" i="51" s="1"/>
  <c r="I23" i="57"/>
  <c r="J23" i="57" s="1"/>
  <c r="I26" i="57" s="1"/>
  <c r="J26" i="57" s="1"/>
  <c r="J32" i="57" s="1"/>
  <c r="I25" i="65"/>
  <c r="J25" i="65" s="1"/>
  <c r="I26" i="65" s="1"/>
  <c r="J26" i="65" s="1"/>
  <c r="J32" i="65" s="1"/>
  <c r="K32" i="65" s="1"/>
  <c r="L32" i="65" s="1"/>
  <c r="I25" i="63"/>
  <c r="J25" i="63" s="1"/>
  <c r="I26" i="63" s="1"/>
  <c r="J26" i="63" s="1"/>
  <c r="J32" i="63" s="1"/>
  <c r="I39" i="203"/>
  <c r="J39" i="203" s="1"/>
  <c r="I26" i="203"/>
  <c r="J26" i="203" s="1"/>
  <c r="N41" i="19"/>
  <c r="N41" i="18"/>
  <c r="I22" i="145"/>
  <c r="J22" i="145" s="1"/>
  <c r="J32" i="145" s="1"/>
  <c r="BA133" i="1"/>
  <c r="G19" i="203"/>
  <c r="I19" i="203" s="1"/>
  <c r="J19" i="203" s="1"/>
  <c r="G19" i="202"/>
  <c r="I19" i="202" s="1"/>
  <c r="J19" i="202" s="1"/>
  <c r="G17" i="13"/>
  <c r="I22" i="95"/>
  <c r="J22" i="95" s="1"/>
  <c r="J32" i="95" s="1"/>
  <c r="BA12" i="1"/>
  <c r="AR12" i="1"/>
  <c r="K36" i="122"/>
  <c r="I23" i="99"/>
  <c r="J23" i="99" s="1"/>
  <c r="J25" i="99" s="1"/>
  <c r="J32" i="99" s="1"/>
  <c r="BA87" i="1"/>
  <c r="BA24" i="1"/>
  <c r="AR24" i="1"/>
  <c r="N40" i="120"/>
  <c r="I39" i="18"/>
  <c r="J39" i="18" s="1"/>
  <c r="I38" i="14"/>
  <c r="J38" i="14" s="1"/>
  <c r="I23" i="55"/>
  <c r="J23" i="55" s="1"/>
  <c r="I26" i="55" s="1"/>
  <c r="J26" i="55" s="1"/>
  <c r="J32" i="55" s="1"/>
  <c r="I24" i="53"/>
  <c r="J24" i="53" s="1"/>
  <c r="I26" i="53" s="1"/>
  <c r="J26" i="53" s="1"/>
  <c r="J32" i="53" s="1"/>
  <c r="I45" i="26"/>
  <c r="J45" i="26" s="1"/>
  <c r="I23" i="132"/>
  <c r="J23" i="132" s="1"/>
  <c r="I26" i="132" s="1"/>
  <c r="J26" i="132" s="1"/>
  <c r="J31" i="132" s="1"/>
  <c r="I25" i="71"/>
  <c r="J25" i="71" s="1"/>
  <c r="I26" i="71" s="1"/>
  <c r="J26" i="71" s="1"/>
  <c r="J32" i="71" s="1"/>
  <c r="I39" i="202"/>
  <c r="J39" i="202" s="1"/>
  <c r="I29" i="202"/>
  <c r="J29" i="202" s="1"/>
  <c r="I35" i="18"/>
  <c r="J35" i="18" s="1"/>
  <c r="I22" i="91"/>
  <c r="J22" i="91" s="1"/>
  <c r="J32" i="91" s="1"/>
  <c r="AR36" i="1"/>
  <c r="BA36" i="1"/>
  <c r="I38" i="15"/>
  <c r="J38" i="15" s="1"/>
  <c r="I38" i="17"/>
  <c r="J38" i="17" s="1"/>
  <c r="I24" i="52"/>
  <c r="J24" i="52" s="1"/>
  <c r="I26" i="52" s="1"/>
  <c r="J26" i="52" s="1"/>
  <c r="J32" i="52" s="1"/>
  <c r="I24" i="58"/>
  <c r="J24" i="58" s="1"/>
  <c r="I26" i="58" s="1"/>
  <c r="J26" i="58" s="1"/>
  <c r="J32" i="58" s="1"/>
  <c r="I25" i="69"/>
  <c r="J25" i="69" s="1"/>
  <c r="I26" i="69" s="1"/>
  <c r="J26" i="69" s="1"/>
  <c r="J32" i="69" s="1"/>
  <c r="I24" i="67"/>
  <c r="J24" i="67" s="1"/>
  <c r="I25" i="67" s="1"/>
  <c r="J25" i="67" s="1"/>
  <c r="J31" i="67" s="1"/>
  <c r="I35" i="203"/>
  <c r="J35" i="203" s="1"/>
  <c r="I22" i="154"/>
  <c r="J22" i="154" s="1"/>
  <c r="J32" i="154" s="1"/>
  <c r="G13" i="202"/>
  <c r="I13" i="202" s="1"/>
  <c r="J13" i="202" s="1"/>
  <c r="G13" i="203"/>
  <c r="I13" i="203" s="1"/>
  <c r="J13" i="203" s="1"/>
  <c r="I32" i="25"/>
  <c r="J32" i="25" s="1"/>
  <c r="BA88" i="1"/>
  <c r="I38" i="26"/>
  <c r="J38" i="26" s="1"/>
  <c r="G11" i="61"/>
  <c r="I11" i="61" s="1"/>
  <c r="J11" i="61" s="1"/>
  <c r="G11" i="43"/>
  <c r="I11" i="43" s="1"/>
  <c r="J11" i="43" s="1"/>
  <c r="I34" i="24"/>
  <c r="J34" i="24" s="1"/>
  <c r="I13" i="131"/>
  <c r="J13" i="131" s="1"/>
  <c r="C9" i="3"/>
  <c r="D9" i="3" s="1"/>
  <c r="E9" i="3" s="1"/>
  <c r="I28" i="21"/>
  <c r="J28" i="21" s="1"/>
  <c r="BA8" i="1"/>
  <c r="AR8" i="1"/>
  <c r="I22" i="104"/>
  <c r="J22" i="104" s="1"/>
  <c r="BA80" i="1"/>
  <c r="I27" i="21"/>
  <c r="J27" i="21" s="1"/>
  <c r="N29" i="26"/>
  <c r="H37" i="26"/>
  <c r="N37" i="26" s="1"/>
  <c r="N47" i="26" s="1"/>
  <c r="I39" i="11"/>
  <c r="J39" i="11" s="1"/>
  <c r="I39" i="12"/>
  <c r="J39" i="12" s="1"/>
  <c r="I28" i="15"/>
  <c r="J28" i="15" s="1"/>
  <c r="I24" i="49"/>
  <c r="J24" i="49" s="1"/>
  <c r="I26" i="49" s="1"/>
  <c r="J26" i="49" s="1"/>
  <c r="J32" i="49" s="1"/>
  <c r="I22" i="131"/>
  <c r="J22" i="131" s="1"/>
  <c r="I26" i="131" s="1"/>
  <c r="J26" i="131" s="1"/>
  <c r="J31" i="131" s="1"/>
  <c r="I25" i="68"/>
  <c r="J25" i="68" s="1"/>
  <c r="I26" i="68" s="1"/>
  <c r="J26" i="68" s="1"/>
  <c r="J32" i="68" s="1"/>
  <c r="I31" i="203"/>
  <c r="J31" i="203" s="1"/>
  <c r="I29" i="11"/>
  <c r="J29" i="11" s="1"/>
  <c r="N40" i="17"/>
  <c r="N48" i="9"/>
  <c r="I22" i="187"/>
  <c r="J22" i="187" s="1"/>
  <c r="I28" i="187" s="1"/>
  <c r="J28" i="187" s="1"/>
  <c r="J32" i="187" s="1"/>
  <c r="BA46" i="1"/>
  <c r="G11" i="53"/>
  <c r="I11" i="53" s="1"/>
  <c r="J11" i="53" s="1"/>
  <c r="G11" i="54"/>
  <c r="I11" i="54" s="1"/>
  <c r="J11" i="54" s="1"/>
  <c r="G11" i="55"/>
  <c r="I11" i="55" s="1"/>
  <c r="J11" i="55" s="1"/>
  <c r="M36" i="122"/>
  <c r="K33" i="185"/>
  <c r="I24" i="102"/>
  <c r="J24" i="102" s="1"/>
  <c r="BA58" i="1"/>
  <c r="I23" i="104"/>
  <c r="J23" i="104" s="1"/>
  <c r="BA54" i="1"/>
  <c r="G18" i="203"/>
  <c r="I18" i="203" s="1"/>
  <c r="J18" i="203" s="1"/>
  <c r="G18" i="202"/>
  <c r="I18" i="202" s="1"/>
  <c r="J18" i="202" s="1"/>
  <c r="G16" i="13"/>
  <c r="I26" i="11"/>
  <c r="J26" i="11" s="1"/>
  <c r="I39" i="19"/>
  <c r="J39" i="19" s="1"/>
  <c r="I43" i="25"/>
  <c r="J43" i="25" s="1"/>
  <c r="I24" i="48"/>
  <c r="J24" i="48" s="1"/>
  <c r="I26" i="48" s="1"/>
  <c r="J26" i="48" s="1"/>
  <c r="J32" i="48" s="1"/>
  <c r="I25" i="47"/>
  <c r="J25" i="47" s="1"/>
  <c r="I24" i="62"/>
  <c r="J24" i="62" s="1"/>
  <c r="I26" i="62" s="1"/>
  <c r="J26" i="62" s="1"/>
  <c r="J32" i="62" s="1"/>
  <c r="I24" i="73"/>
  <c r="J24" i="73" s="1"/>
  <c r="I31" i="202"/>
  <c r="J31" i="202" s="1"/>
  <c r="I30" i="203"/>
  <c r="J30" i="203" s="1"/>
  <c r="D10" i="121"/>
  <c r="E10" i="121"/>
  <c r="J30" i="27"/>
  <c r="J31" i="27"/>
  <c r="J27" i="27"/>
  <c r="I14" i="27"/>
  <c r="I11" i="27"/>
  <c r="I39" i="27"/>
  <c r="I12" i="27"/>
  <c r="I13" i="27"/>
  <c r="N40" i="21"/>
  <c r="G45" i="21" s="1"/>
  <c r="BA125" i="1"/>
  <c r="I27" i="203"/>
  <c r="J27" i="203" s="1"/>
  <c r="I26" i="14"/>
  <c r="J26" i="14" s="1"/>
  <c r="BA123" i="1"/>
  <c r="I32" i="31"/>
  <c r="J32" i="31" s="1"/>
  <c r="I35" i="202"/>
  <c r="J35" i="202" s="1"/>
  <c r="BA100" i="1"/>
  <c r="I35" i="11"/>
  <c r="J35" i="11" s="1"/>
  <c r="I31" i="198"/>
  <c r="J31" i="198" s="1"/>
  <c r="I33" i="202"/>
  <c r="J33" i="202" s="1"/>
  <c r="BA67" i="1"/>
  <c r="I33" i="11"/>
  <c r="J33" i="11" s="1"/>
  <c r="I27" i="25"/>
  <c r="J27" i="25" s="1"/>
  <c r="I27" i="202"/>
  <c r="J27" i="202" s="1"/>
  <c r="BA62" i="1"/>
  <c r="I29" i="26"/>
  <c r="J29" i="26" s="1"/>
  <c r="J27" i="31"/>
  <c r="I36" i="46"/>
  <c r="J36" i="46" s="1"/>
  <c r="J39" i="46" s="1"/>
  <c r="I35" i="67"/>
  <c r="J35" i="67" s="1"/>
  <c r="J38" i="67" s="1"/>
  <c r="I36" i="50"/>
  <c r="J36" i="50" s="1"/>
  <c r="J39" i="50" s="1"/>
  <c r="I36" i="71"/>
  <c r="J36" i="71" s="1"/>
  <c r="J39" i="71" s="1"/>
  <c r="I36" i="69"/>
  <c r="J36" i="69" s="1"/>
  <c r="J39" i="69" s="1"/>
  <c r="I36" i="54"/>
  <c r="J36" i="54" s="1"/>
  <c r="J39" i="54" s="1"/>
  <c r="I36" i="108"/>
  <c r="J36" i="108" s="1"/>
  <c r="J39" i="108" s="1"/>
  <c r="I36" i="53"/>
  <c r="J36" i="53" s="1"/>
  <c r="J39" i="53" s="1"/>
  <c r="I36" i="47"/>
  <c r="J36" i="47" s="1"/>
  <c r="J39" i="47" s="1"/>
  <c r="I36" i="52"/>
  <c r="J36" i="52" s="1"/>
  <c r="J39" i="52" s="1"/>
  <c r="I36" i="68"/>
  <c r="J36" i="68" s="1"/>
  <c r="J39" i="68" s="1"/>
  <c r="I36" i="55"/>
  <c r="J36" i="55" s="1"/>
  <c r="J39" i="55" s="1"/>
  <c r="I35" i="132"/>
  <c r="J35" i="132" s="1"/>
  <c r="J38" i="132" s="1"/>
  <c r="I36" i="51"/>
  <c r="J36" i="51" s="1"/>
  <c r="J39" i="51" s="1"/>
  <c r="I36" i="48"/>
  <c r="J36" i="48" s="1"/>
  <c r="J39" i="48" s="1"/>
  <c r="I36" i="70"/>
  <c r="J36" i="70" s="1"/>
  <c r="J39" i="70" s="1"/>
  <c r="I35" i="131"/>
  <c r="J35" i="131" s="1"/>
  <c r="J38" i="131" s="1"/>
  <c r="I36" i="49"/>
  <c r="J36" i="49" s="1"/>
  <c r="J39" i="49" s="1"/>
  <c r="I35" i="73"/>
  <c r="J35" i="73" s="1"/>
  <c r="J38" i="73" s="1"/>
  <c r="I36" i="130"/>
  <c r="J36" i="130" s="1"/>
  <c r="J39" i="130" s="1"/>
  <c r="I13" i="14"/>
  <c r="J13" i="14" s="1"/>
  <c r="I36" i="56"/>
  <c r="J36" i="56" s="1"/>
  <c r="J39" i="56" s="1"/>
  <c r="I36" i="57"/>
  <c r="J36" i="57" s="1"/>
  <c r="J39" i="57" s="1"/>
  <c r="I36" i="58"/>
  <c r="J36" i="58" s="1"/>
  <c r="J39" i="58" s="1"/>
  <c r="I36" i="59"/>
  <c r="J36" i="59" s="1"/>
  <c r="J39" i="59" s="1"/>
  <c r="I36" i="60"/>
  <c r="J36" i="60" s="1"/>
  <c r="J39" i="60" s="1"/>
  <c r="I36" i="61"/>
  <c r="J36" i="61" s="1"/>
  <c r="J39" i="61" s="1"/>
  <c r="I36" i="62"/>
  <c r="J36" i="62" s="1"/>
  <c r="J39" i="62" s="1"/>
  <c r="I36" i="63"/>
  <c r="J36" i="63" s="1"/>
  <c r="J39" i="63" s="1"/>
  <c r="I36" i="64"/>
  <c r="J36" i="64" s="1"/>
  <c r="J39" i="64" s="1"/>
  <c r="M35" i="65"/>
  <c r="I36" i="65"/>
  <c r="J36" i="65" s="1"/>
  <c r="J39" i="65" s="1"/>
  <c r="J36" i="92"/>
  <c r="J39" i="92" s="1"/>
  <c r="I36" i="197"/>
  <c r="J36" i="197" s="1"/>
  <c r="J39" i="197" s="1"/>
  <c r="I13" i="17"/>
  <c r="J13" i="17" s="1"/>
  <c r="I31" i="9"/>
  <c r="J31" i="9" s="1"/>
  <c r="I28" i="10"/>
  <c r="BA105" i="1"/>
  <c r="Z49" i="126"/>
  <c r="Y14" i="126" s="1"/>
  <c r="Z21" i="126" s="1"/>
  <c r="Z51" i="126" s="1"/>
  <c r="Y54" i="126" s="1"/>
  <c r="I18" i="25"/>
  <c r="J18" i="25" s="1"/>
  <c r="I15" i="142"/>
  <c r="J15" i="142" s="1"/>
  <c r="T11" i="185"/>
  <c r="I32" i="17"/>
  <c r="J32" i="17" s="1"/>
  <c r="I14" i="15"/>
  <c r="J14" i="15" s="1"/>
  <c r="J32" i="140"/>
  <c r="I30" i="122"/>
  <c r="I14" i="14"/>
  <c r="J14" i="14" s="1"/>
  <c r="E16" i="3"/>
  <c r="E44" i="176"/>
  <c r="G44" i="176" s="1"/>
  <c r="I44" i="176" s="1"/>
  <c r="J44" i="176" s="1"/>
  <c r="S49" i="3"/>
  <c r="C49" i="3"/>
  <c r="I36" i="26"/>
  <c r="J36" i="26" s="1"/>
  <c r="I32" i="21"/>
  <c r="J32" i="21" s="1"/>
  <c r="I34" i="25"/>
  <c r="J34" i="25" s="1"/>
  <c r="F16" i="3"/>
  <c r="D6" i="185" s="1"/>
  <c r="J6" i="185" s="1"/>
  <c r="K6" i="185" s="1"/>
  <c r="L6" i="185" s="1"/>
  <c r="M6" i="185" s="1"/>
  <c r="T10" i="185"/>
  <c r="J49" i="42"/>
  <c r="I51" i="42" s="1"/>
  <c r="I14" i="20"/>
  <c r="J14" i="20" s="1"/>
  <c r="I32" i="15"/>
  <c r="J32" i="15" s="1"/>
  <c r="T8" i="185"/>
  <c r="I39" i="140"/>
  <c r="J39" i="140" s="1"/>
  <c r="J42" i="140" s="1"/>
  <c r="J32" i="142"/>
  <c r="C30" i="122"/>
  <c r="K30" i="122"/>
  <c r="E44" i="181"/>
  <c r="G44" i="181" s="1"/>
  <c r="I44" i="181" s="1"/>
  <c r="J44" i="181" s="1"/>
  <c r="S16" i="3"/>
  <c r="J35" i="20"/>
  <c r="I31" i="31"/>
  <c r="J31" i="31" s="1"/>
  <c r="I37" i="9"/>
  <c r="J37" i="9" s="1"/>
  <c r="I33" i="10"/>
  <c r="J33" i="10" s="1"/>
  <c r="I32" i="120"/>
  <c r="J32" i="120" s="1"/>
  <c r="C36" i="122"/>
  <c r="I14" i="158"/>
  <c r="J14" i="158" s="1"/>
  <c r="S46" i="3"/>
  <c r="C46" i="3"/>
  <c r="H36" i="107"/>
  <c r="H36" i="154"/>
  <c r="I36" i="154" s="1"/>
  <c r="J36" i="154" s="1"/>
  <c r="J39" i="154" s="1"/>
  <c r="H36" i="177"/>
  <c r="I36" i="177" s="1"/>
  <c r="J36" i="177" s="1"/>
  <c r="J39" i="177" s="1"/>
  <c r="H36" i="160"/>
  <c r="I36" i="160" s="1"/>
  <c r="J36" i="160" s="1"/>
  <c r="J39" i="160" s="1"/>
  <c r="H36" i="175"/>
  <c r="I36" i="175" s="1"/>
  <c r="J36" i="175" s="1"/>
  <c r="J39" i="175" s="1"/>
  <c r="H35" i="194"/>
  <c r="I35" i="194" s="1"/>
  <c r="J35" i="194" s="1"/>
  <c r="J38" i="194" s="1"/>
  <c r="I30" i="20"/>
  <c r="J30" i="20" s="1"/>
  <c r="I27" i="120"/>
  <c r="J27" i="120" s="1"/>
  <c r="I27" i="15"/>
  <c r="J27" i="15" s="1"/>
  <c r="I29" i="12"/>
  <c r="J29" i="12" s="1"/>
  <c r="I30" i="15"/>
  <c r="J30" i="15" s="1"/>
  <c r="I27" i="14"/>
  <c r="J27" i="14" s="1"/>
  <c r="I31" i="19"/>
  <c r="J31" i="19" s="1"/>
  <c r="I28" i="13"/>
  <c r="J28" i="13" s="1"/>
  <c r="I34" i="9"/>
  <c r="J34" i="9" s="1"/>
  <c r="I24" i="8"/>
  <c r="J24" i="8" s="1"/>
  <c r="I30" i="120"/>
  <c r="J30" i="120" s="1"/>
  <c r="I28" i="120"/>
  <c r="J28" i="120" s="1"/>
  <c r="I33" i="19"/>
  <c r="J33" i="19" s="1"/>
  <c r="I27" i="6"/>
  <c r="J27" i="6" s="1"/>
  <c r="I30" i="24"/>
  <c r="J30" i="24" s="1"/>
  <c r="I31" i="12"/>
  <c r="J31" i="12" s="1"/>
  <c r="I24" i="7"/>
  <c r="J24" i="7" s="1"/>
  <c r="I31" i="13"/>
  <c r="J31" i="13" s="1"/>
  <c r="I25" i="8"/>
  <c r="J25" i="8" s="1"/>
  <c r="I34" i="20"/>
  <c r="J34" i="20" s="1"/>
  <c r="J32" i="100"/>
  <c r="I33" i="18"/>
  <c r="J33" i="18" s="1"/>
  <c r="I27" i="24"/>
  <c r="J27" i="24" s="1"/>
  <c r="I24" i="34"/>
  <c r="J24" i="34" s="1"/>
  <c r="J32" i="34" s="1"/>
  <c r="I23" i="7"/>
  <c r="J23" i="7" s="1"/>
  <c r="I30" i="14"/>
  <c r="J30" i="14" s="1"/>
  <c r="I27" i="17"/>
  <c r="J27" i="17" s="1"/>
  <c r="I31" i="18"/>
  <c r="J31" i="18" s="1"/>
  <c r="I29" i="31"/>
  <c r="J29" i="31" s="1"/>
  <c r="I34" i="26"/>
  <c r="J34" i="26" s="1"/>
  <c r="I29" i="19"/>
  <c r="J29" i="19" s="1"/>
  <c r="I28" i="17"/>
  <c r="J28" i="17" s="1"/>
  <c r="I30" i="17"/>
  <c r="J30" i="17" s="1"/>
  <c r="I32" i="14"/>
  <c r="J32" i="14" s="1"/>
  <c r="I33" i="12"/>
  <c r="J33" i="12" s="1"/>
  <c r="I28" i="12"/>
  <c r="J28" i="12" s="1"/>
  <c r="I28" i="19"/>
  <c r="J28" i="19" s="1"/>
  <c r="I31" i="10"/>
  <c r="J31" i="10" s="1"/>
  <c r="I32" i="20"/>
  <c r="J32" i="20" s="1"/>
  <c r="I29" i="18"/>
  <c r="J29" i="18" s="1"/>
  <c r="I28" i="14"/>
  <c r="J28" i="14" s="1"/>
  <c r="I29" i="8"/>
  <c r="J29" i="8" s="1"/>
  <c r="J32" i="175"/>
  <c r="I29" i="142"/>
  <c r="J29" i="142" s="1"/>
  <c r="I22" i="137"/>
  <c r="J22" i="137" s="1"/>
  <c r="I28" i="137" s="1"/>
  <c r="J28" i="137" s="1"/>
  <c r="J32" i="137" s="1"/>
  <c r="I27" i="20"/>
  <c r="J27" i="20" s="1"/>
  <c r="I36" i="25"/>
  <c r="J36" i="25" s="1"/>
  <c r="J26" i="17"/>
  <c r="J28" i="20"/>
  <c r="I25" i="140"/>
  <c r="J25" i="140" s="1"/>
  <c r="I29" i="14"/>
  <c r="J29" i="14" s="1"/>
  <c r="I29" i="140"/>
  <c r="J29" i="140" s="1"/>
  <c r="I30" i="12"/>
  <c r="J30" i="12" s="1"/>
  <c r="I25" i="15"/>
  <c r="J25" i="15" s="1"/>
  <c r="I26" i="25"/>
  <c r="J26" i="25" s="1"/>
  <c r="I26" i="31"/>
  <c r="J26" i="31" s="1"/>
  <c r="J33" i="17"/>
  <c r="I33" i="9"/>
  <c r="J33" i="9" s="1"/>
  <c r="I34" i="21"/>
  <c r="J34" i="21" s="1"/>
  <c r="I25" i="142"/>
  <c r="J25" i="142" s="1"/>
  <c r="J34" i="31"/>
  <c r="I29" i="17"/>
  <c r="J29" i="17" s="1"/>
  <c r="I31" i="20"/>
  <c r="J31" i="20" s="1"/>
  <c r="I34" i="17"/>
  <c r="J34" i="17" s="1"/>
  <c r="I29" i="141"/>
  <c r="J29" i="141" s="1"/>
  <c r="I23" i="176"/>
  <c r="J23" i="176" s="1"/>
  <c r="J32" i="176" s="1"/>
  <c r="K32" i="176" s="1"/>
  <c r="I26" i="6"/>
  <c r="J26" i="6" s="1"/>
  <c r="I29" i="15"/>
  <c r="J29" i="15" s="1"/>
  <c r="I29" i="21"/>
  <c r="J29" i="21" s="1"/>
  <c r="J26" i="24"/>
  <c r="I24" i="6"/>
  <c r="J24" i="6" s="1"/>
  <c r="I29" i="6"/>
  <c r="J29" i="6" s="1"/>
  <c r="I23" i="177"/>
  <c r="J23" i="177" s="1"/>
  <c r="J32" i="177" s="1"/>
  <c r="I44" i="24"/>
  <c r="J44" i="24" s="1"/>
  <c r="J47" i="24" s="1"/>
  <c r="J27" i="18"/>
  <c r="I25" i="21"/>
  <c r="J25" i="21" s="1"/>
  <c r="I28" i="31"/>
  <c r="J28" i="31" s="1"/>
  <c r="I35" i="10"/>
  <c r="J35" i="10" s="1"/>
  <c r="I30" i="26"/>
  <c r="J30" i="26" s="1"/>
  <c r="I35" i="19"/>
  <c r="J35" i="19" s="1"/>
  <c r="I26" i="12"/>
  <c r="J26" i="12" s="1"/>
  <c r="I35" i="12"/>
  <c r="J35" i="12" s="1"/>
  <c r="I23" i="178"/>
  <c r="J23" i="178" s="1"/>
  <c r="J32" i="178" s="1"/>
  <c r="K32" i="178" s="1"/>
  <c r="L32" i="178" s="1"/>
  <c r="I29" i="9"/>
  <c r="J29" i="9" s="1"/>
  <c r="I28" i="26"/>
  <c r="J28" i="26" s="1"/>
  <c r="I34" i="15"/>
  <c r="J34" i="15" s="1"/>
  <c r="I31" i="25"/>
  <c r="J31" i="25" s="1"/>
  <c r="I33" i="26"/>
  <c r="J33" i="26" s="1"/>
  <c r="I22" i="186"/>
  <c r="J22" i="186" s="1"/>
  <c r="I28" i="186" s="1"/>
  <c r="J28" i="186" s="1"/>
  <c r="J32" i="186" s="1"/>
  <c r="I30" i="19"/>
  <c r="J30" i="19" s="1"/>
  <c r="I27" i="141"/>
  <c r="J27" i="141" s="1"/>
  <c r="I23" i="181"/>
  <c r="J23" i="181" s="1"/>
  <c r="J32" i="181" s="1"/>
  <c r="I23" i="160"/>
  <c r="J23" i="160" s="1"/>
  <c r="J32" i="160" s="1"/>
  <c r="I29" i="120"/>
  <c r="J29" i="120" s="1"/>
  <c r="I23" i="180"/>
  <c r="J23" i="180" s="1"/>
  <c r="J32" i="180" s="1"/>
  <c r="J31" i="77"/>
  <c r="K31" i="77" s="1"/>
  <c r="L31" i="77" s="1"/>
  <c r="J32" i="105"/>
  <c r="I26" i="47"/>
  <c r="J26" i="47" s="1"/>
  <c r="J32" i="47" s="1"/>
  <c r="J32" i="84"/>
  <c r="J32" i="110"/>
  <c r="I26" i="196"/>
  <c r="J26" i="196" s="1"/>
  <c r="J31" i="196" s="1"/>
  <c r="J31" i="194"/>
  <c r="I25" i="39"/>
  <c r="J25" i="39" s="1"/>
  <c r="J32" i="39" s="1"/>
  <c r="I26" i="18"/>
  <c r="J26" i="18" s="1"/>
  <c r="I40" i="9"/>
  <c r="J40" i="9" s="1"/>
  <c r="I25" i="14"/>
  <c r="J25" i="14" s="1"/>
  <c r="I26" i="19"/>
  <c r="J26" i="19" s="1"/>
  <c r="I25" i="24"/>
  <c r="J25" i="24" s="1"/>
  <c r="I26" i="10"/>
  <c r="J26" i="10" s="1"/>
  <c r="I25" i="120"/>
  <c r="J25" i="120" s="1"/>
  <c r="I26" i="45"/>
  <c r="J26" i="45" s="1"/>
  <c r="J32" i="45" s="1"/>
  <c r="I25" i="38"/>
  <c r="J25" i="38" s="1"/>
  <c r="J32" i="38" s="1"/>
  <c r="J32" i="19"/>
  <c r="I46" i="20"/>
  <c r="J46" i="20" s="1"/>
  <c r="J49" i="20" s="1"/>
  <c r="J32" i="79"/>
  <c r="J32" i="78"/>
  <c r="J32" i="90"/>
  <c r="I26" i="64"/>
  <c r="J26" i="64" s="1"/>
  <c r="J32" i="64" s="1"/>
  <c r="K32" i="64" s="1"/>
  <c r="L32" i="64" s="1"/>
  <c r="J32" i="86"/>
  <c r="J22" i="59"/>
  <c r="J32" i="98"/>
  <c r="J32" i="157"/>
  <c r="J32" i="89"/>
  <c r="I28" i="135"/>
  <c r="J28" i="135" s="1"/>
  <c r="J32" i="135" s="1"/>
  <c r="J32" i="152"/>
  <c r="J32" i="133"/>
  <c r="J32" i="134"/>
  <c r="J32" i="83"/>
  <c r="I45" i="21"/>
  <c r="J45" i="21" s="1"/>
  <c r="J48" i="21" s="1"/>
  <c r="J32" i="126"/>
  <c r="J32" i="82"/>
  <c r="J26" i="13"/>
  <c r="I25" i="37"/>
  <c r="J25" i="37" s="1"/>
  <c r="J32" i="37" s="1"/>
  <c r="J32" i="96"/>
  <c r="I25" i="41"/>
  <c r="J25" i="41" s="1"/>
  <c r="J32" i="41" s="1"/>
  <c r="I28" i="92"/>
  <c r="J28" i="92" s="1"/>
  <c r="J32" i="92" s="1"/>
  <c r="J32" i="156"/>
  <c r="I26" i="73"/>
  <c r="J26" i="73" s="1"/>
  <c r="J31" i="73" s="1"/>
  <c r="J32" i="97"/>
  <c r="J32" i="88"/>
  <c r="I26" i="197"/>
  <c r="J26" i="197" s="1"/>
  <c r="J32" i="197" s="1"/>
  <c r="I25" i="40"/>
  <c r="J25" i="40" s="1"/>
  <c r="J32" i="40" s="1"/>
  <c r="M43" i="185"/>
  <c r="H16" i="9"/>
  <c r="H63" i="9" s="1"/>
  <c r="S15" i="3"/>
  <c r="C15" i="3"/>
  <c r="I14" i="120"/>
  <c r="J14" i="120" s="1"/>
  <c r="I15" i="15"/>
  <c r="J15" i="15" s="1"/>
  <c r="I39" i="8"/>
  <c r="J39" i="8" s="1"/>
  <c r="J42" i="8" s="1"/>
  <c r="S26" i="3"/>
  <c r="C26" i="3"/>
  <c r="H44" i="151"/>
  <c r="H13" i="151"/>
  <c r="H14" i="151" s="1"/>
  <c r="H45" i="151" s="1"/>
  <c r="S36" i="3"/>
  <c r="C36" i="3"/>
  <c r="E21" i="122"/>
  <c r="G19" i="20"/>
  <c r="G17" i="140"/>
  <c r="G17" i="31"/>
  <c r="I17" i="31" s="1"/>
  <c r="J17" i="31" s="1"/>
  <c r="G19" i="24"/>
  <c r="G19" i="21"/>
  <c r="G19" i="19"/>
  <c r="G19" i="17"/>
  <c r="G20" i="9"/>
  <c r="G19" i="15"/>
  <c r="G11" i="105"/>
  <c r="I11" i="105" s="1"/>
  <c r="J11" i="105" s="1"/>
  <c r="G11" i="109"/>
  <c r="I11" i="109" s="1"/>
  <c r="J11" i="109" s="1"/>
  <c r="I15" i="9"/>
  <c r="J15" i="9" s="1"/>
  <c r="S41" i="3"/>
  <c r="C41" i="3"/>
  <c r="D34" i="3"/>
  <c r="E34" i="3" s="1"/>
  <c r="F34" i="3"/>
  <c r="D31" i="3"/>
  <c r="E31" i="3" s="1"/>
  <c r="F31" i="3"/>
  <c r="F11" i="3"/>
  <c r="D11" i="3"/>
  <c r="E11" i="3" s="1"/>
  <c r="S8" i="3"/>
  <c r="C8" i="3"/>
  <c r="I13" i="24"/>
  <c r="J13" i="24" s="1"/>
  <c r="S32" i="3"/>
  <c r="C32" i="3"/>
  <c r="S10" i="3"/>
  <c r="C10" i="3"/>
  <c r="M21" i="122"/>
  <c r="S22" i="122"/>
  <c r="S25" i="122" s="1"/>
  <c r="F18" i="26"/>
  <c r="G18" i="26"/>
  <c r="I15" i="18"/>
  <c r="J15" i="18" s="1"/>
  <c r="I15" i="120"/>
  <c r="J15" i="120" s="1"/>
  <c r="H50" i="13"/>
  <c r="H14" i="13"/>
  <c r="D18" i="3"/>
  <c r="E18" i="3" s="1"/>
  <c r="F18" i="3"/>
  <c r="C13" i="121"/>
  <c r="E8" i="121"/>
  <c r="D8" i="121"/>
  <c r="I21" i="122"/>
  <c r="S36" i="122"/>
  <c r="I13" i="13"/>
  <c r="J13" i="13" s="1"/>
  <c r="E12" i="121"/>
  <c r="D12" i="121"/>
  <c r="K22" i="122"/>
  <c r="K25" i="122" s="1"/>
  <c r="O34" i="122"/>
  <c r="O29" i="122"/>
  <c r="O16" i="122"/>
  <c r="O27" i="122"/>
  <c r="O28" i="122"/>
  <c r="O33" i="122"/>
  <c r="O32" i="122"/>
  <c r="F12" i="26"/>
  <c r="G12" i="26"/>
  <c r="I12" i="26" s="1"/>
  <c r="J12" i="26" s="1"/>
  <c r="F16" i="18"/>
  <c r="G16" i="18"/>
  <c r="J32" i="43"/>
  <c r="H48" i="140"/>
  <c r="J26" i="142"/>
  <c r="G11" i="26"/>
  <c r="I11" i="26" s="1"/>
  <c r="J11" i="26" s="1"/>
  <c r="F11" i="26"/>
  <c r="I17" i="142"/>
  <c r="J17" i="142" s="1"/>
  <c r="H49" i="142"/>
  <c r="H49" i="141"/>
  <c r="I17" i="141"/>
  <c r="J17" i="141" s="1"/>
  <c r="G19" i="26"/>
  <c r="F19" i="26"/>
  <c r="G14" i="18"/>
  <c r="I14" i="18" s="1"/>
  <c r="J14" i="18" s="1"/>
  <c r="F14" i="18"/>
  <c r="I23" i="138"/>
  <c r="J23" i="138" s="1"/>
  <c r="J32" i="138" s="1"/>
  <c r="I18" i="8"/>
  <c r="J18" i="8" s="1"/>
  <c r="F51" i="3"/>
  <c r="D51" i="3"/>
  <c r="E51" i="3" s="1"/>
  <c r="D40" i="3"/>
  <c r="E40" i="3" s="1"/>
  <c r="F40" i="3"/>
  <c r="F30" i="3"/>
  <c r="D30" i="3"/>
  <c r="E30" i="3" s="1"/>
  <c r="S17" i="3"/>
  <c r="C17" i="3"/>
  <c r="E36" i="122"/>
  <c r="D43" i="3"/>
  <c r="E43" i="3" s="1"/>
  <c r="F43" i="3"/>
  <c r="E44" i="39"/>
  <c r="G44" i="39" s="1"/>
  <c r="I44" i="39" s="1"/>
  <c r="J44" i="39" s="1"/>
  <c r="E44" i="40"/>
  <c r="G44" i="40" s="1"/>
  <c r="I44" i="40" s="1"/>
  <c r="J44" i="40" s="1"/>
  <c r="E44" i="41"/>
  <c r="G44" i="41" s="1"/>
  <c r="I44" i="41" s="1"/>
  <c r="J44" i="41" s="1"/>
  <c r="E44" i="44"/>
  <c r="G44" i="44" s="1"/>
  <c r="I44" i="44" s="1"/>
  <c r="J44" i="44" s="1"/>
  <c r="E44" i="61"/>
  <c r="G44" i="61" s="1"/>
  <c r="I44" i="61" s="1"/>
  <c r="J44" i="61" s="1"/>
  <c r="E44" i="64"/>
  <c r="G44" i="64" s="1"/>
  <c r="I44" i="64" s="1"/>
  <c r="J44" i="64" s="1"/>
  <c r="E44" i="69"/>
  <c r="G44" i="69" s="1"/>
  <c r="I44" i="69" s="1"/>
  <c r="J44" i="69" s="1"/>
  <c r="E44" i="133"/>
  <c r="G44" i="133" s="1"/>
  <c r="I44" i="133" s="1"/>
  <c r="J44" i="133" s="1"/>
  <c r="E44" i="78"/>
  <c r="G44" i="78" s="1"/>
  <c r="I44" i="78" s="1"/>
  <c r="J44" i="78" s="1"/>
  <c r="E44" i="82"/>
  <c r="G44" i="82" s="1"/>
  <c r="I44" i="82" s="1"/>
  <c r="J44" i="82" s="1"/>
  <c r="E44" i="88"/>
  <c r="G44" i="88" s="1"/>
  <c r="I44" i="88" s="1"/>
  <c r="J44" i="88" s="1"/>
  <c r="E44" i="147"/>
  <c r="G44" i="147" s="1"/>
  <c r="I44" i="147" s="1"/>
  <c r="J44" i="147" s="1"/>
  <c r="E44" i="95"/>
  <c r="G44" i="95" s="1"/>
  <c r="I44" i="95" s="1"/>
  <c r="J44" i="95" s="1"/>
  <c r="E44" i="97"/>
  <c r="G44" i="97" s="1"/>
  <c r="I44" i="97" s="1"/>
  <c r="J44" i="97" s="1"/>
  <c r="E44" i="98"/>
  <c r="G44" i="98" s="1"/>
  <c r="I44" i="98" s="1"/>
  <c r="J44" i="98" s="1"/>
  <c r="E44" i="111"/>
  <c r="G44" i="111" s="1"/>
  <c r="I44" i="111" s="1"/>
  <c r="J44" i="111" s="1"/>
  <c r="E44" i="180"/>
  <c r="G44" i="180" s="1"/>
  <c r="I44" i="180" s="1"/>
  <c r="J44" i="180" s="1"/>
  <c r="E44" i="79"/>
  <c r="G44" i="79" s="1"/>
  <c r="I44" i="79" s="1"/>
  <c r="J44" i="79" s="1"/>
  <c r="E44" i="145"/>
  <c r="G44" i="145" s="1"/>
  <c r="I44" i="145" s="1"/>
  <c r="J44" i="145" s="1"/>
  <c r="E44" i="156"/>
  <c r="G44" i="156" s="1"/>
  <c r="I44" i="156" s="1"/>
  <c r="J44" i="156" s="1"/>
  <c r="E44" i="91"/>
  <c r="G44" i="91" s="1"/>
  <c r="I44" i="91" s="1"/>
  <c r="J44" i="91" s="1"/>
  <c r="E44" i="178"/>
  <c r="G44" i="178" s="1"/>
  <c r="I44" i="178" s="1"/>
  <c r="J44" i="178" s="1"/>
  <c r="E44" i="187"/>
  <c r="G44" i="187" s="1"/>
  <c r="I44" i="187" s="1"/>
  <c r="J44" i="187" s="1"/>
  <c r="S3" i="3"/>
  <c r="C3" i="3"/>
  <c r="C21" i="122"/>
  <c r="E44" i="177"/>
  <c r="G44" i="177" s="1"/>
  <c r="I44" i="177" s="1"/>
  <c r="J44" i="177" s="1"/>
  <c r="F45" i="3"/>
  <c r="D45" i="3"/>
  <c r="E45" i="3" s="1"/>
  <c r="S25" i="3"/>
  <c r="C25" i="3"/>
  <c r="I14" i="21"/>
  <c r="J14" i="21" s="1"/>
  <c r="J26" i="21"/>
  <c r="F21" i="3"/>
  <c r="S19" i="3"/>
  <c r="C19" i="3"/>
  <c r="D4" i="3"/>
  <c r="E4" i="3" s="1"/>
  <c r="F4" i="3"/>
  <c r="D22" i="3"/>
  <c r="E22" i="3" s="1"/>
  <c r="F22" i="3"/>
  <c r="F48" i="3"/>
  <c r="D48" i="3"/>
  <c r="E48" i="3" s="1"/>
  <c r="J32" i="148"/>
  <c r="H49" i="27"/>
  <c r="H16" i="27"/>
  <c r="H17" i="27" s="1"/>
  <c r="I17" i="27" s="1"/>
  <c r="G17" i="18"/>
  <c r="F17" i="18"/>
  <c r="J22" i="61"/>
  <c r="I26" i="61" s="1"/>
  <c r="J26" i="61" s="1"/>
  <c r="J32" i="146"/>
  <c r="J32" i="147"/>
  <c r="J27" i="19"/>
  <c r="I13" i="140"/>
  <c r="J13" i="140" s="1"/>
  <c r="I14" i="140"/>
  <c r="J14" i="140" s="1"/>
  <c r="H64" i="26"/>
  <c r="H65" i="26" s="1"/>
  <c r="F13" i="26"/>
  <c r="G13" i="26"/>
  <c r="I13" i="26" s="1"/>
  <c r="J13" i="26" s="1"/>
  <c r="I13" i="9"/>
  <c r="J13" i="9" s="1"/>
  <c r="I14" i="9"/>
  <c r="J14" i="9" s="1"/>
  <c r="I14" i="17"/>
  <c r="J14" i="17" s="1"/>
  <c r="I37" i="7"/>
  <c r="J37" i="7" s="1"/>
  <c r="J40" i="7" s="1"/>
  <c r="J32" i="24"/>
  <c r="F47" i="3"/>
  <c r="D12" i="185" s="1"/>
  <c r="J12" i="185" s="1"/>
  <c r="K12" i="185" s="1"/>
  <c r="L12" i="185" s="1"/>
  <c r="M12" i="185" s="1"/>
  <c r="D47" i="3"/>
  <c r="E47" i="3" s="1"/>
  <c r="F13" i="3"/>
  <c r="D13" i="3"/>
  <c r="E13" i="3" s="1"/>
  <c r="M30" i="122"/>
  <c r="S30" i="122"/>
  <c r="G13" i="35"/>
  <c r="I13" i="35" s="1"/>
  <c r="J13" i="35" s="1"/>
  <c r="G13" i="133"/>
  <c r="I13" i="133" s="1"/>
  <c r="J13" i="133" s="1"/>
  <c r="G13" i="134"/>
  <c r="I13" i="134" s="1"/>
  <c r="J13" i="134" s="1"/>
  <c r="G13" i="91"/>
  <c r="I13" i="91" s="1"/>
  <c r="J13" i="91" s="1"/>
  <c r="G13" i="95"/>
  <c r="I13" i="95" s="1"/>
  <c r="J13" i="95" s="1"/>
  <c r="G13" i="96"/>
  <c r="I13" i="96" s="1"/>
  <c r="J13" i="96" s="1"/>
  <c r="G13" i="97"/>
  <c r="I13" i="97" s="1"/>
  <c r="J13" i="97" s="1"/>
  <c r="G12" i="109"/>
  <c r="I12" i="109" s="1"/>
  <c r="J12" i="109" s="1"/>
  <c r="G12" i="110"/>
  <c r="I12" i="110" s="1"/>
  <c r="J12" i="110" s="1"/>
  <c r="G13" i="144"/>
  <c r="I13" i="144" s="1"/>
  <c r="J13" i="144" s="1"/>
  <c r="G13" i="146"/>
  <c r="I13" i="146" s="1"/>
  <c r="J13" i="146" s="1"/>
  <c r="G13" i="77"/>
  <c r="I13" i="77" s="1"/>
  <c r="J13" i="77" s="1"/>
  <c r="G13" i="89"/>
  <c r="I13" i="89" s="1"/>
  <c r="J13" i="89" s="1"/>
  <c r="G13" i="90"/>
  <c r="I13" i="90" s="1"/>
  <c r="J13" i="90" s="1"/>
  <c r="G13" i="157"/>
  <c r="I13" i="157" s="1"/>
  <c r="J13" i="157" s="1"/>
  <c r="G13" i="79"/>
  <c r="I13" i="79" s="1"/>
  <c r="J13" i="79" s="1"/>
  <c r="G13" i="147"/>
  <c r="I13" i="147" s="1"/>
  <c r="J13" i="147" s="1"/>
  <c r="G13" i="158"/>
  <c r="I13" i="158" s="1"/>
  <c r="J13" i="158" s="1"/>
  <c r="G13" i="78"/>
  <c r="I13" i="78" s="1"/>
  <c r="J13" i="78" s="1"/>
  <c r="G13" i="152"/>
  <c r="G13" i="194"/>
  <c r="I13" i="194" s="1"/>
  <c r="J13" i="194" s="1"/>
  <c r="G13" i="187"/>
  <c r="I13" i="187" s="1"/>
  <c r="J13" i="187" s="1"/>
  <c r="G18" i="198"/>
  <c r="I18" i="198" s="1"/>
  <c r="J18" i="198" s="1"/>
  <c r="I15" i="27"/>
  <c r="I15" i="141"/>
  <c r="J15" i="141" s="1"/>
  <c r="F33" i="3"/>
  <c r="D33" i="3"/>
  <c r="E33" i="3" s="1"/>
  <c r="S27" i="3"/>
  <c r="C27" i="3"/>
  <c r="D14" i="3"/>
  <c r="E14" i="3" s="1"/>
  <c r="F14" i="3"/>
  <c r="G34" i="122"/>
  <c r="G29" i="122"/>
  <c r="G16" i="122"/>
  <c r="G32" i="122"/>
  <c r="G33" i="122"/>
  <c r="G28" i="122"/>
  <c r="G27" i="122"/>
  <c r="E44" i="179"/>
  <c r="G44" i="179" s="1"/>
  <c r="I44" i="179" s="1"/>
  <c r="J44" i="179" s="1"/>
  <c r="E44" i="197"/>
  <c r="G44" i="197" s="1"/>
  <c r="I44" i="197" s="1"/>
  <c r="J44" i="197" s="1"/>
  <c r="I13" i="21"/>
  <c r="J13" i="21" s="1"/>
  <c r="S44" i="3"/>
  <c r="C44" i="3"/>
  <c r="S5" i="3"/>
  <c r="C5" i="3"/>
  <c r="E11" i="121"/>
  <c r="D11" i="121"/>
  <c r="J46" i="185"/>
  <c r="J47" i="185" s="1"/>
  <c r="Q34" i="122"/>
  <c r="Q29" i="122"/>
  <c r="Q16" i="122"/>
  <c r="Q33" i="122"/>
  <c r="Q28" i="122"/>
  <c r="Q27" i="122"/>
  <c r="Q32" i="122"/>
  <c r="D29" i="3"/>
  <c r="E29" i="3" s="1"/>
  <c r="F29" i="3"/>
  <c r="J50" i="80"/>
  <c r="J18" i="80"/>
  <c r="G42" i="26"/>
  <c r="I42" i="26"/>
  <c r="J42" i="26" s="1"/>
  <c r="J33" i="185"/>
  <c r="L33" i="185"/>
  <c r="M33" i="185"/>
  <c r="J18" i="172"/>
  <c r="J18" i="32"/>
  <c r="K43" i="185"/>
  <c r="S12" i="3"/>
  <c r="C12" i="3"/>
  <c r="J43" i="185"/>
  <c r="L43" i="185"/>
  <c r="F39" i="3"/>
  <c r="S7" i="3"/>
  <c r="C7" i="3"/>
  <c r="G53" i="26" l="1"/>
  <c r="I53" i="26" s="1"/>
  <c r="J53" i="26" s="1"/>
  <c r="J56" i="26" s="1"/>
  <c r="G45" i="120"/>
  <c r="I45" i="120" s="1"/>
  <c r="J45" i="120" s="1"/>
  <c r="J48" i="120" s="1"/>
  <c r="F50" i="3"/>
  <c r="D10" i="185" s="1"/>
  <c r="J10" i="185" s="1"/>
  <c r="K10" i="185" s="1"/>
  <c r="L10" i="185" s="1"/>
  <c r="M10" i="185" s="1"/>
  <c r="I44" i="17"/>
  <c r="J44" i="17" s="1"/>
  <c r="J47" i="17" s="1"/>
  <c r="G44" i="17"/>
  <c r="I45" i="12"/>
  <c r="J45" i="12" s="1"/>
  <c r="J48" i="12" s="1"/>
  <c r="G45" i="12"/>
  <c r="G46" i="18"/>
  <c r="I46" i="18" s="1"/>
  <c r="J46" i="18" s="1"/>
  <c r="J49" i="18" s="1"/>
  <c r="G52" i="9"/>
  <c r="I52" i="9" s="1"/>
  <c r="J52" i="9" s="1"/>
  <c r="J55" i="9" s="1"/>
  <c r="I46" i="19"/>
  <c r="J46" i="19" s="1"/>
  <c r="J49" i="19" s="1"/>
  <c r="G46" i="19"/>
  <c r="I15" i="7"/>
  <c r="J15" i="7" s="1"/>
  <c r="I17" i="7"/>
  <c r="J17" i="7" s="1"/>
  <c r="I26" i="59"/>
  <c r="J26" i="59" s="1"/>
  <c r="J32" i="59" s="1"/>
  <c r="J36" i="6"/>
  <c r="F37" i="3"/>
  <c r="I14" i="8"/>
  <c r="J14" i="8" s="1"/>
  <c r="E44" i="158"/>
  <c r="G44" i="158" s="1"/>
  <c r="I44" i="158" s="1"/>
  <c r="J44" i="158" s="1"/>
  <c r="E44" i="56"/>
  <c r="G44" i="56" s="1"/>
  <c r="I44" i="56" s="1"/>
  <c r="J44" i="56" s="1"/>
  <c r="E47" i="109"/>
  <c r="G47" i="109" s="1"/>
  <c r="I47" i="109" s="1"/>
  <c r="J47" i="109" s="1"/>
  <c r="E44" i="57"/>
  <c r="G44" i="57" s="1"/>
  <c r="I44" i="57" s="1"/>
  <c r="J44" i="57" s="1"/>
  <c r="E43" i="110"/>
  <c r="G43" i="110" s="1"/>
  <c r="I43" i="110" s="1"/>
  <c r="J43" i="110" s="1"/>
  <c r="E44" i="54"/>
  <c r="G44" i="54" s="1"/>
  <c r="I44" i="54" s="1"/>
  <c r="J44" i="54" s="1"/>
  <c r="E42" i="132"/>
  <c r="G42" i="132" s="1"/>
  <c r="I42" i="132" s="1"/>
  <c r="J42" i="132" s="1"/>
  <c r="E44" i="59"/>
  <c r="G44" i="59" s="1"/>
  <c r="I44" i="59" s="1"/>
  <c r="J44" i="59" s="1"/>
  <c r="E44" i="86"/>
  <c r="G44" i="86" s="1"/>
  <c r="I44" i="86" s="1"/>
  <c r="J44" i="86" s="1"/>
  <c r="E42" i="196"/>
  <c r="G42" i="196" s="1"/>
  <c r="I42" i="196" s="1"/>
  <c r="J42" i="196" s="1"/>
  <c r="E44" i="45"/>
  <c r="G44" i="45" s="1"/>
  <c r="I44" i="45" s="1"/>
  <c r="J44" i="45" s="1"/>
  <c r="E43" i="194"/>
  <c r="G43" i="194" s="1"/>
  <c r="I43" i="194" s="1"/>
  <c r="J43" i="194" s="1"/>
  <c r="E44" i="146"/>
  <c r="G44" i="146" s="1"/>
  <c r="I44" i="146" s="1"/>
  <c r="J44" i="146" s="1"/>
  <c r="E44" i="138"/>
  <c r="G44" i="138" s="1"/>
  <c r="I44" i="138" s="1"/>
  <c r="J44" i="138" s="1"/>
  <c r="E44" i="157"/>
  <c r="G44" i="157" s="1"/>
  <c r="I44" i="157" s="1"/>
  <c r="J44" i="157" s="1"/>
  <c r="E42" i="131"/>
  <c r="G42" i="131" s="1"/>
  <c r="I42" i="131" s="1"/>
  <c r="J42" i="131" s="1"/>
  <c r="E44" i="52"/>
  <c r="G44" i="52" s="1"/>
  <c r="I44" i="52" s="1"/>
  <c r="J44" i="52" s="1"/>
  <c r="E44" i="90"/>
  <c r="G44" i="90" s="1"/>
  <c r="I44" i="90" s="1"/>
  <c r="J44" i="90" s="1"/>
  <c r="E44" i="92"/>
  <c r="G44" i="92" s="1"/>
  <c r="I44" i="92" s="1"/>
  <c r="J44" i="92" s="1"/>
  <c r="E44" i="137"/>
  <c r="G44" i="137" s="1"/>
  <c r="I44" i="137" s="1"/>
  <c r="J44" i="137" s="1"/>
  <c r="E44" i="68"/>
  <c r="G44" i="68" s="1"/>
  <c r="I44" i="68" s="1"/>
  <c r="J44" i="68" s="1"/>
  <c r="E44" i="58"/>
  <c r="G44" i="58" s="1"/>
  <c r="I44" i="58" s="1"/>
  <c r="J44" i="58" s="1"/>
  <c r="E44" i="38"/>
  <c r="G44" i="38" s="1"/>
  <c r="I44" i="38" s="1"/>
  <c r="J44" i="38" s="1"/>
  <c r="J34" i="198"/>
  <c r="E44" i="66"/>
  <c r="G44" i="66" s="1"/>
  <c r="I44" i="66" s="1"/>
  <c r="J44" i="66" s="1"/>
  <c r="E44" i="134"/>
  <c r="G44" i="134" s="1"/>
  <c r="I44" i="134" s="1"/>
  <c r="J44" i="134" s="1"/>
  <c r="E44" i="55"/>
  <c r="G44" i="55" s="1"/>
  <c r="I44" i="55" s="1"/>
  <c r="J44" i="55" s="1"/>
  <c r="E44" i="151"/>
  <c r="G44" i="151" s="1"/>
  <c r="I44" i="151" s="1"/>
  <c r="J44" i="151" s="1"/>
  <c r="E44" i="164"/>
  <c r="G44" i="164" s="1"/>
  <c r="I44" i="164" s="1"/>
  <c r="J44" i="164" s="1"/>
  <c r="E44" i="83"/>
  <c r="G44" i="83" s="1"/>
  <c r="I44" i="83" s="1"/>
  <c r="J44" i="83" s="1"/>
  <c r="E44" i="84"/>
  <c r="G44" i="84" s="1"/>
  <c r="I44" i="84" s="1"/>
  <c r="J44" i="84" s="1"/>
  <c r="E43" i="67"/>
  <c r="G43" i="67" s="1"/>
  <c r="I43" i="67" s="1"/>
  <c r="J43" i="67" s="1"/>
  <c r="E44" i="46"/>
  <c r="G44" i="46" s="1"/>
  <c r="I44" i="46" s="1"/>
  <c r="J44" i="46" s="1"/>
  <c r="E44" i="62"/>
  <c r="G44" i="62" s="1"/>
  <c r="I44" i="62" s="1"/>
  <c r="J44" i="62" s="1"/>
  <c r="E43" i="77"/>
  <c r="G43" i="77" s="1"/>
  <c r="I43" i="77" s="1"/>
  <c r="J43" i="77" s="1"/>
  <c r="E44" i="135"/>
  <c r="G44" i="135" s="1"/>
  <c r="I44" i="135" s="1"/>
  <c r="J44" i="135" s="1"/>
  <c r="E44" i="63"/>
  <c r="G44" i="63" s="1"/>
  <c r="I44" i="63" s="1"/>
  <c r="J44" i="63" s="1"/>
  <c r="E46" i="198"/>
  <c r="G46" i="198" s="1"/>
  <c r="I46" i="198" s="1"/>
  <c r="J46" i="198" s="1"/>
  <c r="E44" i="148"/>
  <c r="G44" i="148" s="1"/>
  <c r="I44" i="148" s="1"/>
  <c r="J44" i="148" s="1"/>
  <c r="E44" i="76"/>
  <c r="G44" i="76" s="1"/>
  <c r="I44" i="76" s="1"/>
  <c r="J44" i="76" s="1"/>
  <c r="J50" i="76" s="1"/>
  <c r="E44" i="47"/>
  <c r="G44" i="47" s="1"/>
  <c r="I44" i="47" s="1"/>
  <c r="J44" i="47" s="1"/>
  <c r="E44" i="37"/>
  <c r="G44" i="37" s="1"/>
  <c r="I44" i="37" s="1"/>
  <c r="J44" i="37" s="1"/>
  <c r="E44" i="89"/>
  <c r="G44" i="89" s="1"/>
  <c r="I44" i="89" s="1"/>
  <c r="J44" i="89" s="1"/>
  <c r="E44" i="175"/>
  <c r="G44" i="175" s="1"/>
  <c r="I44" i="175" s="1"/>
  <c r="J44" i="175" s="1"/>
  <c r="E44" i="160"/>
  <c r="G44" i="160" s="1"/>
  <c r="I44" i="160" s="1"/>
  <c r="J44" i="160" s="1"/>
  <c r="E44" i="60"/>
  <c r="G44" i="60" s="1"/>
  <c r="I44" i="60" s="1"/>
  <c r="J44" i="60" s="1"/>
  <c r="E44" i="107"/>
  <c r="G44" i="107" s="1"/>
  <c r="I44" i="107" s="1"/>
  <c r="J44" i="107" s="1"/>
  <c r="E44" i="186"/>
  <c r="G44" i="186" s="1"/>
  <c r="I44" i="186" s="1"/>
  <c r="J44" i="186" s="1"/>
  <c r="E44" i="144"/>
  <c r="G44" i="144" s="1"/>
  <c r="I44" i="144" s="1"/>
  <c r="J44" i="144" s="1"/>
  <c r="E44" i="130"/>
  <c r="G44" i="130" s="1"/>
  <c r="I44" i="130" s="1"/>
  <c r="J44" i="130" s="1"/>
  <c r="E44" i="50"/>
  <c r="G44" i="50" s="1"/>
  <c r="I44" i="50" s="1"/>
  <c r="J44" i="50" s="1"/>
  <c r="E44" i="48"/>
  <c r="G44" i="48" s="1"/>
  <c r="I44" i="48" s="1"/>
  <c r="J44" i="48" s="1"/>
  <c r="E44" i="71"/>
  <c r="G44" i="71" s="1"/>
  <c r="I44" i="71" s="1"/>
  <c r="J44" i="71" s="1"/>
  <c r="E44" i="51"/>
  <c r="G44" i="51" s="1"/>
  <c r="I44" i="51" s="1"/>
  <c r="J44" i="51" s="1"/>
  <c r="E44" i="96"/>
  <c r="G44" i="96" s="1"/>
  <c r="I44" i="96" s="1"/>
  <c r="J44" i="96" s="1"/>
  <c r="E42" i="73"/>
  <c r="G42" i="73" s="1"/>
  <c r="I42" i="73" s="1"/>
  <c r="J42" i="73" s="1"/>
  <c r="F23" i="3"/>
  <c r="D23" i="3"/>
  <c r="E23" i="3" s="1"/>
  <c r="J32" i="104"/>
  <c r="J32" i="102"/>
  <c r="I33" i="27"/>
  <c r="J33" i="27" s="1"/>
  <c r="E52" i="21"/>
  <c r="G52" i="21" s="1"/>
  <c r="I52" i="21" s="1"/>
  <c r="J52" i="21" s="1"/>
  <c r="E53" i="19"/>
  <c r="G53" i="19" s="1"/>
  <c r="I53" i="19" s="1"/>
  <c r="J53" i="19" s="1"/>
  <c r="E51" i="24"/>
  <c r="G51" i="24" s="1"/>
  <c r="I51" i="24" s="1"/>
  <c r="J51" i="24" s="1"/>
  <c r="E53" i="20"/>
  <c r="G53" i="20" s="1"/>
  <c r="I53" i="20" s="1"/>
  <c r="J53" i="20" s="1"/>
  <c r="E52" i="203"/>
  <c r="G52" i="203" s="1"/>
  <c r="I52" i="203" s="1"/>
  <c r="J52" i="203" s="1"/>
  <c r="E52" i="202"/>
  <c r="G52" i="202" s="1"/>
  <c r="I52" i="202" s="1"/>
  <c r="J52" i="202" s="1"/>
  <c r="E52" i="120"/>
  <c r="G52" i="120" s="1"/>
  <c r="I52" i="120" s="1"/>
  <c r="J52" i="120" s="1"/>
  <c r="E59" i="9"/>
  <c r="G59" i="9" s="1"/>
  <c r="I59" i="9" s="1"/>
  <c r="J59" i="9" s="1"/>
  <c r="E51" i="17"/>
  <c r="G51" i="17" s="1"/>
  <c r="I51" i="17" s="1"/>
  <c r="J51" i="17" s="1"/>
  <c r="E51" i="14"/>
  <c r="G51" i="14" s="1"/>
  <c r="I51" i="14" s="1"/>
  <c r="J51" i="14" s="1"/>
  <c r="E51" i="15"/>
  <c r="G51" i="15" s="1"/>
  <c r="I51" i="15" s="1"/>
  <c r="J51" i="15" s="1"/>
  <c r="E52" i="12"/>
  <c r="G52" i="12" s="1"/>
  <c r="I52" i="12" s="1"/>
  <c r="J52" i="12" s="1"/>
  <c r="J37" i="26"/>
  <c r="I46" i="26" s="1"/>
  <c r="J46" i="26" s="1"/>
  <c r="J49" i="26" s="1"/>
  <c r="F9" i="3"/>
  <c r="I17" i="26"/>
  <c r="J17" i="26" s="1"/>
  <c r="K41" i="122"/>
  <c r="K51" i="122" s="1"/>
  <c r="K52" i="122" s="1"/>
  <c r="K53" i="122" s="1"/>
  <c r="J30" i="7"/>
  <c r="O36" i="122"/>
  <c r="D28" i="3"/>
  <c r="E28" i="3" s="1"/>
  <c r="F28" i="3"/>
  <c r="E61" i="25"/>
  <c r="G61" i="25" s="1"/>
  <c r="I61" i="25" s="1"/>
  <c r="J61" i="25" s="1"/>
  <c r="E65" i="26"/>
  <c r="G65" i="26" s="1"/>
  <c r="I65" i="26" s="1"/>
  <c r="J65" i="26" s="1"/>
  <c r="E55" i="21"/>
  <c r="G55" i="21" s="1"/>
  <c r="I55" i="21" s="1"/>
  <c r="J55" i="21" s="1"/>
  <c r="E54" i="24"/>
  <c r="G54" i="24" s="1"/>
  <c r="I54" i="24" s="1"/>
  <c r="J54" i="24" s="1"/>
  <c r="E56" i="20"/>
  <c r="G56" i="20" s="1"/>
  <c r="I56" i="20" s="1"/>
  <c r="J56" i="20" s="1"/>
  <c r="E56" i="19"/>
  <c r="G56" i="19" s="1"/>
  <c r="I56" i="19" s="1"/>
  <c r="J56" i="19" s="1"/>
  <c r="E55" i="202"/>
  <c r="G55" i="202" s="1"/>
  <c r="I55" i="202" s="1"/>
  <c r="J55" i="202" s="1"/>
  <c r="E55" i="203"/>
  <c r="G55" i="203" s="1"/>
  <c r="I55" i="203" s="1"/>
  <c r="J55" i="203" s="1"/>
  <c r="E56" i="18"/>
  <c r="G56" i="18" s="1"/>
  <c r="I56" i="18" s="1"/>
  <c r="J56" i="18" s="1"/>
  <c r="E55" i="120"/>
  <c r="G55" i="120" s="1"/>
  <c r="I55" i="120" s="1"/>
  <c r="J55" i="120" s="1"/>
  <c r="E55" i="10"/>
  <c r="G55" i="10" s="1"/>
  <c r="I55" i="10" s="1"/>
  <c r="J55" i="10" s="1"/>
  <c r="E54" i="14"/>
  <c r="G54" i="14" s="1"/>
  <c r="I54" i="14" s="1"/>
  <c r="J54" i="14" s="1"/>
  <c r="E55" i="12"/>
  <c r="G55" i="12" s="1"/>
  <c r="I55" i="12" s="1"/>
  <c r="J55" i="12" s="1"/>
  <c r="E54" i="15"/>
  <c r="G54" i="15" s="1"/>
  <c r="I54" i="15" s="1"/>
  <c r="J54" i="15" s="1"/>
  <c r="E54" i="17"/>
  <c r="G54" i="17" s="1"/>
  <c r="I54" i="17" s="1"/>
  <c r="J54" i="17" s="1"/>
  <c r="E55" i="11"/>
  <c r="G55" i="11" s="1"/>
  <c r="I55" i="11" s="1"/>
  <c r="J55" i="11" s="1"/>
  <c r="I14" i="13"/>
  <c r="J14" i="13" s="1"/>
  <c r="H16" i="13"/>
  <c r="H17" i="13" s="1"/>
  <c r="H18" i="13" s="1"/>
  <c r="I18" i="13" s="1"/>
  <c r="J18" i="13" s="1"/>
  <c r="E63" i="9"/>
  <c r="G63" i="9" s="1"/>
  <c r="I63" i="9" s="1"/>
  <c r="J63" i="9" s="1"/>
  <c r="E56" i="120"/>
  <c r="G56" i="120" s="1"/>
  <c r="I56" i="120" s="1"/>
  <c r="J56" i="120" s="1"/>
  <c r="I14" i="151"/>
  <c r="J14" i="151" s="1"/>
  <c r="I40" i="203"/>
  <c r="J40" i="203" s="1"/>
  <c r="J41" i="203" s="1"/>
  <c r="J12" i="27"/>
  <c r="J39" i="27"/>
  <c r="J11" i="27"/>
  <c r="J15" i="27"/>
  <c r="J17" i="27"/>
  <c r="J13" i="27"/>
  <c r="J14" i="27"/>
  <c r="I16" i="26"/>
  <c r="J16" i="26" s="1"/>
  <c r="I40" i="11"/>
  <c r="J40" i="11" s="1"/>
  <c r="J41" i="11" s="1"/>
  <c r="I40" i="202"/>
  <c r="J40" i="202" s="1"/>
  <c r="J41" i="202" s="1"/>
  <c r="I36" i="107"/>
  <c r="J36" i="107" s="1"/>
  <c r="J39" i="107" s="1"/>
  <c r="Y56" i="126"/>
  <c r="J28" i="10"/>
  <c r="I40" i="10" s="1"/>
  <c r="J40" i="10" s="1"/>
  <c r="J41" i="10" s="1"/>
  <c r="I39" i="24"/>
  <c r="J39" i="24" s="1"/>
  <c r="J40" i="24" s="1"/>
  <c r="I39" i="15"/>
  <c r="J39" i="15" s="1"/>
  <c r="J40" i="15" s="1"/>
  <c r="J31" i="8"/>
  <c r="I40" i="12"/>
  <c r="J40" i="12" s="1"/>
  <c r="J41" i="12" s="1"/>
  <c r="I39" i="17"/>
  <c r="J39" i="17" s="1"/>
  <c r="J40" i="17" s="1"/>
  <c r="I39" i="14"/>
  <c r="J39" i="14" s="1"/>
  <c r="J40" i="14" s="1"/>
  <c r="I47" i="9"/>
  <c r="J47" i="9" s="1"/>
  <c r="J48" i="9" s="1"/>
  <c r="I39" i="21"/>
  <c r="J39" i="21" s="1"/>
  <c r="J41" i="21" s="1"/>
  <c r="I40" i="19"/>
  <c r="J40" i="19" s="1"/>
  <c r="J42" i="19" s="1"/>
  <c r="I39" i="120"/>
  <c r="J39" i="120" s="1"/>
  <c r="J41" i="120" s="1"/>
  <c r="Y55" i="126"/>
  <c r="I52" i="80"/>
  <c r="I33" i="141"/>
  <c r="J33" i="141" s="1"/>
  <c r="J35" i="141" s="1"/>
  <c r="K29" i="141" s="1"/>
  <c r="I34" i="13"/>
  <c r="J34" i="13" s="1"/>
  <c r="J37" i="13" s="1"/>
  <c r="D49" i="3"/>
  <c r="E49" i="3" s="1"/>
  <c r="F49" i="3"/>
  <c r="G30" i="122"/>
  <c r="I18" i="24"/>
  <c r="J18" i="24" s="1"/>
  <c r="D46" i="3"/>
  <c r="E46" i="3" s="1"/>
  <c r="F46" i="3"/>
  <c r="I16" i="27"/>
  <c r="I15" i="26"/>
  <c r="J15" i="26" s="1"/>
  <c r="D13" i="121"/>
  <c r="I19" i="24"/>
  <c r="J19" i="24" s="1"/>
  <c r="J33" i="7"/>
  <c r="I40" i="18"/>
  <c r="J40" i="18" s="1"/>
  <c r="J42" i="18" s="1"/>
  <c r="I41" i="20"/>
  <c r="J41" i="20" s="1"/>
  <c r="J42" i="20" s="1"/>
  <c r="I33" i="140"/>
  <c r="J33" i="140" s="1"/>
  <c r="J35" i="140" s="1"/>
  <c r="K31" i="140" s="1"/>
  <c r="I35" i="31"/>
  <c r="J35" i="31" s="1"/>
  <c r="J38" i="31" s="1"/>
  <c r="I44" i="25"/>
  <c r="J44" i="25" s="1"/>
  <c r="J45" i="25" s="1"/>
  <c r="I33" i="142"/>
  <c r="J33" i="142" s="1"/>
  <c r="J35" i="142" s="1"/>
  <c r="K33" i="142" s="1"/>
  <c r="J32" i="61"/>
  <c r="K32" i="61" s="1"/>
  <c r="L32" i="61" s="1"/>
  <c r="E45" i="37"/>
  <c r="G45" i="37" s="1"/>
  <c r="I45" i="37" s="1"/>
  <c r="J45" i="37" s="1"/>
  <c r="E45" i="40"/>
  <c r="G45" i="40" s="1"/>
  <c r="I45" i="40" s="1"/>
  <c r="J45" i="40" s="1"/>
  <c r="E45" i="50"/>
  <c r="G45" i="50" s="1"/>
  <c r="I45" i="50" s="1"/>
  <c r="J45" i="50" s="1"/>
  <c r="E45" i="43"/>
  <c r="G45" i="43" s="1"/>
  <c r="I45" i="43" s="1"/>
  <c r="J45" i="43" s="1"/>
  <c r="E45" i="47"/>
  <c r="G45" i="47" s="1"/>
  <c r="I45" i="47" s="1"/>
  <c r="J45" i="47" s="1"/>
  <c r="E45" i="51"/>
  <c r="G45" i="51" s="1"/>
  <c r="I45" i="51" s="1"/>
  <c r="J45" i="51" s="1"/>
  <c r="E45" i="53"/>
  <c r="G45" i="53" s="1"/>
  <c r="I45" i="53" s="1"/>
  <c r="J45" i="53" s="1"/>
  <c r="E45" i="56"/>
  <c r="G45" i="56" s="1"/>
  <c r="I45" i="56" s="1"/>
  <c r="J45" i="56" s="1"/>
  <c r="E45" i="57"/>
  <c r="G45" i="57" s="1"/>
  <c r="I45" i="57" s="1"/>
  <c r="J45" i="57" s="1"/>
  <c r="E45" i="66"/>
  <c r="G45" i="66" s="1"/>
  <c r="I45" i="66" s="1"/>
  <c r="J45" i="66" s="1"/>
  <c r="E45" i="71"/>
  <c r="G45" i="71" s="1"/>
  <c r="I45" i="71" s="1"/>
  <c r="J45" i="71" s="1"/>
  <c r="E43" i="73"/>
  <c r="G43" i="73" s="1"/>
  <c r="I43" i="73" s="1"/>
  <c r="J43" i="73" s="1"/>
  <c r="E44" i="77"/>
  <c r="G44" i="77" s="1"/>
  <c r="I44" i="77" s="1"/>
  <c r="J44" i="77" s="1"/>
  <c r="E45" i="134"/>
  <c r="G45" i="134" s="1"/>
  <c r="I45" i="134" s="1"/>
  <c r="J45" i="134" s="1"/>
  <c r="E45" i="45"/>
  <c r="G45" i="45" s="1"/>
  <c r="I45" i="45" s="1"/>
  <c r="J45" i="45" s="1"/>
  <c r="E45" i="61"/>
  <c r="G45" i="61" s="1"/>
  <c r="I45" i="61" s="1"/>
  <c r="J45" i="61" s="1"/>
  <c r="E45" i="63"/>
  <c r="G45" i="63" s="1"/>
  <c r="I45" i="63" s="1"/>
  <c r="J45" i="63" s="1"/>
  <c r="E45" i="65"/>
  <c r="G45" i="65" s="1"/>
  <c r="I45" i="65" s="1"/>
  <c r="J45" i="65" s="1"/>
  <c r="E45" i="146"/>
  <c r="G45" i="146" s="1"/>
  <c r="I45" i="146" s="1"/>
  <c r="J45" i="146" s="1"/>
  <c r="E45" i="59"/>
  <c r="G45" i="59" s="1"/>
  <c r="I45" i="59" s="1"/>
  <c r="J45" i="59" s="1"/>
  <c r="E43" i="131"/>
  <c r="G43" i="131" s="1"/>
  <c r="I43" i="131" s="1"/>
  <c r="J43" i="131" s="1"/>
  <c r="E45" i="86"/>
  <c r="G45" i="86" s="1"/>
  <c r="I45" i="86" s="1"/>
  <c r="J45" i="86" s="1"/>
  <c r="E45" i="89"/>
  <c r="G45" i="89" s="1"/>
  <c r="I45" i="89" s="1"/>
  <c r="J45" i="89" s="1"/>
  <c r="E45" i="135"/>
  <c r="G45" i="135" s="1"/>
  <c r="I45" i="135" s="1"/>
  <c r="J45" i="135" s="1"/>
  <c r="E45" i="96"/>
  <c r="G45" i="96" s="1"/>
  <c r="I45" i="96" s="1"/>
  <c r="J45" i="96" s="1"/>
  <c r="E45" i="107"/>
  <c r="G45" i="107" s="1"/>
  <c r="I45" i="107" s="1"/>
  <c r="J45" i="107" s="1"/>
  <c r="E48" i="109"/>
  <c r="G48" i="109" s="1"/>
  <c r="I48" i="109" s="1"/>
  <c r="J48" i="109" s="1"/>
  <c r="E45" i="151"/>
  <c r="G45" i="151" s="1"/>
  <c r="I45" i="151" s="1"/>
  <c r="J45" i="151" s="1"/>
  <c r="E45" i="70"/>
  <c r="G45" i="70" s="1"/>
  <c r="I45" i="70" s="1"/>
  <c r="J45" i="70" s="1"/>
  <c r="E45" i="147"/>
  <c r="G45" i="147" s="1"/>
  <c r="I45" i="147" s="1"/>
  <c r="J45" i="147" s="1"/>
  <c r="E45" i="160"/>
  <c r="G45" i="160" s="1"/>
  <c r="I45" i="160" s="1"/>
  <c r="J45" i="160" s="1"/>
  <c r="E45" i="46"/>
  <c r="G45" i="46" s="1"/>
  <c r="I45" i="46" s="1"/>
  <c r="J45" i="46" s="1"/>
  <c r="E43" i="132"/>
  <c r="G43" i="132" s="1"/>
  <c r="I43" i="132" s="1"/>
  <c r="J43" i="132" s="1"/>
  <c r="E45" i="179"/>
  <c r="G45" i="179" s="1"/>
  <c r="I45" i="179" s="1"/>
  <c r="J45" i="179" s="1"/>
  <c r="E45" i="197"/>
  <c r="G45" i="197" s="1"/>
  <c r="I45" i="197" s="1"/>
  <c r="J45" i="197" s="1"/>
  <c r="E45" i="176"/>
  <c r="G45" i="176" s="1"/>
  <c r="I45" i="176" s="1"/>
  <c r="J45" i="176" s="1"/>
  <c r="E44" i="110"/>
  <c r="G44" i="110" s="1"/>
  <c r="I44" i="110" s="1"/>
  <c r="J44" i="110" s="1"/>
  <c r="E45" i="148"/>
  <c r="G45" i="148" s="1"/>
  <c r="I45" i="148" s="1"/>
  <c r="J45" i="148" s="1"/>
  <c r="E45" i="157"/>
  <c r="G45" i="157" s="1"/>
  <c r="I45" i="157" s="1"/>
  <c r="J45" i="157" s="1"/>
  <c r="E45" i="158"/>
  <c r="G45" i="158" s="1"/>
  <c r="I45" i="158" s="1"/>
  <c r="J45" i="158" s="1"/>
  <c r="E45" i="177"/>
  <c r="G45" i="177" s="1"/>
  <c r="I45" i="177" s="1"/>
  <c r="J45" i="177" s="1"/>
  <c r="E45" i="150"/>
  <c r="G45" i="150" s="1"/>
  <c r="I45" i="150" s="1"/>
  <c r="J45" i="150" s="1"/>
  <c r="E45" i="156"/>
  <c r="G45" i="156" s="1"/>
  <c r="I45" i="156" s="1"/>
  <c r="J45" i="156" s="1"/>
  <c r="E45" i="186"/>
  <c r="G45" i="186" s="1"/>
  <c r="I45" i="186" s="1"/>
  <c r="J45" i="186" s="1"/>
  <c r="E44" i="194"/>
  <c r="G44" i="194" s="1"/>
  <c r="I44" i="194" s="1"/>
  <c r="J44" i="194" s="1"/>
  <c r="E43" i="196"/>
  <c r="G43" i="196" s="1"/>
  <c r="I43" i="196" s="1"/>
  <c r="J43" i="196" s="1"/>
  <c r="E45" i="180"/>
  <c r="G45" i="180" s="1"/>
  <c r="I45" i="180" s="1"/>
  <c r="J45" i="180" s="1"/>
  <c r="E45" i="178"/>
  <c r="G45" i="178" s="1"/>
  <c r="I45" i="178" s="1"/>
  <c r="J45" i="178" s="1"/>
  <c r="E45" i="175"/>
  <c r="G45" i="175" s="1"/>
  <c r="I45" i="175" s="1"/>
  <c r="J45" i="175" s="1"/>
  <c r="E45" i="69"/>
  <c r="G45" i="69" s="1"/>
  <c r="I45" i="69" s="1"/>
  <c r="J45" i="69" s="1"/>
  <c r="E45" i="164"/>
  <c r="G45" i="164" s="1"/>
  <c r="I45" i="164" s="1"/>
  <c r="J45" i="164" s="1"/>
  <c r="E45" i="144"/>
  <c r="G45" i="144" s="1"/>
  <c r="I45" i="144" s="1"/>
  <c r="J45" i="144" s="1"/>
  <c r="E45" i="130"/>
  <c r="G45" i="130" s="1"/>
  <c r="I45" i="130" s="1"/>
  <c r="J45" i="130" s="1"/>
  <c r="E45" i="44"/>
  <c r="G45" i="44" s="1"/>
  <c r="I45" i="44" s="1"/>
  <c r="J45" i="44" s="1"/>
  <c r="E45" i="98"/>
  <c r="G45" i="98" s="1"/>
  <c r="I45" i="98" s="1"/>
  <c r="J45" i="98" s="1"/>
  <c r="E45" i="54"/>
  <c r="G45" i="54" s="1"/>
  <c r="I45" i="54" s="1"/>
  <c r="J45" i="54" s="1"/>
  <c r="E45" i="48"/>
  <c r="G45" i="48" s="1"/>
  <c r="I45" i="48" s="1"/>
  <c r="J45" i="48" s="1"/>
  <c r="E45" i="39"/>
  <c r="G45" i="39" s="1"/>
  <c r="I45" i="39" s="1"/>
  <c r="J45" i="39" s="1"/>
  <c r="E45" i="181"/>
  <c r="G45" i="181" s="1"/>
  <c r="I45" i="181" s="1"/>
  <c r="J45" i="181" s="1"/>
  <c r="E45" i="152"/>
  <c r="G45" i="152" s="1"/>
  <c r="I45" i="152" s="1"/>
  <c r="J45" i="152" s="1"/>
  <c r="E45" i="55"/>
  <c r="G45" i="55" s="1"/>
  <c r="I45" i="55" s="1"/>
  <c r="J45" i="55" s="1"/>
  <c r="E45" i="111"/>
  <c r="G45" i="111" s="1"/>
  <c r="I45" i="111" s="1"/>
  <c r="J45" i="111" s="1"/>
  <c r="E45" i="187"/>
  <c r="G45" i="187" s="1"/>
  <c r="I45" i="187" s="1"/>
  <c r="J45" i="187" s="1"/>
  <c r="E45" i="154"/>
  <c r="G45" i="154" s="1"/>
  <c r="I45" i="154" s="1"/>
  <c r="J45" i="154" s="1"/>
  <c r="E45" i="78"/>
  <c r="G45" i="78" s="1"/>
  <c r="I45" i="78" s="1"/>
  <c r="J45" i="78" s="1"/>
  <c r="E45" i="90"/>
  <c r="G45" i="90" s="1"/>
  <c r="I45" i="90" s="1"/>
  <c r="J45" i="90" s="1"/>
  <c r="E45" i="83"/>
  <c r="G45" i="83" s="1"/>
  <c r="I45" i="83" s="1"/>
  <c r="J45" i="83" s="1"/>
  <c r="E45" i="79"/>
  <c r="G45" i="79" s="1"/>
  <c r="I45" i="79" s="1"/>
  <c r="J45" i="79" s="1"/>
  <c r="E45" i="38"/>
  <c r="G45" i="38" s="1"/>
  <c r="I45" i="38" s="1"/>
  <c r="J45" i="38" s="1"/>
  <c r="E45" i="97"/>
  <c r="G45" i="97" s="1"/>
  <c r="I45" i="97" s="1"/>
  <c r="J45" i="97" s="1"/>
  <c r="E45" i="84"/>
  <c r="G45" i="84" s="1"/>
  <c r="I45" i="84" s="1"/>
  <c r="J45" i="84" s="1"/>
  <c r="E45" i="133"/>
  <c r="G45" i="133" s="1"/>
  <c r="I45" i="133" s="1"/>
  <c r="J45" i="133" s="1"/>
  <c r="E45" i="52"/>
  <c r="G45" i="52" s="1"/>
  <c r="I45" i="52" s="1"/>
  <c r="J45" i="52" s="1"/>
  <c r="E45" i="58"/>
  <c r="G45" i="58" s="1"/>
  <c r="I45" i="58" s="1"/>
  <c r="J45" i="58" s="1"/>
  <c r="E45" i="62"/>
  <c r="G45" i="62" s="1"/>
  <c r="I45" i="62" s="1"/>
  <c r="J45" i="62" s="1"/>
  <c r="E45" i="95"/>
  <c r="G45" i="95" s="1"/>
  <c r="I45" i="95" s="1"/>
  <c r="J45" i="95" s="1"/>
  <c r="E45" i="68"/>
  <c r="G45" i="68" s="1"/>
  <c r="I45" i="68" s="1"/>
  <c r="J45" i="68" s="1"/>
  <c r="E45" i="145"/>
  <c r="G45" i="145" s="1"/>
  <c r="I45" i="145" s="1"/>
  <c r="J45" i="145" s="1"/>
  <c r="E45" i="92"/>
  <c r="G45" i="92" s="1"/>
  <c r="I45" i="92" s="1"/>
  <c r="J45" i="92" s="1"/>
  <c r="E45" i="91"/>
  <c r="G45" i="91" s="1"/>
  <c r="I45" i="91" s="1"/>
  <c r="J45" i="91" s="1"/>
  <c r="E45" i="49"/>
  <c r="G45" i="49" s="1"/>
  <c r="I45" i="49" s="1"/>
  <c r="J45" i="49" s="1"/>
  <c r="E45" i="88"/>
  <c r="G45" i="88" s="1"/>
  <c r="I45" i="88" s="1"/>
  <c r="J45" i="88" s="1"/>
  <c r="E45" i="82"/>
  <c r="G45" i="82" s="1"/>
  <c r="I45" i="82" s="1"/>
  <c r="J45" i="82" s="1"/>
  <c r="E45" i="64"/>
  <c r="G45" i="64" s="1"/>
  <c r="I45" i="64" s="1"/>
  <c r="J45" i="64" s="1"/>
  <c r="E45" i="60"/>
  <c r="G45" i="60" s="1"/>
  <c r="I45" i="60" s="1"/>
  <c r="J45" i="60" s="1"/>
  <c r="E45" i="41"/>
  <c r="G45" i="41" s="1"/>
  <c r="I45" i="41" s="1"/>
  <c r="J45" i="41" s="1"/>
  <c r="E47" i="198"/>
  <c r="G47" i="198" s="1"/>
  <c r="I47" i="198" s="1"/>
  <c r="J47" i="198" s="1"/>
  <c r="E44" i="67"/>
  <c r="G44" i="67" s="1"/>
  <c r="I44" i="67" s="1"/>
  <c r="J44" i="67" s="1"/>
  <c r="E45" i="137"/>
  <c r="G45" i="137" s="1"/>
  <c r="I45" i="137" s="1"/>
  <c r="J45" i="137" s="1"/>
  <c r="E49" i="31"/>
  <c r="G49" i="31" s="1"/>
  <c r="I49" i="31" s="1"/>
  <c r="J49" i="31" s="1"/>
  <c r="E56" i="25"/>
  <c r="G56" i="25" s="1"/>
  <c r="I56" i="25" s="1"/>
  <c r="J56" i="25" s="1"/>
  <c r="E53" i="18"/>
  <c r="G53" i="18" s="1"/>
  <c r="I53" i="18" s="1"/>
  <c r="J53" i="18" s="1"/>
  <c r="E45" i="198"/>
  <c r="G45" i="198" s="1"/>
  <c r="I45" i="198" s="1"/>
  <c r="J45" i="198" s="1"/>
  <c r="E46" i="8"/>
  <c r="G46" i="8" s="1"/>
  <c r="I46" i="8" s="1"/>
  <c r="J46" i="8" s="1"/>
  <c r="E52" i="10"/>
  <c r="G52" i="10" s="1"/>
  <c r="I52" i="10" s="1"/>
  <c r="J52" i="10" s="1"/>
  <c r="E47" i="6"/>
  <c r="G47" i="6" s="1"/>
  <c r="I47" i="6" s="1"/>
  <c r="J47" i="6" s="1"/>
  <c r="E44" i="7"/>
  <c r="G44" i="7" s="1"/>
  <c r="I44" i="7" s="1"/>
  <c r="J44" i="7" s="1"/>
  <c r="E60" i="26"/>
  <c r="G60" i="26" s="1"/>
  <c r="I60" i="26" s="1"/>
  <c r="J60" i="26" s="1"/>
  <c r="E52" i="11"/>
  <c r="G52" i="11" s="1"/>
  <c r="I52" i="11" s="1"/>
  <c r="J52" i="11" s="1"/>
  <c r="E48" i="13"/>
  <c r="G48" i="13" s="1"/>
  <c r="I48" i="13" s="1"/>
  <c r="J48" i="13" s="1"/>
  <c r="E43" i="102"/>
  <c r="G43" i="102" s="1"/>
  <c r="I43" i="102" s="1"/>
  <c r="J43" i="102" s="1"/>
  <c r="E43" i="101"/>
  <c r="G43" i="101" s="1"/>
  <c r="I43" i="101" s="1"/>
  <c r="J43" i="101" s="1"/>
  <c r="E43" i="105"/>
  <c r="G43" i="105" s="1"/>
  <c r="I43" i="105" s="1"/>
  <c r="J43" i="105" s="1"/>
  <c r="E43" i="100"/>
  <c r="G43" i="100" s="1"/>
  <c r="I43" i="100" s="1"/>
  <c r="J43" i="100" s="1"/>
  <c r="E43" i="103"/>
  <c r="G43" i="103" s="1"/>
  <c r="I43" i="103" s="1"/>
  <c r="J43" i="103" s="1"/>
  <c r="E43" i="106"/>
  <c r="G43" i="106" s="1"/>
  <c r="I43" i="106" s="1"/>
  <c r="J43" i="106" s="1"/>
  <c r="E43" i="108"/>
  <c r="G43" i="108" s="1"/>
  <c r="I43" i="108" s="1"/>
  <c r="J43" i="108" s="1"/>
  <c r="E43" i="104"/>
  <c r="G43" i="104" s="1"/>
  <c r="I43" i="104" s="1"/>
  <c r="J43" i="104" s="1"/>
  <c r="E44" i="34"/>
  <c r="G44" i="34" s="1"/>
  <c r="I44" i="34" s="1"/>
  <c r="J44" i="34" s="1"/>
  <c r="E45" i="33"/>
  <c r="G45" i="33" s="1"/>
  <c r="I45" i="33" s="1"/>
  <c r="J45" i="33" s="1"/>
  <c r="E44" i="35"/>
  <c r="G44" i="35" s="1"/>
  <c r="I44" i="35" s="1"/>
  <c r="J44" i="35" s="1"/>
  <c r="E44" i="36"/>
  <c r="G44" i="36" s="1"/>
  <c r="I44" i="36" s="1"/>
  <c r="J44" i="36" s="1"/>
  <c r="E49" i="198"/>
  <c r="G49" i="198" s="1"/>
  <c r="I49" i="198" s="1"/>
  <c r="J49" i="198" s="1"/>
  <c r="D17" i="3"/>
  <c r="E17" i="3" s="1"/>
  <c r="F17" i="3"/>
  <c r="D7" i="185" s="1"/>
  <c r="J7" i="185" s="1"/>
  <c r="K7" i="185" s="1"/>
  <c r="L7" i="185" s="1"/>
  <c r="M7" i="185" s="1"/>
  <c r="H49" i="140"/>
  <c r="O21" i="122"/>
  <c r="F27" i="3"/>
  <c r="D27" i="3"/>
  <c r="E27" i="3" s="1"/>
  <c r="D25" i="3"/>
  <c r="E25" i="3" s="1"/>
  <c r="F25" i="3"/>
  <c r="C22" i="122"/>
  <c r="C25" i="122" s="1"/>
  <c r="C41" i="122" s="1"/>
  <c r="C51" i="122" s="1"/>
  <c r="C52" i="122" s="1"/>
  <c r="C53" i="122" s="1"/>
  <c r="I16" i="141"/>
  <c r="J16" i="141" s="1"/>
  <c r="E13" i="121"/>
  <c r="S41" i="122"/>
  <c r="S51" i="122" s="1"/>
  <c r="S52" i="122" s="1"/>
  <c r="S53" i="122" s="1"/>
  <c r="F10" i="3"/>
  <c r="D10" i="3"/>
  <c r="E10" i="3" s="1"/>
  <c r="I16" i="24"/>
  <c r="J16" i="24" s="1"/>
  <c r="I17" i="24"/>
  <c r="J17" i="24" s="1"/>
  <c r="I14" i="24"/>
  <c r="J14" i="24" s="1"/>
  <c r="G21" i="122"/>
  <c r="H17" i="9"/>
  <c r="H60" i="9" s="1"/>
  <c r="Q36" i="122"/>
  <c r="Q21" i="122"/>
  <c r="D44" i="3"/>
  <c r="E44" i="3" s="1"/>
  <c r="F44" i="3"/>
  <c r="I15" i="17"/>
  <c r="J15" i="17" s="1"/>
  <c r="F19" i="3"/>
  <c r="D19" i="3"/>
  <c r="E19" i="3" s="1"/>
  <c r="D3" i="3"/>
  <c r="E3" i="3" s="1"/>
  <c r="E56" i="203" s="1"/>
  <c r="G56" i="203" s="1"/>
  <c r="I56" i="203" s="1"/>
  <c r="J56" i="203" s="1"/>
  <c r="F3" i="3"/>
  <c r="I15" i="24"/>
  <c r="J15" i="24" s="1"/>
  <c r="I19" i="26"/>
  <c r="J19" i="26" s="1"/>
  <c r="I15" i="140"/>
  <c r="J15" i="140" s="1"/>
  <c r="I22" i="122"/>
  <c r="I25" i="122" s="1"/>
  <c r="I41" i="122" s="1"/>
  <c r="I51" i="122" s="1"/>
  <c r="I52" i="122" s="1"/>
  <c r="I53" i="122" s="1"/>
  <c r="I18" i="26"/>
  <c r="J18" i="26" s="1"/>
  <c r="I16" i="9"/>
  <c r="J16" i="9" s="1"/>
  <c r="I19" i="19"/>
  <c r="J19" i="19" s="1"/>
  <c r="E22" i="122"/>
  <c r="E25" i="122" s="1"/>
  <c r="I13" i="151"/>
  <c r="J13" i="151" s="1"/>
  <c r="F15" i="3"/>
  <c r="D5" i="185" s="1"/>
  <c r="J5" i="185" s="1"/>
  <c r="K5" i="185" s="1"/>
  <c r="L5" i="185" s="1"/>
  <c r="M5" i="185" s="1"/>
  <c r="D15" i="3"/>
  <c r="E15" i="3" s="1"/>
  <c r="I14" i="26"/>
  <c r="J14" i="26" s="1"/>
  <c r="F5" i="3"/>
  <c r="D5" i="3"/>
  <c r="E5" i="3" s="1"/>
  <c r="M22" i="122"/>
  <c r="M25" i="122"/>
  <c r="M41" i="122" s="1"/>
  <c r="M51" i="122" s="1"/>
  <c r="M52" i="122" s="1"/>
  <c r="M53" i="122" s="1"/>
  <c r="D8" i="3"/>
  <c r="E8" i="3" s="1"/>
  <c r="F8" i="3"/>
  <c r="D11" i="185" s="1"/>
  <c r="J11" i="185" s="1"/>
  <c r="K11" i="185" s="1"/>
  <c r="L11" i="185" s="1"/>
  <c r="M11" i="185" s="1"/>
  <c r="D26" i="3"/>
  <c r="E26" i="3" s="1"/>
  <c r="F26" i="3"/>
  <c r="Q30" i="122"/>
  <c r="G36" i="122"/>
  <c r="I19" i="25"/>
  <c r="J19" i="25" s="1"/>
  <c r="I16" i="142"/>
  <c r="J16" i="142" s="1"/>
  <c r="O30" i="122"/>
  <c r="H51" i="13"/>
  <c r="H52" i="13" s="1"/>
  <c r="F32" i="3"/>
  <c r="D4" i="185" s="1"/>
  <c r="J4" i="185" s="1"/>
  <c r="K4" i="185" s="1"/>
  <c r="L4" i="185" s="1"/>
  <c r="M4" i="185" s="1"/>
  <c r="D32" i="3"/>
  <c r="E32" i="3" s="1"/>
  <c r="F41" i="3"/>
  <c r="D41" i="3"/>
  <c r="E41" i="3" s="1"/>
  <c r="I15" i="20"/>
  <c r="J15" i="20" s="1"/>
  <c r="D36" i="3"/>
  <c r="E36" i="3" s="1"/>
  <c r="F36" i="3"/>
  <c r="D8" i="185" s="1"/>
  <c r="J8" i="185" s="1"/>
  <c r="K8" i="185" s="1"/>
  <c r="L8" i="185" s="1"/>
  <c r="M8" i="185" s="1"/>
  <c r="F7" i="3"/>
  <c r="D7" i="3"/>
  <c r="E7" i="3" s="1"/>
  <c r="F12" i="3"/>
  <c r="D12" i="3"/>
  <c r="E12" i="3" s="1"/>
  <c r="J49" i="110" l="1"/>
  <c r="H13" i="110" s="1"/>
  <c r="I13" i="110" s="1"/>
  <c r="J13" i="110" s="1"/>
  <c r="E56" i="12"/>
  <c r="G56" i="12" s="1"/>
  <c r="I56" i="12" s="1"/>
  <c r="J56" i="12" s="1"/>
  <c r="E55" i="17"/>
  <c r="G55" i="17" s="1"/>
  <c r="I55" i="17" s="1"/>
  <c r="J55" i="17" s="1"/>
  <c r="E55" i="15"/>
  <c r="G55" i="15" s="1"/>
  <c r="I55" i="15" s="1"/>
  <c r="J55" i="15" s="1"/>
  <c r="I16" i="13"/>
  <c r="J16" i="13" s="1"/>
  <c r="E56" i="10"/>
  <c r="G56" i="10" s="1"/>
  <c r="I56" i="10" s="1"/>
  <c r="J56" i="10" s="1"/>
  <c r="E56" i="11"/>
  <c r="G56" i="11" s="1"/>
  <c r="I56" i="11" s="1"/>
  <c r="J56" i="11" s="1"/>
  <c r="E56" i="202"/>
  <c r="G56" i="202" s="1"/>
  <c r="I56" i="202" s="1"/>
  <c r="J56" i="202" s="1"/>
  <c r="E55" i="14"/>
  <c r="G55" i="14" s="1"/>
  <c r="I55" i="14" s="1"/>
  <c r="J55" i="14" s="1"/>
  <c r="E54" i="21"/>
  <c r="G54" i="21" s="1"/>
  <c r="I54" i="21" s="1"/>
  <c r="J54" i="21" s="1"/>
  <c r="E50" i="6"/>
  <c r="E53" i="21"/>
  <c r="G53" i="21" s="1"/>
  <c r="I53" i="21" s="1"/>
  <c r="J53" i="21" s="1"/>
  <c r="E53" i="203"/>
  <c r="G53" i="203" s="1"/>
  <c r="I53" i="203" s="1"/>
  <c r="J53" i="203" s="1"/>
  <c r="E52" i="24"/>
  <c r="G52" i="24" s="1"/>
  <c r="I52" i="24" s="1"/>
  <c r="J52" i="24" s="1"/>
  <c r="E54" i="20"/>
  <c r="G54" i="20" s="1"/>
  <c r="I54" i="20" s="1"/>
  <c r="J54" i="20" s="1"/>
  <c r="E54" i="19"/>
  <c r="G54" i="19" s="1"/>
  <c r="I54" i="19" s="1"/>
  <c r="J54" i="19" s="1"/>
  <c r="E53" i="202"/>
  <c r="G53" i="202" s="1"/>
  <c r="I53" i="202" s="1"/>
  <c r="J53" i="202" s="1"/>
  <c r="E60" i="9"/>
  <c r="G60" i="9" s="1"/>
  <c r="I60" i="9" s="1"/>
  <c r="J60" i="9" s="1"/>
  <c r="E53" i="10"/>
  <c r="G53" i="10" s="1"/>
  <c r="I53" i="10" s="1"/>
  <c r="J53" i="10" s="1"/>
  <c r="E52" i="17"/>
  <c r="G52" i="17" s="1"/>
  <c r="I52" i="17" s="1"/>
  <c r="J52" i="17" s="1"/>
  <c r="E53" i="12"/>
  <c r="G53" i="12" s="1"/>
  <c r="I53" i="12" s="1"/>
  <c r="J53" i="12" s="1"/>
  <c r="E53" i="120"/>
  <c r="G53" i="120" s="1"/>
  <c r="I53" i="120" s="1"/>
  <c r="J53" i="120" s="1"/>
  <c r="E52" i="14"/>
  <c r="G52" i="14" s="1"/>
  <c r="I52" i="14" s="1"/>
  <c r="J52" i="14" s="1"/>
  <c r="E52" i="15"/>
  <c r="G52" i="15" s="1"/>
  <c r="I52" i="15" s="1"/>
  <c r="J52" i="15" s="1"/>
  <c r="I17" i="13"/>
  <c r="J17" i="13" s="1"/>
  <c r="E56" i="21"/>
  <c r="G56" i="21" s="1"/>
  <c r="I56" i="21" s="1"/>
  <c r="J56" i="21" s="1"/>
  <c r="E55" i="24"/>
  <c r="G55" i="24" s="1"/>
  <c r="I55" i="24" s="1"/>
  <c r="J55" i="24" s="1"/>
  <c r="E57" i="19"/>
  <c r="G57" i="19" s="1"/>
  <c r="I57" i="19" s="1"/>
  <c r="J57" i="19" s="1"/>
  <c r="E57" i="20"/>
  <c r="G57" i="20" s="1"/>
  <c r="I57" i="20" s="1"/>
  <c r="J57" i="20" s="1"/>
  <c r="E57" i="203"/>
  <c r="G57" i="203" s="1"/>
  <c r="I57" i="203" s="1"/>
  <c r="J57" i="203" s="1"/>
  <c r="E57" i="202"/>
  <c r="G57" i="202" s="1"/>
  <c r="I57" i="202" s="1"/>
  <c r="J57" i="202" s="1"/>
  <c r="E57" i="10"/>
  <c r="G57" i="10" s="1"/>
  <c r="I57" i="10" s="1"/>
  <c r="J57" i="10" s="1"/>
  <c r="E61" i="9"/>
  <c r="G61" i="9" s="1"/>
  <c r="I61" i="9" s="1"/>
  <c r="J61" i="9" s="1"/>
  <c r="E56" i="17"/>
  <c r="G56" i="17" s="1"/>
  <c r="I56" i="17" s="1"/>
  <c r="J56" i="17" s="1"/>
  <c r="E56" i="14"/>
  <c r="G56" i="14" s="1"/>
  <c r="I56" i="14" s="1"/>
  <c r="J56" i="14" s="1"/>
  <c r="E56" i="15"/>
  <c r="G56" i="15" s="1"/>
  <c r="I56" i="15" s="1"/>
  <c r="J56" i="15" s="1"/>
  <c r="E57" i="120"/>
  <c r="G57" i="120" s="1"/>
  <c r="I57" i="120" s="1"/>
  <c r="J57" i="120" s="1"/>
  <c r="E57" i="12"/>
  <c r="G57" i="12" s="1"/>
  <c r="I57" i="12" s="1"/>
  <c r="J57" i="12" s="1"/>
  <c r="E57" i="11"/>
  <c r="G57" i="11" s="1"/>
  <c r="I57" i="11" s="1"/>
  <c r="J57" i="11" s="1"/>
  <c r="E57" i="21"/>
  <c r="G57" i="21" s="1"/>
  <c r="I57" i="21" s="1"/>
  <c r="J57" i="21" s="1"/>
  <c r="E58" i="19"/>
  <c r="G58" i="19" s="1"/>
  <c r="I58" i="19" s="1"/>
  <c r="J58" i="19" s="1"/>
  <c r="E56" i="24"/>
  <c r="G56" i="24" s="1"/>
  <c r="I56" i="24" s="1"/>
  <c r="J56" i="24" s="1"/>
  <c r="E58" i="20"/>
  <c r="G58" i="20" s="1"/>
  <c r="I58" i="20" s="1"/>
  <c r="J58" i="20" s="1"/>
  <c r="J35" i="27"/>
  <c r="J42" i="27"/>
  <c r="J16" i="27"/>
  <c r="E53" i="24"/>
  <c r="G53" i="24" s="1"/>
  <c r="I53" i="24" s="1"/>
  <c r="J53" i="24" s="1"/>
  <c r="E55" i="20"/>
  <c r="G55" i="20" s="1"/>
  <c r="I55" i="20" s="1"/>
  <c r="J55" i="20" s="1"/>
  <c r="E55" i="19"/>
  <c r="G55" i="19" s="1"/>
  <c r="I55" i="19" s="1"/>
  <c r="J55" i="19" s="1"/>
  <c r="E54" i="202"/>
  <c r="G54" i="202" s="1"/>
  <c r="I54" i="202" s="1"/>
  <c r="J54" i="202" s="1"/>
  <c r="E54" i="203"/>
  <c r="G54" i="203" s="1"/>
  <c r="I54" i="203" s="1"/>
  <c r="J54" i="203" s="1"/>
  <c r="Z57" i="126"/>
  <c r="Z59" i="126" s="1"/>
  <c r="E54" i="10"/>
  <c r="G54" i="10" s="1"/>
  <c r="I54" i="10" s="1"/>
  <c r="J54" i="10" s="1"/>
  <c r="E53" i="15"/>
  <c r="G53" i="15" s="1"/>
  <c r="I53" i="15" s="1"/>
  <c r="J53" i="15" s="1"/>
  <c r="E53" i="14"/>
  <c r="G53" i="14" s="1"/>
  <c r="I53" i="14" s="1"/>
  <c r="J53" i="14" s="1"/>
  <c r="E54" i="12"/>
  <c r="G54" i="12" s="1"/>
  <c r="I54" i="12" s="1"/>
  <c r="J54" i="12" s="1"/>
  <c r="E53" i="17"/>
  <c r="G53" i="17" s="1"/>
  <c r="I53" i="17" s="1"/>
  <c r="J53" i="17" s="1"/>
  <c r="E62" i="9"/>
  <c r="G62" i="9" s="1"/>
  <c r="I62" i="9" s="1"/>
  <c r="J62" i="9" s="1"/>
  <c r="E54" i="120"/>
  <c r="G54" i="120" s="1"/>
  <c r="I54" i="120" s="1"/>
  <c r="J54" i="120" s="1"/>
  <c r="J35" i="8"/>
  <c r="I16" i="18"/>
  <c r="J16" i="18" s="1"/>
  <c r="K31" i="141"/>
  <c r="K30" i="141"/>
  <c r="K27" i="141"/>
  <c r="K28" i="141"/>
  <c r="K32" i="141"/>
  <c r="K26" i="141"/>
  <c r="K33" i="141"/>
  <c r="K25" i="141"/>
  <c r="I15" i="14"/>
  <c r="J15" i="14" s="1"/>
  <c r="K28" i="140"/>
  <c r="K25" i="140"/>
  <c r="K32" i="140"/>
  <c r="K26" i="140"/>
  <c r="K29" i="140"/>
  <c r="K27" i="140"/>
  <c r="K33" i="140"/>
  <c r="K30" i="140"/>
  <c r="E46" i="37"/>
  <c r="G46" i="37" s="1"/>
  <c r="I46" i="37" s="1"/>
  <c r="J46" i="37" s="1"/>
  <c r="E46" i="43"/>
  <c r="G46" i="43" s="1"/>
  <c r="I46" i="43" s="1"/>
  <c r="J46" i="43" s="1"/>
  <c r="E46" i="45"/>
  <c r="G46" i="45" s="1"/>
  <c r="I46" i="45" s="1"/>
  <c r="J46" i="45" s="1"/>
  <c r="E46" i="46"/>
  <c r="G46" i="46" s="1"/>
  <c r="I46" i="46" s="1"/>
  <c r="J46" i="46" s="1"/>
  <c r="E46" i="47"/>
  <c r="G46" i="47" s="1"/>
  <c r="I46" i="47" s="1"/>
  <c r="J46" i="47" s="1"/>
  <c r="E46" i="38"/>
  <c r="G46" i="38" s="1"/>
  <c r="I46" i="38" s="1"/>
  <c r="J46" i="38" s="1"/>
  <c r="E46" i="44"/>
  <c r="G46" i="44" s="1"/>
  <c r="I46" i="44" s="1"/>
  <c r="J46" i="44" s="1"/>
  <c r="E45" i="67"/>
  <c r="G45" i="67" s="1"/>
  <c r="I45" i="67" s="1"/>
  <c r="J45" i="67" s="1"/>
  <c r="E46" i="68"/>
  <c r="G46" i="68" s="1"/>
  <c r="I46" i="68" s="1"/>
  <c r="J46" i="68" s="1"/>
  <c r="E46" i="130"/>
  <c r="G46" i="130" s="1"/>
  <c r="I46" i="130" s="1"/>
  <c r="J46" i="130" s="1"/>
  <c r="E46" i="49"/>
  <c r="G46" i="49" s="1"/>
  <c r="I46" i="49" s="1"/>
  <c r="J46" i="49" s="1"/>
  <c r="E46" i="57"/>
  <c r="G46" i="57" s="1"/>
  <c r="I46" i="57" s="1"/>
  <c r="J46" i="57" s="1"/>
  <c r="E43" i="98"/>
  <c r="G43" i="98" s="1"/>
  <c r="I43" i="98" s="1"/>
  <c r="J43" i="98" s="1"/>
  <c r="J49" i="98" s="1"/>
  <c r="H13" i="98" s="1"/>
  <c r="I13" i="98" s="1"/>
  <c r="J13" i="98" s="1"/>
  <c r="E46" i="48"/>
  <c r="G46" i="48" s="1"/>
  <c r="I46" i="48" s="1"/>
  <c r="J46" i="48" s="1"/>
  <c r="E46" i="53"/>
  <c r="G46" i="53" s="1"/>
  <c r="I46" i="53" s="1"/>
  <c r="J46" i="53" s="1"/>
  <c r="E46" i="56"/>
  <c r="G46" i="56" s="1"/>
  <c r="I46" i="56" s="1"/>
  <c r="J46" i="56" s="1"/>
  <c r="E46" i="69"/>
  <c r="G46" i="69" s="1"/>
  <c r="I46" i="69" s="1"/>
  <c r="J46" i="69" s="1"/>
  <c r="E43" i="134"/>
  <c r="G43" i="134" s="1"/>
  <c r="I43" i="134" s="1"/>
  <c r="J43" i="134" s="1"/>
  <c r="J50" i="134" s="1"/>
  <c r="H15" i="134" s="1"/>
  <c r="I15" i="134" s="1"/>
  <c r="J15" i="134" s="1"/>
  <c r="E46" i="39"/>
  <c r="G46" i="39" s="1"/>
  <c r="I46" i="39" s="1"/>
  <c r="J46" i="39" s="1"/>
  <c r="E46" i="51"/>
  <c r="G46" i="51" s="1"/>
  <c r="I46" i="51" s="1"/>
  <c r="J46" i="51" s="1"/>
  <c r="E46" i="52"/>
  <c r="G46" i="52" s="1"/>
  <c r="I46" i="52" s="1"/>
  <c r="J46" i="52" s="1"/>
  <c r="E46" i="64"/>
  <c r="G46" i="64" s="1"/>
  <c r="I46" i="64" s="1"/>
  <c r="J46" i="64" s="1"/>
  <c r="E46" i="111"/>
  <c r="G46" i="111" s="1"/>
  <c r="I46" i="111" s="1"/>
  <c r="J46" i="111" s="1"/>
  <c r="E43" i="146"/>
  <c r="G43" i="146" s="1"/>
  <c r="I43" i="146" s="1"/>
  <c r="J43" i="146" s="1"/>
  <c r="J48" i="146" s="1"/>
  <c r="H15" i="146" s="1"/>
  <c r="I15" i="146" s="1"/>
  <c r="J15" i="146" s="1"/>
  <c r="E43" i="145"/>
  <c r="G43" i="145" s="1"/>
  <c r="I43" i="145" s="1"/>
  <c r="J43" i="145" s="1"/>
  <c r="J50" i="145" s="1"/>
  <c r="H15" i="145" s="1"/>
  <c r="I15" i="145" s="1"/>
  <c r="J15" i="145" s="1"/>
  <c r="E43" i="151"/>
  <c r="G43" i="151" s="1"/>
  <c r="I43" i="151" s="1"/>
  <c r="J43" i="151" s="1"/>
  <c r="J49" i="151" s="1"/>
  <c r="E42" i="77"/>
  <c r="G42" i="77" s="1"/>
  <c r="I42" i="77" s="1"/>
  <c r="J42" i="77" s="1"/>
  <c r="J48" i="77" s="1"/>
  <c r="H14" i="77" s="1"/>
  <c r="I14" i="77" s="1"/>
  <c r="J14" i="77" s="1"/>
  <c r="E43" i="96"/>
  <c r="G43" i="96" s="1"/>
  <c r="I43" i="96" s="1"/>
  <c r="J43" i="96" s="1"/>
  <c r="J49" i="96" s="1"/>
  <c r="E43" i="150"/>
  <c r="G43" i="150" s="1"/>
  <c r="I43" i="150" s="1"/>
  <c r="J43" i="150" s="1"/>
  <c r="J49" i="150" s="1"/>
  <c r="E43" i="148"/>
  <c r="G43" i="148" s="1"/>
  <c r="I43" i="148" s="1"/>
  <c r="J43" i="148" s="1"/>
  <c r="J49" i="148" s="1"/>
  <c r="E43" i="157"/>
  <c r="G43" i="157" s="1"/>
  <c r="I43" i="157" s="1"/>
  <c r="J43" i="157" s="1"/>
  <c r="J49" i="157" s="1"/>
  <c r="E43" i="160"/>
  <c r="G43" i="160" s="1"/>
  <c r="I43" i="160" s="1"/>
  <c r="J43" i="160" s="1"/>
  <c r="J49" i="160" s="1"/>
  <c r="E43" i="175"/>
  <c r="G43" i="175" s="1"/>
  <c r="I43" i="175" s="1"/>
  <c r="J43" i="175" s="1"/>
  <c r="J49" i="175" s="1"/>
  <c r="E43" i="177"/>
  <c r="G43" i="177" s="1"/>
  <c r="I43" i="177" s="1"/>
  <c r="J43" i="177" s="1"/>
  <c r="J49" i="177" s="1"/>
  <c r="E42" i="194"/>
  <c r="G42" i="194" s="1"/>
  <c r="I42" i="194" s="1"/>
  <c r="J42" i="194" s="1"/>
  <c r="J49" i="194" s="1"/>
  <c r="H15" i="194" s="1"/>
  <c r="I15" i="194" s="1"/>
  <c r="J15" i="194" s="1"/>
  <c r="E43" i="179"/>
  <c r="G43" i="179" s="1"/>
  <c r="I43" i="179" s="1"/>
  <c r="J43" i="179" s="1"/>
  <c r="J49" i="179" s="1"/>
  <c r="E43" i="135"/>
  <c r="G43" i="135" s="1"/>
  <c r="I43" i="135" s="1"/>
  <c r="J43" i="135" s="1"/>
  <c r="J49" i="135" s="1"/>
  <c r="H15" i="135" s="1"/>
  <c r="I15" i="135" s="1"/>
  <c r="J15" i="135" s="1"/>
  <c r="E43" i="89"/>
  <c r="G43" i="89" s="1"/>
  <c r="I43" i="89" s="1"/>
  <c r="J43" i="89" s="1"/>
  <c r="J50" i="89" s="1"/>
  <c r="H15" i="89" s="1"/>
  <c r="I15" i="89" s="1"/>
  <c r="J15" i="89" s="1"/>
  <c r="E46" i="109"/>
  <c r="G46" i="109" s="1"/>
  <c r="I46" i="109" s="1"/>
  <c r="J46" i="109" s="1"/>
  <c r="J56" i="109" s="1"/>
  <c r="H13" i="109" s="1"/>
  <c r="I13" i="109" s="1"/>
  <c r="J13" i="109" s="1"/>
  <c r="E43" i="147"/>
  <c r="G43" i="147" s="1"/>
  <c r="I43" i="147" s="1"/>
  <c r="J43" i="147" s="1"/>
  <c r="J49" i="147" s="1"/>
  <c r="E43" i="156"/>
  <c r="G43" i="156" s="1"/>
  <c r="I43" i="156" s="1"/>
  <c r="J43" i="156" s="1"/>
  <c r="J49" i="156" s="1"/>
  <c r="E48" i="198"/>
  <c r="G48" i="198" s="1"/>
  <c r="I48" i="198" s="1"/>
  <c r="J48" i="198" s="1"/>
  <c r="J51" i="198" s="1"/>
  <c r="I19" i="198" s="1"/>
  <c r="J19" i="198" s="1"/>
  <c r="E44" i="196"/>
  <c r="G44" i="196" s="1"/>
  <c r="I44" i="196" s="1"/>
  <c r="J44" i="196" s="1"/>
  <c r="J48" i="196" s="1"/>
  <c r="H14" i="196" s="1"/>
  <c r="I14" i="196" s="1"/>
  <c r="J14" i="196" s="1"/>
  <c r="E46" i="197"/>
  <c r="G46" i="197" s="1"/>
  <c r="I46" i="197" s="1"/>
  <c r="J46" i="197" s="1"/>
  <c r="E43" i="158"/>
  <c r="G43" i="158" s="1"/>
  <c r="I43" i="158" s="1"/>
  <c r="J43" i="158" s="1"/>
  <c r="J49" i="158" s="1"/>
  <c r="E43" i="152"/>
  <c r="G43" i="152" s="1"/>
  <c r="I43" i="152" s="1"/>
  <c r="J43" i="152" s="1"/>
  <c r="J49" i="152" s="1"/>
  <c r="E43" i="78"/>
  <c r="G43" i="78" s="1"/>
  <c r="I43" i="78" s="1"/>
  <c r="J43" i="78" s="1"/>
  <c r="J50" i="78" s="1"/>
  <c r="H15" i="78" s="1"/>
  <c r="I15" i="78" s="1"/>
  <c r="J15" i="78" s="1"/>
  <c r="E43" i="107"/>
  <c r="G43" i="107" s="1"/>
  <c r="I43" i="107" s="1"/>
  <c r="J43" i="107" s="1"/>
  <c r="J49" i="107" s="1"/>
  <c r="H11" i="107" s="1"/>
  <c r="I11" i="107" s="1"/>
  <c r="J11" i="107" s="1"/>
  <c r="E43" i="90"/>
  <c r="G43" i="90" s="1"/>
  <c r="I43" i="90" s="1"/>
  <c r="J43" i="90" s="1"/>
  <c r="J48" i="90" s="1"/>
  <c r="H15" i="90" s="1"/>
  <c r="I15" i="90" s="1"/>
  <c r="J15" i="90" s="1"/>
  <c r="E43" i="83"/>
  <c r="G43" i="83" s="1"/>
  <c r="I43" i="83" s="1"/>
  <c r="J43" i="83" s="1"/>
  <c r="J49" i="83" s="1"/>
  <c r="H15" i="83" s="1"/>
  <c r="I15" i="83" s="1"/>
  <c r="J15" i="83" s="1"/>
  <c r="E43" i="79"/>
  <c r="G43" i="79" s="1"/>
  <c r="I43" i="79" s="1"/>
  <c r="J43" i="79" s="1"/>
  <c r="J49" i="79" s="1"/>
  <c r="E46" i="70"/>
  <c r="G46" i="70" s="1"/>
  <c r="I46" i="70" s="1"/>
  <c r="J46" i="70" s="1"/>
  <c r="E43" i="97"/>
  <c r="G43" i="97" s="1"/>
  <c r="I43" i="97" s="1"/>
  <c r="J43" i="97" s="1"/>
  <c r="J49" i="97" s="1"/>
  <c r="H15" i="97" s="1"/>
  <c r="I15" i="97" s="1"/>
  <c r="J15" i="97" s="1"/>
  <c r="E43" i="84"/>
  <c r="G43" i="84" s="1"/>
  <c r="I43" i="84" s="1"/>
  <c r="J43" i="84" s="1"/>
  <c r="J50" i="84" s="1"/>
  <c r="H15" i="84" s="1"/>
  <c r="I15" i="84" s="1"/>
  <c r="J15" i="84" s="1"/>
  <c r="E46" i="66"/>
  <c r="G46" i="66" s="1"/>
  <c r="I46" i="66" s="1"/>
  <c r="J46" i="66" s="1"/>
  <c r="E46" i="62"/>
  <c r="G46" i="62" s="1"/>
  <c r="I46" i="62" s="1"/>
  <c r="J46" i="62" s="1"/>
  <c r="E46" i="54"/>
  <c r="G46" i="54" s="1"/>
  <c r="I46" i="54" s="1"/>
  <c r="J46" i="54" s="1"/>
  <c r="E43" i="178"/>
  <c r="G43" i="178" s="1"/>
  <c r="I43" i="178" s="1"/>
  <c r="J43" i="178" s="1"/>
  <c r="J49" i="178" s="1"/>
  <c r="E43" i="187"/>
  <c r="G43" i="187" s="1"/>
  <c r="I43" i="187" s="1"/>
  <c r="J43" i="187" s="1"/>
  <c r="J49" i="187" s="1"/>
  <c r="H15" i="187" s="1"/>
  <c r="I15" i="187" s="1"/>
  <c r="J15" i="187" s="1"/>
  <c r="E46" i="65"/>
  <c r="G46" i="65" s="1"/>
  <c r="I46" i="65" s="1"/>
  <c r="J46" i="65" s="1"/>
  <c r="E46" i="60"/>
  <c r="G46" i="60" s="1"/>
  <c r="I46" i="60" s="1"/>
  <c r="J46" i="60" s="1"/>
  <c r="E43" i="138"/>
  <c r="G43" i="138" s="1"/>
  <c r="I43" i="138" s="1"/>
  <c r="J43" i="138" s="1"/>
  <c r="J49" i="138" s="1"/>
  <c r="E43" i="92"/>
  <c r="G43" i="92" s="1"/>
  <c r="I43" i="92" s="1"/>
  <c r="J43" i="92" s="1"/>
  <c r="E43" i="91"/>
  <c r="G43" i="91" s="1"/>
  <c r="I43" i="91" s="1"/>
  <c r="J43" i="91" s="1"/>
  <c r="J50" i="91" s="1"/>
  <c r="H15" i="91" s="1"/>
  <c r="I15" i="91" s="1"/>
  <c r="J15" i="91" s="1"/>
  <c r="E43" i="86"/>
  <c r="G43" i="86" s="1"/>
  <c r="I43" i="86" s="1"/>
  <c r="J43" i="86" s="1"/>
  <c r="J50" i="86" s="1"/>
  <c r="H15" i="86" s="1"/>
  <c r="I15" i="86" s="1"/>
  <c r="J15" i="86" s="1"/>
  <c r="E43" i="88"/>
  <c r="G43" i="88" s="1"/>
  <c r="I43" i="88" s="1"/>
  <c r="J43" i="88" s="1"/>
  <c r="J50" i="88" s="1"/>
  <c r="H15" i="88" s="1"/>
  <c r="I15" i="88" s="1"/>
  <c r="J15" i="88" s="1"/>
  <c r="E43" i="82"/>
  <c r="G43" i="82" s="1"/>
  <c r="I43" i="82" s="1"/>
  <c r="J43" i="82" s="1"/>
  <c r="J50" i="82" s="1"/>
  <c r="H15" i="82" s="1"/>
  <c r="I15" i="82" s="1"/>
  <c r="J15" i="82" s="1"/>
  <c r="E43" i="133"/>
  <c r="G43" i="133" s="1"/>
  <c r="I43" i="133" s="1"/>
  <c r="J43" i="133" s="1"/>
  <c r="J50" i="133" s="1"/>
  <c r="H15" i="133" s="1"/>
  <c r="I15" i="133" s="1"/>
  <c r="J15" i="133" s="1"/>
  <c r="E44" i="131"/>
  <c r="G44" i="131" s="1"/>
  <c r="I44" i="131" s="1"/>
  <c r="J44" i="131" s="1"/>
  <c r="E46" i="50"/>
  <c r="G46" i="50" s="1"/>
  <c r="I46" i="50" s="1"/>
  <c r="J46" i="50" s="1"/>
  <c r="E43" i="180"/>
  <c r="G43" i="180" s="1"/>
  <c r="I43" i="180" s="1"/>
  <c r="J43" i="180" s="1"/>
  <c r="J49" i="180" s="1"/>
  <c r="E43" i="164"/>
  <c r="G43" i="164" s="1"/>
  <c r="I43" i="164" s="1"/>
  <c r="J43" i="164" s="1"/>
  <c r="J50" i="164" s="1"/>
  <c r="H15" i="164" s="1"/>
  <c r="I15" i="164" s="1"/>
  <c r="J15" i="164" s="1"/>
  <c r="E43" i="99"/>
  <c r="G43" i="99" s="1"/>
  <c r="I43" i="99" s="1"/>
  <c r="J43" i="99" s="1"/>
  <c r="J49" i="99" s="1"/>
  <c r="E44" i="73"/>
  <c r="G44" i="73" s="1"/>
  <c r="I44" i="73" s="1"/>
  <c r="J44" i="73" s="1"/>
  <c r="J48" i="73" s="1"/>
  <c r="H14" i="73" s="1"/>
  <c r="I14" i="73" s="1"/>
  <c r="J14" i="73" s="1"/>
  <c r="E43" i="176"/>
  <c r="G43" i="176" s="1"/>
  <c r="I43" i="176" s="1"/>
  <c r="J43" i="176" s="1"/>
  <c r="J49" i="176" s="1"/>
  <c r="E43" i="144"/>
  <c r="G43" i="144" s="1"/>
  <c r="I43" i="144" s="1"/>
  <c r="J43" i="144" s="1"/>
  <c r="J50" i="144" s="1"/>
  <c r="H15" i="144" s="1"/>
  <c r="I15" i="144" s="1"/>
  <c r="J15" i="144" s="1"/>
  <c r="E46" i="55"/>
  <c r="G46" i="55" s="1"/>
  <c r="I46" i="55" s="1"/>
  <c r="J46" i="55" s="1"/>
  <c r="E46" i="59"/>
  <c r="G46" i="59" s="1"/>
  <c r="I46" i="59" s="1"/>
  <c r="J46" i="59" s="1"/>
  <c r="E46" i="40"/>
  <c r="G46" i="40" s="1"/>
  <c r="I46" i="40" s="1"/>
  <c r="J46" i="40" s="1"/>
  <c r="E43" i="181"/>
  <c r="G43" i="181" s="1"/>
  <c r="I43" i="181" s="1"/>
  <c r="J43" i="181" s="1"/>
  <c r="J49" i="181" s="1"/>
  <c r="E43" i="186"/>
  <c r="G43" i="186" s="1"/>
  <c r="I43" i="186" s="1"/>
  <c r="J43" i="186" s="1"/>
  <c r="J49" i="186" s="1"/>
  <c r="H15" i="186" s="1"/>
  <c r="I15" i="186" s="1"/>
  <c r="J15" i="186" s="1"/>
  <c r="E46" i="71"/>
  <c r="G46" i="71" s="1"/>
  <c r="I46" i="71" s="1"/>
  <c r="J46" i="71" s="1"/>
  <c r="E43" i="154"/>
  <c r="G43" i="154" s="1"/>
  <c r="I43" i="154" s="1"/>
  <c r="J43" i="154" s="1"/>
  <c r="J49" i="154" s="1"/>
  <c r="E43" i="95"/>
  <c r="G43" i="95" s="1"/>
  <c r="I43" i="95" s="1"/>
  <c r="J43" i="95" s="1"/>
  <c r="J49" i="95" s="1"/>
  <c r="E43" i="137"/>
  <c r="G43" i="137" s="1"/>
  <c r="I43" i="137" s="1"/>
  <c r="J43" i="137" s="1"/>
  <c r="J49" i="137" s="1"/>
  <c r="H15" i="137" s="1"/>
  <c r="I15" i="137" s="1"/>
  <c r="J15" i="137" s="1"/>
  <c r="E44" i="132"/>
  <c r="G44" i="132" s="1"/>
  <c r="I44" i="132" s="1"/>
  <c r="J44" i="132" s="1"/>
  <c r="J48" i="132" s="1"/>
  <c r="H14" i="132" s="1"/>
  <c r="I14" i="132" s="1"/>
  <c r="J14" i="132" s="1"/>
  <c r="E46" i="41"/>
  <c r="G46" i="41" s="1"/>
  <c r="I46" i="41" s="1"/>
  <c r="J46" i="41" s="1"/>
  <c r="E46" i="63"/>
  <c r="G46" i="63" s="1"/>
  <c r="I46" i="63" s="1"/>
  <c r="J46" i="63" s="1"/>
  <c r="E46" i="61"/>
  <c r="G46" i="61" s="1"/>
  <c r="I46" i="61" s="1"/>
  <c r="J46" i="61" s="1"/>
  <c r="E46" i="58"/>
  <c r="G46" i="58" s="1"/>
  <c r="I46" i="58" s="1"/>
  <c r="J46" i="58" s="1"/>
  <c r="E43" i="192"/>
  <c r="G43" i="192" s="1"/>
  <c r="I43" i="192" s="1"/>
  <c r="E43" i="171"/>
  <c r="G43" i="171" s="1"/>
  <c r="I43" i="171" s="1"/>
  <c r="J43" i="171" s="1"/>
  <c r="J49" i="171" s="1"/>
  <c r="I51" i="171" s="1"/>
  <c r="E43" i="170"/>
  <c r="G43" i="170" s="1"/>
  <c r="I43" i="170" s="1"/>
  <c r="J43" i="170" s="1"/>
  <c r="J49" i="170" s="1"/>
  <c r="I51" i="170" s="1"/>
  <c r="E43" i="116"/>
  <c r="G43" i="116" s="1"/>
  <c r="I43" i="116" s="1"/>
  <c r="J43" i="116" s="1"/>
  <c r="J49" i="116" s="1"/>
  <c r="I51" i="116" s="1"/>
  <c r="E43" i="85"/>
  <c r="G43" i="85" s="1"/>
  <c r="I43" i="85" s="1"/>
  <c r="J43" i="85" s="1"/>
  <c r="J50" i="85" s="1"/>
  <c r="I52" i="85" s="1"/>
  <c r="E104" i="5" s="1"/>
  <c r="E43" i="112"/>
  <c r="G43" i="112" s="1"/>
  <c r="I43" i="112" s="1"/>
  <c r="J43" i="112" s="1"/>
  <c r="J49" i="112" s="1"/>
  <c r="I51" i="112" s="1"/>
  <c r="E51" i="31"/>
  <c r="G51" i="31" s="1"/>
  <c r="I51" i="31" s="1"/>
  <c r="J51" i="31" s="1"/>
  <c r="E43" i="172"/>
  <c r="G43" i="172" s="1"/>
  <c r="I43" i="172" s="1"/>
  <c r="J43" i="172" s="1"/>
  <c r="J49" i="172" s="1"/>
  <c r="I51" i="172" s="1"/>
  <c r="E59" i="25"/>
  <c r="G59" i="25" s="1"/>
  <c r="I59" i="25" s="1"/>
  <c r="J59" i="25" s="1"/>
  <c r="E47" i="142"/>
  <c r="G47" i="142" s="1"/>
  <c r="I47" i="142" s="1"/>
  <c r="J47" i="142" s="1"/>
  <c r="E57" i="18"/>
  <c r="G57" i="18" s="1"/>
  <c r="I57" i="18" s="1"/>
  <c r="J57" i="18" s="1"/>
  <c r="E46" i="7"/>
  <c r="G46" i="7" s="1"/>
  <c r="I46" i="7" s="1"/>
  <c r="J46" i="7" s="1"/>
  <c r="E44" i="101"/>
  <c r="G44" i="101" s="1"/>
  <c r="I44" i="101" s="1"/>
  <c r="J44" i="101" s="1"/>
  <c r="J50" i="101" s="1"/>
  <c r="J18" i="101" s="1"/>
  <c r="I52" i="101" s="1"/>
  <c r="E94" i="5" s="1"/>
  <c r="E44" i="100"/>
  <c r="G44" i="100" s="1"/>
  <c r="I44" i="100" s="1"/>
  <c r="J44" i="100" s="1"/>
  <c r="J49" i="100" s="1"/>
  <c r="E44" i="102"/>
  <c r="G44" i="102" s="1"/>
  <c r="I44" i="102" s="1"/>
  <c r="J44" i="102" s="1"/>
  <c r="E44" i="108"/>
  <c r="G44" i="108" s="1"/>
  <c r="I44" i="108" s="1"/>
  <c r="J44" i="108" s="1"/>
  <c r="E47" i="140"/>
  <c r="G47" i="140" s="1"/>
  <c r="I47" i="140" s="1"/>
  <c r="J47" i="140" s="1"/>
  <c r="E43" i="126"/>
  <c r="G43" i="126" s="1"/>
  <c r="I43" i="126" s="1"/>
  <c r="J43" i="126" s="1"/>
  <c r="E43" i="169"/>
  <c r="G43" i="169" s="1"/>
  <c r="I43" i="169" s="1"/>
  <c r="J43" i="169" s="1"/>
  <c r="J49" i="169" s="1"/>
  <c r="I51" i="169" s="1"/>
  <c r="E43" i="36"/>
  <c r="G43" i="36" s="1"/>
  <c r="I43" i="36" s="1"/>
  <c r="J43" i="36" s="1"/>
  <c r="E43" i="34"/>
  <c r="G43" i="34" s="1"/>
  <c r="I43" i="34" s="1"/>
  <c r="J43" i="34" s="1"/>
  <c r="E43" i="174"/>
  <c r="G43" i="174" s="1"/>
  <c r="I43" i="174" s="1"/>
  <c r="J43" i="174" s="1"/>
  <c r="J49" i="174" s="1"/>
  <c r="I51" i="174" s="1"/>
  <c r="E44" i="103"/>
  <c r="G44" i="103" s="1"/>
  <c r="I44" i="103" s="1"/>
  <c r="J44" i="103" s="1"/>
  <c r="J49" i="103" s="1"/>
  <c r="H11" i="103" s="1"/>
  <c r="I11" i="103" s="1"/>
  <c r="J11" i="103" s="1"/>
  <c r="J18" i="103" s="1"/>
  <c r="E43" i="165"/>
  <c r="G43" i="165" s="1"/>
  <c r="I43" i="165" s="1"/>
  <c r="J43" i="165" s="1"/>
  <c r="J49" i="165" s="1"/>
  <c r="I51" i="165" s="1"/>
  <c r="E43" i="115"/>
  <c r="G43" i="115" s="1"/>
  <c r="I43" i="115" s="1"/>
  <c r="J43" i="115" s="1"/>
  <c r="J49" i="115" s="1"/>
  <c r="I51" i="115" s="1"/>
  <c r="E44" i="105"/>
  <c r="G44" i="105" s="1"/>
  <c r="I44" i="105" s="1"/>
  <c r="J44" i="105" s="1"/>
  <c r="E48" i="8"/>
  <c r="G48" i="8" s="1"/>
  <c r="I48" i="8" s="1"/>
  <c r="J48" i="8" s="1"/>
  <c r="E43" i="35"/>
  <c r="G43" i="35" s="1"/>
  <c r="I43" i="35" s="1"/>
  <c r="J43" i="35" s="1"/>
  <c r="E44" i="33"/>
  <c r="G44" i="33" s="1"/>
  <c r="I44" i="33" s="1"/>
  <c r="J44" i="33" s="1"/>
  <c r="E43" i="173"/>
  <c r="G43" i="173" s="1"/>
  <c r="I43" i="173" s="1"/>
  <c r="J43" i="173" s="1"/>
  <c r="J49" i="173" s="1"/>
  <c r="I51" i="173" s="1"/>
  <c r="E43" i="113"/>
  <c r="G43" i="113" s="1"/>
  <c r="I43" i="113" s="1"/>
  <c r="J43" i="113" s="1"/>
  <c r="J49" i="113" s="1"/>
  <c r="I51" i="113" s="1"/>
  <c r="E63" i="26"/>
  <c r="G63" i="26" s="1"/>
  <c r="I63" i="26" s="1"/>
  <c r="J63" i="26" s="1"/>
  <c r="E43" i="193"/>
  <c r="G43" i="193" s="1"/>
  <c r="I43" i="193" s="1"/>
  <c r="J43" i="193" s="1"/>
  <c r="J49" i="193" s="1"/>
  <c r="I51" i="193" s="1"/>
  <c r="E44" i="106"/>
  <c r="G44" i="106" s="1"/>
  <c r="I44" i="106" s="1"/>
  <c r="J44" i="106" s="1"/>
  <c r="E43" i="114"/>
  <c r="G43" i="114" s="1"/>
  <c r="I43" i="114" s="1"/>
  <c r="J43" i="114" s="1"/>
  <c r="J49" i="114" s="1"/>
  <c r="I51" i="114" s="1"/>
  <c r="E47" i="27"/>
  <c r="G47" i="27" s="1"/>
  <c r="I47" i="27" s="1"/>
  <c r="J47" i="27" s="1"/>
  <c r="E44" i="104"/>
  <c r="G44" i="104" s="1"/>
  <c r="I44" i="104" s="1"/>
  <c r="J44" i="104" s="1"/>
  <c r="J50" i="104" s="1"/>
  <c r="H11" i="104" s="1"/>
  <c r="I11" i="104" s="1"/>
  <c r="J11" i="104" s="1"/>
  <c r="J18" i="104" s="1"/>
  <c r="I52" i="104" s="1"/>
  <c r="E96" i="5" s="1"/>
  <c r="E49" i="6"/>
  <c r="G49" i="6" s="1"/>
  <c r="I49" i="6" s="1"/>
  <c r="J49" i="6" s="1"/>
  <c r="E51" i="13"/>
  <c r="G51" i="13" s="1"/>
  <c r="I51" i="13" s="1"/>
  <c r="J51" i="13" s="1"/>
  <c r="E47" i="141"/>
  <c r="G47" i="141" s="1"/>
  <c r="I47" i="141" s="1"/>
  <c r="J47" i="141" s="1"/>
  <c r="E41" i="122"/>
  <c r="E51" i="122" s="1"/>
  <c r="E52" i="122" s="1"/>
  <c r="E53" i="122" s="1"/>
  <c r="E42" i="122"/>
  <c r="E48" i="142"/>
  <c r="G48" i="142" s="1"/>
  <c r="I48" i="142" s="1"/>
  <c r="J48" i="142" s="1"/>
  <c r="E61" i="26"/>
  <c r="G61" i="26" s="1"/>
  <c r="I61" i="26" s="1"/>
  <c r="J61" i="26" s="1"/>
  <c r="E54" i="18"/>
  <c r="G54" i="18" s="1"/>
  <c r="I54" i="18" s="1"/>
  <c r="J54" i="18" s="1"/>
  <c r="E57" i="25"/>
  <c r="G57" i="25" s="1"/>
  <c r="I57" i="25" s="1"/>
  <c r="J57" i="25" s="1"/>
  <c r="E53" i="11"/>
  <c r="G53" i="11" s="1"/>
  <c r="I53" i="11" s="1"/>
  <c r="J53" i="11" s="1"/>
  <c r="E45" i="7"/>
  <c r="G45" i="7" s="1"/>
  <c r="I45" i="7" s="1"/>
  <c r="J45" i="7" s="1"/>
  <c r="E49" i="13"/>
  <c r="G49" i="13" s="1"/>
  <c r="I49" i="13" s="1"/>
  <c r="J49" i="13" s="1"/>
  <c r="E47" i="8"/>
  <c r="G47" i="8" s="1"/>
  <c r="I47" i="8" s="1"/>
  <c r="J47" i="8" s="1"/>
  <c r="E48" i="141"/>
  <c r="G48" i="141" s="1"/>
  <c r="I48" i="141" s="1"/>
  <c r="J48" i="141" s="1"/>
  <c r="E48" i="6"/>
  <c r="G48" i="6" s="1"/>
  <c r="I48" i="6" s="1"/>
  <c r="J48" i="6" s="1"/>
  <c r="E48" i="27"/>
  <c r="G48" i="27" s="1"/>
  <c r="I48" i="27" s="1"/>
  <c r="J48" i="27" s="1"/>
  <c r="E48" i="140"/>
  <c r="G48" i="140" s="1"/>
  <c r="I48" i="140" s="1"/>
  <c r="J48" i="140" s="1"/>
  <c r="E46" i="33"/>
  <c r="G46" i="33" s="1"/>
  <c r="I46" i="33" s="1"/>
  <c r="J46" i="33" s="1"/>
  <c r="E45" i="36"/>
  <c r="G45" i="36" s="1"/>
  <c r="I45" i="36" s="1"/>
  <c r="J45" i="36" s="1"/>
  <c r="E45" i="35"/>
  <c r="G45" i="35" s="1"/>
  <c r="I45" i="35" s="1"/>
  <c r="J45" i="35" s="1"/>
  <c r="E45" i="34"/>
  <c r="G45" i="34" s="1"/>
  <c r="I45" i="34" s="1"/>
  <c r="J45" i="34" s="1"/>
  <c r="E49" i="27"/>
  <c r="G49" i="27" s="1"/>
  <c r="I49" i="27" s="1"/>
  <c r="J49" i="27" s="1"/>
  <c r="E60" i="25"/>
  <c r="G60" i="25" s="1"/>
  <c r="I60" i="25" s="1"/>
  <c r="J60" i="25" s="1"/>
  <c r="E53" i="31"/>
  <c r="G53" i="31" s="1"/>
  <c r="I53" i="31" s="1"/>
  <c r="J53" i="31" s="1"/>
  <c r="E49" i="141"/>
  <c r="G49" i="141" s="1"/>
  <c r="I49" i="141" s="1"/>
  <c r="J49" i="141" s="1"/>
  <c r="E64" i="26"/>
  <c r="G64" i="26" s="1"/>
  <c r="I64" i="26" s="1"/>
  <c r="J64" i="26" s="1"/>
  <c r="E49" i="140"/>
  <c r="G49" i="140" s="1"/>
  <c r="I49" i="140" s="1"/>
  <c r="J49" i="140" s="1"/>
  <c r="E58" i="18"/>
  <c r="G58" i="18" s="1"/>
  <c r="I58" i="18" s="1"/>
  <c r="J58" i="18" s="1"/>
  <c r="E52" i="13"/>
  <c r="G52" i="13" s="1"/>
  <c r="E51" i="6"/>
  <c r="G51" i="6" s="1"/>
  <c r="I51" i="6" s="1"/>
  <c r="J51" i="6" s="1"/>
  <c r="E45" i="105"/>
  <c r="G45" i="105" s="1"/>
  <c r="I45" i="105" s="1"/>
  <c r="J45" i="105" s="1"/>
  <c r="E45" i="106"/>
  <c r="G45" i="106" s="1"/>
  <c r="I45" i="106" s="1"/>
  <c r="J45" i="106" s="1"/>
  <c r="G3" i="3"/>
  <c r="E44" i="126"/>
  <c r="G44" i="126" s="1"/>
  <c r="I44" i="126" s="1"/>
  <c r="J44" i="126" s="1"/>
  <c r="E45" i="102"/>
  <c r="G45" i="102" s="1"/>
  <c r="I45" i="102" s="1"/>
  <c r="J45" i="102" s="1"/>
  <c r="E49" i="142"/>
  <c r="G49" i="142" s="1"/>
  <c r="I49" i="142" s="1"/>
  <c r="J49" i="142" s="1"/>
  <c r="E45" i="108"/>
  <c r="G45" i="108" s="1"/>
  <c r="I45" i="108" s="1"/>
  <c r="J45" i="108" s="1"/>
  <c r="J14" i="185"/>
  <c r="J49" i="185" s="1"/>
  <c r="J51" i="185" s="1"/>
  <c r="I17" i="140"/>
  <c r="J17" i="140" s="1"/>
  <c r="I16" i="140"/>
  <c r="J16" i="140" s="1"/>
  <c r="G22" i="122"/>
  <c r="G25" i="122" s="1"/>
  <c r="G41" i="122" s="1"/>
  <c r="G51" i="122" s="1"/>
  <c r="G52" i="122" s="1"/>
  <c r="G53" i="122" s="1"/>
  <c r="I17" i="18"/>
  <c r="J17" i="18" s="1"/>
  <c r="I16" i="120"/>
  <c r="J16" i="120" s="1"/>
  <c r="H18" i="9"/>
  <c r="I17" i="9"/>
  <c r="J17" i="9" s="1"/>
  <c r="I16" i="15"/>
  <c r="J16" i="15" s="1"/>
  <c r="I19" i="18"/>
  <c r="J19" i="18" s="1"/>
  <c r="I18" i="18"/>
  <c r="J18" i="18" s="1"/>
  <c r="E46" i="102"/>
  <c r="G46" i="102" s="1"/>
  <c r="I46" i="102" s="1"/>
  <c r="J46" i="102" s="1"/>
  <c r="E50" i="31"/>
  <c r="G50" i="31" s="1"/>
  <c r="I50" i="31" s="1"/>
  <c r="J50" i="31" s="1"/>
  <c r="I16" i="17"/>
  <c r="J16" i="17" s="1"/>
  <c r="F13" i="121"/>
  <c r="E19" i="121"/>
  <c r="I16" i="20"/>
  <c r="J16" i="20" s="1"/>
  <c r="O22" i="122"/>
  <c r="O25" i="122" s="1"/>
  <c r="O41" i="122" s="1"/>
  <c r="O51" i="122" s="1"/>
  <c r="O52" i="122" s="1"/>
  <c r="O53" i="122" s="1"/>
  <c r="K25" i="142"/>
  <c r="K29" i="142"/>
  <c r="K30" i="142"/>
  <c r="K28" i="142"/>
  <c r="K32" i="142"/>
  <c r="K27" i="142"/>
  <c r="K26" i="142"/>
  <c r="K31" i="142"/>
  <c r="J48" i="131"/>
  <c r="H14" i="131" s="1"/>
  <c r="I14" i="131" s="1"/>
  <c r="J14" i="131" s="1"/>
  <c r="E43" i="38"/>
  <c r="G43" i="38" s="1"/>
  <c r="I43" i="38" s="1"/>
  <c r="J43" i="38" s="1"/>
  <c r="E43" i="40"/>
  <c r="G43" i="40" s="1"/>
  <c r="I43" i="40" s="1"/>
  <c r="J43" i="40" s="1"/>
  <c r="E43" i="49"/>
  <c r="G43" i="49" s="1"/>
  <c r="I43" i="49" s="1"/>
  <c r="J43" i="49" s="1"/>
  <c r="E43" i="41"/>
  <c r="G43" i="41" s="1"/>
  <c r="I43" i="41" s="1"/>
  <c r="J43" i="41" s="1"/>
  <c r="E43" i="39"/>
  <c r="G43" i="39" s="1"/>
  <c r="I43" i="39" s="1"/>
  <c r="J43" i="39" s="1"/>
  <c r="E43" i="48"/>
  <c r="G43" i="48" s="1"/>
  <c r="I43" i="48" s="1"/>
  <c r="J43" i="48" s="1"/>
  <c r="J49" i="48" s="1"/>
  <c r="E43" i="50"/>
  <c r="G43" i="50" s="1"/>
  <c r="I43" i="50" s="1"/>
  <c r="J43" i="50" s="1"/>
  <c r="E43" i="55"/>
  <c r="G43" i="55" s="1"/>
  <c r="I43" i="55" s="1"/>
  <c r="J43" i="55" s="1"/>
  <c r="E43" i="59"/>
  <c r="G43" i="59" s="1"/>
  <c r="I43" i="59" s="1"/>
  <c r="J43" i="59" s="1"/>
  <c r="E43" i="60"/>
  <c r="G43" i="60" s="1"/>
  <c r="I43" i="60" s="1"/>
  <c r="J43" i="60" s="1"/>
  <c r="J49" i="60" s="1"/>
  <c r="E43" i="63"/>
  <c r="G43" i="63" s="1"/>
  <c r="I43" i="63" s="1"/>
  <c r="J43" i="63" s="1"/>
  <c r="E43" i="65"/>
  <c r="G43" i="65" s="1"/>
  <c r="I43" i="65" s="1"/>
  <c r="J43" i="65" s="1"/>
  <c r="E43" i="70"/>
  <c r="G43" i="70" s="1"/>
  <c r="I43" i="70" s="1"/>
  <c r="J43" i="70" s="1"/>
  <c r="E43" i="51"/>
  <c r="G43" i="51" s="1"/>
  <c r="I43" i="51" s="1"/>
  <c r="J43" i="51" s="1"/>
  <c r="E43" i="53"/>
  <c r="G43" i="53" s="1"/>
  <c r="I43" i="53" s="1"/>
  <c r="J43" i="53" s="1"/>
  <c r="J49" i="53" s="1"/>
  <c r="E43" i="56"/>
  <c r="G43" i="56" s="1"/>
  <c r="I43" i="56" s="1"/>
  <c r="J43" i="56" s="1"/>
  <c r="E43" i="44"/>
  <c r="G43" i="44" s="1"/>
  <c r="I43" i="44" s="1"/>
  <c r="J43" i="44" s="1"/>
  <c r="J49" i="44" s="1"/>
  <c r="E43" i="57"/>
  <c r="G43" i="57" s="1"/>
  <c r="I43" i="57" s="1"/>
  <c r="J43" i="57" s="1"/>
  <c r="E43" i="62"/>
  <c r="G43" i="62" s="1"/>
  <c r="I43" i="62" s="1"/>
  <c r="J43" i="62" s="1"/>
  <c r="E43" i="66"/>
  <c r="G43" i="66" s="1"/>
  <c r="I43" i="66" s="1"/>
  <c r="J43" i="66" s="1"/>
  <c r="E43" i="71"/>
  <c r="G43" i="71" s="1"/>
  <c r="I43" i="71" s="1"/>
  <c r="J43" i="71" s="1"/>
  <c r="E43" i="197"/>
  <c r="G43" i="197" s="1"/>
  <c r="I43" i="197" s="1"/>
  <c r="J43" i="197" s="1"/>
  <c r="E42" i="67"/>
  <c r="G42" i="67" s="1"/>
  <c r="I42" i="67" s="1"/>
  <c r="J42" i="67" s="1"/>
  <c r="E43" i="64"/>
  <c r="G43" i="64" s="1"/>
  <c r="I43" i="64" s="1"/>
  <c r="J43" i="64" s="1"/>
  <c r="J49" i="64" s="1"/>
  <c r="E43" i="61"/>
  <c r="G43" i="61" s="1"/>
  <c r="I43" i="61" s="1"/>
  <c r="J43" i="61" s="1"/>
  <c r="E43" i="54"/>
  <c r="G43" i="54" s="1"/>
  <c r="I43" i="54" s="1"/>
  <c r="J43" i="54" s="1"/>
  <c r="E43" i="43"/>
  <c r="G43" i="43" s="1"/>
  <c r="I43" i="43" s="1"/>
  <c r="J43" i="43" s="1"/>
  <c r="E43" i="37"/>
  <c r="G43" i="37" s="1"/>
  <c r="I43" i="37" s="1"/>
  <c r="J43" i="37" s="1"/>
  <c r="E43" i="130"/>
  <c r="G43" i="130" s="1"/>
  <c r="I43" i="130" s="1"/>
  <c r="J43" i="130" s="1"/>
  <c r="E43" i="52"/>
  <c r="G43" i="52" s="1"/>
  <c r="I43" i="52" s="1"/>
  <c r="J43" i="52" s="1"/>
  <c r="J49" i="52" s="1"/>
  <c r="E43" i="68"/>
  <c r="G43" i="68" s="1"/>
  <c r="I43" i="68" s="1"/>
  <c r="J43" i="68" s="1"/>
  <c r="E43" i="46"/>
  <c r="G43" i="46" s="1"/>
  <c r="I43" i="46" s="1"/>
  <c r="J43" i="46" s="1"/>
  <c r="E43" i="45"/>
  <c r="G43" i="45" s="1"/>
  <c r="I43" i="45" s="1"/>
  <c r="J43" i="45" s="1"/>
  <c r="E43" i="58"/>
  <c r="G43" i="58" s="1"/>
  <c r="I43" i="58" s="1"/>
  <c r="J43" i="58" s="1"/>
  <c r="E43" i="69"/>
  <c r="G43" i="69" s="1"/>
  <c r="I43" i="69" s="1"/>
  <c r="J43" i="69" s="1"/>
  <c r="E43" i="111"/>
  <c r="G43" i="111" s="1"/>
  <c r="I43" i="111" s="1"/>
  <c r="J43" i="111" s="1"/>
  <c r="E43" i="47"/>
  <c r="G43" i="47" s="1"/>
  <c r="I43" i="47" s="1"/>
  <c r="J43" i="47" s="1"/>
  <c r="J49" i="47" s="1"/>
  <c r="I15" i="21"/>
  <c r="J15" i="21" s="1"/>
  <c r="Q22" i="122"/>
  <c r="Q25" i="122" s="1"/>
  <c r="Q41" i="122" s="1"/>
  <c r="Q51" i="122" s="1"/>
  <c r="Q52" i="122" s="1"/>
  <c r="Q53" i="122" s="1"/>
  <c r="E46" i="140"/>
  <c r="G46" i="140" s="1"/>
  <c r="I46" i="140" s="1"/>
  <c r="J46" i="140" s="1"/>
  <c r="E55" i="18"/>
  <c r="G55" i="18" s="1"/>
  <c r="I55" i="18" s="1"/>
  <c r="J55" i="18" s="1"/>
  <c r="E46" i="141"/>
  <c r="G46" i="141" s="1"/>
  <c r="I46" i="141" s="1"/>
  <c r="J46" i="141" s="1"/>
  <c r="E50" i="13"/>
  <c r="G50" i="13" s="1"/>
  <c r="I50" i="13" s="1"/>
  <c r="J50" i="13" s="1"/>
  <c r="E52" i="31"/>
  <c r="G52" i="31" s="1"/>
  <c r="I52" i="31" s="1"/>
  <c r="J52" i="31" s="1"/>
  <c r="E46" i="27"/>
  <c r="G46" i="27" s="1"/>
  <c r="I46" i="27" s="1"/>
  <c r="J46" i="27" s="1"/>
  <c r="E58" i="25"/>
  <c r="G58" i="25" s="1"/>
  <c r="I58" i="25" s="1"/>
  <c r="J58" i="25" s="1"/>
  <c r="E54" i="11"/>
  <c r="G54" i="11" s="1"/>
  <c r="I54" i="11" s="1"/>
  <c r="J54" i="11" s="1"/>
  <c r="E62" i="26"/>
  <c r="G62" i="26" s="1"/>
  <c r="I62" i="26" s="1"/>
  <c r="J62" i="26" s="1"/>
  <c r="E46" i="142"/>
  <c r="G46" i="142" s="1"/>
  <c r="I46" i="142" s="1"/>
  <c r="J46" i="142" s="1"/>
  <c r="G50" i="6"/>
  <c r="I50" i="6" s="1"/>
  <c r="J50" i="6" s="1"/>
  <c r="J55" i="6" l="1"/>
  <c r="J49" i="92"/>
  <c r="H15" i="92" s="1"/>
  <c r="I15" i="92" s="1"/>
  <c r="J15" i="92" s="1"/>
  <c r="J49" i="55"/>
  <c r="J49" i="41"/>
  <c r="J49" i="38"/>
  <c r="J43" i="192"/>
  <c r="J49" i="192" s="1"/>
  <c r="I51" i="192" s="1"/>
  <c r="J62" i="202"/>
  <c r="I20" i="202" s="1"/>
  <c r="J20" i="202" s="1"/>
  <c r="J22" i="202" s="1"/>
  <c r="I64" i="202" s="1"/>
  <c r="E20" i="5" s="1"/>
  <c r="F20" i="5" s="1"/>
  <c r="J62" i="21"/>
  <c r="J49" i="197"/>
  <c r="J49" i="51"/>
  <c r="J49" i="70"/>
  <c r="J49" i="65"/>
  <c r="J49" i="108"/>
  <c r="H11" i="108" s="1"/>
  <c r="I11" i="108" s="1"/>
  <c r="J11" i="108" s="1"/>
  <c r="J62" i="203"/>
  <c r="I20" i="203" s="1"/>
  <c r="J20" i="203" s="1"/>
  <c r="J22" i="203" s="1"/>
  <c r="I64" i="203" s="1"/>
  <c r="J49" i="58"/>
  <c r="J49" i="57"/>
  <c r="J61" i="15"/>
  <c r="I20" i="15" s="1"/>
  <c r="J20" i="15" s="1"/>
  <c r="J49" i="63"/>
  <c r="J54" i="27"/>
  <c r="H18" i="27" s="1"/>
  <c r="J49" i="105"/>
  <c r="H12" i="105" s="1"/>
  <c r="I12" i="105" s="1"/>
  <c r="J12" i="105" s="1"/>
  <c r="J49" i="54"/>
  <c r="J49" i="49"/>
  <c r="J51" i="7"/>
  <c r="I16" i="7" s="1"/>
  <c r="J16" i="7" s="1"/>
  <c r="J19" i="7" s="1"/>
  <c r="I53" i="7" s="1"/>
  <c r="E5" i="5" s="1"/>
  <c r="J48" i="67"/>
  <c r="I18" i="6"/>
  <c r="J18" i="6" s="1"/>
  <c r="J49" i="37"/>
  <c r="J49" i="66"/>
  <c r="J50" i="106"/>
  <c r="H11" i="106" s="1"/>
  <c r="I11" i="106" s="1"/>
  <c r="J11" i="106" s="1"/>
  <c r="J49" i="40"/>
  <c r="J54" i="141"/>
  <c r="J49" i="68"/>
  <c r="J49" i="56"/>
  <c r="J49" i="50"/>
  <c r="J61" i="14"/>
  <c r="I20" i="14" s="1"/>
  <c r="J20" i="14" s="1"/>
  <c r="J53" i="8"/>
  <c r="I16" i="8" s="1"/>
  <c r="J16" i="8" s="1"/>
  <c r="J20" i="8" s="1"/>
  <c r="I55" i="8" s="1"/>
  <c r="E6" i="5" s="1"/>
  <c r="J51" i="33"/>
  <c r="G12" i="33" s="1"/>
  <c r="J62" i="10"/>
  <c r="I20" i="10" s="1"/>
  <c r="J49" i="61"/>
  <c r="J63" i="19"/>
  <c r="I20" i="19" s="1"/>
  <c r="J20" i="19" s="1"/>
  <c r="J22" i="19" s="1"/>
  <c r="I65" i="19" s="1"/>
  <c r="E17" i="5" s="1"/>
  <c r="J63" i="20"/>
  <c r="I20" i="20" s="1"/>
  <c r="J20" i="20" s="1"/>
  <c r="J49" i="69"/>
  <c r="J49" i="43"/>
  <c r="J49" i="62"/>
  <c r="J62" i="12"/>
  <c r="I20" i="12" s="1"/>
  <c r="J20" i="12" s="1"/>
  <c r="J49" i="126"/>
  <c r="H11" i="126" s="1"/>
  <c r="I16" i="14"/>
  <c r="J16" i="14" s="1"/>
  <c r="J49" i="45"/>
  <c r="J49" i="130"/>
  <c r="E51" i="185"/>
  <c r="E55" i="185" s="1"/>
  <c r="H19" i="9"/>
  <c r="I18" i="9"/>
  <c r="J18" i="9" s="1"/>
  <c r="E7" i="139"/>
  <c r="Y7" i="184"/>
  <c r="Z7" i="184" s="1"/>
  <c r="Y8" i="184"/>
  <c r="Z8" i="184" s="1"/>
  <c r="E8" i="139"/>
  <c r="H11" i="138"/>
  <c r="I11" i="138" s="1"/>
  <c r="J11" i="138" s="1"/>
  <c r="J18" i="138" s="1"/>
  <c r="I51" i="138" s="1"/>
  <c r="E105" i="5" s="1"/>
  <c r="J54" i="142"/>
  <c r="J62" i="11"/>
  <c r="I20" i="11" s="1"/>
  <c r="J20" i="11" s="1"/>
  <c r="J22" i="11" s="1"/>
  <c r="J61" i="24"/>
  <c r="I20" i="24" s="1"/>
  <c r="J20" i="24" s="1"/>
  <c r="J21" i="24" s="1"/>
  <c r="I63" i="24" s="1"/>
  <c r="E22" i="5" s="1"/>
  <c r="J61" i="17"/>
  <c r="I20" i="17" s="1"/>
  <c r="J20" i="17" s="1"/>
  <c r="J64" i="18"/>
  <c r="I20" i="18" s="1"/>
  <c r="J20" i="18" s="1"/>
  <c r="J22" i="18" s="1"/>
  <c r="I66" i="18" s="1"/>
  <c r="E16" i="5" s="1"/>
  <c r="J49" i="71"/>
  <c r="I17" i="120"/>
  <c r="J17" i="120" s="1"/>
  <c r="J70" i="9"/>
  <c r="I21" i="9" s="1"/>
  <c r="J21" i="9" s="1"/>
  <c r="E6" i="139"/>
  <c r="Y6" i="184"/>
  <c r="Z6" i="184" s="1"/>
  <c r="E5" i="139"/>
  <c r="Y5" i="184"/>
  <c r="Z5" i="184" s="1"/>
  <c r="Y9" i="184"/>
  <c r="Z9" i="184" s="1"/>
  <c r="E9" i="139"/>
  <c r="J50" i="36"/>
  <c r="Y11" i="184"/>
  <c r="Z11" i="184" s="1"/>
  <c r="E11" i="139"/>
  <c r="H11" i="99"/>
  <c r="I11" i="99" s="1"/>
  <c r="J11" i="99" s="1"/>
  <c r="J18" i="99" s="1"/>
  <c r="I16" i="21"/>
  <c r="J16" i="21" s="1"/>
  <c r="H11" i="100"/>
  <c r="I11" i="100" s="1"/>
  <c r="J11" i="100" s="1"/>
  <c r="J18" i="100" s="1"/>
  <c r="I51" i="100" s="1"/>
  <c r="E93" i="5" s="1"/>
  <c r="I17" i="15"/>
  <c r="J17" i="15" s="1"/>
  <c r="J62" i="120"/>
  <c r="I20" i="120" s="1"/>
  <c r="J20" i="120" s="1"/>
  <c r="J57" i="31"/>
  <c r="I19" i="31" s="1"/>
  <c r="J19" i="31" s="1"/>
  <c r="J22" i="31" s="1"/>
  <c r="I59" i="31" s="1"/>
  <c r="E28" i="5" s="1"/>
  <c r="I17" i="20"/>
  <c r="J17" i="20" s="1"/>
  <c r="I17" i="17"/>
  <c r="J17" i="17" s="1"/>
  <c r="J50" i="35"/>
  <c r="J50" i="34"/>
  <c r="J49" i="102"/>
  <c r="H11" i="102" s="1"/>
  <c r="I11" i="102" s="1"/>
  <c r="J11" i="102" s="1"/>
  <c r="E13" i="139"/>
  <c r="Y13" i="184"/>
  <c r="Z13" i="184" s="1"/>
  <c r="J70" i="26"/>
  <c r="I20" i="26" s="1"/>
  <c r="J20" i="26" s="1"/>
  <c r="J24" i="26" s="1"/>
  <c r="I72" i="26" s="1"/>
  <c r="E24" i="5" s="1"/>
  <c r="J66" i="25"/>
  <c r="I20" i="25" s="1"/>
  <c r="J20" i="25" s="1"/>
  <c r="J22" i="25" s="1"/>
  <c r="I68" i="25" s="1"/>
  <c r="E23" i="5" s="1"/>
  <c r="J54" i="140"/>
  <c r="J49" i="111"/>
  <c r="J49" i="46"/>
  <c r="J49" i="59"/>
  <c r="J49" i="39"/>
  <c r="K14" i="185"/>
  <c r="K49" i="185" s="1"/>
  <c r="K51" i="185" s="1"/>
  <c r="F51" i="185" s="1"/>
  <c r="I52" i="13"/>
  <c r="J52" i="13" s="1"/>
  <c r="J58" i="13" s="1"/>
  <c r="I19" i="13" s="1"/>
  <c r="J19" i="13" s="1"/>
  <c r="I20" i="21"/>
  <c r="J20" i="21" s="1"/>
  <c r="Y14" i="184"/>
  <c r="Z14" i="184" s="1"/>
  <c r="E14" i="139"/>
  <c r="E10" i="139"/>
  <c r="Y10" i="184"/>
  <c r="Z10" i="184" s="1"/>
  <c r="E4" i="139"/>
  <c r="Y4" i="184"/>
  <c r="Z4" i="184" s="1"/>
  <c r="Y12" i="184"/>
  <c r="Z12" i="184" s="1"/>
  <c r="E12" i="139"/>
  <c r="E17" i="139"/>
  <c r="Y17" i="184"/>
  <c r="Z17" i="184" s="1"/>
  <c r="Y15" i="184"/>
  <c r="Z15" i="184" s="1"/>
  <c r="E15" i="139"/>
  <c r="I12" i="33" l="1"/>
  <c r="J12" i="33"/>
  <c r="J19" i="33" s="1"/>
  <c r="I53" i="33" s="1"/>
  <c r="E29" i="5" s="1"/>
  <c r="I51" i="99"/>
  <c r="E92" i="5" s="1"/>
  <c r="J20" i="6"/>
  <c r="I57" i="6" s="1"/>
  <c r="E4" i="5" s="1"/>
  <c r="H18" i="142"/>
  <c r="I18" i="142" s="1"/>
  <c r="J18" i="142" s="1"/>
  <c r="J21" i="142" s="1"/>
  <c r="I56" i="142" s="1"/>
  <c r="H18" i="141"/>
  <c r="I18" i="141" s="1"/>
  <c r="J18" i="141" s="1"/>
  <c r="J21" i="141" s="1"/>
  <c r="I56" i="141" s="1"/>
  <c r="H18" i="140"/>
  <c r="I18" i="140" s="1"/>
  <c r="J18" i="140" s="1"/>
  <c r="J21" i="140" s="1"/>
  <c r="I56" i="140" s="1"/>
  <c r="E16" i="139"/>
  <c r="I16" i="139" s="1"/>
  <c r="Y16" i="184"/>
  <c r="Z16" i="184" s="1"/>
  <c r="J11" i="126"/>
  <c r="E21" i="5"/>
  <c r="F21" i="5" s="1"/>
  <c r="J20" i="10"/>
  <c r="J22" i="10" s="1"/>
  <c r="I64" i="10" s="1"/>
  <c r="I17" i="14"/>
  <c r="J17" i="14" s="1"/>
  <c r="AC12" i="184"/>
  <c r="AD12" i="184" s="1"/>
  <c r="I19" i="20"/>
  <c r="J19" i="20" s="1"/>
  <c r="I18" i="20"/>
  <c r="J18" i="20" s="1"/>
  <c r="AC5" i="184"/>
  <c r="AD5" i="184" s="1"/>
  <c r="AC4" i="184"/>
  <c r="AD4" i="184" s="1"/>
  <c r="F55" i="185"/>
  <c r="G11" i="34"/>
  <c r="I11" i="36"/>
  <c r="J11" i="36" s="1"/>
  <c r="J18" i="36" s="1"/>
  <c r="I52" i="36" s="1"/>
  <c r="E32" i="5" s="1"/>
  <c r="I5" i="139"/>
  <c r="F5" i="139"/>
  <c r="L5" i="139"/>
  <c r="AC8" i="184"/>
  <c r="AD8" i="184" s="1"/>
  <c r="F10" i="139"/>
  <c r="L10" i="139"/>
  <c r="I10" i="139"/>
  <c r="I8" i="139"/>
  <c r="F8" i="139"/>
  <c r="L8" i="139"/>
  <c r="L15" i="139"/>
  <c r="I15" i="139"/>
  <c r="F15" i="139"/>
  <c r="L14" i="139"/>
  <c r="F14" i="139"/>
  <c r="I14" i="139"/>
  <c r="AC15" i="184"/>
  <c r="AD15" i="184" s="1"/>
  <c r="L17" i="139"/>
  <c r="I17" i="139"/>
  <c r="F17" i="139"/>
  <c r="I4" i="139"/>
  <c r="F4" i="139"/>
  <c r="L4" i="139"/>
  <c r="AC14" i="184"/>
  <c r="AD14" i="184" s="1"/>
  <c r="M14" i="185"/>
  <c r="L14" i="185"/>
  <c r="L49" i="185" s="1"/>
  <c r="L51" i="185" s="1"/>
  <c r="AC13" i="184"/>
  <c r="AD13" i="184" s="1"/>
  <c r="I11" i="35"/>
  <c r="J11" i="35" s="1"/>
  <c r="J18" i="35" s="1"/>
  <c r="I52" i="35" s="1"/>
  <c r="E31" i="5" s="1"/>
  <c r="I19" i="17"/>
  <c r="J19" i="17" s="1"/>
  <c r="I18" i="17"/>
  <c r="J18" i="17" s="1"/>
  <c r="I19" i="15"/>
  <c r="J19" i="15" s="1"/>
  <c r="I18" i="15"/>
  <c r="J18" i="15" s="1"/>
  <c r="I17" i="21"/>
  <c r="J17" i="21" s="1"/>
  <c r="L9" i="139"/>
  <c r="I9" i="139"/>
  <c r="F9" i="139"/>
  <c r="AC6" i="184"/>
  <c r="AD6" i="184" s="1"/>
  <c r="I19" i="120"/>
  <c r="J19" i="120" s="1"/>
  <c r="I18" i="120"/>
  <c r="J18" i="120" s="1"/>
  <c r="AC7" i="184"/>
  <c r="AD7" i="184" s="1"/>
  <c r="AC11" i="184"/>
  <c r="AD11" i="184" s="1"/>
  <c r="AC17" i="184"/>
  <c r="AD17" i="184" s="1"/>
  <c r="I12" i="139"/>
  <c r="F12" i="139"/>
  <c r="L12" i="139"/>
  <c r="AC10" i="184"/>
  <c r="AD10" i="184" s="1"/>
  <c r="I13" i="139"/>
  <c r="L13" i="139"/>
  <c r="F13" i="139"/>
  <c r="I11" i="139"/>
  <c r="F11" i="139"/>
  <c r="L11" i="139"/>
  <c r="AC9" i="184"/>
  <c r="AD9" i="184" s="1"/>
  <c r="F6" i="139"/>
  <c r="L6" i="139"/>
  <c r="I6" i="139"/>
  <c r="L7" i="139"/>
  <c r="F7" i="139"/>
  <c r="I7" i="139"/>
  <c r="H20" i="9"/>
  <c r="I20" i="9" s="1"/>
  <c r="J20" i="9" s="1"/>
  <c r="I19" i="9"/>
  <c r="J19" i="9" s="1"/>
  <c r="I18" i="27"/>
  <c r="J18" i="27" s="1"/>
  <c r="H19" i="27"/>
  <c r="I19" i="27" s="1"/>
  <c r="J11" i="34" l="1"/>
  <c r="J18" i="34" s="1"/>
  <c r="I52" i="34" s="1"/>
  <c r="E30" i="5" s="1"/>
  <c r="AC16" i="184"/>
  <c r="AD16" i="184" s="1"/>
  <c r="F16" i="139"/>
  <c r="F21" i="139" s="1"/>
  <c r="L16" i="139"/>
  <c r="L21" i="139" s="1"/>
  <c r="E27" i="5"/>
  <c r="K56" i="142"/>
  <c r="E26" i="5"/>
  <c r="K35" i="141"/>
  <c r="K56" i="141"/>
  <c r="K56" i="140"/>
  <c r="K35" i="140"/>
  <c r="E25" i="5"/>
  <c r="J18" i="126"/>
  <c r="I11" i="126"/>
  <c r="J19" i="27"/>
  <c r="E8" i="5"/>
  <c r="J21" i="17"/>
  <c r="I63" i="17" s="1"/>
  <c r="E15" i="5" s="1"/>
  <c r="J23" i="20"/>
  <c r="I65" i="20" s="1"/>
  <c r="E18" i="5" s="1"/>
  <c r="I19" i="14"/>
  <c r="J19" i="14" s="1"/>
  <c r="I18" i="14"/>
  <c r="J18" i="14" s="1"/>
  <c r="J26" i="9"/>
  <c r="I72" i="9" s="1"/>
  <c r="E7" i="5" s="1"/>
  <c r="I64" i="11"/>
  <c r="E9" i="5" s="1"/>
  <c r="J21" i="15"/>
  <c r="I63" i="15" s="1"/>
  <c r="E13" i="5" s="1"/>
  <c r="J21" i="120"/>
  <c r="I64" i="120" s="1"/>
  <c r="E14" i="5" s="1"/>
  <c r="J21" i="13"/>
  <c r="I60" i="13" s="1"/>
  <c r="E11" i="5" s="1"/>
  <c r="G51" i="185"/>
  <c r="M49" i="185"/>
  <c r="M51" i="185" s="1"/>
  <c r="AG5" i="184"/>
  <c r="AH5" i="184" s="1"/>
  <c r="AG17" i="184"/>
  <c r="AH17" i="184" s="1"/>
  <c r="I19" i="21"/>
  <c r="J19" i="21" s="1"/>
  <c r="I18" i="21"/>
  <c r="J18" i="21" s="1"/>
  <c r="AG13" i="184"/>
  <c r="AH13" i="184" s="1"/>
  <c r="AG14" i="184"/>
  <c r="AH14" i="184" s="1"/>
  <c r="AG15" i="184"/>
  <c r="AH15" i="184" s="1"/>
  <c r="AG9" i="184"/>
  <c r="AH9" i="184" s="1"/>
  <c r="AG10" i="184"/>
  <c r="AH10" i="184" s="1"/>
  <c r="AG7" i="184"/>
  <c r="AH7" i="184" s="1"/>
  <c r="I21" i="139"/>
  <c r="AG8" i="184"/>
  <c r="AH8" i="184" s="1"/>
  <c r="AG4" i="184"/>
  <c r="AH4" i="184" s="1"/>
  <c r="AG11" i="184"/>
  <c r="AH11" i="184" s="1"/>
  <c r="AG6" i="184"/>
  <c r="AH6" i="184" s="1"/>
  <c r="Z21" i="184"/>
  <c r="AG12" i="184"/>
  <c r="AH12" i="184" s="1"/>
  <c r="AG16" i="184" l="1"/>
  <c r="AH16" i="184" s="1"/>
  <c r="AD21" i="184"/>
  <c r="I51" i="126"/>
  <c r="M50" i="126" s="1"/>
  <c r="J21" i="27"/>
  <c r="I56" i="27" s="1"/>
  <c r="J21" i="14"/>
  <c r="I63" i="14" s="1"/>
  <c r="E12" i="5" s="1"/>
  <c r="J22" i="12"/>
  <c r="I64" i="12" s="1"/>
  <c r="E10" i="5" s="1"/>
  <c r="J21" i="21"/>
  <c r="I64" i="21" s="1"/>
  <c r="E19" i="5" s="1"/>
  <c r="H51" i="185"/>
  <c r="H55" i="185" s="1"/>
  <c r="G55" i="185"/>
  <c r="AK11" i="184"/>
  <c r="AL11" i="184" s="1"/>
  <c r="AK8" i="184"/>
  <c r="AL8" i="184" s="1"/>
  <c r="AK9" i="184"/>
  <c r="AL9" i="184" s="1"/>
  <c r="AK14" i="184"/>
  <c r="AL14" i="184" s="1"/>
  <c r="AK7" i="184"/>
  <c r="AL7" i="184" s="1"/>
  <c r="AK12" i="184"/>
  <c r="AL12" i="184" s="1"/>
  <c r="AK6" i="184"/>
  <c r="AL6" i="184" s="1"/>
  <c r="AK4" i="184"/>
  <c r="AL4" i="184" s="1"/>
  <c r="AK10" i="184"/>
  <c r="AL10" i="184" s="1"/>
  <c r="D141" i="188"/>
  <c r="D155" i="188" s="1"/>
  <c r="AK16" i="184"/>
  <c r="AL16" i="184" s="1"/>
  <c r="AK15" i="184"/>
  <c r="AL15" i="184" s="1"/>
  <c r="AK13" i="184"/>
  <c r="AL13" i="184" s="1"/>
  <c r="AK17" i="184"/>
  <c r="AL17" i="184" s="1"/>
  <c r="AK5" i="184"/>
  <c r="AL5" i="184" s="1"/>
  <c r="E46" i="2" l="1"/>
  <c r="M46" i="2" s="1"/>
  <c r="AO9" i="184"/>
  <c r="AO5" i="184"/>
  <c r="AO16" i="184"/>
  <c r="AO6" i="184"/>
  <c r="AO11" i="184"/>
  <c r="AO10" i="184"/>
  <c r="AO17" i="184"/>
  <c r="I51" i="185"/>
  <c r="F134" i="5" s="1"/>
  <c r="F138" i="5" s="1"/>
  <c r="T96" i="188" s="1"/>
  <c r="I55" i="185"/>
  <c r="AH21" i="184"/>
  <c r="AO15" i="184"/>
  <c r="AO12" i="184"/>
  <c r="E141" i="188"/>
  <c r="E155" i="188" s="1"/>
  <c r="AO13" i="184"/>
  <c r="AL21" i="184"/>
  <c r="H141" i="188" s="1"/>
  <c r="H155" i="188" s="1"/>
  <c r="AO7" i="184"/>
  <c r="AO8" i="184"/>
  <c r="AO14" i="184"/>
  <c r="N46" i="2" l="1"/>
  <c r="G12" i="177"/>
  <c r="I12" i="177" s="1"/>
  <c r="J12" i="177" s="1"/>
  <c r="J18" i="177" s="1"/>
  <c r="I51" i="177" s="1"/>
  <c r="E122" i="5" s="1"/>
  <c r="T122" i="188" s="1"/>
  <c r="E122" i="188" s="1"/>
  <c r="G12" i="91"/>
  <c r="I12" i="91" s="1"/>
  <c r="J12" i="91" s="1"/>
  <c r="J18" i="91" s="1"/>
  <c r="I52" i="91" s="1"/>
  <c r="E84" i="5" s="1"/>
  <c r="T84" i="188" s="1"/>
  <c r="U84" i="188" s="1"/>
  <c r="G12" i="152"/>
  <c r="I12" i="152" s="1"/>
  <c r="J12" i="152" s="1"/>
  <c r="J18" i="152" s="1"/>
  <c r="I51" i="152" s="1"/>
  <c r="E113" i="5" s="1"/>
  <c r="T113" i="188" s="1"/>
  <c r="E113" i="188" s="1"/>
  <c r="G13" i="41"/>
  <c r="I13" i="41" s="1"/>
  <c r="J13" i="41" s="1"/>
  <c r="J18" i="41" s="1"/>
  <c r="I51" i="41" s="1"/>
  <c r="E37" i="5" s="1"/>
  <c r="G12" i="196"/>
  <c r="I12" i="196" s="1"/>
  <c r="J12" i="196" s="1"/>
  <c r="J17" i="196" s="1"/>
  <c r="I50" i="196" s="1"/>
  <c r="E131" i="5" s="1"/>
  <c r="T131" i="188" s="1"/>
  <c r="E131" i="188" s="1"/>
  <c r="G12" i="107"/>
  <c r="I12" i="107" s="1"/>
  <c r="J12" i="107" s="1"/>
  <c r="J18" i="107" s="1"/>
  <c r="I51" i="107" s="1"/>
  <c r="E99" i="5" s="1"/>
  <c r="G13" i="59"/>
  <c r="I13" i="59" s="1"/>
  <c r="J13" i="59" s="1"/>
  <c r="J18" i="59" s="1"/>
  <c r="I51" i="59" s="1"/>
  <c r="E54" i="5" s="1"/>
  <c r="G12" i="90"/>
  <c r="I12" i="90" s="1"/>
  <c r="J12" i="90" s="1"/>
  <c r="J18" i="90" s="1"/>
  <c r="I50" i="90" s="1"/>
  <c r="E83" i="5" s="1"/>
  <c r="G12" i="106"/>
  <c r="I12" i="106" s="1"/>
  <c r="J12" i="106" s="1"/>
  <c r="J18" i="106" s="1"/>
  <c r="I52" i="106" s="1"/>
  <c r="E98" i="5" s="1"/>
  <c r="G12" i="134"/>
  <c r="I12" i="134" s="1"/>
  <c r="J12" i="134" s="1"/>
  <c r="J18" i="134" s="1"/>
  <c r="I52" i="134" s="1"/>
  <c r="E76" i="5" s="1"/>
  <c r="T76" i="188" s="1"/>
  <c r="U76" i="188" s="1"/>
  <c r="G13" i="55"/>
  <c r="I13" i="55" s="1"/>
  <c r="J13" i="55" s="1"/>
  <c r="J18" i="55" s="1"/>
  <c r="I51" i="55" s="1"/>
  <c r="E50" i="5" s="1"/>
  <c r="G12" i="133"/>
  <c r="I12" i="133" s="1"/>
  <c r="J12" i="133" s="1"/>
  <c r="J18" i="133" s="1"/>
  <c r="I52" i="133" s="1"/>
  <c r="E75" i="5" s="1"/>
  <c r="G12" i="194"/>
  <c r="I12" i="194" s="1"/>
  <c r="J12" i="194" s="1"/>
  <c r="J18" i="194" s="1"/>
  <c r="I51" i="194" s="1"/>
  <c r="E129" i="5" s="1"/>
  <c r="G12" i="178"/>
  <c r="I12" i="178" s="1"/>
  <c r="J12" i="178" s="1"/>
  <c r="J18" i="178" s="1"/>
  <c r="I51" i="178" s="1"/>
  <c r="G12" i="187"/>
  <c r="I12" i="187" s="1"/>
  <c r="J12" i="187" s="1"/>
  <c r="J18" i="187" s="1"/>
  <c r="G12" i="76"/>
  <c r="I12" i="76" s="1"/>
  <c r="J12" i="76" s="1"/>
  <c r="J18" i="76" s="1"/>
  <c r="I52" i="76" s="1"/>
  <c r="G13" i="51"/>
  <c r="I13" i="51" s="1"/>
  <c r="J13" i="51" s="1"/>
  <c r="J18" i="51" s="1"/>
  <c r="I51" i="51" s="1"/>
  <c r="E46" i="5" s="1"/>
  <c r="T46" i="188" s="1"/>
  <c r="U46" i="188" s="1"/>
  <c r="G12" i="89"/>
  <c r="I12" i="89" s="1"/>
  <c r="J12" i="89" s="1"/>
  <c r="J18" i="89" s="1"/>
  <c r="I52" i="89" s="1"/>
  <c r="E82" i="5" s="1"/>
  <c r="T82" i="188" s="1"/>
  <c r="E82" i="188" s="1"/>
  <c r="G14" i="110"/>
  <c r="I14" i="110" s="1"/>
  <c r="J14" i="110" s="1"/>
  <c r="J18" i="110" s="1"/>
  <c r="I51" i="110" s="1"/>
  <c r="E102" i="5" s="1"/>
  <c r="G13" i="43"/>
  <c r="I13" i="43" s="1"/>
  <c r="J13" i="43" s="1"/>
  <c r="J18" i="43" s="1"/>
  <c r="I51" i="43" s="1"/>
  <c r="E38" i="5" s="1"/>
  <c r="G12" i="186"/>
  <c r="I12" i="186" s="1"/>
  <c r="J12" i="186" s="1"/>
  <c r="J18" i="186" s="1"/>
  <c r="G12" i="95"/>
  <c r="I12" i="95" s="1"/>
  <c r="J12" i="95" s="1"/>
  <c r="J18" i="95" s="1"/>
  <c r="I51" i="95" s="1"/>
  <c r="E88" i="5" s="1"/>
  <c r="G13" i="47"/>
  <c r="I13" i="47" s="1"/>
  <c r="J13" i="47" s="1"/>
  <c r="J18" i="47" s="1"/>
  <c r="I51" i="47" s="1"/>
  <c r="E42" i="5" s="1"/>
  <c r="G13" i="58"/>
  <c r="I13" i="58" s="1"/>
  <c r="J13" i="58" s="1"/>
  <c r="J18" i="58" s="1"/>
  <c r="I51" i="58" s="1"/>
  <c r="E53" i="5" s="1"/>
  <c r="G12" i="181"/>
  <c r="I12" i="181" s="1"/>
  <c r="J12" i="181" s="1"/>
  <c r="J18" i="181" s="1"/>
  <c r="I51" i="181" s="1"/>
  <c r="E126" i="5" s="1"/>
  <c r="T126" i="188" s="1"/>
  <c r="E126" i="188" s="1"/>
  <c r="G12" i="98"/>
  <c r="I12" i="98" s="1"/>
  <c r="J12" i="98" s="1"/>
  <c r="J18" i="98" s="1"/>
  <c r="I51" i="98" s="1"/>
  <c r="E91" i="5" s="1"/>
  <c r="T91" i="188" s="1"/>
  <c r="E91" i="188" s="1"/>
  <c r="G13" i="46"/>
  <c r="I13" i="46" s="1"/>
  <c r="J13" i="46" s="1"/>
  <c r="J18" i="46" s="1"/>
  <c r="I51" i="46" s="1"/>
  <c r="E41" i="5" s="1"/>
  <c r="T41" i="188" s="1"/>
  <c r="U41" i="188" s="1"/>
  <c r="G12" i="79"/>
  <c r="I12" i="79" s="1"/>
  <c r="J12" i="79" s="1"/>
  <c r="J18" i="79" s="1"/>
  <c r="I51" i="79" s="1"/>
  <c r="E74" i="5" s="1"/>
  <c r="G13" i="66"/>
  <c r="I13" i="66" s="1"/>
  <c r="J13" i="66" s="1"/>
  <c r="J18" i="66" s="1"/>
  <c r="I51" i="66" s="1"/>
  <c r="E61" i="5" s="1"/>
  <c r="T61" i="188" s="1"/>
  <c r="E61" i="188" s="1"/>
  <c r="G14" i="102"/>
  <c r="I14" i="102" s="1"/>
  <c r="J14" i="102" s="1"/>
  <c r="J18" i="102" s="1"/>
  <c r="G13" i="40"/>
  <c r="I13" i="40" s="1"/>
  <c r="J13" i="40" s="1"/>
  <c r="J18" i="40" s="1"/>
  <c r="I51" i="40" s="1"/>
  <c r="E36" i="5" s="1"/>
  <c r="G12" i="131"/>
  <c r="I12" i="131" s="1"/>
  <c r="J12" i="131" s="1"/>
  <c r="J17" i="131" s="1"/>
  <c r="I50" i="131" s="1"/>
  <c r="E69" i="5" s="1"/>
  <c r="G13" i="56"/>
  <c r="I13" i="56" s="1"/>
  <c r="J13" i="56" s="1"/>
  <c r="J18" i="56" s="1"/>
  <c r="I51" i="56" s="1"/>
  <c r="E51" i="5" s="1"/>
  <c r="T51" i="188" s="1"/>
  <c r="E51" i="188" s="1"/>
  <c r="G12" i="83"/>
  <c r="I12" i="83" s="1"/>
  <c r="J12" i="83" s="1"/>
  <c r="J18" i="83" s="1"/>
  <c r="I51" i="83" s="1"/>
  <c r="E78" i="5" s="1"/>
  <c r="T78" i="188" s="1"/>
  <c r="E78" i="188" s="1"/>
  <c r="G12" i="145"/>
  <c r="I12" i="145" s="1"/>
  <c r="J12" i="145" s="1"/>
  <c r="J18" i="145" s="1"/>
  <c r="I52" i="145" s="1"/>
  <c r="E108" i="5" s="1"/>
  <c r="G13" i="62"/>
  <c r="I13" i="62" s="1"/>
  <c r="J13" i="62" s="1"/>
  <c r="J18" i="62" s="1"/>
  <c r="I51" i="62" s="1"/>
  <c r="E57" i="5" s="1"/>
  <c r="G12" i="156"/>
  <c r="I12" i="156" s="1"/>
  <c r="J12" i="156" s="1"/>
  <c r="J18" i="156" s="1"/>
  <c r="I51" i="156" s="1"/>
  <c r="E119" i="5" s="1"/>
  <c r="T119" i="188" s="1"/>
  <c r="E119" i="188" s="1"/>
  <c r="G13" i="70"/>
  <c r="I13" i="70" s="1"/>
  <c r="J13" i="70" s="1"/>
  <c r="J18" i="70" s="1"/>
  <c r="I51" i="70" s="1"/>
  <c r="E65" i="5" s="1"/>
  <c r="G13" i="63"/>
  <c r="I13" i="63" s="1"/>
  <c r="J13" i="63" s="1"/>
  <c r="J18" i="63" s="1"/>
  <c r="I51" i="63" s="1"/>
  <c r="E58" i="5" s="1"/>
  <c r="G12" i="96"/>
  <c r="I12" i="96" s="1"/>
  <c r="J12" i="96" s="1"/>
  <c r="J18" i="96" s="1"/>
  <c r="I51" i="96" s="1"/>
  <c r="E89" i="5" s="1"/>
  <c r="G12" i="175"/>
  <c r="I12" i="175" s="1"/>
  <c r="J12" i="175" s="1"/>
  <c r="J18" i="175" s="1"/>
  <c r="I51" i="175" s="1"/>
  <c r="E118" i="5" s="1"/>
  <c r="T118" i="188" s="1"/>
  <c r="E118" i="188" s="1"/>
  <c r="G12" i="97"/>
  <c r="I12" i="97" s="1"/>
  <c r="J12" i="97" s="1"/>
  <c r="J18" i="97" s="1"/>
  <c r="I51" i="97" s="1"/>
  <c r="E90" i="5" s="1"/>
  <c r="T90" i="188" s="1"/>
  <c r="U90" i="188" s="1"/>
  <c r="G13" i="71"/>
  <c r="I13" i="71" s="1"/>
  <c r="J13" i="71" s="1"/>
  <c r="J18" i="71" s="1"/>
  <c r="I51" i="71" s="1"/>
  <c r="G12" i="179"/>
  <c r="I12" i="179" s="1"/>
  <c r="J12" i="179" s="1"/>
  <c r="J18" i="179" s="1"/>
  <c r="I51" i="179" s="1"/>
  <c r="E124" i="5" s="1"/>
  <c r="G12" i="73"/>
  <c r="I12" i="73" s="1"/>
  <c r="J12" i="73" s="1"/>
  <c r="J17" i="73" s="1"/>
  <c r="I50" i="73" s="1"/>
  <c r="E68" i="5" s="1"/>
  <c r="T68" i="188" s="1"/>
  <c r="U68" i="188" s="1"/>
  <c r="G13" i="69"/>
  <c r="I13" i="69" s="1"/>
  <c r="J13" i="69" s="1"/>
  <c r="J18" i="69" s="1"/>
  <c r="I51" i="69" s="1"/>
  <c r="E64" i="5" s="1"/>
  <c r="G12" i="86"/>
  <c r="I12" i="86" s="1"/>
  <c r="J12" i="86" s="1"/>
  <c r="J18" i="86" s="1"/>
  <c r="I52" i="86" s="1"/>
  <c r="E80" i="5" s="1"/>
  <c r="G13" i="52"/>
  <c r="I13" i="52" s="1"/>
  <c r="J13" i="52" s="1"/>
  <c r="J18" i="52" s="1"/>
  <c r="I51" i="52" s="1"/>
  <c r="E47" i="5" s="1"/>
  <c r="G12" i="164"/>
  <c r="I12" i="164" s="1"/>
  <c r="J12" i="164" s="1"/>
  <c r="J18" i="164" s="1"/>
  <c r="G12" i="158"/>
  <c r="I12" i="158" s="1"/>
  <c r="J12" i="158" s="1"/>
  <c r="J18" i="158" s="1"/>
  <c r="G13" i="64"/>
  <c r="I13" i="64" s="1"/>
  <c r="J13" i="64" s="1"/>
  <c r="J18" i="64" s="1"/>
  <c r="I51" i="64" s="1"/>
  <c r="G13" i="45"/>
  <c r="I13" i="45" s="1"/>
  <c r="J13" i="45" s="1"/>
  <c r="J18" i="45" s="1"/>
  <c r="I51" i="45" s="1"/>
  <c r="E40" i="5" s="1"/>
  <c r="G12" i="176"/>
  <c r="I12" i="176" s="1"/>
  <c r="J12" i="176" s="1"/>
  <c r="J18" i="176" s="1"/>
  <c r="I51" i="176" s="1"/>
  <c r="E121" i="5" s="1"/>
  <c r="T121" i="188" s="1"/>
  <c r="U121" i="188" s="1"/>
  <c r="G13" i="48"/>
  <c r="I13" i="48" s="1"/>
  <c r="J13" i="48" s="1"/>
  <c r="J18" i="48" s="1"/>
  <c r="I51" i="48" s="1"/>
  <c r="E43" i="5" s="1"/>
  <c r="G12" i="150"/>
  <c r="I12" i="150" s="1"/>
  <c r="J12" i="150" s="1"/>
  <c r="J18" i="150" s="1"/>
  <c r="G16" i="198"/>
  <c r="I16" i="198" s="1"/>
  <c r="J16" i="198" s="1"/>
  <c r="J20" i="198" s="1"/>
  <c r="I53" i="198" s="1"/>
  <c r="E132" i="5" s="1"/>
  <c r="G12" i="146"/>
  <c r="I12" i="146" s="1"/>
  <c r="J12" i="146" s="1"/>
  <c r="J18" i="146" s="1"/>
  <c r="I50" i="146" s="1"/>
  <c r="E107" i="5" s="1"/>
  <c r="T107" i="188" s="1"/>
  <c r="E107" i="188" s="1"/>
  <c r="G14" i="108"/>
  <c r="I14" i="108" s="1"/>
  <c r="J14" i="108" s="1"/>
  <c r="J18" i="108" s="1"/>
  <c r="I51" i="108" s="1"/>
  <c r="E100" i="5" s="1"/>
  <c r="T100" i="188" s="1"/>
  <c r="E100" i="188" s="1"/>
  <c r="G12" i="132"/>
  <c r="I12" i="132" s="1"/>
  <c r="J12" i="132" s="1"/>
  <c r="J17" i="132" s="1"/>
  <c r="I50" i="132" s="1"/>
  <c r="E70" i="5" s="1"/>
  <c r="G12" i="160"/>
  <c r="I12" i="160" s="1"/>
  <c r="J12" i="160" s="1"/>
  <c r="J18" i="160" s="1"/>
  <c r="I51" i="160" s="1"/>
  <c r="E117" i="5" s="1"/>
  <c r="G12" i="151"/>
  <c r="I12" i="151" s="1"/>
  <c r="J12" i="151" s="1"/>
  <c r="J18" i="151" s="1"/>
  <c r="G13" i="130"/>
  <c r="I13" i="130" s="1"/>
  <c r="J13" i="130" s="1"/>
  <c r="J18" i="130" s="1"/>
  <c r="I51" i="130" s="1"/>
  <c r="G13" i="61"/>
  <c r="I13" i="61" s="1"/>
  <c r="J13" i="61" s="1"/>
  <c r="J18" i="61" s="1"/>
  <c r="I51" i="61" s="1"/>
  <c r="G13" i="49"/>
  <c r="I13" i="49" s="1"/>
  <c r="J13" i="49" s="1"/>
  <c r="J18" i="49" s="1"/>
  <c r="I51" i="49" s="1"/>
  <c r="E44" i="5" s="1"/>
  <c r="G12" i="82"/>
  <c r="I12" i="82" s="1"/>
  <c r="J12" i="82" s="1"/>
  <c r="J18" i="82" s="1"/>
  <c r="I52" i="82" s="1"/>
  <c r="E77" i="5" s="1"/>
  <c r="G12" i="180"/>
  <c r="I12" i="180" s="1"/>
  <c r="J12" i="180" s="1"/>
  <c r="J18" i="180" s="1"/>
  <c r="I51" i="180" s="1"/>
  <c r="E125" i="5" s="1"/>
  <c r="G13" i="65"/>
  <c r="I13" i="65" s="1"/>
  <c r="J13" i="65" s="1"/>
  <c r="J18" i="65" s="1"/>
  <c r="I51" i="65" s="1"/>
  <c r="G13" i="50"/>
  <c r="I13" i="50" s="1"/>
  <c r="J13" i="50" s="1"/>
  <c r="J18" i="50" s="1"/>
  <c r="I51" i="50" s="1"/>
  <c r="E45" i="5" s="1"/>
  <c r="G12" i="77"/>
  <c r="I12" i="77" s="1"/>
  <c r="J12" i="77" s="1"/>
  <c r="J17" i="77" s="1"/>
  <c r="G12" i="78"/>
  <c r="I12" i="78" s="1"/>
  <c r="J12" i="78" s="1"/>
  <c r="J18" i="78" s="1"/>
  <c r="I52" i="78" s="1"/>
  <c r="E73" i="5" s="1"/>
  <c r="G13" i="67"/>
  <c r="I13" i="67" s="1"/>
  <c r="J13" i="67" s="1"/>
  <c r="J18" i="67" s="1"/>
  <c r="I50" i="67" s="1"/>
  <c r="E62" i="5" s="1"/>
  <c r="G13" i="54"/>
  <c r="I13" i="54" s="1"/>
  <c r="J13" i="54" s="1"/>
  <c r="J18" i="54" s="1"/>
  <c r="I51" i="54" s="1"/>
  <c r="E49" i="5" s="1"/>
  <c r="G13" i="68"/>
  <c r="I13" i="68" s="1"/>
  <c r="J13" i="68" s="1"/>
  <c r="J18" i="68" s="1"/>
  <c r="I51" i="68" s="1"/>
  <c r="E63" i="5" s="1"/>
  <c r="T63" i="188" s="1"/>
  <c r="E63" i="188" s="1"/>
  <c r="G13" i="105"/>
  <c r="I13" i="105" s="1"/>
  <c r="J13" i="105" s="1"/>
  <c r="J18" i="105" s="1"/>
  <c r="I51" i="105" s="1"/>
  <c r="E97" i="5" s="1"/>
  <c r="G12" i="137"/>
  <c r="I12" i="137" s="1"/>
  <c r="J12" i="137" s="1"/>
  <c r="J18" i="137" s="1"/>
  <c r="G12" i="135"/>
  <c r="I12" i="135" s="1"/>
  <c r="J12" i="135" s="1"/>
  <c r="J18" i="135" s="1"/>
  <c r="G12" i="144"/>
  <c r="I12" i="144" s="1"/>
  <c r="J12" i="144" s="1"/>
  <c r="J18" i="144" s="1"/>
  <c r="I52" i="144" s="1"/>
  <c r="E106" i="5" s="1"/>
  <c r="G12" i="157"/>
  <c r="I12" i="157" s="1"/>
  <c r="J12" i="157" s="1"/>
  <c r="J18" i="157" s="1"/>
  <c r="I51" i="157" s="1"/>
  <c r="E115" i="5" s="1"/>
  <c r="G12" i="88"/>
  <c r="I12" i="88" s="1"/>
  <c r="J12" i="88" s="1"/>
  <c r="J18" i="88" s="1"/>
  <c r="I52" i="88" s="1"/>
  <c r="E81" i="5" s="1"/>
  <c r="G13" i="44"/>
  <c r="I13" i="44" s="1"/>
  <c r="J13" i="44" s="1"/>
  <c r="J18" i="44" s="1"/>
  <c r="I51" i="44" s="1"/>
  <c r="E39" i="5" s="1"/>
  <c r="G12" i="147"/>
  <c r="I12" i="147" s="1"/>
  <c r="J12" i="147" s="1"/>
  <c r="J18" i="147" s="1"/>
  <c r="I51" i="147" s="1"/>
  <c r="E109" i="5" s="1"/>
  <c r="G13" i="197"/>
  <c r="I13" i="197" s="1"/>
  <c r="J13" i="197" s="1"/>
  <c r="J18" i="197" s="1"/>
  <c r="I51" i="197" s="1"/>
  <c r="E130" i="5" s="1"/>
  <c r="G12" i="84"/>
  <c r="I12" i="84" s="1"/>
  <c r="J12" i="84" s="1"/>
  <c r="J18" i="84" s="1"/>
  <c r="I52" i="84" s="1"/>
  <c r="E79" i="5" s="1"/>
  <c r="T79" i="188" s="1"/>
  <c r="U79" i="188" s="1"/>
  <c r="G13" i="38"/>
  <c r="I13" i="38" s="1"/>
  <c r="J13" i="38" s="1"/>
  <c r="J18" i="38" s="1"/>
  <c r="I51" i="38" s="1"/>
  <c r="E34" i="5" s="1"/>
  <c r="G13" i="53"/>
  <c r="I13" i="53" s="1"/>
  <c r="J13" i="53" s="1"/>
  <c r="J18" i="53" s="1"/>
  <c r="I51" i="53" s="1"/>
  <c r="E48" i="5" s="1"/>
  <c r="T48" i="188" s="1"/>
  <c r="U48" i="188" s="1"/>
  <c r="G13" i="57"/>
  <c r="I13" i="57" s="1"/>
  <c r="J13" i="57" s="1"/>
  <c r="J18" i="57" s="1"/>
  <c r="I51" i="57" s="1"/>
  <c r="E52" i="5" s="1"/>
  <c r="G12" i="154"/>
  <c r="I12" i="154" s="1"/>
  <c r="J12" i="154" s="1"/>
  <c r="J18" i="154" s="1"/>
  <c r="I51" i="154" s="1"/>
  <c r="E114" i="5" s="1"/>
  <c r="G13" i="39"/>
  <c r="I13" i="39" s="1"/>
  <c r="J13" i="39" s="1"/>
  <c r="J18" i="39" s="1"/>
  <c r="I51" i="39" s="1"/>
  <c r="E35" i="5" s="1"/>
  <c r="G14" i="109"/>
  <c r="I14" i="109" s="1"/>
  <c r="J14" i="109" s="1"/>
  <c r="J22" i="109" s="1"/>
  <c r="I58" i="109" s="1"/>
  <c r="E101" i="5" s="1"/>
  <c r="G12" i="111"/>
  <c r="I12" i="111" s="1"/>
  <c r="J12" i="111" s="1"/>
  <c r="J18" i="111" s="1"/>
  <c r="I51" i="111" s="1"/>
  <c r="E103" i="5" s="1"/>
  <c r="G12" i="92"/>
  <c r="I12" i="92" s="1"/>
  <c r="J12" i="92" s="1"/>
  <c r="G12" i="148"/>
  <c r="I12" i="148" s="1"/>
  <c r="J12" i="148" s="1"/>
  <c r="J18" i="148" s="1"/>
  <c r="I51" i="148" s="1"/>
  <c r="E110" i="5" s="1"/>
  <c r="G13" i="37"/>
  <c r="I13" i="37" s="1"/>
  <c r="J13" i="37" s="1"/>
  <c r="J18" i="37" s="1"/>
  <c r="G13" i="60"/>
  <c r="I13" i="60" s="1"/>
  <c r="J13" i="60" s="1"/>
  <c r="J18" i="60" s="1"/>
  <c r="I51" i="60" s="1"/>
  <c r="E55" i="5" s="1"/>
  <c r="T98" i="188"/>
  <c r="U98" i="188" s="1"/>
  <c r="T23" i="188"/>
  <c r="U23" i="188" s="1"/>
  <c r="T7" i="188"/>
  <c r="E7" i="188" s="1"/>
  <c r="T25" i="188"/>
  <c r="U25" i="188" s="1"/>
  <c r="T13" i="188"/>
  <c r="U13" i="188" s="1"/>
  <c r="T21" i="188"/>
  <c r="E21" i="188" s="1"/>
  <c r="T15" i="188"/>
  <c r="U15" i="188" s="1"/>
  <c r="T28" i="188"/>
  <c r="E28" i="188" s="1"/>
  <c r="T22" i="188"/>
  <c r="E22" i="188" s="1"/>
  <c r="T17" i="188"/>
  <c r="E17" i="188" s="1"/>
  <c r="T104" i="188"/>
  <c r="U104" i="188" s="1"/>
  <c r="T93" i="188"/>
  <c r="E93" i="188" s="1"/>
  <c r="T30" i="188"/>
  <c r="E30" i="188" s="1"/>
  <c r="T32" i="188"/>
  <c r="U32" i="188" s="1"/>
  <c r="T18" i="188"/>
  <c r="E18" i="188" s="1"/>
  <c r="T8" i="188"/>
  <c r="E8" i="188" s="1"/>
  <c r="T14" i="188"/>
  <c r="E14" i="188" s="1"/>
  <c r="T6" i="188"/>
  <c r="E6" i="188" s="1"/>
  <c r="T26" i="188"/>
  <c r="U26" i="188" s="1"/>
  <c r="T27" i="188"/>
  <c r="U27" i="188" s="1"/>
  <c r="T94" i="188"/>
  <c r="E94" i="188" s="1"/>
  <c r="T29" i="188"/>
  <c r="E29" i="188" s="1"/>
  <c r="T92" i="188"/>
  <c r="E92" i="188" s="1"/>
  <c r="T5" i="188"/>
  <c r="U5" i="188" s="1"/>
  <c r="T105" i="188"/>
  <c r="E105" i="188" s="1"/>
  <c r="T20" i="188"/>
  <c r="U20" i="188" s="1"/>
  <c r="T4" i="188"/>
  <c r="E4" i="188" s="1"/>
  <c r="AN21" i="184"/>
  <c r="AO21" i="184" s="1"/>
  <c r="T9" i="188"/>
  <c r="U9" i="188" s="1"/>
  <c r="T11" i="188"/>
  <c r="E11" i="188" s="1"/>
  <c r="T12" i="188"/>
  <c r="U12" i="188" s="1"/>
  <c r="T24" i="188"/>
  <c r="U24" i="188" s="1"/>
  <c r="T16" i="188"/>
  <c r="U16" i="188" s="1"/>
  <c r="T31" i="188"/>
  <c r="E31" i="188" s="1"/>
  <c r="T19" i="188"/>
  <c r="T10" i="188"/>
  <c r="U96" i="188"/>
  <c r="E96" i="188"/>
  <c r="F141" i="188"/>
  <c r="F155" i="188" s="1"/>
  <c r="I51" i="37" l="1"/>
  <c r="E33" i="5" s="1"/>
  <c r="T33" i="188" s="1"/>
  <c r="U33" i="188" s="1"/>
  <c r="V33" i="188" s="1"/>
  <c r="W33" i="188" s="1"/>
  <c r="I51" i="135"/>
  <c r="E86" i="5" s="1"/>
  <c r="T86" i="188" s="1"/>
  <c r="E86" i="188" s="1"/>
  <c r="I51" i="186"/>
  <c r="E128" i="5" s="1"/>
  <c r="T128" i="188" s="1"/>
  <c r="E128" i="188" s="1"/>
  <c r="I51" i="137"/>
  <c r="E87" i="5" s="1"/>
  <c r="T87" i="188" s="1"/>
  <c r="E87" i="188" s="1"/>
  <c r="I51" i="187"/>
  <c r="E127" i="5" s="1"/>
  <c r="T127" i="188" s="1"/>
  <c r="U127" i="188" s="1"/>
  <c r="V127" i="188" s="1"/>
  <c r="W127" i="188" s="1"/>
  <c r="J18" i="92"/>
  <c r="K52" i="76"/>
  <c r="L52" i="76" s="1"/>
  <c r="E71" i="5"/>
  <c r="T71" i="188" s="1"/>
  <c r="E71" i="188" s="1"/>
  <c r="T43" i="188"/>
  <c r="U43" i="188" s="1"/>
  <c r="V43" i="188" s="1"/>
  <c r="W43" i="188" s="1"/>
  <c r="T65" i="188"/>
  <c r="E65" i="188" s="1"/>
  <c r="T130" i="188"/>
  <c r="U130" i="188" s="1"/>
  <c r="I130" i="188" s="1"/>
  <c r="J130" i="188" s="1"/>
  <c r="T108" i="188"/>
  <c r="U108" i="188" s="1"/>
  <c r="I108" i="188" s="1"/>
  <c r="J108" i="188" s="1"/>
  <c r="T50" i="188"/>
  <c r="U50" i="188" s="1"/>
  <c r="I50" i="188" s="1"/>
  <c r="J50" i="188" s="1"/>
  <c r="T102" i="188"/>
  <c r="E102" i="188" s="1"/>
  <c r="T70" i="188"/>
  <c r="E70" i="188" s="1"/>
  <c r="T55" i="188"/>
  <c r="E55" i="188" s="1"/>
  <c r="T97" i="188"/>
  <c r="U97" i="188" s="1"/>
  <c r="V97" i="188" s="1"/>
  <c r="W97" i="188" s="1"/>
  <c r="T125" i="188"/>
  <c r="E125" i="188" s="1"/>
  <c r="T115" i="188"/>
  <c r="U115" i="188" s="1"/>
  <c r="V115" i="188" s="1"/>
  <c r="W115" i="188" s="1"/>
  <c r="T52" i="188"/>
  <c r="U52" i="188" s="1"/>
  <c r="I52" i="188" s="1"/>
  <c r="J52" i="188" s="1"/>
  <c r="T99" i="188"/>
  <c r="U99" i="188" s="1"/>
  <c r="V99" i="188" s="1"/>
  <c r="W99" i="188" s="1"/>
  <c r="T101" i="188"/>
  <c r="E101" i="188" s="1"/>
  <c r="T77" i="188"/>
  <c r="U77" i="188" s="1"/>
  <c r="I77" i="188" s="1"/>
  <c r="J77" i="188" s="1"/>
  <c r="T73" i="188"/>
  <c r="E73" i="188" s="1"/>
  <c r="T88" i="188"/>
  <c r="U88" i="188" s="1"/>
  <c r="I88" i="188" s="1"/>
  <c r="J88" i="188" s="1"/>
  <c r="T36" i="188"/>
  <c r="U36" i="188" s="1"/>
  <c r="V36" i="188" s="1"/>
  <c r="W36" i="188" s="1"/>
  <c r="T129" i="188"/>
  <c r="U129" i="188" s="1"/>
  <c r="V129" i="188" s="1"/>
  <c r="W129" i="188" s="1"/>
  <c r="T109" i="188"/>
  <c r="U109" i="188" s="1"/>
  <c r="V109" i="188" s="1"/>
  <c r="W109" i="188" s="1"/>
  <c r="T106" i="188"/>
  <c r="E106" i="188" s="1"/>
  <c r="T58" i="188"/>
  <c r="E58" i="188" s="1"/>
  <c r="T64" i="188"/>
  <c r="U64" i="188" s="1"/>
  <c r="V64" i="188" s="1"/>
  <c r="W64" i="188" s="1"/>
  <c r="T38" i="188"/>
  <c r="T57" i="188"/>
  <c r="E57" i="188" s="1"/>
  <c r="T75" i="188"/>
  <c r="E75" i="188" s="1"/>
  <c r="T74" i="188"/>
  <c r="U74" i="188" s="1"/>
  <c r="I74" i="188" s="1"/>
  <c r="J74" i="188" s="1"/>
  <c r="T124" i="188"/>
  <c r="U124" i="188" s="1"/>
  <c r="V124" i="188" s="1"/>
  <c r="W124" i="188" s="1"/>
  <c r="T117" i="188"/>
  <c r="E117" i="188" s="1"/>
  <c r="T34" i="188"/>
  <c r="U34" i="188" s="1"/>
  <c r="V34" i="188" s="1"/>
  <c r="W34" i="188" s="1"/>
  <c r="T103" i="188"/>
  <c r="E103" i="188" s="1"/>
  <c r="T45" i="188"/>
  <c r="E45" i="188" s="1"/>
  <c r="T110" i="188"/>
  <c r="E110" i="188" s="1"/>
  <c r="T40" i="188"/>
  <c r="T37" i="188"/>
  <c r="E37" i="188" s="1"/>
  <c r="T44" i="188"/>
  <c r="E44" i="188" s="1"/>
  <c r="T132" i="188"/>
  <c r="E132" i="188" s="1"/>
  <c r="F132" i="188" s="1"/>
  <c r="T83" i="188"/>
  <c r="U83" i="188" s="1"/>
  <c r="I83" i="188" s="1"/>
  <c r="J83" i="188" s="1"/>
  <c r="E67" i="5"/>
  <c r="M51" i="130"/>
  <c r="I51" i="102"/>
  <c r="L49" i="102"/>
  <c r="L50" i="102" s="1"/>
  <c r="K32" i="102"/>
  <c r="I53" i="178"/>
  <c r="J53" i="178" s="1"/>
  <c r="E123" i="5"/>
  <c r="K51" i="178"/>
  <c r="T39" i="188"/>
  <c r="U39" i="188" s="1"/>
  <c r="I39" i="188" s="1"/>
  <c r="J39" i="188" s="1"/>
  <c r="K51" i="61"/>
  <c r="L51" i="61" s="1"/>
  <c r="E56" i="5"/>
  <c r="K17" i="77"/>
  <c r="L17" i="77" s="1"/>
  <c r="I50" i="77"/>
  <c r="T35" i="188"/>
  <c r="E35" i="188" s="1"/>
  <c r="T53" i="188"/>
  <c r="E53" i="188" s="1"/>
  <c r="T114" i="188"/>
  <c r="U114" i="188" s="1"/>
  <c r="I114" i="188" s="1"/>
  <c r="J114" i="188" s="1"/>
  <c r="T47" i="188"/>
  <c r="E47" i="188" s="1"/>
  <c r="T49" i="188"/>
  <c r="E49" i="188" s="1"/>
  <c r="T54" i="188"/>
  <c r="E54" i="188" s="1"/>
  <c r="T89" i="188"/>
  <c r="E89" i="188" s="1"/>
  <c r="K51" i="65"/>
  <c r="L51" i="65" s="1"/>
  <c r="E60" i="5"/>
  <c r="E59" i="5"/>
  <c r="K51" i="64"/>
  <c r="L51" i="64" s="1"/>
  <c r="E66" i="5"/>
  <c r="M51" i="71"/>
  <c r="T42" i="188"/>
  <c r="U42" i="188" s="1"/>
  <c r="I42" i="188" s="1"/>
  <c r="J42" i="188" s="1"/>
  <c r="T80" i="188"/>
  <c r="U80" i="188" s="1"/>
  <c r="I80" i="188" s="1"/>
  <c r="J80" i="188" s="1"/>
  <c r="T81" i="188"/>
  <c r="E81" i="188" s="1"/>
  <c r="T69" i="188"/>
  <c r="U69" i="188" s="1"/>
  <c r="V69" i="188" s="1"/>
  <c r="W69" i="188" s="1"/>
  <c r="T62" i="188"/>
  <c r="E62" i="188" s="1"/>
  <c r="U113" i="188"/>
  <c r="I113" i="188" s="1"/>
  <c r="J113" i="188" s="1"/>
  <c r="U131" i="188"/>
  <c r="V131" i="188" s="1"/>
  <c r="W131" i="188" s="1"/>
  <c r="U82" i="188"/>
  <c r="V82" i="188" s="1"/>
  <c r="W82" i="188" s="1"/>
  <c r="U63" i="188"/>
  <c r="I63" i="188" s="1"/>
  <c r="J63" i="188" s="1"/>
  <c r="U78" i="188"/>
  <c r="I78" i="188" s="1"/>
  <c r="J78" i="188" s="1"/>
  <c r="U126" i="188"/>
  <c r="I126" i="188" s="1"/>
  <c r="J126" i="188" s="1"/>
  <c r="E121" i="188"/>
  <c r="E76" i="188"/>
  <c r="U107" i="188"/>
  <c r="I107" i="188" s="1"/>
  <c r="J107" i="188" s="1"/>
  <c r="E98" i="188"/>
  <c r="F98" i="188" s="1"/>
  <c r="E84" i="188"/>
  <c r="E90" i="188"/>
  <c r="E79" i="188"/>
  <c r="E46" i="188"/>
  <c r="F46" i="188" s="1"/>
  <c r="U100" i="188"/>
  <c r="I100" i="188" s="1"/>
  <c r="J100" i="188" s="1"/>
  <c r="U122" i="188"/>
  <c r="I122" i="188" s="1"/>
  <c r="J122" i="188" s="1"/>
  <c r="U51" i="188"/>
  <c r="V51" i="188" s="1"/>
  <c r="W51" i="188" s="1"/>
  <c r="E48" i="188"/>
  <c r="U93" i="188"/>
  <c r="I93" i="188" s="1"/>
  <c r="J93" i="188" s="1"/>
  <c r="U119" i="188"/>
  <c r="V119" i="188" s="1"/>
  <c r="W119" i="188" s="1"/>
  <c r="E23" i="188"/>
  <c r="U7" i="188"/>
  <c r="V7" i="188" s="1"/>
  <c r="W7" i="188" s="1"/>
  <c r="E15" i="188"/>
  <c r="U28" i="188"/>
  <c r="V28" i="188" s="1"/>
  <c r="W28" i="188" s="1"/>
  <c r="U118" i="188"/>
  <c r="I118" i="188" s="1"/>
  <c r="J118" i="188" s="1"/>
  <c r="U91" i="188"/>
  <c r="V91" i="188" s="1"/>
  <c r="W91" i="188" s="1"/>
  <c r="E26" i="188"/>
  <c r="E68" i="188"/>
  <c r="U21" i="188"/>
  <c r="I21" i="188" s="1"/>
  <c r="J21" i="188" s="1"/>
  <c r="E25" i="188"/>
  <c r="E13" i="188"/>
  <c r="U17" i="188"/>
  <c r="I17" i="188" s="1"/>
  <c r="J17" i="188" s="1"/>
  <c r="E104" i="188"/>
  <c r="U30" i="188"/>
  <c r="I30" i="188" s="1"/>
  <c r="J30" i="188" s="1"/>
  <c r="E41" i="188"/>
  <c r="U22" i="188"/>
  <c r="I22" i="188" s="1"/>
  <c r="J22" i="188" s="1"/>
  <c r="U61" i="188"/>
  <c r="V61" i="188" s="1"/>
  <c r="W61" i="188" s="1"/>
  <c r="E27" i="188"/>
  <c r="U4" i="188"/>
  <c r="I4" i="188" s="1"/>
  <c r="J4" i="188" s="1"/>
  <c r="U94" i="188"/>
  <c r="V94" i="188" s="1"/>
  <c r="W94" i="188" s="1"/>
  <c r="U29" i="188"/>
  <c r="V29" i="188" s="1"/>
  <c r="W29" i="188" s="1"/>
  <c r="U18" i="188"/>
  <c r="V18" i="188" s="1"/>
  <c r="W18" i="188" s="1"/>
  <c r="E32" i="188"/>
  <c r="E9" i="188"/>
  <c r="U6" i="188"/>
  <c r="I6" i="188" s="1"/>
  <c r="J6" i="188" s="1"/>
  <c r="U14" i="188"/>
  <c r="V14" i="188" s="1"/>
  <c r="W14" i="188" s="1"/>
  <c r="E20" i="188"/>
  <c r="U11" i="188"/>
  <c r="V11" i="188" s="1"/>
  <c r="W11" i="188" s="1"/>
  <c r="U92" i="188"/>
  <c r="I92" i="188" s="1"/>
  <c r="J92" i="188" s="1"/>
  <c r="E5" i="188"/>
  <c r="U105" i="188"/>
  <c r="V105" i="188" s="1"/>
  <c r="W105" i="188" s="1"/>
  <c r="U8" i="188"/>
  <c r="I8" i="188" s="1"/>
  <c r="J8" i="188" s="1"/>
  <c r="E12" i="188"/>
  <c r="E24" i="188"/>
  <c r="U10" i="188"/>
  <c r="E10" i="188"/>
  <c r="E19" i="188"/>
  <c r="U19" i="188"/>
  <c r="U31" i="188"/>
  <c r="I31" i="188" s="1"/>
  <c r="J31" i="188" s="1"/>
  <c r="E16" i="188"/>
  <c r="I23" i="188"/>
  <c r="J23" i="188" s="1"/>
  <c r="V23" i="188"/>
  <c r="W23" i="188" s="1"/>
  <c r="I15" i="188"/>
  <c r="J15" i="188" s="1"/>
  <c r="V15" i="188"/>
  <c r="W15" i="188" s="1"/>
  <c r="I32" i="188"/>
  <c r="J32" i="188" s="1"/>
  <c r="V32" i="188"/>
  <c r="W32" i="188" s="1"/>
  <c r="V25" i="188"/>
  <c r="W25" i="188" s="1"/>
  <c r="I25" i="188"/>
  <c r="J25" i="188" s="1"/>
  <c r="V13" i="188"/>
  <c r="W13" i="188" s="1"/>
  <c r="I13" i="188"/>
  <c r="J13" i="188" s="1"/>
  <c r="I27" i="188"/>
  <c r="J27" i="188" s="1"/>
  <c r="V27" i="188"/>
  <c r="W27" i="188" s="1"/>
  <c r="V24" i="188"/>
  <c r="W24" i="188" s="1"/>
  <c r="I24" i="188"/>
  <c r="J24" i="188" s="1"/>
  <c r="I12" i="188"/>
  <c r="J12" i="188" s="1"/>
  <c r="V12" i="188"/>
  <c r="W12" i="188" s="1"/>
  <c r="V96" i="188"/>
  <c r="W96" i="188" s="1"/>
  <c r="I96" i="188"/>
  <c r="J96" i="188" s="1"/>
  <c r="V26" i="188"/>
  <c r="W26" i="188" s="1"/>
  <c r="I26" i="188"/>
  <c r="J26" i="188" s="1"/>
  <c r="V9" i="188"/>
  <c r="W9" i="188" s="1"/>
  <c r="I9" i="188"/>
  <c r="J9" i="188" s="1"/>
  <c r="I104" i="188"/>
  <c r="J104" i="188" s="1"/>
  <c r="V104" i="188"/>
  <c r="W104" i="188" s="1"/>
  <c r="V20" i="188"/>
  <c r="W20" i="188" s="1"/>
  <c r="I20" i="188"/>
  <c r="J20" i="188" s="1"/>
  <c r="V16" i="188"/>
  <c r="W16" i="188" s="1"/>
  <c r="I16" i="188"/>
  <c r="J16" i="188" s="1"/>
  <c r="V5" i="188"/>
  <c r="W5" i="188" s="1"/>
  <c r="I5" i="188"/>
  <c r="J5" i="188" s="1"/>
  <c r="V79" i="188"/>
  <c r="W79" i="188" s="1"/>
  <c r="I79" i="188"/>
  <c r="J79" i="188" s="1"/>
  <c r="I141" i="188"/>
  <c r="I121" i="188"/>
  <c r="J121" i="188" s="1"/>
  <c r="V121" i="188"/>
  <c r="W121" i="188" s="1"/>
  <c r="I90" i="188"/>
  <c r="J90" i="188" s="1"/>
  <c r="V90" i="188"/>
  <c r="W90" i="188" s="1"/>
  <c r="V46" i="188"/>
  <c r="W46" i="188" s="1"/>
  <c r="I46" i="188"/>
  <c r="J46" i="188" s="1"/>
  <c r="I98" i="188"/>
  <c r="J98" i="188" s="1"/>
  <c r="V98" i="188"/>
  <c r="W98" i="188" s="1"/>
  <c r="V48" i="188"/>
  <c r="W48" i="188" s="1"/>
  <c r="I48" i="188"/>
  <c r="J48" i="188" s="1"/>
  <c r="V41" i="188"/>
  <c r="W41" i="188" s="1"/>
  <c r="I41" i="188"/>
  <c r="J41" i="188" s="1"/>
  <c r="I76" i="188"/>
  <c r="J76" i="188" s="1"/>
  <c r="V76" i="188"/>
  <c r="W76" i="188" s="1"/>
  <c r="V84" i="188"/>
  <c r="W84" i="188" s="1"/>
  <c r="I84" i="188"/>
  <c r="J84" i="188" s="1"/>
  <c r="V68" i="188"/>
  <c r="W68" i="188" s="1"/>
  <c r="I68" i="188"/>
  <c r="J68" i="188" s="1"/>
  <c r="I51" i="92" l="1"/>
  <c r="E85" i="5" s="1"/>
  <c r="T85" i="188" s="1"/>
  <c r="U38" i="188"/>
  <c r="I38" i="188" s="1"/>
  <c r="J38" i="188" s="1"/>
  <c r="E38" i="188"/>
  <c r="U40" i="188"/>
  <c r="V40" i="188" s="1"/>
  <c r="W40" i="188" s="1"/>
  <c r="Q40" i="188" s="1"/>
  <c r="R40" i="188" s="1"/>
  <c r="E40" i="188"/>
  <c r="U71" i="188"/>
  <c r="V71" i="188" s="1"/>
  <c r="W71" i="188" s="1"/>
  <c r="Q71" i="188" s="1"/>
  <c r="R71" i="188" s="1"/>
  <c r="I64" i="188"/>
  <c r="J64" i="188" s="1"/>
  <c r="E33" i="188"/>
  <c r="U65" i="188"/>
  <c r="I65" i="188" s="1"/>
  <c r="J65" i="188" s="1"/>
  <c r="V88" i="188"/>
  <c r="W88" i="188" s="1"/>
  <c r="Q88" i="188" s="1"/>
  <c r="R88" i="188" s="1"/>
  <c r="E108" i="188"/>
  <c r="V108" i="188"/>
  <c r="W108" i="188" s="1"/>
  <c r="Q108" i="188" s="1"/>
  <c r="R108" i="188" s="1"/>
  <c r="V130" i="188"/>
  <c r="W130" i="188" s="1"/>
  <c r="Q130" i="188" s="1"/>
  <c r="R130" i="188" s="1"/>
  <c r="E130" i="188"/>
  <c r="U55" i="188"/>
  <c r="V55" i="188" s="1"/>
  <c r="W55" i="188" s="1"/>
  <c r="Q55" i="188" s="1"/>
  <c r="R55" i="188" s="1"/>
  <c r="I129" i="188"/>
  <c r="J129" i="188" s="1"/>
  <c r="U103" i="188"/>
  <c r="V103" i="188" s="1"/>
  <c r="W103" i="188" s="1"/>
  <c r="Q103" i="188" s="1"/>
  <c r="R103" i="188" s="1"/>
  <c r="V50" i="188"/>
  <c r="W50" i="188" s="1"/>
  <c r="Q50" i="188" s="1"/>
  <c r="R50" i="188" s="1"/>
  <c r="E43" i="188"/>
  <c r="E64" i="188"/>
  <c r="I43" i="188"/>
  <c r="J43" i="188" s="1"/>
  <c r="I115" i="188"/>
  <c r="J115" i="188" s="1"/>
  <c r="V42" i="188"/>
  <c r="W42" i="188" s="1"/>
  <c r="Q42" i="188" s="1"/>
  <c r="R42" i="188" s="1"/>
  <c r="E50" i="188"/>
  <c r="E129" i="188"/>
  <c r="E115" i="188"/>
  <c r="V74" i="188"/>
  <c r="W74" i="188" s="1"/>
  <c r="Q74" i="188" s="1"/>
  <c r="R74" i="188" s="1"/>
  <c r="E52" i="188"/>
  <c r="E74" i="188"/>
  <c r="I99" i="188"/>
  <c r="J99" i="188" s="1"/>
  <c r="I124" i="188"/>
  <c r="J124" i="188" s="1"/>
  <c r="U62" i="188"/>
  <c r="V62" i="188" s="1"/>
  <c r="W62" i="188" s="1"/>
  <c r="Q62" i="188" s="1"/>
  <c r="R62" i="188" s="1"/>
  <c r="V52" i="188"/>
  <c r="W52" i="188" s="1"/>
  <c r="Q52" i="188" s="1"/>
  <c r="R52" i="188" s="1"/>
  <c r="U102" i="188"/>
  <c r="I102" i="188" s="1"/>
  <c r="J102" i="188" s="1"/>
  <c r="U128" i="188"/>
  <c r="V128" i="188" s="1"/>
  <c r="W128" i="188" s="1"/>
  <c r="Q128" i="188" s="1"/>
  <c r="R128" i="188" s="1"/>
  <c r="I109" i="188"/>
  <c r="J109" i="188" s="1"/>
  <c r="U125" i="188"/>
  <c r="I125" i="188" s="1"/>
  <c r="J125" i="188" s="1"/>
  <c r="I33" i="188"/>
  <c r="J33" i="188" s="1"/>
  <c r="I97" i="188"/>
  <c r="J97" i="188" s="1"/>
  <c r="U87" i="188"/>
  <c r="I87" i="188" s="1"/>
  <c r="J87" i="188" s="1"/>
  <c r="U70" i="188"/>
  <c r="V70" i="188" s="1"/>
  <c r="W70" i="188" s="1"/>
  <c r="Q70" i="188" s="1"/>
  <c r="R70" i="188" s="1"/>
  <c r="E97" i="188"/>
  <c r="U37" i="188"/>
  <c r="I37" i="188" s="1"/>
  <c r="J37" i="188" s="1"/>
  <c r="E124" i="188"/>
  <c r="E99" i="188"/>
  <c r="U132" i="188"/>
  <c r="V132" i="188" s="1"/>
  <c r="W132" i="188" s="1"/>
  <c r="Q132" i="188" s="1"/>
  <c r="R132" i="188" s="1"/>
  <c r="V77" i="188"/>
  <c r="W77" i="188" s="1"/>
  <c r="Q77" i="188" s="1"/>
  <c r="R77" i="188" s="1"/>
  <c r="I69" i="188"/>
  <c r="J69" i="188" s="1"/>
  <c r="U86" i="188"/>
  <c r="I86" i="188" s="1"/>
  <c r="J86" i="188" s="1"/>
  <c r="U53" i="188"/>
  <c r="I53" i="188" s="1"/>
  <c r="J53" i="188" s="1"/>
  <c r="E77" i="188"/>
  <c r="U117" i="188"/>
  <c r="V117" i="188" s="1"/>
  <c r="W117" i="188" s="1"/>
  <c r="Q117" i="188" s="1"/>
  <c r="R117" i="188" s="1"/>
  <c r="U58" i="188"/>
  <c r="V58" i="188" s="1"/>
  <c r="W58" i="188" s="1"/>
  <c r="Q58" i="188" s="1"/>
  <c r="R58" i="188" s="1"/>
  <c r="U57" i="188"/>
  <c r="V57" i="188" s="1"/>
  <c r="W57" i="188" s="1"/>
  <c r="Q57" i="188" s="1"/>
  <c r="R57" i="188" s="1"/>
  <c r="U47" i="188"/>
  <c r="V47" i="188" s="1"/>
  <c r="W47" i="188" s="1"/>
  <c r="Q47" i="188" s="1"/>
  <c r="R47" i="188" s="1"/>
  <c r="E42" i="188"/>
  <c r="U73" i="188"/>
  <c r="I73" i="188" s="1"/>
  <c r="J73" i="188" s="1"/>
  <c r="E69" i="188"/>
  <c r="U54" i="188"/>
  <c r="I54" i="188" s="1"/>
  <c r="J54" i="188" s="1"/>
  <c r="E36" i="188"/>
  <c r="U45" i="188"/>
  <c r="I45" i="188" s="1"/>
  <c r="J45" i="188" s="1"/>
  <c r="U35" i="188"/>
  <c r="I35" i="188" s="1"/>
  <c r="J35" i="188" s="1"/>
  <c r="U106" i="188"/>
  <c r="V106" i="188" s="1"/>
  <c r="W106" i="188" s="1"/>
  <c r="Q106" i="188" s="1"/>
  <c r="R106" i="188" s="1"/>
  <c r="U49" i="188"/>
  <c r="I49" i="188" s="1"/>
  <c r="J49" i="188" s="1"/>
  <c r="E88" i="188"/>
  <c r="I36" i="188"/>
  <c r="J36" i="188" s="1"/>
  <c r="V39" i="188"/>
  <c r="W39" i="188" s="1"/>
  <c r="Q39" i="188" s="1"/>
  <c r="R39" i="188" s="1"/>
  <c r="U101" i="188"/>
  <c r="V101" i="188" s="1"/>
  <c r="W101" i="188" s="1"/>
  <c r="Q101" i="188" s="1"/>
  <c r="R101" i="188" s="1"/>
  <c r="U110" i="188"/>
  <c r="I110" i="188" s="1"/>
  <c r="J110" i="188" s="1"/>
  <c r="U44" i="188"/>
  <c r="I44" i="188" s="1"/>
  <c r="J44" i="188" s="1"/>
  <c r="U75" i="188"/>
  <c r="I75" i="188" s="1"/>
  <c r="J75" i="188" s="1"/>
  <c r="E109" i="188"/>
  <c r="E39" i="188"/>
  <c r="E34" i="188"/>
  <c r="V114" i="188"/>
  <c r="W114" i="188" s="1"/>
  <c r="Q114" i="188" s="1"/>
  <c r="R114" i="188" s="1"/>
  <c r="E114" i="188"/>
  <c r="V83" i="188"/>
  <c r="W83" i="188" s="1"/>
  <c r="Q83" i="188" s="1"/>
  <c r="R83" i="188" s="1"/>
  <c r="E127" i="188"/>
  <c r="E83" i="188"/>
  <c r="I127" i="188"/>
  <c r="J127" i="188" s="1"/>
  <c r="I34" i="188"/>
  <c r="J34" i="188" s="1"/>
  <c r="T56" i="188"/>
  <c r="L32" i="102"/>
  <c r="E95" i="5"/>
  <c r="U89" i="188"/>
  <c r="I89" i="188" s="1"/>
  <c r="J89" i="188" s="1"/>
  <c r="V80" i="188"/>
  <c r="W80" i="188" s="1"/>
  <c r="Q80" i="188" s="1"/>
  <c r="R80" i="188" s="1"/>
  <c r="U81" i="188"/>
  <c r="I81" i="188" s="1"/>
  <c r="J81" i="188" s="1"/>
  <c r="T66" i="188"/>
  <c r="T67" i="188"/>
  <c r="K50" i="77"/>
  <c r="L50" i="77" s="1"/>
  <c r="E72" i="5"/>
  <c r="E80" i="188"/>
  <c r="T59" i="188"/>
  <c r="T123" i="188"/>
  <c r="T60" i="188"/>
  <c r="V113" i="188"/>
  <c r="W113" i="188" s="1"/>
  <c r="Q113" i="188" s="1"/>
  <c r="R113" i="188" s="1"/>
  <c r="I131" i="188"/>
  <c r="J131" i="188" s="1"/>
  <c r="V63" i="188"/>
  <c r="W63" i="188" s="1"/>
  <c r="Q63" i="188" s="1"/>
  <c r="R63" i="188" s="1"/>
  <c r="I82" i="188"/>
  <c r="J82" i="188" s="1"/>
  <c r="V78" i="188"/>
  <c r="W78" i="188" s="1"/>
  <c r="Q78" i="188" s="1"/>
  <c r="R78" i="188" s="1"/>
  <c r="V126" i="188"/>
  <c r="W126" i="188" s="1"/>
  <c r="Q126" i="188" s="1"/>
  <c r="R126" i="188" s="1"/>
  <c r="V107" i="188"/>
  <c r="W107" i="188" s="1"/>
  <c r="Q107" i="188" s="1"/>
  <c r="R107" i="188" s="1"/>
  <c r="V122" i="188"/>
  <c r="W122" i="188" s="1"/>
  <c r="Q122" i="188" s="1"/>
  <c r="R122" i="188" s="1"/>
  <c r="I119" i="188"/>
  <c r="J119" i="188" s="1"/>
  <c r="V100" i="188"/>
  <c r="W100" i="188" s="1"/>
  <c r="Q100" i="188" s="1"/>
  <c r="R100" i="188" s="1"/>
  <c r="I51" i="188"/>
  <c r="J51" i="188" s="1"/>
  <c r="V93" i="188"/>
  <c r="W93" i="188" s="1"/>
  <c r="Q93" i="188" s="1"/>
  <c r="R93" i="188" s="1"/>
  <c r="I7" i="188"/>
  <c r="J7" i="188" s="1"/>
  <c r="I28" i="188"/>
  <c r="J28" i="188" s="1"/>
  <c r="I61" i="188"/>
  <c r="J61" i="188" s="1"/>
  <c r="V118" i="188"/>
  <c r="W118" i="188" s="1"/>
  <c r="Q118" i="188" s="1"/>
  <c r="R118" i="188" s="1"/>
  <c r="I91" i="188"/>
  <c r="J91" i="188" s="1"/>
  <c r="V21" i="188"/>
  <c r="W21" i="188" s="1"/>
  <c r="Q21" i="188" s="1"/>
  <c r="R21" i="188" s="1"/>
  <c r="V17" i="188"/>
  <c r="W17" i="188" s="1"/>
  <c r="Q17" i="188" s="1"/>
  <c r="R17" i="188" s="1"/>
  <c r="V30" i="188"/>
  <c r="W30" i="188" s="1"/>
  <c r="Q30" i="188" s="1"/>
  <c r="R30" i="188" s="1"/>
  <c r="V22" i="188"/>
  <c r="W22" i="188" s="1"/>
  <c r="Q22" i="188" s="1"/>
  <c r="R22" i="188" s="1"/>
  <c r="V4" i="188"/>
  <c r="W4" i="188" s="1"/>
  <c r="Q4" i="188" s="1"/>
  <c r="R4" i="188" s="1"/>
  <c r="I29" i="188"/>
  <c r="J29" i="188" s="1"/>
  <c r="I94" i="188"/>
  <c r="J94" i="188" s="1"/>
  <c r="I18" i="188"/>
  <c r="J18" i="188" s="1"/>
  <c r="V6" i="188"/>
  <c r="W6" i="188" s="1"/>
  <c r="Q6" i="188" s="1"/>
  <c r="R6" i="188" s="1"/>
  <c r="I14" i="188"/>
  <c r="J14" i="188" s="1"/>
  <c r="I105" i="188"/>
  <c r="J105" i="188" s="1"/>
  <c r="V92" i="188"/>
  <c r="W92" i="188" s="1"/>
  <c r="Q92" i="188" s="1"/>
  <c r="R92" i="188" s="1"/>
  <c r="V8" i="188"/>
  <c r="W8" i="188" s="1"/>
  <c r="Q8" i="188" s="1"/>
  <c r="R8" i="188" s="1"/>
  <c r="I11" i="188"/>
  <c r="J11" i="188" s="1"/>
  <c r="V31" i="188"/>
  <c r="I19" i="188"/>
  <c r="J19" i="188" s="1"/>
  <c r="V19" i="188"/>
  <c r="W19" i="188" s="1"/>
  <c r="I10" i="188"/>
  <c r="J10" i="188" s="1"/>
  <c r="V10" i="188"/>
  <c r="W10" i="188" s="1"/>
  <c r="Q7" i="188"/>
  <c r="R7" i="188" s="1"/>
  <c r="M7" i="188"/>
  <c r="N7" i="188" s="1"/>
  <c r="Q32" i="188"/>
  <c r="R32" i="188" s="1"/>
  <c r="M32" i="188"/>
  <c r="N32" i="188" s="1"/>
  <c r="M20" i="188"/>
  <c r="N20" i="188" s="1"/>
  <c r="Q20" i="188"/>
  <c r="R20" i="188" s="1"/>
  <c r="M26" i="188"/>
  <c r="N26" i="188" s="1"/>
  <c r="Q26" i="188"/>
  <c r="R26" i="188" s="1"/>
  <c r="M24" i="188"/>
  <c r="N24" i="188" s="1"/>
  <c r="Q24" i="188"/>
  <c r="R24" i="188" s="1"/>
  <c r="Q12" i="188"/>
  <c r="R12" i="188" s="1"/>
  <c r="M12" i="188"/>
  <c r="N12" i="188" s="1"/>
  <c r="Q23" i="188"/>
  <c r="R23" i="188" s="1"/>
  <c r="M23" i="188"/>
  <c r="N23" i="188" s="1"/>
  <c r="Q104" i="188"/>
  <c r="R104" i="188" s="1"/>
  <c r="M104" i="188"/>
  <c r="N104" i="188" s="1"/>
  <c r="M14" i="188"/>
  <c r="N14" i="188" s="1"/>
  <c r="Q14" i="188"/>
  <c r="R14" i="188" s="1"/>
  <c r="M25" i="188"/>
  <c r="N25" i="188" s="1"/>
  <c r="Q25" i="188"/>
  <c r="R25" i="188" s="1"/>
  <c r="Q15" i="188"/>
  <c r="R15" i="188" s="1"/>
  <c r="M15" i="188"/>
  <c r="N15" i="188" s="1"/>
  <c r="Q9" i="188"/>
  <c r="R9" i="188" s="1"/>
  <c r="M9" i="188"/>
  <c r="N9" i="188" s="1"/>
  <c r="Q96" i="188"/>
  <c r="R96" i="188" s="1"/>
  <c r="M96" i="188"/>
  <c r="N96" i="188" s="1"/>
  <c r="Q5" i="188"/>
  <c r="R5" i="188" s="1"/>
  <c r="M5" i="188"/>
  <c r="N5" i="188" s="1"/>
  <c r="Q18" i="188"/>
  <c r="R18" i="188" s="1"/>
  <c r="M18" i="188"/>
  <c r="N18" i="188" s="1"/>
  <c r="Q94" i="188"/>
  <c r="R94" i="188" s="1"/>
  <c r="M94" i="188"/>
  <c r="N94" i="188" s="1"/>
  <c r="Q13" i="188"/>
  <c r="R13" i="188" s="1"/>
  <c r="M13" i="188"/>
  <c r="N13" i="188" s="1"/>
  <c r="Q28" i="188"/>
  <c r="R28" i="188" s="1"/>
  <c r="M28" i="188"/>
  <c r="N28" i="188" s="1"/>
  <c r="M27" i="188"/>
  <c r="N27" i="188" s="1"/>
  <c r="Q27" i="188"/>
  <c r="R27" i="188" s="1"/>
  <c r="M29" i="188"/>
  <c r="N29" i="188" s="1"/>
  <c r="Q29" i="188"/>
  <c r="R29" i="188" s="1"/>
  <c r="M16" i="188"/>
  <c r="N16" i="188" s="1"/>
  <c r="Q16" i="188"/>
  <c r="R16" i="188" s="1"/>
  <c r="M105" i="188"/>
  <c r="N105" i="188" s="1"/>
  <c r="Q105" i="188"/>
  <c r="R105" i="188" s="1"/>
  <c r="M11" i="188"/>
  <c r="N11" i="188" s="1"/>
  <c r="Q11" i="188"/>
  <c r="R11" i="188" s="1"/>
  <c r="Q34" i="188"/>
  <c r="R34" i="188" s="1"/>
  <c r="M34" i="188"/>
  <c r="N34" i="188" s="1"/>
  <c r="Q119" i="188"/>
  <c r="R119" i="188" s="1"/>
  <c r="M119" i="188"/>
  <c r="N119" i="188" s="1"/>
  <c r="M127" i="188"/>
  <c r="N127" i="188" s="1"/>
  <c r="Q127" i="188"/>
  <c r="R127" i="188" s="1"/>
  <c r="M76" i="188"/>
  <c r="N76" i="188" s="1"/>
  <c r="Q76" i="188"/>
  <c r="R76" i="188" s="1"/>
  <c r="M46" i="188"/>
  <c r="N46" i="188" s="1"/>
  <c r="Q46" i="188"/>
  <c r="R46" i="188" s="1"/>
  <c r="M90" i="188"/>
  <c r="N90" i="188" s="1"/>
  <c r="Q90" i="188"/>
  <c r="R90" i="188" s="1"/>
  <c r="M64" i="188"/>
  <c r="N64" i="188" s="1"/>
  <c r="Q64" i="188"/>
  <c r="R64" i="188" s="1"/>
  <c r="M131" i="188"/>
  <c r="N131" i="188" s="1"/>
  <c r="Q131" i="188"/>
  <c r="R131" i="188" s="1"/>
  <c r="Q33" i="188"/>
  <c r="R33" i="188" s="1"/>
  <c r="M33" i="188"/>
  <c r="N33" i="188" s="1"/>
  <c r="M48" i="188"/>
  <c r="N48" i="188" s="1"/>
  <c r="Q48" i="188"/>
  <c r="R48" i="188" s="1"/>
  <c r="Q36" i="188"/>
  <c r="R36" i="188" s="1"/>
  <c r="M36" i="188"/>
  <c r="N36" i="188" s="1"/>
  <c r="M68" i="188"/>
  <c r="N68" i="188" s="1"/>
  <c r="Q68" i="188"/>
  <c r="R68" i="188" s="1"/>
  <c r="Q97" i="188"/>
  <c r="R97" i="188" s="1"/>
  <c r="M97" i="188"/>
  <c r="N97" i="188" s="1"/>
  <c r="M129" i="188"/>
  <c r="N129" i="188" s="1"/>
  <c r="Q129" i="188"/>
  <c r="R129" i="188" s="1"/>
  <c r="Q51" i="188"/>
  <c r="R51" i="188" s="1"/>
  <c r="M51" i="188"/>
  <c r="N51" i="188" s="1"/>
  <c r="Q109" i="188"/>
  <c r="R109" i="188" s="1"/>
  <c r="M109" i="188"/>
  <c r="N109" i="188" s="1"/>
  <c r="M124" i="188"/>
  <c r="N124" i="188" s="1"/>
  <c r="Q124" i="188"/>
  <c r="R124" i="188" s="1"/>
  <c r="Q82" i="188"/>
  <c r="R82" i="188" s="1"/>
  <c r="M82" i="188"/>
  <c r="N82" i="188" s="1"/>
  <c r="Q79" i="188"/>
  <c r="R79" i="188" s="1"/>
  <c r="M79" i="188"/>
  <c r="N79" i="188" s="1"/>
  <c r="Q115" i="188"/>
  <c r="R115" i="188" s="1"/>
  <c r="M115" i="188"/>
  <c r="N115" i="188" s="1"/>
  <c r="M84" i="188"/>
  <c r="N84" i="188" s="1"/>
  <c r="Q84" i="188"/>
  <c r="R84" i="188" s="1"/>
  <c r="Q91" i="188"/>
  <c r="R91" i="188" s="1"/>
  <c r="M91" i="188"/>
  <c r="N91" i="188" s="1"/>
  <c r="Q98" i="188"/>
  <c r="R98" i="188" s="1"/>
  <c r="M98" i="188"/>
  <c r="N98" i="188" s="1"/>
  <c r="Q69" i="188"/>
  <c r="R69" i="188" s="1"/>
  <c r="M69" i="188"/>
  <c r="N69" i="188" s="1"/>
  <c r="M99" i="188"/>
  <c r="N99" i="188" s="1"/>
  <c r="Q99" i="188"/>
  <c r="R99" i="188" s="1"/>
  <c r="M121" i="188"/>
  <c r="N121" i="188" s="1"/>
  <c r="Q121" i="188"/>
  <c r="R121" i="188" s="1"/>
  <c r="Q61" i="188"/>
  <c r="R61" i="188" s="1"/>
  <c r="M61" i="188"/>
  <c r="N61" i="188" s="1"/>
  <c r="Q43" i="188"/>
  <c r="R43" i="188" s="1"/>
  <c r="M43" i="188"/>
  <c r="N43" i="188" s="1"/>
  <c r="Q41" i="188"/>
  <c r="R41" i="188" s="1"/>
  <c r="M41" i="188"/>
  <c r="N41" i="188" s="1"/>
  <c r="E85" i="188" l="1"/>
  <c r="U85" i="188"/>
  <c r="I85" i="188" s="1"/>
  <c r="J85" i="188" s="1"/>
  <c r="I40" i="188"/>
  <c r="J40" i="188" s="1"/>
  <c r="V38" i="188"/>
  <c r="W38" i="188" s="1"/>
  <c r="Q38" i="188" s="1"/>
  <c r="R38" i="188" s="1"/>
  <c r="M40" i="188"/>
  <c r="N40" i="188" s="1"/>
  <c r="I71" i="188"/>
  <c r="J71" i="188" s="1"/>
  <c r="M71" i="188"/>
  <c r="N71" i="188" s="1"/>
  <c r="V65" i="188"/>
  <c r="W65" i="188" s="1"/>
  <c r="Q65" i="188" s="1"/>
  <c r="R65" i="188" s="1"/>
  <c r="M108" i="188"/>
  <c r="N108" i="188" s="1"/>
  <c r="I70" i="188"/>
  <c r="J70" i="188" s="1"/>
  <c r="M88" i="188"/>
  <c r="N88" i="188" s="1"/>
  <c r="M130" i="188"/>
  <c r="N130" i="188" s="1"/>
  <c r="I55" i="188"/>
  <c r="J55" i="188" s="1"/>
  <c r="M55" i="188"/>
  <c r="N55" i="188" s="1"/>
  <c r="M103" i="188"/>
  <c r="N103" i="188" s="1"/>
  <c r="I103" i="188"/>
  <c r="J103" i="188" s="1"/>
  <c r="M42" i="188"/>
  <c r="N42" i="188" s="1"/>
  <c r="M50" i="188"/>
  <c r="N50" i="188" s="1"/>
  <c r="I132" i="188"/>
  <c r="J132" i="188" s="1"/>
  <c r="I62" i="188"/>
  <c r="J62" i="188" s="1"/>
  <c r="V75" i="188"/>
  <c r="W75" i="188" s="1"/>
  <c r="Q75" i="188" s="1"/>
  <c r="R75" i="188" s="1"/>
  <c r="M70" i="188"/>
  <c r="N70" i="188" s="1"/>
  <c r="M80" i="188"/>
  <c r="N80" i="188" s="1"/>
  <c r="V102" i="188"/>
  <c r="W102" i="188" s="1"/>
  <c r="Q102" i="188" s="1"/>
  <c r="R102" i="188" s="1"/>
  <c r="I128" i="188"/>
  <c r="J128" i="188" s="1"/>
  <c r="M128" i="188"/>
  <c r="N128" i="188" s="1"/>
  <c r="V49" i="188"/>
  <c r="W49" i="188" s="1"/>
  <c r="Q49" i="188" s="1"/>
  <c r="R49" i="188" s="1"/>
  <c r="V86" i="188"/>
  <c r="W86" i="188" s="1"/>
  <c r="Q86" i="188" s="1"/>
  <c r="R86" i="188" s="1"/>
  <c r="V73" i="188"/>
  <c r="W73" i="188" s="1"/>
  <c r="Q73" i="188" s="1"/>
  <c r="R73" i="188" s="1"/>
  <c r="M74" i="188"/>
  <c r="N74" i="188" s="1"/>
  <c r="I106" i="188"/>
  <c r="J106" i="188" s="1"/>
  <c r="M52" i="188"/>
  <c r="N52" i="188" s="1"/>
  <c r="V54" i="188"/>
  <c r="W54" i="188" s="1"/>
  <c r="Q54" i="188" s="1"/>
  <c r="R54" i="188" s="1"/>
  <c r="M132" i="188"/>
  <c r="N132" i="188" s="1"/>
  <c r="V110" i="188"/>
  <c r="W110" i="188" s="1"/>
  <c r="Q110" i="188" s="1"/>
  <c r="R110" i="188" s="1"/>
  <c r="V125" i="188"/>
  <c r="W125" i="188" s="1"/>
  <c r="Q125" i="188" s="1"/>
  <c r="R125" i="188" s="1"/>
  <c r="M62" i="188"/>
  <c r="N62" i="188" s="1"/>
  <c r="M77" i="188"/>
  <c r="N77" i="188" s="1"/>
  <c r="I47" i="188"/>
  <c r="J47" i="188" s="1"/>
  <c r="M101" i="188"/>
  <c r="N101" i="188" s="1"/>
  <c r="M83" i="188"/>
  <c r="N83" i="188" s="1"/>
  <c r="V87" i="188"/>
  <c r="W87" i="188" s="1"/>
  <c r="Q87" i="188" s="1"/>
  <c r="R87" i="188" s="1"/>
  <c r="I57" i="188"/>
  <c r="J57" i="188" s="1"/>
  <c r="V44" i="188"/>
  <c r="W44" i="188" s="1"/>
  <c r="Q44" i="188" s="1"/>
  <c r="R44" i="188" s="1"/>
  <c r="M57" i="188"/>
  <c r="N57" i="188" s="1"/>
  <c r="V37" i="188"/>
  <c r="W37" i="188" s="1"/>
  <c r="Q37" i="188" s="1"/>
  <c r="R37" i="188" s="1"/>
  <c r="V89" i="188"/>
  <c r="W89" i="188" s="1"/>
  <c r="Q89" i="188" s="1"/>
  <c r="R89" i="188" s="1"/>
  <c r="M106" i="188"/>
  <c r="N106" i="188" s="1"/>
  <c r="V53" i="188"/>
  <c r="W53" i="188" s="1"/>
  <c r="Q53" i="188" s="1"/>
  <c r="R53" i="188" s="1"/>
  <c r="M58" i="188"/>
  <c r="N58" i="188" s="1"/>
  <c r="M117" i="188"/>
  <c r="N117" i="188" s="1"/>
  <c r="I117" i="188"/>
  <c r="J117" i="188" s="1"/>
  <c r="I58" i="188"/>
  <c r="J58" i="188" s="1"/>
  <c r="M39" i="188"/>
  <c r="N39" i="188" s="1"/>
  <c r="M47" i="188"/>
  <c r="N47" i="188" s="1"/>
  <c r="V35" i="188"/>
  <c r="W35" i="188" s="1"/>
  <c r="Q35" i="188" s="1"/>
  <c r="R35" i="188" s="1"/>
  <c r="I101" i="188"/>
  <c r="J101" i="188" s="1"/>
  <c r="V45" i="188"/>
  <c r="W45" i="188" s="1"/>
  <c r="Q45" i="188" s="1"/>
  <c r="R45" i="188" s="1"/>
  <c r="M114" i="188"/>
  <c r="N114" i="188" s="1"/>
  <c r="U59" i="188"/>
  <c r="E59" i="188"/>
  <c r="T72" i="188"/>
  <c r="U66" i="188"/>
  <c r="E66" i="188"/>
  <c r="V81" i="188"/>
  <c r="W81" i="188" s="1"/>
  <c r="Q81" i="188" s="1"/>
  <c r="R81" i="188" s="1"/>
  <c r="U60" i="188"/>
  <c r="E60" i="188"/>
  <c r="T95" i="188"/>
  <c r="U67" i="188"/>
  <c r="E67" i="188"/>
  <c r="E123" i="188"/>
  <c r="U123" i="188"/>
  <c r="U56" i="188"/>
  <c r="E56" i="188"/>
  <c r="M113" i="188"/>
  <c r="N113" i="188" s="1"/>
  <c r="M63" i="188"/>
  <c r="N63" i="188" s="1"/>
  <c r="M78" i="188"/>
  <c r="N78" i="188" s="1"/>
  <c r="M126" i="188"/>
  <c r="N126" i="188" s="1"/>
  <c r="M107" i="188"/>
  <c r="N107" i="188" s="1"/>
  <c r="M122" i="188"/>
  <c r="N122" i="188" s="1"/>
  <c r="M93" i="188"/>
  <c r="N93" i="188" s="1"/>
  <c r="M100" i="188"/>
  <c r="N100" i="188" s="1"/>
  <c r="M118" i="188"/>
  <c r="N118" i="188" s="1"/>
  <c r="M21" i="188"/>
  <c r="N21" i="188" s="1"/>
  <c r="M4" i="188"/>
  <c r="N4" i="188" s="1"/>
  <c r="M30" i="188"/>
  <c r="N30" i="188" s="1"/>
  <c r="M17" i="188"/>
  <c r="N17" i="188" s="1"/>
  <c r="M22" i="188"/>
  <c r="N22" i="188" s="1"/>
  <c r="M6" i="188"/>
  <c r="N6" i="188" s="1"/>
  <c r="M92" i="188"/>
  <c r="N92" i="188" s="1"/>
  <c r="M8" i="188"/>
  <c r="N8" i="188" s="1"/>
  <c r="W31" i="188"/>
  <c r="Q31" i="188" s="1"/>
  <c r="R31" i="188" s="1"/>
  <c r="M31" i="188"/>
  <c r="N31" i="188" s="1"/>
  <c r="M10" i="188"/>
  <c r="N10" i="188" s="1"/>
  <c r="Q10" i="188"/>
  <c r="R10" i="188" s="1"/>
  <c r="M19" i="188"/>
  <c r="N19" i="188" s="1"/>
  <c r="Q19" i="188"/>
  <c r="R19" i="188" s="1"/>
  <c r="V85" i="188" l="1"/>
  <c r="W85" i="188" s="1"/>
  <c r="Q85" i="188" s="1"/>
  <c r="R85" i="188" s="1"/>
  <c r="M38" i="188"/>
  <c r="N38" i="188" s="1"/>
  <c r="M65" i="188"/>
  <c r="N65" i="188" s="1"/>
  <c r="M75" i="188"/>
  <c r="N75" i="188" s="1"/>
  <c r="M49" i="188"/>
  <c r="N49" i="188" s="1"/>
  <c r="M102" i="188"/>
  <c r="N102" i="188" s="1"/>
  <c r="M54" i="188"/>
  <c r="N54" i="188" s="1"/>
  <c r="M53" i="188"/>
  <c r="N53" i="188" s="1"/>
  <c r="M86" i="188"/>
  <c r="N86" i="188" s="1"/>
  <c r="M110" i="188"/>
  <c r="N110" i="188" s="1"/>
  <c r="M87" i="188"/>
  <c r="N87" i="188" s="1"/>
  <c r="M73" i="188"/>
  <c r="N73" i="188" s="1"/>
  <c r="M125" i="188"/>
  <c r="N125" i="188" s="1"/>
  <c r="M89" i="188"/>
  <c r="N89" i="188" s="1"/>
  <c r="M37" i="188"/>
  <c r="N37" i="188" s="1"/>
  <c r="M44" i="188"/>
  <c r="N44" i="188" s="1"/>
  <c r="M45" i="188"/>
  <c r="N45" i="188" s="1"/>
  <c r="M35" i="188"/>
  <c r="N35" i="188" s="1"/>
  <c r="V60" i="188"/>
  <c r="I60" i="188"/>
  <c r="J60" i="188" s="1"/>
  <c r="V66" i="188"/>
  <c r="I66" i="188"/>
  <c r="J66" i="188" s="1"/>
  <c r="I67" i="188"/>
  <c r="J67" i="188" s="1"/>
  <c r="V67" i="188"/>
  <c r="U72" i="188"/>
  <c r="E72" i="188"/>
  <c r="V123" i="188"/>
  <c r="I123" i="188"/>
  <c r="J123" i="188" s="1"/>
  <c r="E95" i="188"/>
  <c r="U95" i="188"/>
  <c r="M81" i="188"/>
  <c r="N81" i="188" s="1"/>
  <c r="V56" i="188"/>
  <c r="I56" i="188"/>
  <c r="J56" i="188" s="1"/>
  <c r="I59" i="188"/>
  <c r="J59" i="188" s="1"/>
  <c r="V59" i="188"/>
  <c r="AB127" i="1"/>
  <c r="AP127" i="1" s="1"/>
  <c r="AB137" i="1"/>
  <c r="AP137" i="1" s="1"/>
  <c r="AB135" i="1"/>
  <c r="AN135" i="1" s="1"/>
  <c r="AB138" i="1"/>
  <c r="AP138" i="1" s="1"/>
  <c r="M85" i="188" l="1"/>
  <c r="N85" i="188" s="1"/>
  <c r="AO135" i="1"/>
  <c r="AN138" i="1"/>
  <c r="I72" i="188"/>
  <c r="J72" i="188" s="1"/>
  <c r="V72" i="188"/>
  <c r="W66" i="188"/>
  <c r="Q66" i="188" s="1"/>
  <c r="R66" i="188" s="1"/>
  <c r="M66" i="188"/>
  <c r="N66" i="188" s="1"/>
  <c r="W56" i="188"/>
  <c r="Q56" i="188" s="1"/>
  <c r="R56" i="188" s="1"/>
  <c r="M56" i="188"/>
  <c r="N56" i="188" s="1"/>
  <c r="V95" i="188"/>
  <c r="I95" i="188"/>
  <c r="J95" i="188" s="1"/>
  <c r="W67" i="188"/>
  <c r="Q67" i="188" s="1"/>
  <c r="R67" i="188" s="1"/>
  <c r="M67" i="188"/>
  <c r="N67" i="188" s="1"/>
  <c r="W59" i="188"/>
  <c r="Q59" i="188" s="1"/>
  <c r="R59" i="188" s="1"/>
  <c r="M59" i="188"/>
  <c r="N59" i="188" s="1"/>
  <c r="W123" i="188"/>
  <c r="Q123" i="188" s="1"/>
  <c r="R123" i="188" s="1"/>
  <c r="M123" i="188"/>
  <c r="N123" i="188" s="1"/>
  <c r="W60" i="188"/>
  <c r="Q60" i="188" s="1"/>
  <c r="R60" i="188" s="1"/>
  <c r="M60" i="188"/>
  <c r="N60" i="188" s="1"/>
  <c r="AO127" i="1"/>
  <c r="AN127" i="1"/>
  <c r="AP135" i="1"/>
  <c r="AN137" i="1"/>
  <c r="AO138" i="1"/>
  <c r="AO137" i="1"/>
  <c r="BA135" i="1" l="1"/>
  <c r="I22" i="150"/>
  <c r="J22" i="150" s="1"/>
  <c r="J32" i="150" s="1"/>
  <c r="I51" i="150" s="1"/>
  <c r="E111" i="5" s="1"/>
  <c r="T111" i="188" s="1"/>
  <c r="U111" i="188" s="1"/>
  <c r="W95" i="188"/>
  <c r="Q95" i="188" s="1"/>
  <c r="R95" i="188" s="1"/>
  <c r="M95" i="188"/>
  <c r="N95" i="188" s="1"/>
  <c r="W72" i="188"/>
  <c r="Q72" i="188" s="1"/>
  <c r="R72" i="188" s="1"/>
  <c r="M72" i="188"/>
  <c r="N72" i="188" s="1"/>
  <c r="I22" i="151"/>
  <c r="J22" i="151" s="1"/>
  <c r="J32" i="151" s="1"/>
  <c r="I51" i="151" s="1"/>
  <c r="E112" i="5" s="1"/>
  <c r="BA137" i="1"/>
  <c r="I22" i="158"/>
  <c r="J22" i="158" s="1"/>
  <c r="J32" i="158" s="1"/>
  <c r="I51" i="158" s="1"/>
  <c r="E116" i="5" s="1"/>
  <c r="BA138" i="1"/>
  <c r="I22" i="164"/>
  <c r="J22" i="164" s="1"/>
  <c r="J32" i="164" s="1"/>
  <c r="I52" i="164" s="1"/>
  <c r="E120" i="5" s="1"/>
  <c r="BA127" i="1"/>
  <c r="E111" i="188" l="1"/>
  <c r="T120" i="188"/>
  <c r="T116" i="188"/>
  <c r="E116" i="188" s="1"/>
  <c r="T112" i="188"/>
  <c r="U112" i="188" s="1"/>
  <c r="I111" i="188"/>
  <c r="J111" i="188" s="1"/>
  <c r="V111" i="188"/>
  <c r="U120" i="188" l="1"/>
  <c r="E120" i="188"/>
  <c r="U116" i="188"/>
  <c r="I116" i="188" s="1"/>
  <c r="J116" i="188" s="1"/>
  <c r="E112" i="188"/>
  <c r="M111" i="188"/>
  <c r="N111" i="188" s="1"/>
  <c r="W111" i="188"/>
  <c r="Q111" i="188" s="1"/>
  <c r="R111" i="188" s="1"/>
  <c r="V112" i="188"/>
  <c r="I112" i="188"/>
  <c r="J112" i="188" s="1"/>
  <c r="V116" i="188" l="1"/>
  <c r="W116" i="188" s="1"/>
  <c r="Q116" i="188" s="1"/>
  <c r="R116" i="188" s="1"/>
  <c r="V120" i="188"/>
  <c r="I120" i="188"/>
  <c r="J120" i="188" s="1"/>
  <c r="M112" i="188"/>
  <c r="N112" i="188" s="1"/>
  <c r="W112" i="188"/>
  <c r="Q112" i="188" s="1"/>
  <c r="R112" i="188" s="1"/>
  <c r="J133" i="188" l="1"/>
  <c r="M116" i="188"/>
  <c r="N116" i="188" s="1"/>
  <c r="W120" i="188"/>
  <c r="Q120" i="188" s="1"/>
  <c r="R120" i="188" s="1"/>
  <c r="M120" i="188"/>
  <c r="N120" i="188" s="1"/>
  <c r="J134" i="188" l="1"/>
  <c r="N133" i="188"/>
  <c r="R133" i="188"/>
  <c r="R134" i="188" s="1"/>
  <c r="AL23" i="184" s="1"/>
  <c r="AD23" i="184" l="1"/>
  <c r="AD29" i="184" s="1"/>
  <c r="J23" i="184"/>
  <c r="E140" i="188"/>
  <c r="E142" i="188" s="1"/>
  <c r="E139" i="188" s="1"/>
  <c r="E137" i="188" s="1"/>
  <c r="N134" i="188"/>
  <c r="H140" i="188"/>
  <c r="H142" i="188" s="1"/>
  <c r="H139" i="188" s="1"/>
  <c r="H137" i="188" s="1"/>
  <c r="AL29" i="184"/>
  <c r="AD25" i="184" l="1"/>
  <c r="G59" i="185"/>
  <c r="AD30" i="184"/>
  <c r="AD31" i="184"/>
  <c r="N23" i="184"/>
  <c r="AH23" i="184"/>
  <c r="AH29" i="184" s="1"/>
  <c r="AL30" i="184"/>
  <c r="AL31" i="184"/>
  <c r="AL25" i="184"/>
  <c r="F140" i="188"/>
  <c r="F142" i="188" s="1"/>
  <c r="F139" i="188" s="1"/>
  <c r="I59" i="185"/>
  <c r="AH30" i="184" l="1"/>
  <c r="AH31" i="184"/>
  <c r="AH25" i="184"/>
  <c r="H59" i="185"/>
  <c r="F137" i="188"/>
  <c r="D107" i="5" l="1"/>
  <c r="F107" i="5" s="1"/>
  <c r="D64" i="5"/>
  <c r="F64" i="5" s="1"/>
  <c r="D92" i="5"/>
  <c r="F92" i="5" s="1"/>
  <c r="D100" i="5"/>
  <c r="F100" i="5" s="1"/>
  <c r="D54" i="5"/>
  <c r="F54" i="5" s="1"/>
  <c r="D5" i="5"/>
  <c r="F5" i="5" s="1"/>
  <c r="D116" i="5"/>
  <c r="F116" i="5" s="1"/>
  <c r="D114" i="5"/>
  <c r="F114" i="5" s="1"/>
  <c r="D15" i="5"/>
  <c r="F15" i="5" s="1"/>
  <c r="D81" i="5"/>
  <c r="F81" i="5" s="1"/>
  <c r="D90" i="5"/>
  <c r="F90" i="5" s="1"/>
  <c r="D115" i="5"/>
  <c r="F115" i="5" s="1"/>
  <c r="D36" i="5"/>
  <c r="F36" i="5" s="1"/>
  <c r="D108" i="5"/>
  <c r="F108" i="5" s="1"/>
  <c r="D73" i="5"/>
  <c r="F73" i="5" s="1"/>
  <c r="D46" i="5"/>
  <c r="F46" i="5" s="1"/>
  <c r="D74" i="5"/>
  <c r="F74" i="5" s="1"/>
  <c r="D93" i="5"/>
  <c r="F93" i="5" s="1"/>
  <c r="F65" i="188"/>
  <c r="F54" i="188"/>
  <c r="F31" i="188"/>
  <c r="F58" i="188"/>
  <c r="F12" i="188"/>
  <c r="F95" i="188"/>
  <c r="F21" i="188"/>
  <c r="F107" i="188"/>
  <c r="F48" i="188"/>
  <c r="D127" i="5"/>
  <c r="F127" i="5" s="1"/>
  <c r="F101" i="188"/>
  <c r="F60" i="188"/>
  <c r="F25" i="188"/>
  <c r="F96" i="188"/>
  <c r="F86" i="188"/>
  <c r="F91" i="188"/>
  <c r="F115" i="188"/>
  <c r="D83" i="5"/>
  <c r="F83" i="5" s="1"/>
  <c r="D120" i="5"/>
  <c r="F120" i="5" s="1"/>
  <c r="D124" i="5"/>
  <c r="F124" i="5" s="1"/>
  <c r="D119" i="5"/>
  <c r="F119" i="5" s="1"/>
  <c r="F119" i="188"/>
  <c r="D65" i="5"/>
  <c r="F65" i="5" s="1"/>
  <c r="D105" i="5"/>
  <c r="F105" i="5" s="1"/>
  <c r="D79" i="5"/>
  <c r="F79" i="5" s="1"/>
  <c r="F79" i="188"/>
  <c r="D58" i="5"/>
  <c r="F58" i="5" s="1"/>
  <c r="D11" i="5"/>
  <c r="F11" i="5" s="1"/>
  <c r="F47" i="188"/>
  <c r="D82" i="5"/>
  <c r="F82" i="5" s="1"/>
  <c r="D85" i="5"/>
  <c r="F85" i="5" s="1"/>
  <c r="D118" i="5"/>
  <c r="F118" i="5" s="1"/>
  <c r="D91" i="5"/>
  <c r="F91" i="5" s="1"/>
  <c r="D67" i="5"/>
  <c r="F67" i="5" s="1"/>
  <c r="D89" i="5"/>
  <c r="F89" i="5" s="1"/>
  <c r="D125" i="5"/>
  <c r="F125" i="5" s="1"/>
  <c r="D126" i="5"/>
  <c r="F126" i="5" s="1"/>
  <c r="D19" i="5"/>
  <c r="F19" i="5" s="1"/>
  <c r="F93" i="188"/>
  <c r="F66" i="188"/>
  <c r="F64" i="188"/>
  <c r="F124" i="188"/>
  <c r="F22" i="188"/>
  <c r="F42" i="188"/>
  <c r="F57" i="188"/>
  <c r="F17" i="188"/>
  <c r="F32" i="188"/>
  <c r="F127" i="188"/>
  <c r="F63" i="188"/>
  <c r="F34" i="188"/>
  <c r="F128" i="188"/>
  <c r="F62" i="188"/>
  <c r="F61" i="188"/>
  <c r="F68" i="188"/>
  <c r="F100" i="188"/>
  <c r="D22" i="5"/>
  <c r="F22" i="5" s="1"/>
  <c r="D109" i="5"/>
  <c r="F109" i="5" s="1"/>
  <c r="D87" i="5"/>
  <c r="F87" i="5" s="1"/>
  <c r="D111" i="5"/>
  <c r="F111" i="5" s="1"/>
  <c r="D130" i="5"/>
  <c r="F130" i="5" s="1"/>
  <c r="D62" i="5"/>
  <c r="F62" i="5" s="1"/>
  <c r="D44" i="5"/>
  <c r="F44" i="5" s="1"/>
  <c r="D47" i="5"/>
  <c r="F47" i="5" s="1"/>
  <c r="F29" i="188"/>
  <c r="D75" i="5"/>
  <c r="F75" i="5" s="1"/>
  <c r="D94" i="5"/>
  <c r="F94" i="5" s="1"/>
  <c r="D23" i="5"/>
  <c r="F23" i="5" s="1"/>
  <c r="D17" i="5"/>
  <c r="F17" i="5" s="1"/>
  <c r="F105" i="188"/>
  <c r="F69" i="188"/>
  <c r="F56" i="188"/>
  <c r="F9" i="188"/>
  <c r="F19" i="188"/>
  <c r="F10" i="188"/>
  <c r="F23" i="188"/>
  <c r="F111" i="188"/>
  <c r="F108" i="188"/>
  <c r="F41" i="188"/>
  <c r="F92" i="188"/>
  <c r="F44" i="188"/>
  <c r="F52" i="188"/>
  <c r="F104" i="188"/>
  <c r="F90" i="188"/>
  <c r="D113" i="5"/>
  <c r="F113" i="5" s="1"/>
  <c r="D37" i="5"/>
  <c r="F37" i="5" s="1"/>
  <c r="F37" i="188"/>
  <c r="D9" i="5"/>
  <c r="F9" i="5" s="1"/>
  <c r="D42" i="5"/>
  <c r="F42" i="5" s="1"/>
  <c r="D26" i="5"/>
  <c r="F26" i="5" s="1"/>
  <c r="D99" i="5"/>
  <c r="F99" i="5" s="1"/>
  <c r="D30" i="5"/>
  <c r="F30" i="5" s="1"/>
  <c r="F30" i="188"/>
  <c r="D52" i="5"/>
  <c r="F52" i="5" s="1"/>
  <c r="D27" i="5"/>
  <c r="F27" i="5" s="1"/>
  <c r="D76" i="5"/>
  <c r="F76" i="5" s="1"/>
  <c r="D110" i="5"/>
  <c r="F110" i="5" s="1"/>
  <c r="D63" i="5"/>
  <c r="F63" i="5" s="1"/>
  <c r="D38" i="5"/>
  <c r="F38" i="5" s="1"/>
  <c r="D103" i="5"/>
  <c r="F103" i="5" s="1"/>
  <c r="D97" i="5"/>
  <c r="F97" i="5" s="1"/>
  <c r="D29" i="5"/>
  <c r="F29" i="5" s="1"/>
  <c r="D104" i="5"/>
  <c r="F104" i="5" s="1"/>
  <c r="D32" i="5"/>
  <c r="F32" i="5" s="1"/>
  <c r="D101" i="5"/>
  <c r="F101" i="5" s="1"/>
  <c r="D50" i="5"/>
  <c r="F50" i="5" s="1"/>
  <c r="D18" i="5"/>
  <c r="F18" i="5" s="1"/>
  <c r="D60" i="5"/>
  <c r="F60" i="5" s="1"/>
  <c r="D128" i="5"/>
  <c r="F128" i="5" s="1"/>
  <c r="F118" i="188"/>
  <c r="F26" i="188"/>
  <c r="F13" i="188"/>
  <c r="D8" i="5"/>
  <c r="F8" i="5" s="1"/>
  <c r="F28" i="188"/>
  <c r="F16" i="188"/>
  <c r="F94" i="188"/>
  <c r="F116" i="188"/>
  <c r="F84" i="188"/>
  <c r="F131" i="188"/>
  <c r="F109" i="188"/>
  <c r="F27" i="188"/>
  <c r="F50" i="188"/>
  <c r="F7" i="5"/>
  <c r="F74" i="188"/>
  <c r="F85" i="188"/>
  <c r="F112" i="188"/>
  <c r="F102" i="188"/>
  <c r="D28" i="5"/>
  <c r="F28" i="5" s="1"/>
  <c r="D66" i="5"/>
  <c r="F66" i="5" s="1"/>
  <c r="D86" i="5"/>
  <c r="F86" i="5" s="1"/>
  <c r="D106" i="5"/>
  <c r="F106" i="5" s="1"/>
  <c r="D16" i="5"/>
  <c r="F16" i="5" s="1"/>
  <c r="D78" i="5"/>
  <c r="F78" i="5" s="1"/>
  <c r="D102" i="5"/>
  <c r="F102" i="5" s="1"/>
  <c r="F129" i="188"/>
  <c r="D12" i="5"/>
  <c r="F12" i="5" s="1"/>
  <c r="F24" i="188"/>
  <c r="D122" i="5"/>
  <c r="F122" i="5" s="1"/>
  <c r="D40" i="5"/>
  <c r="F40" i="5" s="1"/>
  <c r="D35" i="5"/>
  <c r="F35" i="5" s="1"/>
  <c r="D48" i="5"/>
  <c r="F48" i="5" s="1"/>
  <c r="F121" i="188"/>
  <c r="D95" i="5"/>
  <c r="F95" i="5" s="1"/>
  <c r="D14" i="5"/>
  <c r="F14" i="5" s="1"/>
  <c r="F14" i="188"/>
  <c r="F78" i="188"/>
  <c r="F55" i="188"/>
  <c r="F35" i="188"/>
  <c r="F8" i="188"/>
  <c r="F40" i="188"/>
  <c r="F113" i="188"/>
  <c r="F76" i="188"/>
  <c r="F81" i="188"/>
  <c r="F82" i="188"/>
  <c r="D70" i="5"/>
  <c r="F70" i="5" s="1"/>
  <c r="F5" i="188"/>
  <c r="F120" i="188"/>
  <c r="F130" i="188"/>
  <c r="D71" i="5"/>
  <c r="F71" i="5" s="1"/>
  <c r="F7" i="188"/>
  <c r="F97" i="188"/>
  <c r="F49" i="188"/>
  <c r="F110" i="188"/>
  <c r="D10" i="5"/>
  <c r="F10" i="5" s="1"/>
  <c r="D33" i="5"/>
  <c r="F33" i="5" s="1"/>
  <c r="D123" i="5"/>
  <c r="F123" i="5" s="1"/>
  <c r="F106" i="188"/>
  <c r="F59" i="188"/>
  <c r="D59" i="5"/>
  <c r="F59" i="5" s="1"/>
  <c r="F77" i="188"/>
  <c r="F103" i="188"/>
  <c r="D41" i="5"/>
  <c r="F41" i="5" s="1"/>
  <c r="F70" i="188"/>
  <c r="D132" i="5"/>
  <c r="F132" i="5" s="1"/>
  <c r="D13" i="5"/>
  <c r="F13" i="5" s="1"/>
  <c r="D6" i="5"/>
  <c r="F6" i="5" s="1"/>
  <c r="D56" i="5"/>
  <c r="F56" i="5" s="1"/>
  <c r="F36" i="188"/>
  <c r="F51" i="188"/>
  <c r="F73" i="188"/>
  <c r="D117" i="5"/>
  <c r="F117" i="5" s="1"/>
  <c r="F71" i="188"/>
  <c r="F87" i="188"/>
  <c r="D4" i="5"/>
  <c r="F4" i="5" s="1"/>
  <c r="D45" i="5"/>
  <c r="F45" i="5" s="1"/>
  <c r="D25" i="5"/>
  <c r="F25" i="5" s="1"/>
  <c r="D61" i="5"/>
  <c r="F61" i="5" s="1"/>
  <c r="D69" i="5"/>
  <c r="F69" i="5" s="1"/>
  <c r="D31" i="5"/>
  <c r="F31" i="5" s="1"/>
  <c r="F99" i="188"/>
  <c r="F117" i="188"/>
  <c r="F38" i="188"/>
  <c r="D57" i="5"/>
  <c r="F57" i="5" s="1"/>
  <c r="F67" i="188"/>
  <c r="D55" i="5"/>
  <c r="F55" i="5" s="1"/>
  <c r="D129" i="5"/>
  <c r="F129" i="5" s="1"/>
  <c r="D24" i="5"/>
  <c r="F24" i="5" s="1"/>
  <c r="D68" i="5"/>
  <c r="F68" i="5" s="1"/>
  <c r="D121" i="5"/>
  <c r="F121" i="5" s="1"/>
  <c r="D80" i="5"/>
  <c r="F80" i="5" s="1"/>
  <c r="F83" i="188"/>
  <c r="F80" i="188"/>
  <c r="F125" i="188"/>
  <c r="D72" i="5"/>
  <c r="F72" i="5" s="1"/>
  <c r="D98" i="5"/>
  <c r="F98" i="5" s="1"/>
  <c r="D131" i="5"/>
  <c r="F131" i="5" s="1"/>
  <c r="D84" i="5"/>
  <c r="F84" i="5" s="1"/>
  <c r="D112" i="5"/>
  <c r="F112" i="5" s="1"/>
  <c r="D34" i="5"/>
  <c r="F34" i="5" s="1"/>
  <c r="F89" i="188"/>
  <c r="F45" i="188"/>
  <c r="F39" i="188"/>
  <c r="F122" i="188"/>
  <c r="F72" i="188"/>
  <c r="F33" i="188"/>
  <c r="D43" i="5"/>
  <c r="F43" i="5" s="1"/>
  <c r="D53" i="5"/>
  <c r="F53" i="5" s="1"/>
  <c r="F53" i="188"/>
  <c r="F15" i="188"/>
  <c r="F6" i="188"/>
  <c r="F126" i="188"/>
  <c r="F114" i="188"/>
  <c r="D49" i="5"/>
  <c r="F49" i="5" s="1"/>
  <c r="D39" i="5"/>
  <c r="F39" i="5" s="1"/>
  <c r="D96" i="5"/>
  <c r="F96" i="5" s="1"/>
  <c r="D88" i="5"/>
  <c r="F88" i="5" s="1"/>
  <c r="D51" i="5"/>
  <c r="F51" i="5" s="1"/>
  <c r="F123" i="188"/>
  <c r="F88" i="188"/>
  <c r="F11" i="188"/>
  <c r="F20" i="188"/>
  <c r="F18" i="188"/>
  <c r="F75" i="188"/>
  <c r="D77" i="5"/>
  <c r="F77" i="5" s="1"/>
  <c r="F4" i="188"/>
  <c r="F43" i="188"/>
  <c r="F133" i="188" l="1"/>
  <c r="F134" i="188" s="1"/>
  <c r="Z23" i="184" s="1"/>
  <c r="AN23" i="184" s="1"/>
  <c r="F133" i="5"/>
  <c r="F137" i="5" s="1"/>
  <c r="Z29" i="184" l="1"/>
  <c r="Z30" i="184" s="1"/>
  <c r="D140" i="188"/>
  <c r="F23" i="184"/>
  <c r="L23" i="139"/>
  <c r="I23" i="139"/>
  <c r="F23" i="139"/>
  <c r="AN29" i="184" l="1"/>
  <c r="I140" i="188"/>
  <c r="D142" i="188"/>
  <c r="E30" i="139"/>
  <c r="F31" i="139" s="1"/>
  <c r="E29" i="139"/>
  <c r="Z25" i="184"/>
  <c r="AN26" i="184" s="1"/>
  <c r="AO23" i="184"/>
  <c r="F59" i="185"/>
  <c r="J59" i="185" s="1"/>
  <c r="Q25" i="184" l="1"/>
  <c r="I142" i="188"/>
  <c r="D139" i="188"/>
  <c r="I139" i="188" l="1"/>
  <c r="D137" i="188"/>
  <c r="I137" i="188" s="1"/>
  <c r="D138" i="188" l="1"/>
  <c r="E138" i="188" l="1"/>
  <c r="H138" i="188"/>
  <c r="F138" i="18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D29" authorId="0" shapeId="0" xr:uid="{00000000-0006-0000-0600-000001000000}">
      <text>
        <r>
          <rPr>
            <b/>
            <sz val="9"/>
            <color indexed="81"/>
            <rFont val="Tahoma"/>
            <family val="2"/>
          </rPr>
          <t>ASUS:</t>
        </r>
        <r>
          <rPr>
            <sz val="9"/>
            <color indexed="81"/>
            <rFont val="Tahoma"/>
            <family val="2"/>
          </rPr>
          <t xml:space="preserve">
Cada 4 meses según norma
</t>
        </r>
      </text>
    </comment>
    <comment ref="D30" authorId="0" shapeId="0" xr:uid="{00000000-0006-0000-0600-000002000000}">
      <text>
        <r>
          <rPr>
            <b/>
            <sz val="9"/>
            <color indexed="81"/>
            <rFont val="Tahoma"/>
            <family val="2"/>
          </rPr>
          <t>ASUS:</t>
        </r>
        <r>
          <rPr>
            <sz val="9"/>
            <color indexed="81"/>
            <rFont val="Tahoma"/>
            <family val="2"/>
          </rPr>
          <t xml:space="preserve">
Cada 4 meses según norma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I3" authorId="0" shapeId="0" xr:uid="{00000000-0006-0000-0800-000001000000}">
      <text>
        <r>
          <rPr>
            <b/>
            <sz val="10"/>
            <color indexed="81"/>
            <rFont val="Tahoma"/>
            <family val="2"/>
          </rPr>
          <t>Luis Hernando:</t>
        </r>
        <r>
          <rPr>
            <sz val="10"/>
            <color indexed="81"/>
            <rFont val="Tahoma"/>
            <family val="2"/>
          </rPr>
          <t xml:space="preserve">
ancho de 0,12</t>
        </r>
      </text>
    </comment>
    <comment ref="B4" authorId="0" shapeId="0" xr:uid="{00000000-0006-0000-0800-000002000000}">
      <text>
        <r>
          <rPr>
            <b/>
            <sz val="10"/>
            <color indexed="81"/>
            <rFont val="Tahoma"/>
            <family val="2"/>
          </rPr>
          <t>Luis Hernando:</t>
        </r>
        <r>
          <rPr>
            <sz val="10"/>
            <color indexed="81"/>
            <rFont val="Tahoma"/>
            <family val="2"/>
          </rPr>
          <t xml:space="preserve">
A 45 MILLS </t>
        </r>
      </text>
    </comment>
    <comment ref="D4" authorId="0" shapeId="0" xr:uid="{00000000-0006-0000-0800-000003000000}">
      <text>
        <r>
          <rPr>
            <b/>
            <sz val="10"/>
            <color indexed="81"/>
            <rFont val="Tahoma"/>
            <family val="2"/>
          </rPr>
          <t>Luis Hernando:</t>
        </r>
        <r>
          <rPr>
            <sz val="10"/>
            <color indexed="81"/>
            <rFont val="Tahoma"/>
            <family val="2"/>
          </rPr>
          <t xml:space="preserve">
KGR / GALON 
DEPENDE DEL COLOR </t>
        </r>
      </text>
    </comment>
    <comment ref="F4" authorId="0" shapeId="0" xr:uid="{00000000-0006-0000-0800-000004000000}">
      <text>
        <r>
          <rPr>
            <b/>
            <sz val="10"/>
            <color indexed="81"/>
            <rFont val="Tahoma"/>
            <family val="2"/>
          </rPr>
          <t>Luis Hernando:</t>
        </r>
        <r>
          <rPr>
            <sz val="10"/>
            <color indexed="81"/>
            <rFont val="Tahoma"/>
            <family val="2"/>
          </rPr>
          <t xml:space="preserve">
A 1,12 mm► 45 MILLS </t>
        </r>
      </text>
    </comment>
    <comment ref="H4" authorId="0" shapeId="0" xr:uid="{00000000-0006-0000-0800-000005000000}">
      <text>
        <r>
          <rPr>
            <b/>
            <sz val="10"/>
            <color indexed="81"/>
            <rFont val="Tahoma"/>
            <family val="2"/>
          </rPr>
          <t>Luis Hernando:</t>
        </r>
        <r>
          <rPr>
            <sz val="10"/>
            <color indexed="81"/>
            <rFont val="Tahoma"/>
            <family val="2"/>
          </rPr>
          <t xml:space="preserve">
2,400/(7,05+7,459)*,5
</t>
        </r>
      </text>
    </comment>
    <comment ref="I4" authorId="0" shapeId="0" xr:uid="{00000000-0006-0000-0800-000006000000}">
      <text>
        <r>
          <rPr>
            <b/>
            <sz val="10"/>
            <color indexed="81"/>
            <rFont val="Tahoma"/>
            <family val="2"/>
          </rPr>
          <t>Luis Hernando:</t>
        </r>
        <r>
          <rPr>
            <sz val="10"/>
            <color indexed="81"/>
            <rFont val="Tahoma"/>
            <family val="2"/>
          </rPr>
          <t xml:space="preserve">
LINEA DE E=0,12
</t>
        </r>
      </text>
    </comment>
    <comment ref="B5" authorId="0" shapeId="0" xr:uid="{00000000-0006-0000-0800-000007000000}">
      <text>
        <r>
          <rPr>
            <b/>
            <sz val="10"/>
            <color indexed="81"/>
            <rFont val="Tahoma"/>
            <family val="2"/>
          </rPr>
          <t>Luis Hernando:</t>
        </r>
        <r>
          <rPr>
            <sz val="10"/>
            <color indexed="81"/>
            <rFont val="Tahoma"/>
            <family val="2"/>
          </rPr>
          <t xml:space="preserve">
22 MILLS </t>
        </r>
      </text>
    </comment>
    <comment ref="H6" authorId="0" shapeId="0" xr:uid="{00000000-0006-0000-0800-000008000000}">
      <text>
        <r>
          <rPr>
            <b/>
            <sz val="10"/>
            <color indexed="81"/>
            <rFont val="Tahoma"/>
            <family val="2"/>
          </rPr>
          <t>Luis Hernando:</t>
        </r>
        <r>
          <rPr>
            <sz val="10"/>
            <color indexed="81"/>
            <rFont val="Tahoma"/>
            <family val="2"/>
          </rPr>
          <t xml:space="preserve">
2,400/(7,05+7,459)*,5
</t>
        </r>
      </text>
    </comment>
    <comment ref="I6" authorId="0" shapeId="0" xr:uid="{00000000-0006-0000-0800-000009000000}">
      <text>
        <r>
          <rPr>
            <b/>
            <sz val="10"/>
            <color indexed="81"/>
            <rFont val="Tahoma"/>
            <family val="2"/>
          </rPr>
          <t>Luis Hernando:</t>
        </r>
        <r>
          <rPr>
            <sz val="10"/>
            <color indexed="81"/>
            <rFont val="Tahoma"/>
            <family val="2"/>
          </rPr>
          <t xml:space="preserve">
LINEA DE E=0,12
</t>
        </r>
      </text>
    </comment>
    <comment ref="B7" authorId="0" shapeId="0" xr:uid="{00000000-0006-0000-0800-00000A000000}">
      <text>
        <r>
          <rPr>
            <b/>
            <sz val="10"/>
            <color indexed="81"/>
            <rFont val="Tahoma"/>
            <family val="2"/>
          </rPr>
          <t>Luis Hernando:</t>
        </r>
        <r>
          <rPr>
            <sz val="10"/>
            <color indexed="81"/>
            <rFont val="Tahoma"/>
            <family val="2"/>
          </rPr>
          <t xml:space="preserve">
 22 MILLS </t>
        </r>
      </text>
    </comment>
    <comment ref="B8" authorId="0" shapeId="0" xr:uid="{00000000-0006-0000-0800-00000B000000}">
      <text>
        <r>
          <rPr>
            <b/>
            <sz val="10"/>
            <color indexed="81"/>
            <rFont val="Tahoma"/>
            <family val="2"/>
          </rPr>
          <t>Luis Hernando:</t>
        </r>
        <r>
          <rPr>
            <sz val="10"/>
            <color indexed="81"/>
            <rFont val="Tahoma"/>
            <family val="2"/>
          </rPr>
          <t xml:space="preserve">
90 mills </t>
        </r>
      </text>
    </comment>
    <comment ref="H8" authorId="0" shapeId="0" xr:uid="{00000000-0006-0000-0800-00000C000000}">
      <text>
        <r>
          <rPr>
            <b/>
            <sz val="10"/>
            <color indexed="81"/>
            <rFont val="Tahoma"/>
            <family val="2"/>
          </rPr>
          <t>Luis Hernando:</t>
        </r>
        <r>
          <rPr>
            <sz val="10"/>
            <color indexed="81"/>
            <rFont val="Tahoma"/>
            <family val="2"/>
          </rPr>
          <t xml:space="preserve">
kgrs  / m2</t>
        </r>
      </text>
    </comment>
    <comment ref="I8" authorId="0" shapeId="0" xr:uid="{00000000-0006-0000-0800-00000D000000}">
      <text>
        <r>
          <rPr>
            <b/>
            <sz val="10"/>
            <color indexed="81"/>
            <rFont val="Tahoma"/>
            <family val="2"/>
          </rPr>
          <t>Luis Hernando:</t>
        </r>
        <r>
          <rPr>
            <sz val="10"/>
            <color indexed="81"/>
            <rFont val="Tahoma"/>
            <family val="2"/>
          </rPr>
          <t xml:space="preserve">
 kgrs  / ml </t>
        </r>
      </text>
    </comment>
    <comment ref="B9" authorId="0" shapeId="0" xr:uid="{00000000-0006-0000-0800-00000E000000}">
      <text>
        <r>
          <rPr>
            <b/>
            <sz val="10"/>
            <color indexed="81"/>
            <rFont val="Tahoma"/>
            <family val="2"/>
          </rPr>
          <t>Luis Hernand
120 mills</t>
        </r>
      </text>
    </comment>
    <comment ref="H9" authorId="0" shapeId="0" xr:uid="{00000000-0006-0000-0800-00000F000000}">
      <text>
        <r>
          <rPr>
            <b/>
            <sz val="10"/>
            <color indexed="81"/>
            <rFont val="Tahoma"/>
            <family val="2"/>
          </rPr>
          <t>Luis Hernando:</t>
        </r>
        <r>
          <rPr>
            <sz val="10"/>
            <color indexed="81"/>
            <rFont val="Tahoma"/>
            <family val="2"/>
          </rPr>
          <t xml:space="preserve">
kgrs  / m2</t>
        </r>
      </text>
    </comment>
    <comment ref="I9" authorId="0" shapeId="0" xr:uid="{00000000-0006-0000-0800-000010000000}">
      <text>
        <r>
          <rPr>
            <b/>
            <sz val="10"/>
            <color indexed="81"/>
            <rFont val="Tahoma"/>
            <family val="2"/>
          </rPr>
          <t>Luis Hernando:</t>
        </r>
        <r>
          <rPr>
            <sz val="10"/>
            <color indexed="81"/>
            <rFont val="Tahoma"/>
            <family val="2"/>
          </rPr>
          <t xml:space="preserve">
KGRS  / ML </t>
        </r>
      </text>
    </comment>
    <comment ref="F10" authorId="0" shapeId="0" xr:uid="{00000000-0006-0000-0800-000011000000}">
      <text>
        <r>
          <rPr>
            <b/>
            <sz val="10"/>
            <color indexed="81"/>
            <rFont val="Tahoma"/>
            <family val="2"/>
          </rPr>
          <t>Luis Hernando:</t>
        </r>
        <r>
          <rPr>
            <sz val="10"/>
            <color indexed="81"/>
            <rFont val="Tahoma"/>
            <family val="2"/>
          </rPr>
          <t xml:space="preserve">
A 4 mills </t>
        </r>
      </text>
    </comment>
    <comment ref="B11" authorId="0" shapeId="0" xr:uid="{00000000-0006-0000-0800-000012000000}">
      <text>
        <r>
          <rPr>
            <b/>
            <sz val="10"/>
            <color indexed="81"/>
            <rFont val="Tahoma"/>
            <family val="2"/>
          </rPr>
          <t>Luis Hernando:</t>
        </r>
        <r>
          <rPr>
            <sz val="10"/>
            <color indexed="81"/>
            <rFont val="Tahoma"/>
            <family val="2"/>
          </rPr>
          <t xml:space="preserve">
9 MILLS</t>
        </r>
      </text>
    </comment>
    <comment ref="B12" authorId="0" shapeId="0" xr:uid="{00000000-0006-0000-0800-000013000000}">
      <text>
        <r>
          <rPr>
            <b/>
            <sz val="10"/>
            <color indexed="81"/>
            <rFont val="Tahoma"/>
            <family val="2"/>
          </rPr>
          <t>Luis Hernando:</t>
        </r>
        <r>
          <rPr>
            <sz val="10"/>
            <color indexed="81"/>
            <rFont val="Tahoma"/>
            <family val="2"/>
          </rPr>
          <t xml:space="preserve">
12 MILLS</t>
        </r>
      </text>
    </comment>
    <comment ref="B13" authorId="0" shapeId="0" xr:uid="{00000000-0006-0000-0800-000014000000}">
      <text>
        <r>
          <rPr>
            <b/>
            <sz val="10"/>
            <color indexed="81"/>
            <rFont val="Tahoma"/>
            <family val="2"/>
          </rPr>
          <t>Luis Hernando:</t>
        </r>
        <r>
          <rPr>
            <sz val="10"/>
            <color indexed="81"/>
            <rFont val="Tahoma"/>
            <family val="2"/>
          </rPr>
          <t xml:space="preserve">
9 MILLS</t>
        </r>
      </text>
    </comment>
    <comment ref="B14" authorId="0" shapeId="0" xr:uid="{00000000-0006-0000-0800-000015000000}">
      <text>
        <r>
          <rPr>
            <b/>
            <sz val="10"/>
            <color indexed="81"/>
            <rFont val="Tahoma"/>
            <family val="2"/>
          </rPr>
          <t>Luis Hernando:</t>
        </r>
        <r>
          <rPr>
            <sz val="10"/>
            <color indexed="81"/>
            <rFont val="Tahoma"/>
            <family val="2"/>
          </rPr>
          <t xml:space="preserve">
 80 MICRAS </t>
        </r>
      </text>
    </comment>
    <comment ref="H14" authorId="0" shapeId="0" xr:uid="{00000000-0006-0000-0800-000016000000}">
      <text>
        <r>
          <rPr>
            <b/>
            <sz val="10"/>
            <color indexed="81"/>
            <rFont val="Tahoma"/>
            <family val="2"/>
          </rPr>
          <t>Luis Hernando:</t>
        </r>
        <r>
          <rPr>
            <sz val="10"/>
            <color indexed="81"/>
            <rFont val="Tahoma"/>
            <family val="2"/>
          </rPr>
          <t xml:space="preserve">
KGRS / M2</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F199" authorId="0" shapeId="0" xr:uid="{00000000-0006-0000-0900-000001000000}">
      <text>
        <r>
          <rPr>
            <b/>
            <sz val="10"/>
            <color indexed="81"/>
            <rFont val="Tahoma"/>
            <family val="2"/>
          </rPr>
          <t>Luis Hernando:</t>
        </r>
        <r>
          <rPr>
            <sz val="10"/>
            <color indexed="81"/>
            <rFont val="Tahoma"/>
            <family val="2"/>
          </rPr>
          <t xml:space="preserve">
nuevo precio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G6" authorId="0" shapeId="0" xr:uid="{8E6A731C-E329-4E36-B94C-E1230EC48C71}">
      <text>
        <r>
          <rPr>
            <b/>
            <sz val="9"/>
            <color indexed="81"/>
            <rFont val="Tahoma"/>
            <family val="2"/>
          </rPr>
          <t>ASUS:</t>
        </r>
        <r>
          <rPr>
            <sz val="9"/>
            <color indexed="81"/>
            <rFont val="Tahoma"/>
            <family val="2"/>
          </rPr>
          <t xml:space="preserve">
Código 9167 en precios de insumos IDU</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C65" authorId="0" shapeId="0" xr:uid="{00000000-0006-0000-1100-000001000000}">
      <text>
        <r>
          <rPr>
            <b/>
            <sz val="10"/>
            <color indexed="81"/>
            <rFont val="Tahoma"/>
            <family val="2"/>
          </rPr>
          <t>Luis Hernando:</t>
        </r>
        <r>
          <rPr>
            <sz val="10"/>
            <color indexed="81"/>
            <rFont val="Tahoma"/>
            <family val="2"/>
          </rPr>
          <t xml:space="preserve">
120 tachas  o estoperoles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C7" authorId="0" shapeId="0" xr:uid="{00000000-0006-0000-4500-000001000000}">
      <text>
        <r>
          <rPr>
            <b/>
            <sz val="10"/>
            <color indexed="81"/>
            <rFont val="Tahoma"/>
            <family val="2"/>
          </rPr>
          <t>Luis Hernando:</t>
        </r>
        <r>
          <rPr>
            <sz val="10"/>
            <color indexed="81"/>
            <rFont val="Tahoma"/>
            <family val="2"/>
          </rPr>
          <t xml:space="preserve">
INCLUIDO EN EL 95
ELIMINARLO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J6" authorId="0" shapeId="0" xr:uid="{00000000-0006-0000-8500-000001000000}">
      <text>
        <r>
          <rPr>
            <b/>
            <sz val="10"/>
            <color indexed="81"/>
            <rFont val="Tahoma"/>
            <family val="2"/>
          </rPr>
          <t>Luis Hernando:</t>
        </r>
        <r>
          <rPr>
            <sz val="10"/>
            <color indexed="81"/>
            <rFont val="Tahoma"/>
            <family val="2"/>
          </rPr>
          <t xml:space="preserve">
PASARLO A M2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J6" authorId="0" shapeId="0" xr:uid="{00000000-0006-0000-8600-000001000000}">
      <text>
        <r>
          <rPr>
            <b/>
            <sz val="10"/>
            <color indexed="81"/>
            <rFont val="Tahoma"/>
            <family val="2"/>
          </rPr>
          <t>Luis Hernando:</t>
        </r>
        <r>
          <rPr>
            <sz val="10"/>
            <color indexed="81"/>
            <rFont val="Tahoma"/>
            <family val="2"/>
          </rPr>
          <t xml:space="preserve">
NO CALCULADO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Luis Hernando</author>
  </authors>
  <commentList>
    <comment ref="J6" authorId="0" shapeId="0" xr:uid="{00000000-0006-0000-A500-000001000000}">
      <text>
        <r>
          <rPr>
            <b/>
            <sz val="10"/>
            <color indexed="81"/>
            <rFont val="Tahoma"/>
            <family val="2"/>
          </rPr>
          <t>Luis Hernando:</t>
        </r>
        <r>
          <rPr>
            <sz val="10"/>
            <color indexed="81"/>
            <rFont val="Tahoma"/>
            <family val="2"/>
          </rPr>
          <t xml:space="preserve">
CALCULAR</t>
        </r>
      </text>
    </comment>
  </commentList>
</comments>
</file>

<file path=xl/sharedStrings.xml><?xml version="1.0" encoding="utf-8"?>
<sst xmlns="http://schemas.openxmlformats.org/spreadsheetml/2006/main" count="43553" uniqueCount="7438">
  <si>
    <t>No.</t>
  </si>
  <si>
    <t xml:space="preserve">DESCRIPCION </t>
  </si>
  <si>
    <t>UNIDAD</t>
  </si>
  <si>
    <t>M3</t>
  </si>
  <si>
    <t>M³</t>
  </si>
  <si>
    <t xml:space="preserve">ARENA LAVADA </t>
  </si>
  <si>
    <t>KG</t>
  </si>
  <si>
    <r>
      <t>M</t>
    </r>
    <r>
      <rPr>
        <sz val="10"/>
        <rFont val="Calibri"/>
        <family val="2"/>
      </rPr>
      <t>²</t>
    </r>
  </si>
  <si>
    <t xml:space="preserve">CEMENTO GRIS </t>
  </si>
  <si>
    <t>Broca de 1/2"</t>
  </si>
  <si>
    <t>UND</t>
  </si>
  <si>
    <t>Lámina Galvanizada C 16 2X1</t>
  </si>
  <si>
    <t>M2</t>
  </si>
  <si>
    <t>ML</t>
  </si>
  <si>
    <t>Tornillos hexagonal de 1/2" X 2" (incluye tuerca y arandela)</t>
  </si>
  <si>
    <t>GALON</t>
  </si>
  <si>
    <t>Juego de tornillos 5/16  (incluye tuerca y arandela) y remaches</t>
  </si>
  <si>
    <t>Pintura electrostática (incluye limpieza)</t>
  </si>
  <si>
    <t>Papel Reflectivo prismático Alta intensidad Tipo IV de 30"</t>
  </si>
  <si>
    <t>Tinta traslucida para cinta reflectiva</t>
  </si>
  <si>
    <t>ROLLO</t>
  </si>
  <si>
    <t>Steaker 15 x 15 cm</t>
  </si>
  <si>
    <t>CONCRETO GRAVA FINA 3000 PSI 21 MPA (210 KG/CM2)</t>
  </si>
  <si>
    <t>MORTERO 2000 PSI 14 MPA (140 KG/CM2)</t>
  </si>
  <si>
    <t>GRAVILLA Ø ≤ 3/4"</t>
  </si>
  <si>
    <t>BROCA TUNGSTENO DE 5/8"</t>
  </si>
  <si>
    <t>BROCA PARA METAL 1/2"</t>
  </si>
  <si>
    <t>CHAZO ANCLA DE CUNA 1/2 X 4 1/2</t>
  </si>
  <si>
    <t>LISTÓN EN MADERA 4 X 4</t>
  </si>
  <si>
    <t>TUBO ESTRUCTURAL CUADRADO DE 50X50X5 MM</t>
  </si>
  <si>
    <t>TUBO ESTRUCTURAL CUADRADO DE 50X50X3 MM</t>
  </si>
  <si>
    <t>TUBO ESTRUCTURAL CUADRADO DE 50X50X2 MM</t>
  </si>
  <si>
    <t>MANILA 3/8"</t>
  </si>
  <si>
    <t>TORNILLOS HEXAGONAL ZINCADO DE 1/2" X 2" (INCLUYE TUERCA DE SEGURIDAD Y ARANDELA)GALVANIZADO</t>
  </si>
  <si>
    <t>TORNILLO HEXAGONAL ZINCADO 1/2 X 4", ARANDELA DE PRESIÓN ZINCADA Y TUERCA DE SEGURIDAD.</t>
  </si>
  <si>
    <t>ALAMBRE NEGRO CL-18</t>
  </si>
  <si>
    <t xml:space="preserve">PRETAL PARA TRABAJO EN POSTE </t>
  </si>
  <si>
    <t>RECEBO COMÚN (SUMINISTRO Y TRANSPORTE, NO COMPACTO)</t>
  </si>
  <si>
    <t>MADERA ROLLIZA (ALTURA MÍNIMA 6,0 M)</t>
  </si>
  <si>
    <t>LISTÓN EN MADERA DE 3X3CM</t>
  </si>
  <si>
    <t>LISTÓN EN MADERA DE 2X2CM</t>
  </si>
  <si>
    <t>POLISOMBRA AL 65% MIXTA (AZUL TRASLUCIDO-VERDE) DE ALTURA 2,1 METROS (TELA DE CERRAMIENTO MIXTA)</t>
  </si>
  <si>
    <t>TORNILLOS 5/16 ZINCADO  (INCLUYE TUERCA DE SEGURIDAD Y ARANDELA)</t>
  </si>
  <si>
    <t>REMACHES CON ARANDELAS DE 4*10 MM</t>
  </si>
  <si>
    <t>GAS PROPANO</t>
  </si>
  <si>
    <t>TINTA TRASLUCIDA PARA CINTA REFLECTIVA</t>
  </si>
  <si>
    <t xml:space="preserve">PAPELERIA </t>
  </si>
  <si>
    <t>DISOLVENTE AJUSTADOR LENTO XILOL</t>
  </si>
  <si>
    <t>PEGANTE EPOXICO</t>
  </si>
  <si>
    <t>PINTURA ACRÍLICA BASE DE AGUA BLANCA Y AMARILLA</t>
  </si>
  <si>
    <t>PINTURA ACRÍLICA BASE DE AGUA NEGRA</t>
  </si>
  <si>
    <t>PINTURA ACRÍLICA BASE SOLVENTE BLANCA Y AMARILLA</t>
  </si>
  <si>
    <t>PINTURA ACRÍLICA BASE AGUA PIGMENTADA (VERDE, NARANJA, ROJO O AZUL)</t>
  </si>
  <si>
    <t>PINTURA ACRÍLICA BASE SOLVENTE PIGMENTADA (VERDE, NARANJA, ROJO O AZUL)</t>
  </si>
  <si>
    <t xml:space="preserve">PINTURA O RESINA TERMOPLÁSTICA </t>
  </si>
  <si>
    <t>PINTURA PLÁSTICO EN FRIO METIL METACRILATO BLANCA O AMARILLA -  EXTRUSIÓN (98:2)</t>
  </si>
  <si>
    <t>PINTURA PLÁSTICO EN FRIO METIL METACRILATO BLANCA O AMARILLA - PARA APLICACIÓN CON LLANA (98:2), INCLUYE CATALIZADOR</t>
  </si>
  <si>
    <t>PINTURA PLÁSTICO EN FRIO METIL METACRILATO PIGMENTADA (NARANJA - VERDE - ROJO - AZUL) - PARA APLICACIÓN CON LLANA (98:2), INCLUYE CATALIZADOR</t>
  </si>
  <si>
    <t>PINTURA PLÁSTICO EN FRIO METIL METACRILATO BLANCA O AMARILLA - SPRAY (1:1)</t>
  </si>
  <si>
    <t>ANTIDESLIZANTE – SUPER GRIP</t>
  </si>
  <si>
    <t>MALETÍN PLÁSTICO DE BASE MÍNIMA DE 50 CM POR 200 CM Y ALTURA MÍNIMA DE 100 CM, CON MATERIAL REFLECTIVO COLOR BLANCO TIPO IV O SUPERIOR.</t>
  </si>
  <si>
    <t>BOYA METÁLICA DE COLOR AMARILLO, CON ALTA RESISTENCIA AL IMPACTO, CON LENTES REFLECTANTES (DIMENSIONES MÁXIMAS: DE 10 CM DE ALTURA Y 24 CM DE BASE)</t>
  </si>
  <si>
    <t>BOYA PLÁSTICA DE COLOR AMARILLO, CON ALTA RESISTENCIA AL IMPACTO, CON LENTES REFLECTANTES (DIMENSIONES MÁXIMAS: DE 10 CM DE ALTURA Y 24 CM DE BASE)</t>
  </si>
  <si>
    <t>CINTA DE SEÑALIZACIÓN CALIBRE MÍNIMO DE 2 MM, ANCHO 10 CM X 500M DE LONGITUD</t>
  </si>
  <si>
    <t>CONO VIAL CONSTRUIDO EN MATERIAL SINTETICO FLEXIBLE CON TRES BANDAS DE 10 CM EN PAPEL REFLECTIVO BLANCO TIPO IV O SUPERIOR, ALTURA 90 CM.</t>
  </si>
  <si>
    <t>BORDILLO NO TRANSPASABLE  CONCRETO AMARILLO Y REFUERZO 1/2"  CUATRO ANCLAJES 5/8" X  4" DE LARGO (DE15 CM, 20 CM Y 100 CM)</t>
  </si>
  <si>
    <t>DELINEADOR TUBULAR TIPO CANALIZADOR DE 129 CM DE ALTURA.</t>
  </si>
  <si>
    <t>ESTOPEROL PLÁSTICO DE 10 CM DE DIÁMETRO Y 2 CM DE ALTURA (NTC 4745)</t>
  </si>
  <si>
    <t>ESTOPEROL PLÁSTICO CON ESPIGO, DIAMETRO MÍNIMO 10 CM Y ALTURA MÁXIMA 2,5 CM DE ALTURA CON UN ESPIGO DE MÍNIMO 5 CM (NTC 4745)</t>
  </si>
  <si>
    <t>ESTOPEROL METÁLICO CON ESPIGO, DIAMETRO MÍNIMO 10 CM Y ALTURA MÁXIMA 2,5 CM DE ALTURA CON UN ESPIGO DE MÍNIMO 5 CM (NTC 4745)</t>
  </si>
  <si>
    <t>DELINEADOR TUBULAR SIMPLE (HITO PLÁSTICO - FIGURA 5-17A) MATAREIAL SINTETICO FLEXIBLE COLOR AMARILLO CON TRES BANDAS DE 7,5 CM EN PAPEL REFLECTIVO BLANCO (MÍN 70 CM Y MÍNIMO DE 8 CM)</t>
  </si>
  <si>
    <t>PEGANTE EPOXICO 1/4 GALÓN (RENDIMIENTO APROX. 30 (ESTOPEROLES Y TACHAS)</t>
  </si>
  <si>
    <t>RESALTO PORTÁTIL DE CAUCHO  CON ALTA RESISTENCIA AL IMPACTO CON ANCHO MÍNIMO DE 30 CM Y ALTURA ENTRE 5 Y 8 CM</t>
  </si>
  <si>
    <t xml:space="preserve">TACHA REFLECTIVA BIDIRECCIONAL QUE CUMPLA CON LOS COEFICIENTES DE INTENSIDAD LUMINOSA DE LA NTC 4745 (TABLA 1)., ASÍ MISMO CON LO ESTIPULADO EN EL MANUAL DE SEÑALIZACIÓN VIAL - RESOLUCIÓN 1885 DE 2018, FIGURA 3-2) </t>
  </si>
  <si>
    <t xml:space="preserve">TACHAS REFLECTIVAS BIDIRECCIONALES CON ESPIGO DE MINIMO 5 CM. CUMPLIENDO CON LOS COEFICIENTES DE INTENSIDAD LUMINOSA DE LA NTC 4745 (TABLA 1). ASÍ MISMO CON LO ESTIPULADO EN EL MANUAL DE SEÑALIZACIÓN VIAL - RESOLUCIÓN 1885 DE 2018, FIGURA 3-2) </t>
  </si>
  <si>
    <t>HITO DE VÉRTICE EN RESINA COLOR AZUL Y MATERIAL RETRORREFLECTIVO SEMICILINDRICO CON INCRUSTACIÓN AL PAVIMENTO, ALTURA 1,20 M A 1,35 M, , ANCHO 1M A 1,2M FIGURA 5-13)</t>
  </si>
  <si>
    <t>DELINEADOR DE CORONA (HITO DE ARISTA) MATERIAL SINTETICO FLEXIBLE BLANCO, FRANJA NEGRA Y MATERIAL RETROFLECTIVO (TIPO "A", FIJADO EN CONCRETO, MIN DE 75 Y MÁX DE 120 CM FIGURA 5-2 Y 5-3)</t>
  </si>
  <si>
    <t>TACHÓN EN RESINA (COLOR AMARILLO CON ALTA RESISTENCIA Y MATERIAL RETROREFLECTIVO (PIRAMIDAL 6 CM, 15 CM Y 25 CM)</t>
  </si>
  <si>
    <t>SEGREGADOR VIAL - 2 PIEZAS TIPOPIRAMIDAL 18CM - 21 CM - 83 CM</t>
  </si>
  <si>
    <t>BANDA ALERTADORA EN RESINA CON ALTA RESISTENCIA AL IMPACTO CON ANCHO MINIMO DE 25 CM Y ALTURA MAXIMA DE 2 CM. INCLUYE ELEMENTOS PARA LA FIJACIÓN (BANDA SONORA PLÁSTICA)</t>
  </si>
  <si>
    <t>BORDILLO TRANSPASABLE EN RESINA POLIÉSTER DE COLOR AMARILLO CON ALTA RESISTENCIA AL IMPACTO  (TIPO PIRAMIDAL, LARGO 40 CM, ANCHO DE 15 CM Y ALTURA MINIMA DE 8 CM DE ACUERDO CON LA FIGURA 5-18 DE LA RESOLUCIÓN 1885 DE 2015)</t>
  </si>
  <si>
    <t>BORDILLO NO TRANSPASABLE, EN RESINA POLIÉSTER DE COLOR AMARILLO CON ALTA RESISTENCIA AL IMPACTO (TIPO PIRAMIDAL CON INCRUSTACIÓN AL PAVIMENTO EN CUATRO ANCLAJES, LARGO 100 CM, ANCHO DE 20 CM Y ALTURA MINIMA DE 15 CM DE ACUERDO CON LA FIGURA 5-18)</t>
  </si>
  <si>
    <t>AGUA</t>
  </si>
  <si>
    <t>POSTE ROLLIZO D= 12CM A 15CM L= 6 MTS</t>
  </si>
  <si>
    <t>POSTE ROLLIZO D= 10CM L= 6 MTS</t>
  </si>
  <si>
    <t>BROCA  PUNTA DE TUNGSTENO DE 1/2"</t>
  </si>
  <si>
    <t>LAMINA MAGNETICA 0.8  mm de espesor x 62 cm de ancho: Blanca en una de las caras</t>
  </si>
  <si>
    <t>SOLDADURA ELECTRICA  E 6013 O SIMILAR</t>
  </si>
  <si>
    <t xml:space="preserve">PAPEL REFLECTIVO GRADO INGENIERÍA (I) </t>
  </si>
  <si>
    <t xml:space="preserve">PELÍCULA ANTIGRAFITTI </t>
  </si>
  <si>
    <t xml:space="preserve">PAPEL REFLECTIVO TIPO XI </t>
  </si>
  <si>
    <t>MICROESFERA DE VIDRIO  (ESFERICIDAD MAYOR A 80%)</t>
  </si>
  <si>
    <t xml:space="preserve">STEAKER 15 X 15 CM EN PAPEL REFLECTIVO TIPO IV O SUPERIOR </t>
  </si>
  <si>
    <t>LT</t>
  </si>
  <si>
    <t>Equipo Screen y colaminado</t>
  </si>
  <si>
    <t>Planta Eléctrica</t>
  </si>
  <si>
    <t>TUBOS PARA BARRERAS DE APROXIMACION DE TRENES</t>
  </si>
  <si>
    <t>CONCRETO  HIDRAULICO 2000 PSI 14 MPA (140 KG/M2)</t>
  </si>
  <si>
    <t>CONCRETO  HIDRAULICO 2500 PSI 17 MPA (175 KG/CM2)</t>
  </si>
  <si>
    <t>CONCRETO  HIDRAULICO 3000 PSI  21 MPA (210 KG/CM2)</t>
  </si>
  <si>
    <t>CONCRETO  HIDRAULICO 3500 PSI 24 MPA (245 KG/CM2)</t>
  </si>
  <si>
    <t>CONCRETO  HIDRAULICO 4000 PSI 28 MPA (280 KG/CM2)</t>
  </si>
  <si>
    <t>CONCRETO  HIDRAULICO 5000 PSI 34 MPA (350 KG/CM2)</t>
  </si>
  <si>
    <t xml:space="preserve">PAPEL REFLECTIVO PRISMÁTICO ALTA INTENSIDAD TIPO IV </t>
  </si>
  <si>
    <t>REMACHES CON ARANDELAS POR 1"</t>
  </si>
  <si>
    <t>LÁMINA GALVANIZADA C 16   E= 1, 45 mm</t>
  </si>
  <si>
    <t>LÁMINA GALVANIZADA C 16 E=1,50 mm</t>
  </si>
  <si>
    <t>LÁMINA GALVANIZADA C 16   E= 1, 40 mm</t>
  </si>
  <si>
    <t>LAMINA GALVANIZADA CL-20 E = 0.80 mm</t>
  </si>
  <si>
    <t>LAMINA GALVANIZADA CL-20 E = 0 .90 mm</t>
  </si>
  <si>
    <t>LAMINA GALVANIZADA CL-20 E = 0.85 mm</t>
  </si>
  <si>
    <t>GRAVILLA MONA # 1</t>
  </si>
  <si>
    <t>GRAVILLA MONA # 2</t>
  </si>
  <si>
    <t>MACILLA EPOXICA PARA ANCLAJES  (A+B)</t>
  </si>
  <si>
    <t>GL</t>
  </si>
  <si>
    <t>KGR</t>
  </si>
  <si>
    <t>ACERO DE REFUERZO   FY 36000 PSI</t>
  </si>
  <si>
    <t>ACERO DE REFUERZO FY 60000 PSI</t>
  </si>
  <si>
    <t xml:space="preserve">COTIZACIONES </t>
  </si>
  <si>
    <t>CANT</t>
  </si>
  <si>
    <t xml:space="preserve">PROMEDIO </t>
  </si>
  <si>
    <t>MEDIANA</t>
  </si>
  <si>
    <t>N°</t>
  </si>
  <si>
    <t xml:space="preserve">JORNAL </t>
  </si>
  <si>
    <t>PSS</t>
  </si>
  <si>
    <t>JORNAL TOTAL</t>
  </si>
  <si>
    <t xml:space="preserve">OFICIAL </t>
  </si>
  <si>
    <t xml:space="preserve">AYUDANTE </t>
  </si>
  <si>
    <t>MAESTRO</t>
  </si>
  <si>
    <t xml:space="preserve">SOLDADOR </t>
  </si>
  <si>
    <t xml:space="preserve">PINTOR </t>
  </si>
  <si>
    <t>COLAMINADOR</t>
  </si>
  <si>
    <t>SERIGRAFISTA</t>
  </si>
  <si>
    <t>INGENIERO ESPECIALISTA</t>
  </si>
  <si>
    <t>CORTADOR</t>
  </si>
  <si>
    <t xml:space="preserve">DOBLADOR </t>
  </si>
  <si>
    <t>CONDUCTOR</t>
  </si>
  <si>
    <t>INGENIERO RESIDENTE NOCTURNO</t>
  </si>
  <si>
    <t xml:space="preserve">ING  SEGURIDAD INDUSTRIAL Y SALUD OCUPACIONAL </t>
  </si>
  <si>
    <t>TECNÓLOGO EN GEORREFERENCIACIÓN</t>
  </si>
  <si>
    <t>JEFE DE CUADRILLA NOCTURNO</t>
  </si>
  <si>
    <t>OPERADOR DE EQUIPO</t>
  </si>
  <si>
    <t>OPERADOR DE EQUIPO NOCTURNO</t>
  </si>
  <si>
    <t>AUXILIAR DE TRÁFICO</t>
  </si>
  <si>
    <t>AUXILIAR DE TRÁFICO NOCTURNO</t>
  </si>
  <si>
    <t>TRABAJADOR SOCIAL</t>
  </si>
  <si>
    <t>GRUA DE BRAZO ARTICULADO</t>
  </si>
  <si>
    <t>COLAMINADORA</t>
  </si>
  <si>
    <t>CORTADORA DE LÁMINA</t>
  </si>
  <si>
    <t>EQUIPO PINTURA ELECTROSTÁTICA</t>
  </si>
  <si>
    <t>TALADRO DE ARBOL</t>
  </si>
  <si>
    <t>HERRAMIENTA MENOR</t>
  </si>
  <si>
    <t>PLANTA ELÉCTRICA</t>
  </si>
  <si>
    <t>EQUIPO DE OXICORTE</t>
  </si>
  <si>
    <t>OXIGENO</t>
  </si>
  <si>
    <t>ÁNGULO METÁLICO DE 2"X2"X1/4" L=6M</t>
  </si>
  <si>
    <t>ÁNGULO METÁLICO DE 2"X2"X1/8" L=6M</t>
  </si>
  <si>
    <t>LB</t>
  </si>
  <si>
    <t>Rotamartillo</t>
  </si>
  <si>
    <t>Kit de Plan de Manejo de Tránsito</t>
  </si>
  <si>
    <t>Camión o similar (2000 CC)</t>
  </si>
  <si>
    <t>Vehículo de apoyo (1300-2000CC)</t>
  </si>
  <si>
    <t xml:space="preserve">SOWARE ESPECIALIZADO </t>
  </si>
  <si>
    <t>EQUIPO DE CONMPUTO</t>
  </si>
  <si>
    <t>EQUIPO DELINEADOR DE PINTURA ACRÍLICA</t>
  </si>
  <si>
    <t>EQUIPO DELINEADOR DE PINTURA PLÁSTICO EN FRIO (POR PULVERIZACIÓN)</t>
  </si>
  <si>
    <t>EQUIPO DELINEADOR DE PINTURA PLÁSTICO EN FRIO (POR SIÓN)</t>
  </si>
  <si>
    <t>EQUIPO DELINEADOR DE PINTURA TERMOPLÁSTICA</t>
  </si>
  <si>
    <t>EQUIPO MANUAL DE PINTURA ACRÍLICA</t>
  </si>
  <si>
    <t>EQUIPO MANUAL DE PINTURA PLÁSTICO EN FRIO (POR PULVERIZACIÓN)</t>
  </si>
  <si>
    <t>EQUIPO APLICACIÓN ALÚMINA ANTIDESLIZANTE</t>
  </si>
  <si>
    <t>EQUIPO MANUAL DE PINTURA TERMOPLÁSTICA</t>
  </si>
  <si>
    <t>CALDERA</t>
  </si>
  <si>
    <t>EQUIPO PARA BORRADO DE DEMARCACIÓN (INCLUYE DISCOS)</t>
  </si>
  <si>
    <t>PLOTTER</t>
  </si>
  <si>
    <t>CÁMARA FOTOGRÁFICA</t>
  </si>
  <si>
    <t>COMPRESOR</t>
  </si>
  <si>
    <t>%</t>
  </si>
  <si>
    <t>JEFE DE CUADRILLA DIURNO</t>
  </si>
  <si>
    <t>INGENIERO RESIDENTE DIURNO</t>
  </si>
  <si>
    <t>SOLDADOR 2G</t>
  </si>
  <si>
    <t>TECNICO ELECTRICO</t>
  </si>
  <si>
    <t>PLOMERO</t>
  </si>
  <si>
    <t>AYUDANTE NOCTURNO</t>
  </si>
  <si>
    <t>OFICIAL  NOCTURNO</t>
  </si>
  <si>
    <t>MAESTRO NOCTURNO</t>
  </si>
  <si>
    <t xml:space="preserve">INGENIERO AUXILIAR DE INGENIERIA </t>
  </si>
  <si>
    <t>DIBUJANTE 1</t>
  </si>
  <si>
    <t>DIBUJANTE 2</t>
  </si>
  <si>
    <t xml:space="preserve">OPERADOR AUXILIAR DE EQUIPO </t>
  </si>
  <si>
    <t>TECNICO INSPECTOR 1</t>
  </si>
  <si>
    <t>SECRETARIA 1</t>
  </si>
  <si>
    <t>SECRETARIA 2</t>
  </si>
  <si>
    <t>PROFESIONAL CATEGORÍA 1 (No incluye Factor de Prestaciones)</t>
  </si>
  <si>
    <t>PROFESIONAL CATEGORÍA 3 (No incluye Factor de Prestaciones)</t>
  </si>
  <si>
    <t>PROFESIONAL CATEGORÍA 2 (No incluye Factor de Prestaciones)</t>
  </si>
  <si>
    <t>PROFESIONAL CATEGORÍA 4 (No incluye Factor de Prestaciones)</t>
  </si>
  <si>
    <t>PROFESIONAL CATEGORÍA 5 (No incluye Factor de Prestaciones)</t>
  </si>
  <si>
    <t>PROFESIONAL CATEGORÍA 6 (No incluye Factor de Prestaciones)</t>
  </si>
  <si>
    <t>PROFESIONAL CATEGORÍA 7(No incluye Factor de Prestaciones)</t>
  </si>
  <si>
    <t>PROFESIONAL CATEGORÍA 8 (No incluye Factor de Prestaciones)</t>
  </si>
  <si>
    <t>GRUA EXTENSION PARA POSTES. INCLUYE OPERARIO Y COMBUSTIBLE</t>
  </si>
  <si>
    <t>HR</t>
  </si>
  <si>
    <t>GRUA BRAZO ARTICULADO (H=10.38m) -  - INCLUYE OPERARIO Y COMBUSTIBLE</t>
  </si>
  <si>
    <t>HORNO PINTURA ELECTROSTÁTICA</t>
  </si>
  <si>
    <t xml:space="preserve">EQUIPO SOLDADURA ELECTRICA </t>
  </si>
  <si>
    <t>EQUIPO SOLDADURA AUTOGENA</t>
  </si>
  <si>
    <t>ANEXO 7.  DISCRIMINACIÓN Y CONSOLIDACIÓN DE LA PROPUESTA ECONOMICA POR ZONA</t>
  </si>
  <si>
    <t>I. ANEXO DISCRIMINACIÓN PROPUESTA ECONOMICA COMPONENTE DE OBRA UNA ZONA - PARTE 1 - SUMINISTRO E IMPLEMENTACIÓN DE SEÑALIZACIÓN</t>
  </si>
  <si>
    <t xml:space="preserve">ITEM </t>
  </si>
  <si>
    <t>DESCRIPCIÓN</t>
  </si>
  <si>
    <t>CANTIDAD</t>
  </si>
  <si>
    <t xml:space="preserve">COSTO
DIRECTO </t>
  </si>
  <si>
    <t>SUBTOTAL</t>
  </si>
  <si>
    <t>ADMINISTRACIÓN</t>
  </si>
  <si>
    <t>IMPREVISTOS</t>
  </si>
  <si>
    <t>UTILIDAD</t>
  </si>
  <si>
    <t>A  - TOTAL OBRA</t>
  </si>
  <si>
    <t>NOMBRE DEL PROPONENTE</t>
  </si>
  <si>
    <t>NOMBRE DEL REPRESENTANTE LEGAL</t>
  </si>
  <si>
    <t>FIRMA DEL REPRESENTANTE LEGAL</t>
  </si>
  <si>
    <t>Instalación de Señales Verticales de Pedestal (incluye Señales Sencillas tipo preventiva, Reglamentaria  o informativa, Dúplex, Chevrones y Delineadores de todas las dimensiones) cumpliendo normatividad vigente.</t>
  </si>
  <si>
    <t xml:space="preserve">Instalación y/o retiro de Tableros para Señales Verticales. (Incluye señal adosada, Dúplex y todos los tamaños) </t>
  </si>
  <si>
    <t>Retiro de Señales Verticales (Incluye pedestal y tablero) con entrega a almacén de la SDM (incluye señales sencillas y Dúplex)</t>
  </si>
  <si>
    <t>Reubicación de señales verticales  (incluye señales sencillas y Dúplex)</t>
  </si>
  <si>
    <t>Suministro y aplicación imprimante acrílico negro 12 cm, espesor seco 4 mils y 50% de solidos por volumen</t>
  </si>
  <si>
    <t>Suministro y aplicación imprimante acrílico negro 15 cm, espesor seco 4 mils y 50% de solidos por volumen</t>
  </si>
  <si>
    <t>Suministro y aplicación imprimante acrílico negro 20 cm, espesor seco 4 mils y 50% de solidos por volumen</t>
  </si>
  <si>
    <t>Suministro y aplicación imprimante acrílico negro 25 cm, espesor seco 4 mils y 50% de solidos por volumen</t>
  </si>
  <si>
    <t>Suministro y aplicación imprimante acrílico negro, espesor seco 4 mils y 50% de solidos por volumen</t>
  </si>
  <si>
    <t>Suministro y Aplicación de Pintura de tráfico base agua negra m2. espesor seco 9 mils y 60% de solidos por volumen</t>
  </si>
  <si>
    <t>Construcción de bandas sonoras reductoras de velocidad de 2 cm de altura, construida con gravilla de 1/2", pintura de larga duración blanca y resina epoxica</t>
  </si>
  <si>
    <t>Suministro y anclaje de banda alertadora en resina con alta resistencia al impacto con ancho mínimo de 25 cm y altura máxima de 2 cm. Incluye materiales para la fijación.</t>
  </si>
  <si>
    <t>Suministro, instalación y lastrado (con material granular al tope de su altura) de delineador Tubular Tipo Canalizador de 129 cm de altura, incluye transportes, instalación y lastrado con material granular al tope de su altura.</t>
  </si>
  <si>
    <t>Suministro e instalación de Cinta de señalización, de calibre mínimo 2 mm de 10 cm de ancho por 500m de longitud por rollo.</t>
  </si>
  <si>
    <t>Suministro e instalación de pasacalle en tela vendaval.</t>
  </si>
  <si>
    <t>Suministro e instalación  de cierre con polisombra al 65% mixta (azul traslucido-verde) de altura 2,1 metros.</t>
  </si>
  <si>
    <t>Retiro de tachones, hito o resaltos portátiles con su respectivo anclaje, incluye entrega en Patios de la SDM</t>
  </si>
  <si>
    <t>Retiro de tachas reflectivas ó estoperoles con su respectivo anclaje, incluye entrega en Patios de la SDM</t>
  </si>
  <si>
    <t>Retiro de bandas en agregado.</t>
  </si>
  <si>
    <t>Retiro de pasacalle, incluye transporte a patios de la SDM</t>
  </si>
  <si>
    <t>Desmonte y retiro a nivel de Estructura metálica, tableros y/o lamas existentes de señales con pedestal de 4" a 12" de diámetro, Incluye transporte a patios de la SDM</t>
  </si>
  <si>
    <t>Limpieza con hidrolavado</t>
  </si>
  <si>
    <t>Borrado mecánico de marcas viales.</t>
  </si>
  <si>
    <t>SECRETARÍA DISTRITAL DE MOVILIDAD
SDM</t>
  </si>
  <si>
    <t>ANÁLISIS DE PRECIOS UNITARIOS</t>
  </si>
  <si>
    <t>SUBSECRETARÍA DE GESTIÓN DE LA MOVILIDAD - DIRECCIÓN DE INGENIERÍA DE TRÁNSITO - SUBDIRECCIÓN DE SEÑALIZACIÓN</t>
  </si>
  <si>
    <t>Ítem</t>
  </si>
  <si>
    <t>Unidad:</t>
  </si>
  <si>
    <t>Descripción de la Actividad:</t>
  </si>
  <si>
    <t>1. Equipos</t>
  </si>
  <si>
    <t>Descripción</t>
  </si>
  <si>
    <t>Unidad</t>
  </si>
  <si>
    <t>Tipo</t>
  </si>
  <si>
    <t>Tarifa/Hora</t>
  </si>
  <si>
    <t>Rendimiento</t>
  </si>
  <si>
    <t>Valor Unitario</t>
  </si>
  <si>
    <t>Subtotal</t>
  </si>
  <si>
    <t>Cortadora de Lámina</t>
  </si>
  <si>
    <t>Un</t>
  </si>
  <si>
    <t>Equipo Pintura electrostática</t>
  </si>
  <si>
    <t>Taladro</t>
  </si>
  <si>
    <t>Herramienta menor</t>
  </si>
  <si>
    <t>2. Materiales</t>
  </si>
  <si>
    <t>Cantidad</t>
  </si>
  <si>
    <t>M²</t>
  </si>
  <si>
    <t>UN</t>
  </si>
  <si>
    <t>3. Transportes</t>
  </si>
  <si>
    <t>Equipo</t>
  </si>
  <si>
    <t>Tarifa/Día</t>
  </si>
  <si>
    <t>4. Mano de Obra</t>
  </si>
  <si>
    <t>Trabajador</t>
  </si>
  <si>
    <t>Jornal</t>
  </si>
  <si>
    <t>Jornal Total</t>
  </si>
  <si>
    <t>Ayudante de taller</t>
  </si>
  <si>
    <t>Colaminador</t>
  </si>
  <si>
    <t>TOTAL COSTO DIRECTO</t>
  </si>
  <si>
    <t>Gasolina Corriente</t>
  </si>
  <si>
    <t>Equipo de limpieza</t>
  </si>
  <si>
    <t>Global</t>
  </si>
  <si>
    <t>Equipo de Control en Obra</t>
  </si>
  <si>
    <t>Operador de equipo nocturno</t>
  </si>
  <si>
    <t>Ayudante nocturno</t>
  </si>
  <si>
    <t>Auxiliar de Tráfico nocturno</t>
  </si>
  <si>
    <t>Jefe de Cuadrilla Nocturno</t>
  </si>
  <si>
    <t>Equipo Manual de Pintura Acrílica</t>
  </si>
  <si>
    <t>Imprimante transparente para termoplástico</t>
  </si>
  <si>
    <t>Manual</t>
  </si>
  <si>
    <t>Pegante Epoxico</t>
  </si>
  <si>
    <t>Broca para concreto de 1/2"</t>
  </si>
  <si>
    <t>Estoperol plástico con espigo, diametro mínimo 10 cm y altura máxima 2,5 cm de altura con un espigo de mínimo 5 cm (NTC 4745)</t>
  </si>
  <si>
    <t>Chazo ancla de cuna 1/2 X 4 1/2</t>
  </si>
  <si>
    <t>SUBSECRETARÍA DE SERVICIOS DE LA MOVILIDAD - DIRECCIÓN DE CONTROL Y VIGILANCIA DEL TRÁNSITO</t>
  </si>
  <si>
    <t>Lb</t>
  </si>
  <si>
    <t>Rollo</t>
  </si>
  <si>
    <t>Agua</t>
  </si>
  <si>
    <t>1S</t>
  </si>
  <si>
    <t>2S</t>
  </si>
  <si>
    <t>3S</t>
  </si>
  <si>
    <t>4S</t>
  </si>
  <si>
    <t>5S</t>
  </si>
  <si>
    <t>ITEM</t>
  </si>
  <si>
    <t>Suministro de cono vial construido en matareial sintetico flexible con tres bandas de 10 cm en papel reflectivo blanco tipo IV o superior, altura 90 cm.</t>
  </si>
  <si>
    <t>Suministro de maletín plástico de base mínima de 50 cm por 200 cm y altura mínima de 100 cm, con material reflectivo tipo IV o superior color blanco.</t>
  </si>
  <si>
    <t>Suministro de delineador Tubular Tipo Canalizador de 129 cm de altura.</t>
  </si>
  <si>
    <t>Suministro de Resalto portátil de caucho con alta resistencia al impacto con ancho mínimo de 30 cm y altura entre 5 y 8 cm.</t>
  </si>
  <si>
    <t>Suministro de Cinta de señalización, de calibre mínimo 2 mm de 10 cm de ancho por 500m de longitud por rollo.</t>
  </si>
  <si>
    <t>PLATINA CON ESPESOR DE 3 MM  (1/8" cl 11)</t>
  </si>
  <si>
    <t>TAPAS GALVANIZADO PARA TUBO DE 2"  e= 2 mm  (cl 13)</t>
  </si>
  <si>
    <t>TUBO GALVANIZADO DE 2" X 1,9 mm ESPESOR DE PARED</t>
  </si>
  <si>
    <t>TRONZADORA</t>
  </si>
  <si>
    <t xml:space="preserve">CIZALLA DE CORTE VERTICAL </t>
  </si>
  <si>
    <t xml:space="preserve">DOBLADORA DE TUBO </t>
  </si>
  <si>
    <t xml:space="preserve">FRESADORA DE MARCAS VIALES </t>
  </si>
  <si>
    <t xml:space="preserve">PULIDORA </t>
  </si>
  <si>
    <t xml:space="preserve">HIDROLAVADORA </t>
  </si>
  <si>
    <t xml:space="preserve">ARNES DE CUATRO PUNTOS </t>
  </si>
  <si>
    <t>PRETAL DIELECTRICO</t>
  </si>
  <si>
    <t>REMACHADORA</t>
  </si>
  <si>
    <t>ESCALERA TIPO TIJERA</t>
  </si>
  <si>
    <t xml:space="preserve">CAMION </t>
  </si>
  <si>
    <t xml:space="preserve">SECCION DE ANDAMIO </t>
  </si>
  <si>
    <t xml:space="preserve">CANECA VIAL DE SEÑALIZACION </t>
  </si>
  <si>
    <t>VEHÍCULO DE APOYO (1300-2000CC)</t>
  </si>
  <si>
    <t>PROMEDIO</t>
  </si>
  <si>
    <t xml:space="preserve">DATOS </t>
  </si>
  <si>
    <t>PUNTILLA  DE ACERO 2" X 1/2 "</t>
  </si>
  <si>
    <t>PUNTILLA  DE ACERO DE 1"</t>
  </si>
  <si>
    <t>BORDILLO TRANSPASABLE METÁLICO DE COLOR AMARILLO CON ALTA RESISTENCIA AL IMPACTO  (TIPO PIRAMIDAL, LARGO 40 CM, ANCHO DE 15 CM Y ALTURA MINIMA DE 8 CM DE ACUERDO CON LA FIGURA 5-18 DE LA RESOLUCIÓN 1885 DE 2015)</t>
  </si>
  <si>
    <t>TELA VENDAVAL PASACALLE (ANCHO MÍNIMO 1,0 M), TIPO</t>
  </si>
  <si>
    <t xml:space="preserve">HERRAMIENTA MENOR </t>
  </si>
  <si>
    <t>DISCO DE CORTE / ABRASIVO 4 1/2 X 1/8"</t>
  </si>
  <si>
    <t>PLATINA  1/4" CON ESPESOR DE 6,35 MM</t>
  </si>
  <si>
    <t xml:space="preserve">DESPERDICIO </t>
  </si>
  <si>
    <t>PINTURA ELECTROSTÁTICA M2</t>
  </si>
  <si>
    <t>Código</t>
  </si>
  <si>
    <t>Nombre</t>
  </si>
  <si>
    <t>UM</t>
  </si>
  <si>
    <t>Valor</t>
  </si>
  <si>
    <t>REPLANTEO GENERAL</t>
  </si>
  <si>
    <t>CONCRETO 2000 PSI PARA REDES (Hecho en Obra 1:3:3 con arena de río y triturado de 3/4")  (Suministro y Colocación)</t>
  </si>
  <si>
    <t>CUADRILLA (OFICIAL + 6 AYUDANTES). INCLUYE FACTOR DE PRESTACIONES.</t>
  </si>
  <si>
    <t>JR</t>
  </si>
  <si>
    <t>NIVELACION Y COMPACTACIÓN DE SUBRASANTE</t>
  </si>
  <si>
    <t>CORTE Y AMPLIACIÓN DE JUNTA EN PAVIMENTO DE CONCRETO HIDRAULICO</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</si>
  <si>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</si>
  <si>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</si>
  <si>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</si>
  <si>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</si>
  <si>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</si>
  <si>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</si>
  <si>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</si>
  <si>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(3 OFICIALES + 6 AYUDANTES)</t>
  </si>
  <si>
    <t>CUADRILLA (OFICIAL + 3 AYUDANTES)</t>
  </si>
  <si>
    <t>CARCAMO DE PROTECCIÓN DE TUBERÍA Ø 10" NORMA EAAB NS-090 V. 1.2</t>
  </si>
  <si>
    <t>CARCAMO DE PROTECCIÓN DE TUBERÍA Ø 16" NORMA EAAB NS-090 V. 1.2</t>
  </si>
  <si>
    <t>CARCAMO DE PROTECCIÓN DE TUBERÍA Ø 18" NORMA EAAB NS-090 V. 1.2</t>
  </si>
  <si>
    <t>CARCAMO DE PROTECCIÓN DE TUBERÍA Ø 20" NORMA EAAB NS-090 V. 1.2</t>
  </si>
  <si>
    <t>CARCAMO DE PROTECCIÓN DE TUBERÍA Ø 24" NORMA EAAB NS-090 V. 1.2</t>
  </si>
  <si>
    <t>CARCAMO DE PROTECCIÓN DE TUBERÍA Ø 27" NORMA EAAB NS-090 V. 1.2</t>
  </si>
  <si>
    <t>CARCAMO DE PROTECCIÓN DE TUBERÍA Ø 30" NORMA EAAB NS-090 V. 1.2</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</si>
  <si>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</si>
  <si>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</si>
  <si>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</si>
  <si>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</si>
  <si>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</si>
  <si>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</si>
  <si>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</si>
  <si>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</si>
  <si>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</si>
  <si>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</si>
  <si>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</si>
  <si>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</si>
  <si>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</si>
  <si>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</si>
  <si>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</si>
  <si>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</si>
  <si>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</si>
  <si>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</si>
  <si>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</si>
  <si>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</si>
  <si>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</si>
  <si>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</si>
  <si>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</si>
  <si>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</si>
  <si>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</si>
  <si>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</si>
  <si>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</si>
  <si>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</si>
  <si>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</si>
  <si>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</si>
  <si>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</si>
  <si>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</si>
  <si>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</si>
  <si>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</si>
  <si>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</si>
  <si>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</si>
  <si>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</si>
  <si>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</si>
  <si>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</si>
  <si>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</si>
  <si>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</si>
  <si>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</si>
  <si>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</si>
  <si>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</si>
  <si>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</si>
  <si>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</si>
  <si>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</si>
  <si>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</si>
  <si>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</si>
  <si>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</si>
  <si>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</si>
  <si>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</si>
  <si>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</si>
  <si>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</si>
  <si>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</si>
  <si>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</si>
  <si>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</si>
  <si>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</si>
  <si>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</si>
  <si>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EXCAVACIÓN MANUAL EN MATERIAL COMÚN (INCL CARGUE, TRANSPORTE Y DISPOSICION FINAL)</t>
  </si>
  <si>
    <t>CUADRILLA (OFICIAL + 6 AYUDANTES)</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</si>
  <si>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</si>
  <si>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</si>
  <si>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</si>
  <si>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</si>
  <si>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</si>
  <si>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</si>
  <si>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</si>
  <si>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</si>
  <si>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</si>
  <si>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</si>
  <si>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</si>
  <si>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</si>
  <si>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CUADRILLA (2 AYUDANTES)</t>
  </si>
  <si>
    <t>CARCAMO DOCE DUCTOS ETB</t>
  </si>
  <si>
    <t>CONSTRUCCIÓN PAVIMENTO ARTICULADO EN ADOQUIN DE ARCILLA - TRAFICO LIVIANO</t>
  </si>
  <si>
    <t>CONSTRUCCIÓN PAVIMENTO ARTICULADO EN ADOQUIN DE ARCILLA - TRAFICO PESADO</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</si>
  <si>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</si>
  <si>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</si>
  <si>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</si>
  <si>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</si>
  <si>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</si>
  <si>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SUMIDERO ALCANTARILLADO PLUVIAL EN VIA NS-047-1V4 EAAB</t>
  </si>
  <si>
    <t>CONSTRUCCION DE ANDEN EN ADOQUIN DE ARCILLA SOBRE ARENA. NO INCLUYE BORDILLO. NO INCLUYE REDES</t>
  </si>
  <si>
    <t>CONSTRUCCIÓN DE ANDEN EN LOSA DE CONCRETO DE 3000 PSI HECHO EN OBRA. NO INCLUYE BORDILLO. NO INCLUYE REDES.</t>
  </si>
  <si>
    <t>CONSTRUCCION DE CICLORUTA. NO INCLUYE REDES.</t>
  </si>
  <si>
    <t>CONSTRUCCION DE BORDILLO PREFABRICADO A80. NO INCLUYE REDES</t>
  </si>
  <si>
    <t>REHABILITACION ANDEN ADOQUIN ARCILLA TR LIVIANO SOBRE MORTERO. NO INCL BORDILLO. INCL. RETIRO ADOQUIN E INSTALAR NUEVO. NO INCLUYE REDES.</t>
  </si>
  <si>
    <t>RETIRO DE ADOQUIN SOBRE MORTERO</t>
  </si>
  <si>
    <t>REHABILITACIÓN DE ANDEN EN LOSA DE CONCRETO DE 3000 PSI HECHO EN OBRA. NO INCLUYE BORDILLO. NO INCLUYE REDES.</t>
  </si>
  <si>
    <t>REHABILITACION DE CICLORUTA. NO INCLUYE REDES.</t>
  </si>
  <si>
    <t>REHABILITACION PAVIMENTO ARTICULADO EN ADOQUIN DE ARCILLA - TRAFICO PESADO</t>
  </si>
  <si>
    <t>MANTENIMIENTO PREVENTIVO ESPACIO PUBLICO EN ADOQUIN INCLUYE SELLO DE JUNTAS, BARRIDO, Y RETIRO MANUAL DE CAPA VEGETAL</t>
  </si>
  <si>
    <t>RETIRO DE ADOQUIN SOBRE ARENA</t>
  </si>
  <si>
    <t>REHABILITACION ANDEN ADOQUIN ARCILLA TR LIVIANO SOBRE ARENA NO INCL BORDILLO. INCL. DEMOLICION ADOQUIN E INSTALAR NUEVO. NO INCLUYE REDES.</t>
  </si>
  <si>
    <t>MANTENIMIENTO CORRECTIVO ESPACIO PUBLICO EN ADOQUIN DE ARCILLA LIVIANO SOBRE ARENA. INCL. RETIRO ADOQUIN E INSTALAR NUEVO. NO INCLUYE REDES.</t>
  </si>
  <si>
    <t>MANTENIMIENTO PREVENTIVO PARA CICLORUTAS</t>
  </si>
  <si>
    <t>SELLO DE GRIETAS</t>
  </si>
  <si>
    <t>TRATAMIENTO SUPERFICIAL SIMPLE</t>
  </si>
  <si>
    <t>TRATAMIENTO SUPERFICIAL DOBLE</t>
  </si>
  <si>
    <t>RECONSTRUCCION TRATAMIENTO SUPERFICIAL DOBLE</t>
  </si>
  <si>
    <t>CONSTRUCCION DE CAMINO EN GRAVA</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</si>
  <si>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</si>
  <si>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</si>
  <si>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</si>
  <si>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</si>
  <si>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REHABILITACION DE ANDEN EN ADOQUIN DE CONCRETO L BASE ARENA. NO INCL BORDILLO. INCL. DEMOLICION ADOQUIN E INSTALAR NUEVO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</si>
  <si>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</si>
  <si>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</si>
  <si>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</si>
  <si>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</si>
  <si>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</si>
  <si>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MANTENIMIENTO PREVENTIVO ESPACIO PUBLICO. INCLUYE LIMPIEZA E INSTALACION DE SELLO DE ARENA</t>
  </si>
  <si>
    <t>RETIRO DE LOSETA A-50 SOBRE ARENA</t>
  </si>
  <si>
    <t>RETIRO DE LOSETA A-50 SOBRE MORTERO</t>
  </si>
  <si>
    <t>DEMARCACION CON PINTURA TERMOPLASTICA PARA CICLORUTAS (INCLUYE SUMINISTRO, APLICACION CON MICROESFERA) A=10 CM</t>
  </si>
  <si>
    <t>FLECHA DE FRENTE PARA CICLORRUTA EN PINTURA TERMOPLASTICA. (INCLUYE SUMINISTRO, APLICACION CON MICROESFERA)</t>
  </si>
  <si>
    <t>REHABILITACION CON MATERIAL RECICLADO CON EMULSION Y SOBRECARPETA DE 5CM</t>
  </si>
  <si>
    <t>CONSTRUCCION DE ANDEN EN LOSETA CON ESTRUCTURA EN MATERIAL RECICLADO DE CONCRETO HIDRAULICO</t>
  </si>
  <si>
    <t>SELLO DE FISURAS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</si>
  <si>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</si>
  <si>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</si>
  <si>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</si>
  <si>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</si>
  <si>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</si>
  <si>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</si>
  <si>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</si>
  <si>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</si>
  <si>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</si>
  <si>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</si>
  <si>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</si>
  <si>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</si>
  <si>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</si>
  <si>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GEODREN PLANAR H=1.0 M. SUMINISTRO E INSTALACION.</t>
  </si>
  <si>
    <t>1 DUCTO D=1 1/2" CONDUIT PVC (NO INCLUYE RELLENOS). SUMINISTRO E INSTALACION.</t>
  </si>
  <si>
    <t>TUBERIA DE ACERO AL CARBON SIN COSTURA SCH40 D=3". SUMINISTRO E INSTALACION.</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</si>
  <si>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</si>
  <si>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</si>
  <si>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</si>
  <si>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</si>
  <si>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</si>
  <si>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FRANJA DE AJUSTE DE ANCHO VARIABLE ENTRE 0.10 A 0.18MT Y PROFUNDIDAD VARIABLE ENTRE 0.06 Y 0.15MT EN CONCRETO DE 2500 PSI PREMEZCLADO.</t>
  </si>
  <si>
    <t>MANTENIMIENTO RUTINARIO PARA CICLORUTAS INCLUYE SELLO DE FISURAS, BARRIDO, RETIRO MANUAL DE CAPA VEGETAL. ANCHO DE CICLORRUTA 2.5MT. RETIRO Y TRANSPORTE Y DISPOSICIÓN FINAL DE ESCOMBROS A 21 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</si>
  <si>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</si>
  <si>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</si>
  <si>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</si>
  <si>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</si>
  <si>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</si>
  <si>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</si>
  <si>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</si>
  <si>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</si>
  <si>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</si>
  <si>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</si>
  <si>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</si>
  <si>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</si>
  <si>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</si>
  <si>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</si>
  <si>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</si>
  <si>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</si>
  <si>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</si>
  <si>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</si>
  <si>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</si>
  <si>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</si>
  <si>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</si>
  <si>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</si>
  <si>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</si>
  <si>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</si>
  <si>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</si>
  <si>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</si>
  <si>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TUBERÍA CONCRETO D= 32" CL. III REFORZADA. SUMINISTRO E INSTALACIÓN.</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</si>
  <si>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</si>
  <si>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</si>
  <si>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</si>
  <si>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26 DUCTOS D= 4" DE PVC TDP. SUMINISTRO E INSTALACIÓN. (NO INCLUYE RELLENO).</t>
  </si>
  <si>
    <t>CONSTRUCCIÓN DE CAJA DE INSPECCIÓN CS 285. INCLUYE TAPA PREFABRICADA Y MARCO.</t>
  </si>
  <si>
    <t>TUBERIA CONCRETO ALTA RESISTENCIA D= 10" (INCLUYE SUMINISTRO, INSTALACIÓN Y MORTERO 2000 PSI PARA RECUBRIMIENTO DE JUNTA).</t>
  </si>
  <si>
    <t>CUADRILLA (TUBERO + 3 AYUDANTES)</t>
  </si>
  <si>
    <t>TUBERIA CONCRETO ALTA RESISTENCIA D= 12" (INCLUYE SUMINISTRO, INSTALACIÓN Y MORTERO 2000 PSI PARA RECUBRIMIENTO DE JUNTA).</t>
  </si>
  <si>
    <t>PIEZA DE REMATE PARA RAMPA PEATONAL, SUMINISTRO Y CONSTRUCCION. LONGITUD 1,20MTS FUNDIDO EN SITIO EN CONCRETO PREMEZCLADO DE 3000 PSI (GRAVA COMUN) INCLUYE FORMALETA EN MADERA</t>
  </si>
  <si>
    <t>SUBBASE GRANULAR PEATONAL SBG_PEA. SUMINISTRO, EXTENDIDO MANUAL, NIVELACIÓN, HUMEDECIMIENTO Y COMPACTACIÓN</t>
  </si>
  <si>
    <t>MATERIAL SELECCIONADO. SUMINISTRO, EXTENDIDO MANUAL, NIVELACIÓN, HUMEDECIMIENTO Y COMPACTACIÓN.</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</si>
  <si>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</si>
  <si>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</si>
  <si>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</si>
  <si>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</si>
  <si>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</si>
  <si>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</si>
  <si>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</si>
  <si>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</si>
  <si>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</si>
  <si>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</si>
  <si>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t>
  </si>
  <si>
    <t>LAVADO DE ESTRUCTURA EN CONCRETO Y/O METÁLICAS. INCLUYE ALQUILER DE HIDROLAVADORA 1300W MOTOR A GASOLINA PRESIÓN 3200 PSI. INCLUYE IMPLEMENTOS DE ASEO (DETERGENTE INDUSTRIAL), AGUA, COMBUSTIBLE Y MANO DE OBRA.</t>
  </si>
  <si>
    <t>ACERO LISO PARA TRANSFERENCIA DE LOSAS D= 1 1/4" (NO INCLUYE CANASTILLA). SUMINISTRO E INSTALACIÓN.</t>
  </si>
  <si>
    <t>DESMONTE SEÑAL VERTICAL.</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</si>
  <si>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</si>
  <si>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</si>
  <si>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</si>
  <si>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EMPATES EN LÍNEA DE TUBERÍA EN PVC A HF 6". SUM E INST. (INCL UNIÓN GIBAULT D=6", UNIÓN PVC U.M. D= 6", UNIÓN, UNION DE REPARACIÓN D= 6 Y 1 METRO DE TUBERÍA PVC D= 6" RDE 21).</t>
  </si>
  <si>
    <t>ENTIBADO EC-2 CONTÍNUO MADERA CON PERFILES METÁLICOS Y PARALES TELESCÓPICOS. SUMINISTRO E INSTALACIÓN.</t>
  </si>
  <si>
    <t>PROTECTOR DE RAMPA EN TUBERÍA A.N. 2". SUMINISTRO E INSTALACIÓN. INCLUYE ANCLAJES EN CONCRETO PREMEZCLADO DE 3000 PSI (GRAVA COMUN).</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</si>
  <si>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</si>
  <si>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</si>
  <si>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</si>
  <si>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SARDINEL ESPECIAL A 110 PARA RAMPA TIPO B (SUMINISTRO E INSTALACION. NO INCLUYE MATERIAL DE BASE)</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</si>
  <si>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</si>
  <si>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</si>
  <si>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CONSTRUCCIÓN DE BASE PARA INSTALACIÓN DE SEMÁFORO FERROVIARIO. INCLUYE SUMINISTRO Y COLOCACIÓN DE CONCRETO 3000 PSI HECHO EN OBRA 1:2:2, ARENA DE RIO Y TRITURADO DE 3/4". INCLUYE ACERO DE REFUERZO.</t>
  </si>
  <si>
    <t>CUADRILLA (OFICIAL + 10 AYUDANTES)</t>
  </si>
  <si>
    <t>DESMONTE, INSTALACIÓN Y NIVELACIÓN DE RIELES (INCLUYE EQUIPO DE OXICORTE Y RETIRO CON EQUIPO)</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</si>
  <si>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</si>
  <si>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</si>
  <si>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</si>
  <si>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</si>
  <si>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</si>
  <si>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</si>
  <si>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</si>
  <si>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</si>
  <si>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DEMOLICIÓN MANUAL DE CAMARA DE PASO DOBLE ETB (INCLUYE DEMOLICIÓN DE PLACA PISO, TAPA, MUROS Y CAÑUELAS Y CARGUE)</t>
  </si>
  <si>
    <t>CUADRILLA (2OFICIAL + 4 AYUDANTES)</t>
  </si>
  <si>
    <t>DISPENSADOR METALICO PARA JABON LIQUIDO PARA INSTALAR EN MESON RECARGA DE JABON INFERIOR PUSH SUPERIOR DOCOL O SIMILAR. SUMINISTRO E INSTALACION.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</si>
  <si>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</si>
  <si>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</si>
  <si>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SALIDA PARA TOMA TRIFASICA DE SEGURIDAD 1" EMT ES LA SALIDA DESDE LA CAJA METALICA MAS CERCANA EN EL PISO DEL VAGON (CORRESPONDIENTE A LA ACOMETIDA DE TOMA DE SERV) HASTA LA TOMA EN LA COLUMNA INTERIOR DEL VAGON.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</si>
  <si>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</si>
  <si>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</si>
  <si>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</si>
  <si>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</si>
  <si>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</si>
  <si>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</si>
  <si>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</si>
  <si>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</si>
  <si>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VALVULA ANTIVANDALICA PARA ORINAL. SUMINISTRO E INSTALACION.</t>
  </si>
  <si>
    <t>FRANJA EN ADHESIVO VINILICO ESMERILADO EFECTO STAND BLASTED FROSTED CRYSTAL, SUMINISTRO E INSTALACION, GARANTIA DE 5 AÑOS AL EXTERIOR. SEGUN MANUAL DE IMAGEN DE TRANSMILENIO S.A.</t>
  </si>
  <si>
    <t>INSPECCION VISUAL PARA MALLA VIAL ARTERIAL NO TRONCAL, BRIGADA DE REACCION REALIZACION INVENTARIO DE HUECOS Y PROCESAMIENTO DE LA INFORMACION.</t>
  </si>
  <si>
    <t>CUADRILLA (OFICIAL + 6 AYUDANTES) HORARIO NOCTURNO</t>
  </si>
  <si>
    <t>CORTE CON EQUIPO DE OXICORTE PARA EL RETIRO DE LA JUNTA METALICA EXISTENTE EN EL PUENTE.</t>
  </si>
  <si>
    <t>IMPRIMANTE Y PUENTE DE ADHERENCIA ENTRE CONCRETO FRESCO Y ENDURECIDO DE FRAGUADO LENTO. SUMINISTRO Y APLICACIÓN. EPÓXICO DE PEGA CONCRETO NUEVO A VIEJO QUE CUMPLA CON LA NORMA ASTM C-881 TIPO 5 GRADO II</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</si>
  <si>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</si>
  <si>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</si>
  <si>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PINTURA DE TRÁFICO - IMPRIMANTE NEGRO. SUMINISTRO Y APLICACIÓN.</t>
  </si>
  <si>
    <t>ENTIBADO EC-1 CONTÍNUO MADERA CON PERFILES DE MADERA Y PARALES TELESCÓPICOS. SUMINISTRO E INSTALACIÓN.</t>
  </si>
  <si>
    <t>CAJA DE MANIOBRA ENTRADA Y SALIDA SUBESTACION SEMISUMERGIBLE NORMA CODENSA CTS535. SUMINISTRO E INSTALACION.</t>
  </si>
  <si>
    <t>CARCAMO DE PROTECCIÓN PARA TUBERIA DE TELEFONOS (DE 9 A 12 TUBOS). SUMINISTRO E INSTALACIÓN.</t>
  </si>
  <si>
    <t>PARAMETRO DE RESISTENCIA DEL SUELO MEDIANTE COMPRESION TRIAXIAL: COMPRESION TRIAXIAL ESTÁTICA CONSOLIDADA NO DRENADO UU (TRES PUNTOS)</t>
  </si>
  <si>
    <t>MALLA PUESTA A TIERRA SUBESTACIONES (INCLUYE SUMINISTRO E INSTALACION).</t>
  </si>
  <si>
    <t>PINTURA ACEITE SOBRE LAMINA (INCLUYE ANTICORROSIVO). SUMINISTRO Y APLICACION.</t>
  </si>
  <si>
    <t>PINTURA VINILO TIPO 1 (2 MANOS).</t>
  </si>
  <si>
    <t>MURO EN LADRILLO TOLETE COMUN.</t>
  </si>
  <si>
    <t>TANQUE DE AGUA DE 500 LT. SUMINISTRO E INSTALACION.</t>
  </si>
  <si>
    <t>CUADRILLA (OFICIAL + 4 AYUDANTES) HORARIO NOCTURNO</t>
  </si>
  <si>
    <t>CUADRILLA (4 AYUDANTES)</t>
  </si>
  <si>
    <t>BARANDAS. DESMONTE E INSTALACION. INCLUYE ACOPIO EN EL FRENTE DE OBRA. (NO INCLUYE TRASLADO DEL MATERIAL SOBRANTE, NI RETIRO DE ESCOMBROS).</t>
  </si>
  <si>
    <t>CONCRETO IMPERMEABILIZADO GRAVA FINA DE 3000 PSI PARA BOX CULVERT (PREMEZCLADO. INCLUYE SUMINISTRO, FORMALETEO Y COLOCACIÓN. NO INCLUYE REFUERZO, CURADO).</t>
  </si>
  <si>
    <t>9 DUCTOS D= 4" SUSPENDIDOS EN PUENTES NORMA CS218. SUMINISTRO E INSTALACION.</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</si>
  <si>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</si>
  <si>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</si>
  <si>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</si>
  <si>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</si>
  <si>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</si>
  <si>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CONCRETO 4000 PSI GRAVA COMÚN PARA RAMPAS Y ESCALERAS (PREMEZCLADO. INCL. SUMINISTRO, FORMALETEO Y COLOCACIÓN. NO INCL. REFUERZO, CURADO).</t>
  </si>
  <si>
    <t>TALÓN EN CONCRETO DE 3000 PSI (SUMINISTRO E INSTALACIÓN).</t>
  </si>
  <si>
    <t>PELDAÑO EN GRANITO PULIDO. (SUMINISTRO E INSTALACIÓN. INCLUYE VARILLA DE ALUMINIO PARA DILATACION).</t>
  </si>
  <si>
    <t>TUBERIA PVC SANITARIA D=3`` TIPO U.S. (INCLUYE SUMINISTRO E INSTALACIÓN).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</si>
  <si>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</si>
  <si>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</si>
  <si>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</si>
  <si>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</si>
  <si>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</si>
  <si>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</si>
  <si>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</si>
  <si>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</si>
  <si>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</si>
  <si>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</si>
  <si>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</si>
  <si>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</si>
  <si>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</si>
  <si>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</si>
  <si>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</si>
  <si>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</si>
  <si>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</si>
  <si>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</si>
  <si>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</si>
  <si>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</si>
  <si>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</si>
  <si>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</si>
  <si>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</si>
  <si>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DOTACION ABDOMINALES PARA ADULTOS/MAYORES SEGUN ESPECIFICACIONES IDRD - SUMINISTRO E INSTALACION.</t>
  </si>
  <si>
    <t>CUADRILLA (3 AYUDANTES) HORARIO NOCTURNO</t>
  </si>
  <si>
    <t>CUADRILLA (4 AYUDANTES) HORARIO NOCTURNO</t>
  </si>
  <si>
    <t>DEMARCACION EN IMPRIMANTE TIPO TRAFICO BASE SOLVENTE COLOR NEGRO. PARADEROS (INCLUYE SUMINISTRO Y APLICACION CON EQUIPO. NO INCLUYE MICROESFERAS).</t>
  </si>
  <si>
    <t>EMPATES DE TUBERÍA EN PVC A PVC 2" LINEAL SEGÚN NORMA NS-023 (INCLUYE ACCESORIOS). SUMINISTRO E INSTALACIÓN.</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</si>
  <si>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</si>
  <si>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</si>
  <si>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</si>
  <si>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</si>
  <si>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</si>
  <si>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MEDIA TENSION XLPE 4/0 ALUMINIO. SUMINISTRO E INSTALACION.</t>
  </si>
  <si>
    <t>DUCTO PVC DB 6". SUMINISTRO E INSTALACION.</t>
  </si>
  <si>
    <t>REHABILITACION PAVIMENTO ARTICULADO EN ADOQUIN DE ARCILLA - TRAFICO LIVIANO</t>
  </si>
  <si>
    <t>ESCARIFICACION, HUMEDECIMIENTO, NIVELACION Y COMPACTACION CON VIBROCOMPACTADOR DEL MATERIAL GRANULAR EXISTENTE.</t>
  </si>
  <si>
    <t>CURVA 90° PVC D= 2". SUMINISTRO E INSTALACION. NO INCLUYE RELLENOS.</t>
  </si>
  <si>
    <t>REUBICACION DE SEMAFORO PEATONAL.</t>
  </si>
  <si>
    <t>REUBICACION DE SEMAFORO VEHICULAR PARA FIJACION DE MASTIL.</t>
  </si>
  <si>
    <t>REUBICACION DE SEMAFORO VEHICULAR PARA FIJACION DE MENSULA.</t>
  </si>
  <si>
    <t>RETIRO DE SOLDADURA PARA TAPAS RECTANGULARES DE CAJAS DE PASO.</t>
  </si>
  <si>
    <t>COLOCACION DE SOLDADURA E-7018 PARA TAPAS RECTANGULARES DE CAJAS DE PASO.</t>
  </si>
  <si>
    <t>APLICACION DE PINTURA EN VIA DE POSTES TIPO MASTIL T1 Y T1X.</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</si>
  <si>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</si>
  <si>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</si>
  <si>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</si>
  <si>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</si>
  <si>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DESMONTE DE PARADERO URBANO TIPO M10 (INCLUYE CARGUE Y TRANSPORTE A ALMACEN AUTORIZADO POR EL IDU.</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</si>
  <si>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</si>
  <si>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</si>
  <si>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CAMARA FOTOGRAFICA DIGITAL COMPACTA. ALQUILER. DE 16.2 MEGAPIXELES. MEMORIA DE 6 GB. VIDEO HD CON PAUSA Y ZOOM. INCLUYE TRANSPORTE, SOPORTE TECNICO.</t>
  </si>
  <si>
    <t>MES</t>
  </si>
  <si>
    <t>TUBERIA ACERO CARBON ASTM A=53 SCH 40 DE D=12"</t>
  </si>
  <si>
    <t>CANALIZACION VIA PUBLICA NUEVE (9) DUCTOS PVC TIPO TDP 9Ø6"+2Ø3"</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</si>
  <si>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</si>
  <si>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</si>
  <si>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</si>
  <si>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</si>
  <si>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</si>
  <si>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MANTENIMIENTO CORRECTIVO DE CALZADA EN CONCRETO ESTAMPADO. INCLUYE RETIRO, REEMPLAZO DE LOSA, RENIVELACIÓN Y RECOMPACTACIÓN DE CAPAS GRANULARES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</si>
  <si>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</si>
  <si>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</si>
  <si>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</si>
  <si>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</si>
  <si>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</si>
  <si>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TAPÓN EXTREMO LISO D= 3". SUMINISTRO E INSTALACIÓN</t>
  </si>
  <si>
    <t>DETECTORES DE DEMANDA VEHICULAR (CÁMARA). NO INCLUYE CABLES. SUMINISTRO E INSTALACIÓN</t>
  </si>
  <si>
    <t>IMPERMEABILIZANTE PARA CONCRETO. SUMINISTRO Y APLICACIÓN</t>
  </si>
  <si>
    <t>ADITIVO DESENCOFRANTE. SUMINISTRO Y APLICACIÓN DE MATERIAL</t>
  </si>
  <si>
    <t>ENTIBADO TIPO EC3 CONTINUO METÁLICO CON PARALES METÁLICOS. INCLUYE SUMINISTRO E INSTALACIÓN</t>
  </si>
  <si>
    <t>SONORIZADORES PARA INVIDENTES (SUMINISTRO E INSTALACION)</t>
  </si>
  <si>
    <t>CAPA DE SUELO DE SUBRASANTE ESTABILIZADA CON CAL HIDRATADA TIPO N, IN SITU AL 4%. (SUMINISTRO, EXTENDIDO, NIVELACION, HUMEDECIMIENTO Y COMPACTACION).</t>
  </si>
  <si>
    <t>GRUA PARA REMOLQUE DE VEHICULOS (ALQUILER). INCLUYE CONDUCTOR Y COMBUSTIBLE. TIEMPO 12 HORAS DIARIAS.</t>
  </si>
  <si>
    <t>LAMINA MACIZA HR PARA BOCATOMA, INCLUYE MANO DE OBRA, ACCESORIOS E INSTALACION SEGUN DETALLE EN PLANOS Y ESPECIFICACIONES TECNICAS</t>
  </si>
  <si>
    <t>ELEMENTO ENVOLVENTE PEINAZO PARA MODULO. SUMINISTRO E INSTALACION. INCLUYE MANO DE OBRA.</t>
  </si>
  <si>
    <t>CUBIERTA EN LAMINA ALVEOLAR EN POLICARBONATO. SUMINISTRO E INSTALACION. INCLUYE MANO DE OBRA Y ACCESORIOS</t>
  </si>
  <si>
    <t>ELEMENTO ENVOLVENTE REMATE PARA CUBIERTA. SUMINISTRO E INSTALACION. INCLUYE MANO DE OBRA</t>
  </si>
  <si>
    <t>MANTENIMIENTO DEL ESPACIO PUBLICO PARA EL COBRO DE LA RETRIBUCION POR APROVECHAMIENTO ECONOMICO. COSTO DEL MANTENIMIENTO POR M2</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</si>
  <si>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</si>
  <si>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</si>
  <si>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</si>
  <si>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</si>
  <si>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ESTAMPADO PARA CONCRETO MR DE POMPEYANOS, ACCESOS VEHICULARES A PREDIOS Y VÍAS (ACABADO Y CURADO, SUMINISTRO Y MANO DE OBRA. INCLUYE JUEGO DE MOLDES, COLOR ENDURECEDOR DE CUARZO, DESMOLDANTE EN POLVO COLOR, SELLADOR ACRÍLICO TRANSPARENTE SEMILUSTRE).</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</si>
  <si>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</si>
  <si>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PAR</t>
  </si>
  <si>
    <t>BARANDA METÁLICA M80 (SUMINISTRO E INSTALACIÓN. INCLUYE BASE EN CONCRETO).</t>
  </si>
  <si>
    <t>CUADRILLA (2 OFICIAL + 2 AYUDANTES)</t>
  </si>
  <si>
    <t>TUBO EN U SEPARADOR DE CICLORUTA. (SUMINISTRO E INSTALACIÓN. INCLUYE BASE EN CONCRETO DE 3000 PSI HECHO EN OBRA).</t>
  </si>
  <si>
    <t>PISO EN CONCRETO COLOR GRIS MR41 (280 Kg/Cm2) GRAVA 1" 28 DIAS  ESTAMPADO e=0.10m (INCLUYE SUMINISTRO Y COLOCACIÓN DE CONCRETO, JUEGO DE MOLDES,  DESMOLDANTE EN POLVO, CURADOR PARA CONCRETO, INCLUYE CORTE Y SELLADO DE JUNTAS.</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</si>
  <si>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</si>
  <si>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</si>
  <si>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</si>
  <si>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</si>
  <si>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</si>
  <si>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</si>
  <si>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</si>
  <si>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</si>
  <si>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</si>
  <si>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</si>
  <si>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</si>
  <si>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</si>
  <si>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</si>
  <si>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</si>
  <si>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</si>
  <si>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</si>
  <si>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</si>
  <si>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</si>
  <si>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</si>
  <si>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MANTENIMIENTO CORRECTIVO ESPACIO PUBLICO EN ADOQUÍN DE ARCILLA LIVIANO SOBRE ARENA. INCL. RETIRO ADOQUÍN E INSTALAR EL MISMO. NO INCLUYE REDES.</t>
  </si>
  <si>
    <t>ALQUILER DE SILLA PARA ESCRITORIO PARA PUESTO DE TRABAJO</t>
  </si>
  <si>
    <t>ALQUILER DE SILLA PLÁSTICA SIN BRAZOS</t>
  </si>
  <si>
    <t>Clz/Sg</t>
  </si>
  <si>
    <t>PROCESAMIENTO Y ANALISIS DE INFORMACION PARA EL DIAGNOSTICO</t>
  </si>
  <si>
    <t>SEG</t>
  </si>
  <si>
    <t>ALQUILER DE PALETA PARE-SIGA EN POLIETILENO.</t>
  </si>
  <si>
    <t>MANTENIMIENTO RUTINARIO DE CALZADA EN PAVIMENTO FLEXIBLE. INCLUYE LIMPIEZA DE SUMIDEROS, POZOS, SELLO DE JUNTAS Y RETIRO MANUAL DE CAPA VEGETAL.</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</si>
  <si>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</si>
  <si>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</si>
  <si>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</si>
  <si>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</si>
  <si>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</si>
  <si>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</si>
  <si>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</si>
  <si>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</si>
  <si>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</si>
  <si>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</si>
  <si>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CM.PER</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</si>
  <si>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</si>
  <si>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</si>
  <si>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</si>
  <si>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</si>
  <si>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</si>
  <si>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</si>
  <si>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</si>
  <si>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</si>
  <si>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</si>
  <si>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</si>
  <si>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</si>
  <si>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</si>
  <si>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</si>
  <si>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</si>
  <si>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</si>
  <si>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TON-M</t>
  </si>
  <si>
    <t>CABLE DE REFORZAMIENTO EXTERNO DE 5/8" TENSIONADO 46,5 TON. TENSIONAMIENTO, MANO DE OBRA, EQUIPOS EN GENERAL.</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</si>
  <si>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</si>
  <si>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</si>
  <si>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</si>
  <si>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</si>
  <si>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</si>
  <si>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</si>
  <si>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SUMINISTRO DE CONECTORES DE CORTANTES O PLATINAS EN ACERO A-36. (INCLUYE MATERIAL, CORTE CON TORTUGA, TRANSPORTES REQUERIDOS DESDE ALMACÉN A TALLER Y A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</si>
  <si>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</si>
  <si>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</si>
  <si>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</si>
  <si>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</si>
  <si>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</si>
  <si>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</si>
  <si>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</si>
  <si>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</si>
  <si>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</si>
  <si>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Y MANO DE OBRA.</t>
  </si>
  <si>
    <t>GEOMALLA FORTGRID BX-50. SUMINISTRO E INSTALACIÓN.</t>
  </si>
  <si>
    <t>DESMONTE DE LUMINARIA DE 70 W</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</si>
  <si>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</si>
  <si>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</si>
  <si>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</si>
  <si>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</si>
  <si>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IZAJE Y DESMONTAJE DE VIGA METÁLICA EXISTENTE. INCLUYE GRÚAS TELESCÓPICAS 50 TON, CARGUE Y TRANSPORTE DE ESTRUCTURA METÁLICA EN CAMA BAJA.</t>
  </si>
  <si>
    <t>9 DUCTOS D=6" + 2 DUCTOS DE 3" - IMC EN CERCHA METÁLICA. SUMINISTRO E INSTALACIÓN. INCLUYE CONECTOR METÁLICO DE PUESTA A TIERRA DE 3" Y 6" EN CADA EXTREMO.</t>
  </si>
  <si>
    <t>9 DUCTOS D=6" + 2 DUCTOS DE 3" - PVC-TDP INCLUYE SUMINISTRO E INSTALACIÓN.</t>
  </si>
  <si>
    <t>MEZCLA ASFÁLTICA ALTO MÓDULO MAM-20 (SUMINISTRO, EXTENDIDO, NIVELACIÓN Y COMPACTACIÓN. INCLUYE EMULSIÓN ASFÁLTICA CRL-1 - CRR-1)</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</si>
  <si>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</si>
  <si>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</si>
  <si>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</si>
  <si>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</si>
  <si>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</si>
  <si>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</si>
  <si>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</si>
  <si>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</si>
  <si>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</si>
  <si>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</si>
  <si>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LAVADO DE ANDENES. INCLUYE ALQUILER DE HIDROLAVADORA 1300W. INCLUYE IMPLEMENTOS DE ASEO (DETERGENTE INDUSTRIAL), TRANSPORTE, AGUA, COMBUSTIBLE Y MANO DE OBRA.</t>
  </si>
  <si>
    <t>MANTENIMIENTO RUTINARIO PARA CICLORUTAS INCLUYE, BARRIDO, RETIRO MANUAL DE CAPA VEGETAL. RETIRO Y TRANSPORTE Y DISPOSICIÓN FINAL DE ESCOMBROS A 21 KM.</t>
  </si>
  <si>
    <t>CUADRILLA (OFICIAL + 6 AYUDANTES) HORARIO NOCTURNO INCLUYE PRESTACIONES</t>
  </si>
  <si>
    <t>MANTENIMIENTO CORRECTIVO ESPACIO PÚBLICO EN ADOQUÍN DE ARCILLA LIVIANO SOBRE MORTERO. INCL. RETIRO Y LIMPIEZA ADOQUÍN E INSTALAR EL MISMO. NO INCLUYE REDES.</t>
  </si>
  <si>
    <t>CANALIZACIÓN DE TRÁFICO CON SEÑALIZADORES TUBULARES COLOMBINA PLÁSTICA Y TRIPLE CINTA DE SEÑALIZACIÓN (INCLUYE ALQUILER DE SEÑALIZADORES TUBULARES). (NO INCLUYE INSTALACIÓN, MANTENIMIENTO Y DESINSTALACIÓN)</t>
  </si>
  <si>
    <t>M3-KM</t>
  </si>
  <si>
    <t>CUADRILLA (2 AYUDANTES) HORARIO NOCTURNO - HR</t>
  </si>
  <si>
    <t>ROCERÍA EN LOTE PORTAL</t>
  </si>
  <si>
    <t>PISO EN CONCRETO DE 3000 PSI GRAVA COMÚN FUNDIDO EN SITIO</t>
  </si>
  <si>
    <t>GLB</t>
  </si>
  <si>
    <t>MARCO EN LÁMINA COLD ROLLED CAL. 20 ANCLADO A MURO CON CHAZOS EXPANSIVOS DE 1/2" - 3" - HOJA EN LÁMINA CELOSÍA COLD ROLLED CAL. 1894.20</t>
  </si>
  <si>
    <t>REHABILITACIÓN ANDEN ADOQUÍN ARCILLA TR LIVIANO SOBRE MORTERO. NO INCL BORDILLO. INCL. RETIRO ADOQUIN E INSTALAR EL MISMO. NO INCLUYE REDES.</t>
  </si>
  <si>
    <t>CHEVRON 90 cm x 40 cm, REFLECTIVO PRISMÁTICO TIPO VII O SUPERIOR, AMARILLO LIMÓN FLUORESCENTE EN LÁMINA GALVANIZADA, PEDESTAL EN ÁNGULO. Suministro e Instalación.</t>
  </si>
  <si>
    <t>CODO EN ACERO Ø24" ENTRE 67 1/2° Y 90° JUNTA ESPIGO Y CAMPANA, CON EMPAQUE DE CAUCHO, CON REVEST.INT. Y RECUBR. EXT. EN MORTERO DE CEMENTO. L= 1.65m x 1.65m PRESIÓN DE TRABAJO 150PSI. SUMINISTRO E INSTALACIÓN</t>
  </si>
  <si>
    <t>LLAVE MANGUERA 1/2". SUMINISTRO E INSTALACIÓN</t>
  </si>
  <si>
    <t>dm3</t>
  </si>
  <si>
    <t>INTERRUPTOR GRADO INDUSTRIAL, 20A, EN CAJA FUNCIÓN ALUMINIO 11.7X11.7X5 CM, CON TAPA Y EMPAQUE</t>
  </si>
  <si>
    <t>DESMONTE Y TRASLADO DE ESTRUCTURAS METALICAS</t>
  </si>
  <si>
    <t>BRIDA CIEGA EN ACERO D= 24". PRESIÓN DE TRABAJO= 150 PSI.</t>
  </si>
  <si>
    <t>ML/DI</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</si>
  <si>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</si>
  <si>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</si>
  <si>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</si>
  <si>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</si>
  <si>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</si>
  <si>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</si>
  <si>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</si>
  <si>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</si>
  <si>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</si>
  <si>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</si>
  <si>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</si>
  <si>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</si>
  <si>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</si>
  <si>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</si>
  <si>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CODO EN ACERO D=16" ENTRE 45° y 67.5°   JUNTA ESPIGO-CAMPANA CON EMPAQUE CAUCHO.  REVESTIMIENTO INTERIOR Y EXTERIOR EN MORTERO DE CEMENTO. L=0.85X0.85M PRESIÓN TRABAJO 150 PSI</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</si>
  <si>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</si>
  <si>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</si>
  <si>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ENTIBADO EC-5 CONTINUO MADERA CON PERFILES DE METÁLICOS Y PARALES TELESCÓPICOS. SUMINISTRO E INSTALACIÓN.</t>
  </si>
  <si>
    <t>ENTIBADO EC-6 CONTINUO MADERA CON PERFILES DE METÁLICOS Y PARALES TELESCÓPICOS. SUMINISTRO E INSTALACIÓN.</t>
  </si>
  <si>
    <t>VÁLVULA COMPUERTA ELÁSTICA HD DN Ø 12" PVC L.F. SUMINISTRO E INSTALACIÓN</t>
  </si>
  <si>
    <t>VÁLVULA COMPUERTA ELÁSTICA HD DN Ø 8" PVC L.F. SUMINISTRO E INSTALACIÓN</t>
  </si>
  <si>
    <t>VÁLVULA COMPUERTA ELÁSTICA HD DN Ø 6" PVC L.F. SUMINISTRO E INSTALACIÓN</t>
  </si>
  <si>
    <t>VÁLVULA COMPUERTA ELÁSTICA HD DN Ø 4" PVC L.F. SUMINISTRO E INSTALACIÓN</t>
  </si>
  <si>
    <t>ESCALERA METÁLICA PARA ACCESO A CUBIERTA (SUMINISTRO E INSTALACIÓN)</t>
  </si>
  <si>
    <t>REDUCCIÓN EXCÉNTRICA D= 27" - D= 24". SUMINISTRO E INSTALACIÓN.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</si>
  <si>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</si>
  <si>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</si>
  <si>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</si>
  <si>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SERVICIOS Y HORARIOS + INFORMACIÓN + RIELES. SEGÚN MANUAL DE IMAGEN TRANSMILENIO. SUMINISTRO E INSTALACIÓN.</t>
  </si>
  <si>
    <t>BARRA SOPORTE BAÑO MOVILIDAD REDUCIDA</t>
  </si>
  <si>
    <t>PUERTA METÁLICA CON REJILLA</t>
  </si>
  <si>
    <t>TUBERÍA EMT DE Ø4", EXPUESTA CON SUS ACCESORIOS DE MONTAJE. INCLUYE SUMINISTRO E INSTALACIÓN.</t>
  </si>
  <si>
    <t>ACCESORIOS DE INSTALACIÓN ADICIONALES: CONDULETAS, CONECTORES, RECTOS, ADAPTADOR PVC A EMT, CAJAS METÁLICAS 5800 ENTRE OTROS</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</si>
  <si>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</si>
  <si>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</si>
  <si>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</si>
  <si>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</si>
  <si>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</si>
  <si>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</si>
  <si>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BRIDA CIEGA EN ACERO D= 16". PRESIÓN DE TRABAJO= 150 PSI.</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</si>
  <si>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</si>
  <si>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</si>
  <si>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</si>
  <si>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ELEMENTO DE VENTILACIÓN PARA CÁMARA DE ACCESORIOS EN HG D= 4". (INCLUYE SUMINISTRO E INSTALACIÓN).</t>
  </si>
  <si>
    <t>VALLA MÓVIL DE 1.20m x 1.20m EN LÁMINA GALVANIZADA CALIBRE 20, ÁNGULO EN HIERRO DE 2 x 1-1/8" IMPRESO EN VINILO ADHESIVO. Incluye suministro e instalación. Impresión 720 DPI; Tintas para exteriores.</t>
  </si>
  <si>
    <t>CUADRILLA (OFICIAL + 4 AYUDANTES) HORARIO NOCTURNO INCLUYE PRESTACIONES</t>
  </si>
  <si>
    <t>CUADRILLA (2 AYUDANTES) HORARIO NOCTURNO - JR</t>
  </si>
  <si>
    <t>CUADRILLA (OFICIAL + 2 AYUDANTES) HORARIO NOCTURNO</t>
  </si>
  <si>
    <t>CUADRILLA (OFICIAL + 2 AYUDANTES) HORARIO NOCTURNO INCLUYE PRESTACIONES</t>
  </si>
  <si>
    <t>CUADRILLA (3 OFICIAL + 6 AYUDANTES) HORARIO NOCTURNO</t>
  </si>
  <si>
    <t>CUADRILLA (OFICIAL + AYUDANTES) HORARIO NOCTURNO</t>
  </si>
  <si>
    <t>REPLANTEO GENERAL - HORARIO NOCTURNO</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</si>
  <si>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</si>
  <si>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</si>
  <si>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</si>
  <si>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RETIRO DE PISO EN LAMINA ALFAJOR</t>
  </si>
  <si>
    <t>LAVADO DE ESTRUCTURA EN CONCRETO Y/O METÁLICAS CON ANDAMIO CERTIFICADO. INCLUYE ALQUILER DE HIDROLAVADORA A GASOLINA PRESIÓN 3200 PSI. INCLUYE PLANTA ELÉCTRICA, AGUA Y MANO DE OBRA.</t>
  </si>
  <si>
    <t>TRATAMIENTO Y DISPOSICIÓN FINAL DE RESIDUOS PELIGROSOS.</t>
  </si>
  <si>
    <t>DEMOLICIÓN Y REPOSICIÓN DE TAPAS PARA POZO (en concreto).</t>
  </si>
  <si>
    <t>ESTOPEROLES METÁLICOS CON ESPIGO. INCLUYE SUMINISTRO E INSTALACIÓN.</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</si>
  <si>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</si>
  <si>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</si>
  <si>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</si>
  <si>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TAPAS PARA POZO DE INSPECCIÓN. SUMINISTRO E INSTALACIÓN.</t>
  </si>
  <si>
    <t>CORTE DE VARILLA DE DIÁMETRO VARIADO ENTRE 1/2" A 1 1/4".</t>
  </si>
  <si>
    <t>REDUCTOR DE VELOCIDAD TIPO RESALTO PARABOLICO DE 4 METROS DE ANCHO. EN CONCRETO PREMEZCLADO 4000 PSI  (280 Kg/cm2) GRAVA COMÚN.  SUMINISTRO E INSTALACION. (INCLUYE FORMALETA,  REFUERZO, CURADO Y PINTURA).</t>
  </si>
  <si>
    <t>SEÑAL VERTICAL INFORMATIVA SI-27C (70 cm x 100 cm). INCLUYE SUMINISTRO E INSTALACION.</t>
  </si>
  <si>
    <t>SEÑAL VERTICAL PREVENTIVA SP-47B TIPO PENTÁGONO CON FLECHA. (INCLUYE SUMINISTRO E INSTALACION).</t>
  </si>
  <si>
    <t>TRANSPORTE DE MATERIAL FRESADO PROVENIENTE DE SITIO DE OBRA AL SITIO DISPUESTO PARA MEZCLAS, ESTABILIZAR O DEJAR EN PATIOS DE ACOPIO DEL IDU.</t>
  </si>
  <si>
    <t>Km-Car</t>
  </si>
  <si>
    <t>MATERIAL ADECUADO. SUMINISTRO, EXTENDIDO MANUAL, NIVELACIÓN, HUMEDECIMIENTO Y COMPACTACIÓN.</t>
  </si>
  <si>
    <t>MATERIAL TOLERABLE. SUMINISTRO, EXTENDIDO MANUAL, NIVELACIÓN, HUMEDECIMIENTO Y COMPACTACIÓN.</t>
  </si>
  <si>
    <t>RETIRO DE SEÑAL VERTICAL CON ENTREGA A ALMACÉN DE LA SDM (APLICA PARA SEÑALES SENCILLAS Y DÚPLEX) (INCLUYE RETIRO DE PEDESTAL Y TABLERO. INCLUYE DEMOLICIÓN DE PISO, RETIRO Y DISPOSICIÓN FINAL DE ESCOMBROS)</t>
  </si>
  <si>
    <t>APIQUE MANUAL HASTA 2 M DE 1.5 M X 1.5 M - RELLENO Y ADECUACIÓN DEL SITIO - INCLUYE TRANSPORTE</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</si>
  <si>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</si>
  <si>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</si>
  <si>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SECCIONADOR O CAJA DE MANIOBRA DE 6 VÍAS, E-S 600, D200, SERIE 15 KV. SUMINISTRO E INSTALACIÓN</t>
  </si>
  <si>
    <t>SECCIONADOR O CAJA DE MANIOBRA DE 4 VÍAS, E-S 600, D200, SERIE 15 KV. SUMINISTRO E INSTALACIÓN</t>
  </si>
  <si>
    <t>TUBERÍA FLEXIBLE DE ALTA DENSIDAD NEGRA. TUBO Ø6", TUBERÍA PEAD, PE100, SDR17, DN50, PE.</t>
  </si>
  <si>
    <t>EMPATES DE TUBERÍA EN PVC A PEAD 6" LINEAL SEGÚN NORMA NS-023 (INCLUYE ACCESORIOS). SUMINISTRO E INSTALACIÓN.</t>
  </si>
  <si>
    <t>RENIVELACIÓN DE ACOMETIDA DOMICILIARIA.</t>
  </si>
  <si>
    <t>LAVADO Y MANTENIMIENTO DE SEÑAL VERTICAL (SP-SR-SI), SENCILLA O DUPLEX.</t>
  </si>
  <si>
    <t>TUBERÍA FLEXIBLE DE ALTA DENSIDAD NEGRA. TUBO Ø4", TUBERÍA PEAD, PE100, SDR17, DN50, PE.</t>
  </si>
  <si>
    <t>TUBERÍA FLEXIBLE DE ALTA DENSIDAD NEGRA. TUBO Ø8", TUBERÍA PEAD, PE100, SDR17, DN50, PE.</t>
  </si>
  <si>
    <t>TUBERÍA FLEXIBLE DE ALTA DENSIDAD NEGRA. TUBO Ø12", TUBERÍA PEAD, PE100, SDR17, DN50, PE.</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</si>
  <si>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</si>
  <si>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</si>
  <si>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</si>
  <si>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ATAGUÍA (SACOS EN SUELO CEMENTO) (CONFINAMIENTO DE TALUDES. PROPORCIÓN 1:0:2. SUMINISTRO, MEZCLADO, LLENADO Y COLOCACIÓN.</t>
  </si>
  <si>
    <t>RETIRO Y REUBICACIÓN DE POSTE DE 10 METROS</t>
  </si>
  <si>
    <t>CONCRETO 3000 PSI PARA PEDESTAL (PREMEZCLADO. INCL. SUMINISTRO, FORMALETEO Y COLOCACIÓN. NO INCL. REFUERZO, CURADO).</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</si>
  <si>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</si>
  <si>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</si>
  <si>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</si>
  <si>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</si>
  <si>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</si>
  <si>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</si>
  <si>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VÁLVULA DE MARIPOSA Ø 20" (A) (150 PSI). SUMINISTRO E INSTALACIÓN</t>
  </si>
  <si>
    <t>VÁLVULA DE COMPUERTA DE Ø 3" BRONCE T/P RED WHITE - FIG 236 A. SUMINISTRO E INSTALACIÓN</t>
  </si>
  <si>
    <t>PRUEBA DE HERMETICIDAD POR EL MÉTODO DE PRESIÓN POSITIVA CON AIRE PARA REDES DE ALCANTARILLADO - TRAMOS DE Ø 27" A Ø 40"</t>
  </si>
  <si>
    <t>TAPÓN PVC TIPO U.M D=12" (Suministro e Instalación)</t>
  </si>
  <si>
    <t>MORTERO ACRILICO DE REPARACIÓN ALTA RESISTENCIA, AUTOIMPRIMANTE. SUMINISTRO Y APLICACIÓN. INCLUYE COSTOS DE SUMINISTRO DE MATERIALES (RECUBRIMIENTO ANTICORROSIVO EN DOS CAPAS).</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</si>
  <si>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</si>
  <si>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</si>
  <si>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</si>
  <si>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</si>
  <si>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EMPATES DE TUBERÍA EN PVC A HA 6" LINEAL SEGÚN NORMA NS-023 (INCLUYE ACCESORIOS). 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</si>
  <si>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</si>
  <si>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</si>
  <si>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</si>
  <si>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</si>
  <si>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</si>
  <si>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</si>
  <si>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</si>
  <si>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</si>
  <si>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</si>
  <si>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TUBERIA DE ACERO AL CARBON SIN COSTURA SCH40 D=1". SUMINISTRO E INSTALACION.</t>
  </si>
  <si>
    <t>TUBERÍA DE ACERO AL CARBÓN SIN COSTURA SCH40 D=2"</t>
  </si>
  <si>
    <t>EMPATE ORTOGONAL PVC - PVC 4"X4" (INCLUYE SUMINISTRO E INSTALACIÓN DE TEE HD, 3 UNIONES RÁPIDAS, TUBERÍA RDE 21)</t>
  </si>
  <si>
    <t>EMPATE ORTOGONAL PVC - PVC 6"X6" (INCLUYE SUMINISTRO E INSTALACIÓN DE TEE HD, 3 UNIONES RÁPIDAS, TUBERÍA RDE 21)</t>
  </si>
  <si>
    <t>REUBICACIÓN DE SEMÁFORO + BASE PEATONAL.</t>
  </si>
  <si>
    <t>RETIRO SEÑALIZACIÓN TIPO BANDERA</t>
  </si>
  <si>
    <t>CABLE MONOPOLAR DE COBRE HFFR PARA 600V C.A CALIBRE NO. 6 AWG. (INCLUYE SUMINISTRO, INSTALACIÓN Y ACCESORIOS DE INSTALACIÓN).</t>
  </si>
  <si>
    <t>CABLE MONOPOLAR DE COBRE HFFR PARA 600V C.A CALIBRE NO. 12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</si>
  <si>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</si>
  <si>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</si>
  <si>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</si>
  <si>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</si>
  <si>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</si>
  <si>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LUMINARIA LED RALED II 192L T2 103W. SUMINISTRO E INSTALACIÓN EN POSTE.</t>
  </si>
  <si>
    <t>TRASLADO CANECA ACERO INOXIDABLE M121 (INCLUYE TRANSPORTE A SITIO DE ACOPIO E INSTALACION POSTERIOR)</t>
  </si>
  <si>
    <t>DEMOLICIÓN CICLOPARQUEADERO TIPO 2 REF M101</t>
  </si>
  <si>
    <t>SUMINISTRO Y MONTAJE DE FOTOCONTROL INDEPENDIENTE PARA CONTROL MÚLTIPLE DE UN CIRCUITO DE ALUMBRADO CON CARGA MENOR DE 1 000 W (EXISTENTE) AP322</t>
  </si>
  <si>
    <t>FRANJA DE AJUSTE DE ANCHO VARIABLE ENTRE 0.10 A 0.18MT Y PROFUNDIDAD VARIABLE ENTRE 0.06 Y 0.15MT EN CONCRETO DE 2500 PSI HECHO EN OBRA</t>
  </si>
  <si>
    <t>BORRADO DE DEMARCACIÓN VIAL POR FRESADO CON MÁQUINA</t>
  </si>
  <si>
    <t>VÁLVULA DE PIE ANTIGOLPE DE ARIETE - BRONCE D= 3". SUMINISTRO E INSTALACIÓN</t>
  </si>
  <si>
    <t>DESMONTE Y RETIRO DE BANCA EN MADERA M50 (INCLUYE TRANSPORTE A SITIO AUTORIZADO)</t>
  </si>
  <si>
    <t>TUBERÍA PVC PRESIÓN E.L. D= 3/4` RDE 21 - 200 PSI (INCLUYE LIMPIEZA Y SOLDADURA ) SUMINISTRO E INSTALACIÓN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</si>
  <si>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</si>
  <si>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</si>
  <si>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</si>
  <si>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</si>
  <si>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</si>
  <si>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</si>
  <si>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</si>
  <si>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</si>
  <si>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</si>
  <si>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</si>
  <si>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</si>
  <si>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</si>
  <si>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</si>
  <si>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</si>
  <si>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AGREGADOS RECICLADOS PARA SUBBASE GRANULAR (AR_SBG50) (Suministro, Extendido, Nivelación, Humedecimiento y Compactación con vibrocompactador)</t>
  </si>
  <si>
    <t>GEOTEXTIL TEJIDO PARA SEPARACIÓN SUBRASANTE/CAPAS GRANULARES (Incluye Suministro e Instalación)</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</si>
  <si>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</si>
  <si>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</si>
  <si>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</si>
  <si>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</si>
  <si>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</si>
  <si>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</si>
  <si>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</si>
  <si>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</si>
  <si>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</si>
  <si>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</si>
  <si>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</si>
  <si>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</si>
  <si>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</si>
  <si>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</si>
  <si>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</si>
  <si>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</si>
  <si>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HUMECTACIÓN CON AGUA PARA CONTROL DE EROSIONES (Incluye suministro y riego manual)</t>
  </si>
  <si>
    <t>GRAVILLA DE 3/4" - SUMINISTRO E INSTALACIÓN.</t>
  </si>
  <si>
    <t>PROCESO DE INSTALACION  DE MATERIAL GRANULAR (INCLUYE EXTENDIDO, NIVELACIÓN Y COMPACTACION)</t>
  </si>
  <si>
    <t>CONTROL DE POLVO CON CLORURO DE CALCIO</t>
  </si>
  <si>
    <t>MANTENIMIENTO RUTINARIO TRONCALES MALLA VIAL URBANA EN CONCRETO ASFÁLTICO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</si>
  <si>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</si>
  <si>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</si>
  <si>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</si>
  <si>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</si>
  <si>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</si>
  <si>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</si>
  <si>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</si>
  <si>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ASFÁLTICO</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</si>
  <si>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</si>
  <si>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</si>
  <si>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</si>
  <si>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</si>
  <si>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</si>
  <si>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</si>
  <si>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</si>
  <si>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ASFÁLTICO</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</si>
  <si>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</si>
  <si>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</si>
  <si>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</si>
  <si>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</si>
  <si>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</si>
  <si>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</si>
  <si>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</si>
  <si>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ASFÁLTICO</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</si>
  <si>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</si>
  <si>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</si>
  <si>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</si>
  <si>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</si>
  <si>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</si>
  <si>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</si>
  <si>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</si>
  <si>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</si>
  <si>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</si>
  <si>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</si>
  <si>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</si>
  <si>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</si>
  <si>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</si>
  <si>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ASFÁLTICO</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</si>
  <si>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</si>
  <si>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</si>
  <si>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</si>
  <si>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</si>
  <si>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</si>
  <si>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</si>
  <si>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</si>
  <si>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ASFÁLTICO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</si>
  <si>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</si>
  <si>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</si>
  <si>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</si>
  <si>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</si>
  <si>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</si>
  <si>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</si>
  <si>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</si>
  <si>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</si>
  <si>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</si>
  <si>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</si>
  <si>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</si>
  <si>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</si>
  <si>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</si>
  <si>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</si>
  <si>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</si>
  <si>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LOSETA PODOTACTIL ALERTA/GUÍA EN POLIURETANO DE ALTA DENSIDAD, ANCHO=0.4 m EN COLOR AMARILLO SEGÚN NTC 5610 (Incluye limpieza y alistamiento de superficie, suministro e instalación).</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</si>
  <si>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</si>
  <si>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</si>
  <si>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</si>
  <si>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</si>
  <si>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</si>
  <si>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</si>
  <si>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</si>
  <si>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</si>
  <si>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</si>
  <si>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</si>
  <si>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</si>
  <si>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</si>
  <si>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</si>
  <si>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</si>
  <si>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</si>
  <si>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</si>
  <si>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</si>
  <si>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</si>
  <si>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</si>
  <si>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</si>
  <si>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</si>
  <si>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</si>
  <si>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</si>
  <si>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</si>
  <si>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</si>
  <si>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</si>
  <si>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</si>
  <si>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</si>
  <si>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</si>
  <si>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</si>
  <si>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</si>
  <si>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</si>
  <si>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</si>
  <si>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</si>
  <si>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</si>
  <si>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</si>
  <si>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</si>
  <si>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</si>
  <si>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</si>
  <si>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</si>
  <si>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</si>
  <si>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</si>
  <si>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</si>
  <si>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</si>
  <si>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</si>
  <si>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</si>
  <si>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</si>
  <si>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</si>
  <si>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</si>
  <si>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</si>
  <si>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Precio</t>
  </si>
  <si>
    <t>CONCRETO GRAVA COMÚN 2000 PSI 14 MPa (140 Kg/m2)</t>
  </si>
  <si>
    <t>CONCRETO GRAVA COMÚN 2500 PSI 17 MPa (175 Kg/cm2)</t>
  </si>
  <si>
    <t>CONCRETO GRAVA COMÚN 3000 PSI  21 MPa (210 Kg/cm2)</t>
  </si>
  <si>
    <t>CONCRETO GRAVA COMÚN 3500 PSI 24 MPa (245 Kg/cm2)</t>
  </si>
  <si>
    <t>CONCRETO GRAVA COMÚN 5000 PSI 34 MPa (350 Kg/cm2)</t>
  </si>
  <si>
    <t>CONCRETO GRAVA FINA 3000 PSI 21 MPa (210 Kg/cm2)</t>
  </si>
  <si>
    <t>MORTERO 2000 PSI 14 MPa (140 Kg/cm2)</t>
  </si>
  <si>
    <t>GRAMA</t>
  </si>
  <si>
    <t>FORMALETA METÁLICA SARDINEL</t>
  </si>
  <si>
    <t>DIA</t>
  </si>
  <si>
    <t>ALAMBRE RECOCIDO No.18</t>
  </si>
  <si>
    <t>LADRILLO TOLETE RECOCIDO 24x12x6</t>
  </si>
  <si>
    <t>ARENA DE PEÑA</t>
  </si>
  <si>
    <t>ARENA DE RIO</t>
  </si>
  <si>
    <t>MARCO Y TAPA PARA CAJA DE INSPECCIÓN 0.5x0.5m</t>
  </si>
  <si>
    <t>LADRILLO TOLETE COMUN</t>
  </si>
  <si>
    <t>RECEBO COMUN</t>
  </si>
  <si>
    <t>FORMALETA PARAL CORTO-CAMILLA  0.73x1.4m (M2)</t>
  </si>
  <si>
    <t>FORMALETA MADERA PARA TAPAS-CAJAS Y CAMARAS</t>
  </si>
  <si>
    <t>DUCTO TELEFONICO LIVIANO PVC TIPO EB D=3"</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</si>
  <si>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</si>
  <si>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</si>
  <si>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</si>
  <si>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</si>
  <si>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</si>
  <si>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</si>
  <si>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</si>
  <si>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</si>
  <si>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</si>
  <si>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</si>
  <si>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</si>
  <si>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</si>
  <si>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</si>
  <si>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</si>
  <si>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CEMENTO GRIS TIPO III (Bulto x 50 Kg)</t>
  </si>
  <si>
    <t>ACERO FIGURADO No. 3 (Ø 3/8") F'y=60000 PSI</t>
  </si>
  <si>
    <t>ACERO FIGURADO No. 5 (Ø 5/8") F'y=60000 PSI</t>
  </si>
  <si>
    <t>ACERO FIGURADO No. 6 (Ø 3/4") F'y=60000 PSI</t>
  </si>
  <si>
    <t>MORTERO 1500 PSI 10,5 MPa (105 Kg/cm2)</t>
  </si>
  <si>
    <t>A.C.P.M.</t>
  </si>
  <si>
    <t>GLN</t>
  </si>
  <si>
    <t>BLOQUE PARA CAMARA TELEFONICA ETB</t>
  </si>
  <si>
    <t>GRAVILLA 1/2"</t>
  </si>
  <si>
    <t>CONCRETO MR41</t>
  </si>
  <si>
    <t>CONCRETO MR43</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</si>
  <si>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</si>
  <si>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</si>
  <si>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</si>
  <si>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</si>
  <si>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</si>
  <si>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</si>
  <si>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</si>
  <si>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</si>
  <si>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</si>
  <si>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</si>
  <si>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</si>
  <si>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</si>
  <si>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</si>
  <si>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</si>
  <si>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</si>
  <si>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</si>
  <si>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</si>
  <si>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</si>
  <si>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</si>
  <si>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</si>
  <si>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</si>
  <si>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</si>
  <si>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</si>
  <si>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</si>
  <si>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</si>
  <si>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</si>
  <si>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</si>
  <si>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</si>
  <si>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</si>
  <si>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</si>
  <si>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</si>
  <si>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</si>
  <si>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</si>
  <si>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</si>
  <si>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</si>
  <si>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</si>
  <si>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</si>
  <si>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</si>
  <si>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</si>
  <si>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</si>
  <si>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</si>
  <si>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</si>
  <si>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</si>
  <si>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</si>
  <si>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</si>
  <si>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</si>
  <si>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</si>
  <si>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</si>
  <si>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</si>
  <si>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</si>
  <si>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</si>
  <si>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</si>
  <si>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</si>
  <si>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</si>
  <si>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</si>
  <si>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</si>
  <si>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</si>
  <si>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</si>
  <si>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</si>
  <si>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</si>
  <si>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</si>
  <si>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</si>
  <si>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</si>
  <si>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</si>
  <si>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</si>
  <si>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</si>
  <si>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</si>
  <si>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</si>
  <si>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</si>
  <si>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</si>
  <si>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</si>
  <si>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</si>
  <si>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</si>
  <si>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</si>
  <si>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</si>
  <si>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</si>
  <si>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</si>
  <si>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</si>
  <si>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</si>
  <si>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</si>
  <si>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</si>
  <si>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</si>
  <si>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</si>
  <si>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</si>
  <si>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</si>
  <si>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</si>
  <si>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</si>
  <si>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</si>
  <si>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</si>
  <si>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</si>
  <si>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</si>
  <si>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</si>
  <si>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</si>
  <si>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</si>
  <si>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</si>
  <si>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</si>
  <si>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</si>
  <si>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</si>
  <si>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</si>
  <si>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</si>
  <si>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</si>
  <si>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</si>
  <si>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</si>
  <si>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</si>
  <si>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</si>
  <si>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</si>
  <si>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</si>
  <si>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</si>
  <si>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</si>
  <si>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</si>
  <si>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</si>
  <si>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</si>
  <si>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</si>
  <si>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</si>
  <si>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</si>
  <si>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</si>
  <si>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</si>
  <si>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</si>
  <si>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</si>
  <si>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</si>
  <si>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</si>
  <si>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</si>
  <si>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</si>
  <si>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</si>
  <si>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</si>
  <si>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</si>
  <si>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</si>
  <si>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</si>
  <si>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</si>
  <si>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</si>
  <si>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</si>
  <si>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</si>
  <si>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</si>
  <si>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</si>
  <si>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</si>
  <si>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</si>
  <si>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</si>
  <si>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</si>
  <si>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</si>
  <si>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</si>
  <si>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</si>
  <si>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</si>
  <si>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</si>
  <si>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</si>
  <si>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</si>
  <si>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</si>
  <si>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</si>
  <si>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</si>
  <si>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</si>
  <si>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</si>
  <si>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</si>
  <si>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</si>
  <si>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</si>
  <si>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</si>
  <si>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</si>
  <si>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</si>
  <si>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</si>
  <si>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</si>
  <si>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</si>
  <si>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</si>
  <si>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</si>
  <si>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</si>
  <si>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</si>
  <si>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</si>
  <si>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</si>
  <si>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BOLARDO ALTO EN HIERRO M63</t>
  </si>
  <si>
    <t>CICLO-PARQUEADERO M100</t>
  </si>
  <si>
    <t>REGLA VIBRATORIA A GASOLINA. INCLUYE COMBUSTIBLE</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</si>
  <si>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</si>
  <si>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</si>
  <si>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</si>
  <si>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</si>
  <si>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</si>
  <si>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</si>
  <si>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</si>
  <si>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</si>
  <si>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</si>
  <si>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</si>
  <si>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</si>
  <si>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</si>
  <si>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</si>
  <si>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</si>
  <si>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</si>
  <si>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</si>
  <si>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</si>
  <si>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</si>
  <si>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</si>
  <si>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</si>
  <si>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</si>
  <si>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</si>
  <si>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</si>
  <si>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</si>
  <si>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</si>
  <si>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</si>
  <si>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</si>
  <si>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</si>
  <si>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</si>
  <si>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</si>
  <si>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</si>
  <si>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</si>
  <si>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</si>
  <si>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</si>
  <si>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</si>
  <si>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</si>
  <si>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</si>
  <si>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</si>
  <si>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</si>
  <si>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</si>
  <si>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</si>
  <si>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</si>
  <si>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</si>
  <si>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</si>
  <si>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</si>
  <si>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</si>
  <si>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</si>
  <si>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</si>
  <si>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</si>
  <si>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</si>
  <si>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</si>
  <si>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</si>
  <si>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</si>
  <si>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</si>
  <si>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</si>
  <si>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</si>
  <si>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</si>
  <si>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</si>
  <si>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</si>
  <si>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</si>
  <si>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</si>
  <si>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</si>
  <si>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</si>
  <si>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</si>
  <si>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</si>
  <si>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</si>
  <si>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</si>
  <si>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</si>
  <si>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</si>
  <si>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</si>
  <si>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</si>
  <si>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</si>
  <si>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</si>
  <si>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</si>
  <si>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</si>
  <si>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</si>
  <si>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</si>
  <si>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</si>
  <si>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</si>
  <si>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</si>
  <si>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</si>
  <si>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</si>
  <si>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</si>
  <si>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</si>
  <si>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</si>
  <si>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</si>
  <si>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</si>
  <si>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</si>
  <si>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</si>
  <si>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</si>
  <si>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</si>
  <si>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</si>
  <si>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</si>
  <si>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</si>
  <si>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</si>
  <si>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ADAPTADOR MACHO PVC U.S. D=2``</t>
  </si>
  <si>
    <t>ADAPTADOR MACHO PVC U.S. D=3``</t>
  </si>
  <si>
    <t>ADAPTADOR MACHO PVC U.S. D=4``</t>
  </si>
  <si>
    <t>CARROTANQUE IRRIGADOR DE AGUA - HORA</t>
  </si>
  <si>
    <t>TRITURADO 3/4"</t>
  </si>
  <si>
    <t>RAJÓN SUELTO &gt; = 12" (30 - 50 cm)</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</si>
  <si>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</si>
  <si>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</si>
  <si>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</si>
  <si>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</si>
  <si>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</si>
  <si>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</si>
  <si>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</si>
  <si>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</si>
  <si>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</si>
  <si>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</si>
  <si>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</si>
  <si>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</si>
  <si>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</si>
  <si>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</si>
  <si>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</si>
  <si>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</si>
  <si>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</si>
  <si>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</si>
  <si>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</si>
  <si>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</si>
  <si>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</si>
  <si>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</si>
  <si>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</si>
  <si>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</si>
  <si>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</si>
  <si>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</si>
  <si>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</si>
  <si>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</si>
  <si>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</si>
  <si>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</si>
  <si>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</si>
  <si>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</si>
  <si>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</si>
  <si>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</si>
  <si>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</si>
  <si>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</si>
  <si>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</si>
  <si>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</si>
  <si>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</si>
  <si>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</si>
  <si>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</si>
  <si>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</si>
  <si>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</si>
  <si>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</si>
  <si>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</si>
  <si>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GEOSINTETICOS</t>
  </si>
  <si>
    <t>GEOTEXTIL REPAV 400</t>
  </si>
  <si>
    <t>GEOTEXTIL NT 3000 o 601 NT</t>
  </si>
  <si>
    <t>GEOTEXTIL NT 4000 o 801 NT</t>
  </si>
  <si>
    <t>GEOTEXTIL NT 5000 o 861 NT</t>
  </si>
  <si>
    <t>GEOTEXTIL NT 6000 o 1201 NT</t>
  </si>
  <si>
    <t>GEOTEXTIL NT 7000 o 1601 NT</t>
  </si>
  <si>
    <t>GEOTEXTIL TEJIDO FORTEX BX-30</t>
  </si>
  <si>
    <t>SUBBASE GRANULAR B-400</t>
  </si>
  <si>
    <t>ADOQUIN DE ARCILLA CUARTERON 26x6x6</t>
  </si>
  <si>
    <t>BOMBEO DE CONCRETO CON AUTOBOMBA (No incluye suministro ni instalación de concreto)</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</si>
  <si>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</si>
  <si>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</si>
  <si>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</si>
  <si>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</si>
  <si>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</si>
  <si>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</si>
  <si>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</si>
  <si>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</si>
  <si>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</si>
  <si>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</si>
  <si>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</si>
  <si>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</si>
  <si>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</si>
  <si>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</si>
  <si>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</si>
  <si>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</si>
  <si>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</si>
  <si>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</si>
  <si>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</si>
  <si>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</si>
  <si>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</si>
  <si>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</si>
  <si>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</si>
  <si>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</si>
  <si>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</si>
  <si>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</si>
  <si>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</si>
  <si>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</si>
  <si>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</si>
  <si>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</si>
  <si>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</si>
  <si>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</si>
  <si>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</si>
  <si>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</si>
  <si>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</si>
  <si>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</si>
  <si>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</si>
  <si>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</si>
  <si>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</si>
  <si>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</si>
  <si>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</si>
  <si>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</si>
  <si>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</si>
  <si>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CAL HIDRATADA</t>
  </si>
  <si>
    <t>EMULSION ASFALTICA CRL-0</t>
  </si>
  <si>
    <t>TUBERIA PVC SANITARIA U.S. D=4"</t>
  </si>
  <si>
    <t>TUBERIA PVC SANITARIA U.S.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</si>
  <si>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</si>
  <si>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</si>
  <si>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</si>
  <si>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</si>
  <si>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</si>
  <si>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</si>
  <si>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</si>
  <si>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</si>
  <si>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</si>
  <si>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</si>
  <si>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</si>
  <si>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</si>
  <si>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</si>
  <si>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</si>
  <si>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</si>
  <si>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</si>
  <si>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</si>
  <si>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</si>
  <si>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</si>
  <si>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</si>
  <si>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</si>
  <si>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</si>
  <si>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</si>
  <si>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</si>
  <si>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</si>
  <si>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</si>
  <si>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</si>
  <si>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</si>
  <si>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</si>
  <si>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</si>
  <si>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</si>
  <si>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</si>
  <si>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</si>
  <si>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</si>
  <si>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</si>
  <si>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</si>
  <si>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</si>
  <si>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</si>
  <si>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</si>
  <si>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</si>
  <si>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</si>
  <si>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</si>
  <si>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</si>
  <si>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</si>
  <si>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</si>
  <si>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</si>
  <si>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</si>
  <si>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</si>
  <si>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</si>
  <si>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</si>
  <si>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</si>
  <si>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</si>
  <si>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</si>
  <si>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</si>
  <si>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</si>
  <si>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</si>
  <si>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</si>
  <si>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</si>
  <si>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</si>
  <si>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</si>
  <si>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</si>
  <si>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</si>
  <si>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</si>
  <si>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</si>
  <si>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</si>
  <si>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</si>
  <si>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</si>
  <si>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</si>
  <si>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DERECHOS DE BOTADERO</t>
  </si>
  <si>
    <t>LUBRICANTE U.M. (EMPAQUE 500 gr)</t>
  </si>
  <si>
    <t>UNION PVC U.M. EXT CORRUGADO/INT LISO U.M. NORMA NTC 3722-1 D=110MM (4")</t>
  </si>
  <si>
    <t>UNION PVC U.M. EXT CORRUGADO/INT LISO U.M. NORMA NTC 3722-1 D=160MM (6")</t>
  </si>
  <si>
    <t>MADERAS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</si>
  <si>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</si>
  <si>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</si>
  <si>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</si>
  <si>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</si>
  <si>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</si>
  <si>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</si>
  <si>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</si>
  <si>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</si>
  <si>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</si>
  <si>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</si>
  <si>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</si>
  <si>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</si>
  <si>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</si>
  <si>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</si>
  <si>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</si>
  <si>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</si>
  <si>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</si>
  <si>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</si>
  <si>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</si>
  <si>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</si>
  <si>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</si>
  <si>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</si>
  <si>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</si>
  <si>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</si>
  <si>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</si>
  <si>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</si>
  <si>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</si>
  <si>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</si>
  <si>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</si>
  <si>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</si>
  <si>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</si>
  <si>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</si>
  <si>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</si>
  <si>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</si>
  <si>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</si>
  <si>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</si>
  <si>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</si>
  <si>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</si>
  <si>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</si>
  <si>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</si>
  <si>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</si>
  <si>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</si>
  <si>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</si>
  <si>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</si>
  <si>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</si>
  <si>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</si>
  <si>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</si>
  <si>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</si>
  <si>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</si>
  <si>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</si>
  <si>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</si>
  <si>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</si>
  <si>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</si>
  <si>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</si>
  <si>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</si>
  <si>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</si>
  <si>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</si>
  <si>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</si>
  <si>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</si>
  <si>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</si>
  <si>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</si>
  <si>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</si>
  <si>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</si>
  <si>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</si>
  <si>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</si>
  <si>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</si>
  <si>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</si>
  <si>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</si>
  <si>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</si>
  <si>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</si>
  <si>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</si>
  <si>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</si>
  <si>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</si>
  <si>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</si>
  <si>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</si>
  <si>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</si>
  <si>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</si>
  <si>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</si>
  <si>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</si>
  <si>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</si>
  <si>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</si>
  <si>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</si>
  <si>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</si>
  <si>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</si>
  <si>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</si>
  <si>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</si>
  <si>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</si>
  <si>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</si>
  <si>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</si>
  <si>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</si>
  <si>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</si>
  <si>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</si>
  <si>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</si>
  <si>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</si>
  <si>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</si>
  <si>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</si>
  <si>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</si>
  <si>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</si>
  <si>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</si>
  <si>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</si>
  <si>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</si>
  <si>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</si>
  <si>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</si>
  <si>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</si>
  <si>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</si>
  <si>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</si>
  <si>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</si>
  <si>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</si>
  <si>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</si>
  <si>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</si>
  <si>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</si>
  <si>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</si>
  <si>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</si>
  <si>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</si>
  <si>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</si>
  <si>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</si>
  <si>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</si>
  <si>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</si>
  <si>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</si>
  <si>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</si>
  <si>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</si>
  <si>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</si>
  <si>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</si>
  <si>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</si>
  <si>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</si>
  <si>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</si>
  <si>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</si>
  <si>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</si>
  <si>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</si>
  <si>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DISCO DIAMANTADO ASFALTO-CONCRETO 14"/350mm, cortes aprox. 1.600 a 1.800 mts. de profundidad máxima hasta 100mm.</t>
  </si>
  <si>
    <t>MOTOBOMBA SUMERGIBLE Ø 2" O 3" - INCLUYE COMBUSTIBLE</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</si>
  <si>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</si>
  <si>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</si>
  <si>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</si>
  <si>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</si>
  <si>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</si>
  <si>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</si>
  <si>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</si>
  <si>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</si>
  <si>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</si>
  <si>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</si>
  <si>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ARENA LAVADA DE PEÑA</t>
  </si>
  <si>
    <t>TRANSPORTE DE PETREOS</t>
  </si>
  <si>
    <t>GEOTEXTIL NT 1600 o 351 NT</t>
  </si>
  <si>
    <t>GEOTEXTIL NT 1800 o 401 NT</t>
  </si>
  <si>
    <t>GEOTEXTIL NT 2000 o 451 NT</t>
  </si>
  <si>
    <t>GEOTEXTIL T 1050</t>
  </si>
  <si>
    <t>GEOTEXTIL T 1400 o 135 ST</t>
  </si>
  <si>
    <t>GEOTEXTIL T 1700 o 200 ST</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</si>
  <si>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</si>
  <si>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</si>
  <si>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</si>
  <si>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</si>
  <si>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</si>
  <si>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</si>
  <si>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</si>
  <si>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</si>
  <si>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</si>
  <si>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</si>
  <si>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</si>
  <si>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</si>
  <si>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</si>
  <si>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</si>
  <si>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</si>
  <si>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</si>
  <si>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</si>
  <si>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</si>
  <si>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</si>
  <si>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</si>
  <si>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</si>
  <si>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PEGANTE EPOXICO DE DOS COMPONENTES</t>
  </si>
  <si>
    <t>TRITURADO 1-1/2"</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</si>
  <si>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</si>
  <si>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</si>
  <si>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</si>
  <si>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</si>
  <si>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</si>
  <si>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</si>
  <si>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</si>
  <si>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</si>
  <si>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</si>
  <si>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</si>
  <si>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</si>
  <si>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</si>
  <si>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</si>
  <si>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</si>
  <si>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</si>
  <si>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</si>
  <si>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</si>
  <si>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</si>
  <si>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PULIDORA MANUAL ELECTRICA</t>
  </si>
  <si>
    <t>DISCO DE CORTE METAL 7 X 1/8"</t>
  </si>
  <si>
    <t>DISCO ABRASIVO DESBASTE METAL 7 X 1/4"</t>
  </si>
  <si>
    <t>ESTRUCTURAS EN ACERO</t>
  </si>
  <si>
    <t>PLAQUETA TIPO REJILLA (PEATONAL) 0.40 x 0.40 e= 6cm</t>
  </si>
  <si>
    <t>CODO PVC 45° D= 1 1/2"</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</si>
  <si>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</si>
  <si>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</si>
  <si>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</si>
  <si>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</si>
  <si>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</si>
  <si>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</si>
  <si>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</si>
  <si>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</si>
  <si>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TRANSPORTE TUBERIA ACERO AL CARBON</t>
  </si>
  <si>
    <t>ANDAMIO TUBULAR</t>
  </si>
  <si>
    <t>PLANCHON PARA ANDAMIO</t>
  </si>
  <si>
    <t>DISEÑO DE MEZCLAS ASFALTICAS METODO MARSHALL.</t>
  </si>
  <si>
    <t>CEPILLO INDUSTRIAL DE NYLON CON CABO DE 35CM A 42CM X 9CM X 17CM</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</si>
  <si>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</si>
  <si>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</si>
  <si>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</si>
  <si>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</si>
  <si>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</si>
  <si>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</si>
  <si>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</si>
  <si>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</si>
  <si>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</si>
  <si>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</si>
  <si>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</si>
  <si>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</si>
  <si>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</si>
  <si>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</si>
  <si>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</si>
  <si>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</si>
  <si>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</si>
  <si>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RESPIRADOR PARA GASES DOBLE SIN CARTUCHO</t>
  </si>
  <si>
    <t>TELA VERDE PARA CERRAMIENTO 2.10 METRO DE ANCHO DE 60GR</t>
  </si>
  <si>
    <t>VÍDEO BEAM - ALQUILER POR DIA</t>
  </si>
  <si>
    <t>SARDINEL ESPECIAL A 110 - RAMPA B (600X400X500MM)</t>
  </si>
  <si>
    <t>ESMALTE ALQUIDICO</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</si>
  <si>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</si>
  <si>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</si>
  <si>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</si>
  <si>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</si>
  <si>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</si>
  <si>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</si>
  <si>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</si>
  <si>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</si>
  <si>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</si>
  <si>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CONCRETO MR41 DE RESISTENCIA ACELERADA (3 días)</t>
  </si>
  <si>
    <t>DETERGENTE/DESENGRASANTE INDUSTRIAL</t>
  </si>
  <si>
    <t>TACHÓN PLÁSTICO  REFLECTIVO ALTA RESISTENCIA DE L:40cm x Ancho:15cm x Alto:8cm INCLUYE TORNILLOS DE ANCLAJE</t>
  </si>
  <si>
    <t>TUBERÍA PVC PRESIÓN 1/2" RDE 9 500 PSI</t>
  </si>
  <si>
    <t>REDUCCIÓN CONCENTRICA HD EL 4" x 3"</t>
  </si>
  <si>
    <t>REDUCCIÓN HD 6" x 4" J.H.</t>
  </si>
  <si>
    <t>REDUCCIÓN HD 4" x 2" J.H.</t>
  </si>
  <si>
    <t>CINTA TEFLON - CINTA SELLANTE 1/2" x 0.20 DENSIDAD</t>
  </si>
  <si>
    <t>SOLDADURA DE ESTAÑO ROLLO DE 250 GR. 1/16"</t>
  </si>
  <si>
    <t>CAJILLA PLASTICA Y TAPA EN POLIPROPILENO PARA MEDIDOR.</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</si>
  <si>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</si>
  <si>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</si>
  <si>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</si>
  <si>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</si>
  <si>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TUBO EN CONCRETO ALTA RESISTENCIA D= 12".</t>
  </si>
  <si>
    <t>REDUCCIÓN HD 4" x 3" J.H.</t>
  </si>
  <si>
    <t>REDUCCIÓN HD 8" x 6" J.H.</t>
  </si>
  <si>
    <t>DESMOLDANTE EN POLVO COLOR (0.2 Kg/m2)</t>
  </si>
  <si>
    <t>SELLADOR ACRÍLICO TRANSPARENTE SEMILUSTRE (0.25 L/m2)</t>
  </si>
  <si>
    <t>ADHESIVO TIPO LATEX PARA MORTERO</t>
  </si>
  <si>
    <t>SELLANTE PARA PISO</t>
  </si>
  <si>
    <t>SUBBASE GRANULAR PEA (SBG_PEA)</t>
  </si>
  <si>
    <t>MATERIAL SELECCIONADO</t>
  </si>
  <si>
    <t>CINTA MÉTRICA DE 30 MT</t>
  </si>
  <si>
    <t>JUNTA DE DILATACIÓN ELASTOMÉRICA 250 TAMAÑO 64 x  70 mm</t>
  </si>
  <si>
    <t>AVISO PUNTO CREA 1.50m x 0.90m EN LÁMINA GALVANIZADA CAL. 24. INCLUYE SUMINISTRO E INSTALACIÓN</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</si>
  <si>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</si>
  <si>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</si>
  <si>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</si>
  <si>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</si>
  <si>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</si>
  <si>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DETECCIÓN DEL REFUERZO UTILIZANDO FERROSCAN (POR DÍA)</t>
  </si>
  <si>
    <t>DETERMINACIÓN DE LA PROFUNDIDAD DE CARBONATACIÓN EN CONCRETO ENDURECIDO Y PUESTO EN SERVICIO</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</si>
  <si>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</si>
  <si>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</si>
  <si>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</si>
  <si>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</si>
  <si>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</si>
  <si>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</si>
  <si>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</si>
  <si>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</si>
  <si>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NEOPRENO REFORZADO (doble refuerzo)</t>
  </si>
  <si>
    <t>ANDAMIO TUBULAR DE 1.50m (6 SECCIONES)</t>
  </si>
  <si>
    <t>ADAPTADOR BRIDA 12" (334mm A 352mm) R2</t>
  </si>
  <si>
    <t>ACOPLE UNIVERSAL R1-R2 D= 8"</t>
  </si>
  <si>
    <t>ACOPLE UNIVERSAL R1-R2 D= 12"</t>
  </si>
  <si>
    <t>TAPA VALVULA DE SEGURIDAD CIERRE PERMANENTE No.3</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</si>
  <si>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</si>
  <si>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</si>
  <si>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</si>
  <si>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</si>
  <si>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</si>
  <si>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</si>
  <si>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</si>
  <si>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</si>
  <si>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SISTEMA DE ANCLAJE PARA POSTES METÁLICOS 3/4" x 1500 (4 PERNOS)</t>
  </si>
  <si>
    <t>YEE PVC SANITARIA D=4"</t>
  </si>
  <si>
    <t>TEE HD 4"X2" EXTREMO LISO</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</si>
  <si>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</si>
  <si>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</si>
  <si>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</si>
  <si>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</si>
  <si>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</si>
  <si>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</si>
  <si>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</si>
  <si>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ECOLÓGICO EN CONCRETO DE 40 X 40 X 8cm - GRAMOQUIN</t>
  </si>
  <si>
    <t>ACELERANTE DE FRAGUADO Y RESISTENCIA PARA CONCRETOS</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</si>
  <si>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</si>
  <si>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</si>
  <si>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</si>
  <si>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</si>
  <si>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</si>
  <si>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</si>
  <si>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</si>
  <si>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</si>
  <si>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</si>
  <si>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</si>
  <si>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</si>
  <si>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</si>
  <si>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</si>
  <si>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</si>
  <si>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</si>
  <si>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</si>
  <si>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</si>
  <si>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</si>
  <si>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</si>
  <si>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</si>
  <si>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</si>
  <si>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</si>
  <si>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</si>
  <si>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</si>
  <si>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</si>
  <si>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</si>
  <si>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</si>
  <si>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</si>
  <si>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</si>
  <si>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</si>
  <si>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</si>
  <si>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</si>
  <si>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</si>
  <si>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</si>
  <si>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</si>
  <si>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</si>
  <si>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</si>
  <si>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</si>
  <si>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</si>
  <si>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</si>
  <si>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</si>
  <si>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</si>
  <si>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</si>
  <si>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</si>
  <si>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</si>
  <si>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</si>
  <si>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</si>
  <si>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</si>
  <si>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</si>
  <si>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</si>
  <si>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</si>
  <si>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</si>
  <si>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</si>
  <si>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</si>
  <si>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</si>
  <si>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GRAPA PARA TUBERIA EMT D=2"</t>
  </si>
  <si>
    <t>CABLE No.6 AWG THHN- 600V COBRE</t>
  </si>
  <si>
    <t>CABLE No.8 AWG THHN-600V COBRE</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</si>
  <si>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</si>
  <si>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</si>
  <si>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</si>
  <si>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</si>
  <si>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</si>
  <si>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</si>
  <si>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</si>
  <si>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</si>
  <si>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</si>
  <si>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</si>
  <si>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</si>
  <si>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</si>
  <si>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</si>
  <si>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</si>
  <si>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</si>
  <si>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</si>
  <si>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</si>
  <si>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</si>
  <si>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</si>
  <si>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</si>
  <si>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</si>
  <si>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</si>
  <si>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</si>
  <si>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</si>
  <si>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</si>
  <si>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</si>
  <si>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</si>
  <si>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</si>
  <si>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</si>
  <si>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</si>
  <si>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</si>
  <si>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</si>
  <si>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</si>
  <si>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</si>
  <si>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</si>
  <si>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COLLAR DERIVACION 4" x 1/2"</t>
  </si>
  <si>
    <t>COLLAR DERIVACION 6" x 1/2"</t>
  </si>
  <si>
    <t>EPOXICO PARA ANCLAJE DE ALTA RESISTENCIA (Unidad 600cc-900g)</t>
  </si>
  <si>
    <t>MICROFIBRA DE POLIPROPILENO PARA CONCRETO Y MORTERO</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</si>
  <si>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</si>
  <si>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</si>
  <si>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</si>
  <si>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</si>
  <si>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</si>
  <si>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</si>
  <si>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</si>
  <si>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</si>
  <si>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</si>
  <si>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TORNILLO. INCLUYE TUERCA Y ARANDELA</t>
  </si>
  <si>
    <t>RESALTO EN CAUCHO DE L=1m, ANCHO 30cm, ALTO 4.5cm (INCLUYE PERNOS)</t>
  </si>
  <si>
    <t>TUBERIA CONDUIT PVC D= 1/2"</t>
  </si>
  <si>
    <t>PUNTO</t>
  </si>
  <si>
    <t>PINTURA BASE AGUA DOMESTICA</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</si>
  <si>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</si>
  <si>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</si>
  <si>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</si>
  <si>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</si>
  <si>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</si>
  <si>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</si>
  <si>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</si>
  <si>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</si>
  <si>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</si>
  <si>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</si>
  <si>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</si>
  <si>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</si>
  <si>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</si>
  <si>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</si>
  <si>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</si>
  <si>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</si>
  <si>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</si>
  <si>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</si>
  <si>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</si>
  <si>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</si>
  <si>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</si>
  <si>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</si>
  <si>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</si>
  <si>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</si>
  <si>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</si>
  <si>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</si>
  <si>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</si>
  <si>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</si>
  <si>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</si>
  <si>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</si>
  <si>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</si>
  <si>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ALAMBRON 40  1/4 PULG LISO</t>
  </si>
  <si>
    <t>VARILLA DILATACIÓN ALUMINIO</t>
  </si>
  <si>
    <t>BALDOSA EN GRANO PULIDO TIPO 1 Y TIPO 2 (30X30)</t>
  </si>
  <si>
    <t>GRANITO (MEZCLA)</t>
  </si>
  <si>
    <t>BULTO</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</si>
  <si>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</si>
  <si>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</si>
  <si>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</si>
  <si>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</si>
  <si>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</si>
  <si>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</si>
  <si>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</si>
  <si>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</si>
  <si>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</si>
  <si>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</si>
  <si>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</si>
  <si>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</si>
  <si>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</si>
  <si>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</si>
  <si>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</si>
  <si>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</si>
  <si>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</si>
  <si>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</si>
  <si>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</si>
  <si>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</si>
  <si>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</si>
  <si>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</si>
  <si>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</si>
  <si>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</si>
  <si>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</si>
  <si>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</si>
  <si>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CABLE COBRE 4/0 AWG 600V 90° C THHN/THWN</t>
  </si>
  <si>
    <t>CABLE DE COBRE AISLADO 8 AWG 600V 90° C THHN/THWN</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</si>
  <si>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</si>
  <si>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</si>
  <si>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</si>
  <si>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</si>
  <si>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</si>
  <si>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</si>
  <si>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</si>
  <si>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</si>
  <si>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</si>
  <si>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</si>
  <si>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</si>
  <si>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</si>
  <si>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</si>
  <si>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</si>
  <si>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</si>
  <si>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</si>
  <si>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</si>
  <si>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</si>
  <si>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</si>
  <si>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</si>
  <si>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</si>
  <si>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</si>
  <si>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</si>
  <si>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</si>
  <si>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</si>
  <si>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</si>
  <si>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</si>
  <si>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</si>
  <si>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</si>
  <si>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</si>
  <si>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</si>
  <si>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</si>
  <si>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</si>
  <si>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</si>
  <si>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</si>
  <si>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</si>
  <si>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</si>
  <si>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UNION CONDUIT EMT DE 1"</t>
  </si>
  <si>
    <t>UNION CONDUIT EMT DE 3/4"</t>
  </si>
  <si>
    <t>SOLDADURA EXOTERMICA CAP No. 90 gr</t>
  </si>
  <si>
    <t>ESTACIÓN 10 - BANCA ABDOMINALES BAJO - ADULTOS MAYORES. DISEÑO IDRD. SUMINISTRO E INSTALACION</t>
  </si>
  <si>
    <t>GEODREN CON TUBERIA CIRCULAR 160mm H= 1.0m</t>
  </si>
  <si>
    <t>GEODREN CON TUBERIA CIRCULAR 200mm  H= 1.0m</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</si>
  <si>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</si>
  <si>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</si>
  <si>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</si>
  <si>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</si>
  <si>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</si>
  <si>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</si>
  <si>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</si>
  <si>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</si>
  <si>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</si>
  <si>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</si>
  <si>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</si>
  <si>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</si>
  <si>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CONCRETO TREMIE 4000 PSI  28 MPa (280 Kg/cm2)</t>
  </si>
  <si>
    <t>SOLDADURA 7018 x 3/32</t>
  </si>
  <si>
    <t>TUBERÍA ESTRUCTURAL METÁLICO RECTANGULAR DE 6mt (50mm x 25mm) ESPESOR 2mm (TUBERIA DE 2" x 1" CAL. 18)</t>
  </si>
  <si>
    <t>GALVANIZADO EN CALIENTE</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</si>
  <si>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</si>
  <si>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</si>
  <si>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</si>
  <si>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</si>
  <si>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</si>
  <si>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</si>
  <si>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</si>
  <si>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</si>
  <si>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</si>
  <si>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</si>
  <si>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</si>
  <si>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</si>
  <si>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</si>
  <si>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</si>
  <si>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</si>
  <si>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</si>
  <si>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</si>
  <si>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</si>
  <si>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</si>
  <si>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</si>
  <si>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</si>
  <si>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</si>
  <si>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</si>
  <si>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</si>
  <si>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</si>
  <si>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CARTELERA CON MARCO EN ALUMINIO ANODIZADO, PAÑO COLOR GRIS CON CENEFA SUPERIOR, PUERTAS CORREDIZAS. Incl. transporte</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</si>
  <si>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</si>
  <si>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</si>
  <si>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SEÑAL VERTICAL UNA CARA PARA CICLORUTA PARAL 3m, ÁNGULO DE 2x1/4x3m LAMINA CAL. 16 PINTADA POR UNA CARA 0.60m x 0.60m o 0.75m x 0.75m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</si>
  <si>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</si>
  <si>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</si>
  <si>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</si>
  <si>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</si>
  <si>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</si>
  <si>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PALETA PARE-SIGA REGLAMENTADA</t>
  </si>
  <si>
    <t>ARANDELA (Kg)</t>
  </si>
  <si>
    <t>TORNILLO (Kg)</t>
  </si>
  <si>
    <t>TRANSPORTE DE EQUIPO MENOR A UNA TONELADA POR VIAJE. INCLUYE ESCOLTA</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</si>
  <si>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</si>
  <si>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</si>
  <si>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</si>
  <si>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</si>
  <si>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</si>
  <si>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</si>
  <si>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</si>
  <si>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</si>
  <si>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</si>
  <si>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</si>
  <si>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</si>
  <si>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</si>
  <si>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</si>
  <si>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</si>
  <si>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</si>
  <si>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</si>
  <si>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</si>
  <si>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</si>
  <si>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</si>
  <si>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PASACALLE  IMPRESO EN LONA BANNER (7.00m x 1.00m) INCLUYE PALOS A LOS EXTREMOS</t>
  </si>
  <si>
    <t>JUEGO DE ARO Y TAPA EN HF PARA CAMARA T-13 Y T-14 NORMA ETB</t>
  </si>
  <si>
    <t>JGO</t>
  </si>
  <si>
    <t>EQUIPO ANDROIDE CON GPS, CAMARA Y WIFI</t>
  </si>
  <si>
    <t>CONCRETO MR43 DE RESISTENCIA ACELERADA (7 días)</t>
  </si>
  <si>
    <t>TUBERIA CONCRETO REF. CL.V D=24" (60cm)</t>
  </si>
  <si>
    <t>TUBERIA CONCRETO REF. CL.V D=27" (70 cm)</t>
  </si>
  <si>
    <t>TUBERIA CONCRETO REF. CL.V D=40´ (100 cm)</t>
  </si>
  <si>
    <t>CRUZ HD  12" x 6" JH (JUNTA HIDRAULICA)</t>
  </si>
  <si>
    <t>BOLSA PARA BASURA TIPO INDUSTRIAL NEGRA DE 60 x 90 Cm CALIBRE 2 (PAQUETE DE 30 UNIDADES)</t>
  </si>
  <si>
    <t>GUANTE CAUCHO NEGRO CORRUGADO CALIBRE 35</t>
  </si>
  <si>
    <t>OVEROL EN DRILL DOS PIEZAS, CAMISA Y PANTALÓN</t>
  </si>
  <si>
    <t>BOTIQUIN PRIMEROS AUXILIOS METÁLICO DE 40cm x 27cm x 10cm, INCLUYE MEDICAMENTOS</t>
  </si>
  <si>
    <t>FILTRO CONTRA POLVO PARA RESPIRADORES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</si>
  <si>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</si>
  <si>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</si>
  <si>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</si>
  <si>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</si>
  <si>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FUMIGADORA AGRÍCOLA PLÁSTICA ERGONÓMICA DE 20 LITROS</t>
  </si>
  <si>
    <t>HERBICIDA (APLICADO POR ASPERSIÓN)</t>
  </si>
  <si>
    <t>RATICIDA 250 G</t>
  </si>
  <si>
    <t>CARROTANQUE IRRIGADOR DE AGUA - VIAJE</t>
  </si>
  <si>
    <t>DISEÑO DE MEZCLAS DE CONCRETO CON DOS AGREGADOS PARA UNA RESISTENCIA DADA (Incluye caracterización)</t>
  </si>
  <si>
    <t>PUESTO DE TRABAJO - ESCRITORIO 75x120x50</t>
  </si>
  <si>
    <t>SILLA ESCRITORIO GIRATORIA CON BRAZOS</t>
  </si>
  <si>
    <t>LAMINA ALFAJOR</t>
  </si>
  <si>
    <t>SILLA PLÁSTICA SIN BRAZOS</t>
  </si>
  <si>
    <t>COSTO DE CERTIFICADO DE TRADICIÓN Y LIBERTAD DE INMUEBLES</t>
  </si>
  <si>
    <t>TRATAMIENTO Y DISPOSICIÓN FINAL DE LODOS NO PELIGROSOS PROVENIENTES DE ALCANTARILLADO</t>
  </si>
  <si>
    <t>SEÑAL LUMINOSA BIDIRECCIONAL 1.50m x 0.50m</t>
  </si>
  <si>
    <t>TUERCAS POR KG</t>
  </si>
  <si>
    <t>PERNOS POR Kg</t>
  </si>
  <si>
    <t>CONCRETO TREMIE GRAVA FINA 3500 PSI</t>
  </si>
  <si>
    <t>LÁMINA COLABORANTE 2" CALIBRE 16 (1.50mm)</t>
  </si>
  <si>
    <t>LÁMINA COLABORANTE 2" CALIBRE 18 (1.20mm)</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</si>
  <si>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</si>
  <si>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</si>
  <si>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</si>
  <si>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</si>
  <si>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</si>
  <si>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</si>
  <si>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</si>
  <si>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</si>
  <si>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</si>
  <si>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</si>
  <si>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</si>
  <si>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</si>
  <si>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LÍQUIDO INHIBIDOR PASIVADOR DE CORROSIÓN DEL CONCRETO REFORZADO</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</si>
  <si>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</si>
  <si>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</si>
  <si>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</si>
  <si>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</si>
  <si>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</si>
  <si>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</si>
  <si>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</si>
  <si>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</si>
  <si>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</si>
  <si>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</si>
  <si>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</si>
  <si>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</si>
  <si>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</si>
  <si>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</si>
  <si>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</si>
  <si>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</si>
  <si>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</si>
  <si>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</si>
  <si>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</si>
  <si>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</si>
  <si>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</si>
  <si>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</si>
  <si>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</si>
  <si>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CABLES POSTENSADOS (Incl. Torón de 5/8" ASTM A 416, Grado 270k, anclajes de acuerdo con planos, ductos metálicos galvanizados, equipo para inyectar (Bomba+Mezclador), ... Ver Observaciones</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</si>
  <si>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</si>
  <si>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</si>
  <si>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</si>
  <si>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</si>
  <si>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</si>
  <si>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</si>
  <si>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</si>
  <si>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</si>
  <si>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</si>
  <si>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</si>
  <si>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</si>
  <si>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</si>
  <si>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</si>
  <si>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</si>
  <si>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</si>
  <si>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</si>
  <si>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</si>
  <si>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</si>
  <si>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</si>
  <si>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</si>
  <si>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PINTURA (LÁTEX) ACRÍLICA BASE AGUA - Pintura base agua con tecnología acrílica avanzada de uso exterior que ofrece protección a rayos ultravioleta y factores climáticos.</t>
  </si>
  <si>
    <t>Pto.3R</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</si>
  <si>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</si>
  <si>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</si>
  <si>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</si>
  <si>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</si>
  <si>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</si>
  <si>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</si>
  <si>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</si>
  <si>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</si>
  <si>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</si>
  <si>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</si>
  <si>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</si>
  <si>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</si>
  <si>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</si>
  <si>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</si>
  <si>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</si>
  <si>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</si>
  <si>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</si>
  <si>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CARPINTERÍA METÁLICA</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</si>
  <si>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</si>
  <si>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</si>
  <si>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</si>
  <si>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</si>
  <si>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</si>
  <si>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SEÑAL TEMPORAL MÓVIL ECONÓMICA CON TRÍPODE TIPO SIO, SP, SI, SR DE (100 x 50 - 75 x 75 - 80 x 50) LÁMINA GALVANIZADA CAL. 20 Y ÁNGULOS DE 1" x 1/2" x 1/8".</t>
  </si>
  <si>
    <t>BARRICADA METÁLICA CON SEÑAL DE DESVÍO O VÍA CERRADA DE 2.40 m CINTA GRADO INGENIERÍA SHEETING</t>
  </si>
  <si>
    <t>DISEÑO DE MEZCLA DE SUELO - CEMENTO (NO INCLUYE PRUEBA DE DURABILIDAD)</t>
  </si>
  <si>
    <t>LUMINARIA DE EMERGENCIA LED R2 2.4W 6500K  120 o 277V  180 lm DE 60 x 130 x 300 mm</t>
  </si>
  <si>
    <t>CABLE MONOPOLAR DE ALUMINIO, CPT HFFR LS PARA 600 V c.a., 75°C CT, CALIBRE 4/0 AWG AA8000 (SIW)</t>
  </si>
  <si>
    <t>CABLE 10 AWG EN COBRE CPR HFFR LS 600 V  75° C CT</t>
  </si>
  <si>
    <t>REDUCCIÓN EMT 2" A 3/4"</t>
  </si>
  <si>
    <t>CONDULETA TIPO T DE 2"</t>
  </si>
  <si>
    <t>TUBERÍA CORAZA LIQUID TIGHT 3/4"</t>
  </si>
  <si>
    <t>CONECTOR RECTO LIQUID TIGHT 3/4"</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</si>
  <si>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</si>
  <si>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</si>
  <si>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</si>
  <si>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</si>
  <si>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</si>
  <si>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</si>
  <si>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</si>
  <si>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</si>
  <si>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</si>
  <si>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</si>
  <si>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</si>
  <si>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</si>
  <si>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</si>
  <si>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</si>
  <si>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</si>
  <si>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</si>
  <si>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</si>
  <si>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</si>
  <si>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</si>
  <si>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</si>
  <si>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</si>
  <si>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</si>
  <si>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</si>
  <si>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</si>
  <si>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</si>
  <si>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</si>
  <si>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</si>
  <si>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</si>
  <si>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</si>
  <si>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</si>
  <si>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</si>
  <si>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</si>
  <si>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</si>
  <si>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</si>
  <si>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</si>
  <si>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</si>
  <si>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</si>
  <si>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</si>
  <si>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</si>
  <si>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</si>
  <si>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</si>
  <si>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</si>
  <si>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</si>
  <si>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RESINA TERMOPLÁSTICA - PINTURA TERMOPLÁSTICA</t>
  </si>
  <si>
    <t>TRITUBO PE 100 FOPT DE 40mm (1 1/4") RDE 13.5 MULTF Rollo de 500 mt.</t>
  </si>
  <si>
    <t>CANALETA METÁLICA DE 12 cm x 5 cm CON TAPA (2.40m)</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</si>
  <si>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</si>
  <si>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</si>
  <si>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</si>
  <si>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</si>
  <si>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DETECCIÓN DEL REFUERZO UTILIZANDO FERROSCAN (POR ELEMENTO)</t>
  </si>
  <si>
    <t>TRANSFORMADOR  SECO CLASE F TRIFASICO DE 45 KVA, 11.4/0.480-277 KV ZCC 4%</t>
  </si>
  <si>
    <t>ADAPTADOR PVC MACHO ROSCADO 1 1/2"</t>
  </si>
  <si>
    <t>REDUCCION PVC E.L.  D= 1 1/2 x 1/2" (BUJE SOLDADO)</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</si>
  <si>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</si>
  <si>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</si>
  <si>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</si>
  <si>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</si>
  <si>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</si>
  <si>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</si>
  <si>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</si>
  <si>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</si>
  <si>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</si>
  <si>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</si>
  <si>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</si>
  <si>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</si>
  <si>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</si>
  <si>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</si>
  <si>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</si>
  <si>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</si>
  <si>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</si>
  <si>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</si>
  <si>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</si>
  <si>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</si>
  <si>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</si>
  <si>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</si>
  <si>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</si>
  <si>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</si>
  <si>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</si>
  <si>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</si>
  <si>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</si>
  <si>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</si>
  <si>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</si>
  <si>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</si>
  <si>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</si>
  <si>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</si>
  <si>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</si>
  <si>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PALMA PHOENIX H=3.5m (Incluye tutor con manguera y almabre)</t>
  </si>
  <si>
    <t>CABLE CONDUCTOR MONOPOLAR DE ALUMINIO HF FR PARA 600 V  C.A.  CALIBRE No.6 AWG</t>
  </si>
  <si>
    <t>CABLE MONOPOLAR DE COBRE, HF FR PARA 600 V  C.A. CALIBRE No. 8 AWG</t>
  </si>
  <si>
    <t>VÁLVULA CHEQUE DE 2" CLASE 300.</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</si>
  <si>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</si>
  <si>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</si>
  <si>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</si>
  <si>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</si>
  <si>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</si>
  <si>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</si>
  <si>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</si>
  <si>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</si>
  <si>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</si>
  <si>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</si>
  <si>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</si>
  <si>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</si>
  <si>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</si>
  <si>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</si>
  <si>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</si>
  <si>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</si>
  <si>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</si>
  <si>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</si>
  <si>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</si>
  <si>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</si>
  <si>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BRIDA FLANGLES SLIP-ON ACERO CARBÓN 150 D= 12"</t>
  </si>
  <si>
    <t>BRIDA FLANGLES SLIP-ON ACERO CARBÓN 150 D= 4"</t>
  </si>
  <si>
    <t>SEÑAL VERTICAL SP/SR PARA CICLORUTA DE 0.45 m x 0.45 m, INCLUYE POSTE</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</si>
  <si>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</si>
  <si>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</si>
  <si>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TIPO  U.M. 12" X 6"</t>
  </si>
  <si>
    <t>REDUCCION PVC TIPO  U.M. 12" X 8"</t>
  </si>
  <si>
    <t>REDUCCION PVC TIPO  U.M. 6" X 3"</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</si>
  <si>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</si>
  <si>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</si>
  <si>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</si>
  <si>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</si>
  <si>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</si>
  <si>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</si>
  <si>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</si>
  <si>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</si>
  <si>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</si>
  <si>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</si>
  <si>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</si>
  <si>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</si>
  <si>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</si>
  <si>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</si>
  <si>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</si>
  <si>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</si>
  <si>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</si>
  <si>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KIT DE PUESTA A TIERRA CAPACITIVO VERTICAL DE 90 KG DE HIDROSOLTA</t>
  </si>
  <si>
    <t>TUBO ACERO CARBÓN A106 SCH-40  S/C 2"</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</si>
  <si>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</si>
  <si>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</si>
  <si>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</si>
  <si>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</si>
  <si>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</si>
  <si>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</si>
  <si>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</si>
  <si>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</si>
  <si>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</si>
  <si>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UNIÓN JUNTA DE DESMONTAJE AUTOPORTANTE Ø 12" (A)</t>
  </si>
  <si>
    <t>UNIÓN JUNTA DE DESMONTAJE AUTOPORTANTE Ø 24" (A)</t>
  </si>
  <si>
    <t>VENTOSA DE DOBLE ACCIÓN DE 2" DE BRIDA (A)</t>
  </si>
  <si>
    <t>CODO EN ACERO D=16" ENTRE 67.5° Y 90  L=1.25 m x 1.25 m, INCLUYE UNIONES ESPIGO-CAMPANA CON EMPAQUE CAUCHO. CON REVESTIMIENTO INTERIOR Y EXTERIOR EN MORTERO DE CEMENTO. PRESIÓN TRABAJO 150 PSI</t>
  </si>
  <si>
    <t>CODO EN ACERO D=4"</t>
  </si>
  <si>
    <t>TAPON DE ACERO 16" SOLDADO</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</si>
  <si>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</si>
  <si>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</si>
  <si>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</si>
  <si>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</si>
  <si>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</si>
  <si>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</si>
  <si>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</si>
  <si>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</si>
  <si>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POSTE TIPO MÁSTIL T1 (3.80m) EN TUBO SCH 40 GALVANIZADO Y PINTADO</t>
  </si>
  <si>
    <t>TAPA VALVULA TIPO CHOROTE TRAFICO PESADO</t>
  </si>
  <si>
    <t>AGUA - E. COLI</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</si>
  <si>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</si>
  <si>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</si>
  <si>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</si>
  <si>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</si>
  <si>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</si>
  <si>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</si>
  <si>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VÁLVULA DE CHEQUE DE 4" 150 PSI EXTREMOS BRIDADOS.</t>
  </si>
  <si>
    <t>VÁLVULA VENTOSA HD COMBINADA TRIPLE ACCIÓN (TRIPLE EFECTO) D=3" EXTREMO EN BRIDA CLASE 150</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</si>
  <si>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</si>
  <si>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</si>
  <si>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YEE REDUCIDA PVC SANITARIA 4" x 3"</t>
  </si>
  <si>
    <t>CONDUCTORES DE ALUMINIO 4X(1X2/0) AWG AISLADO HFFR 600 V C.A.</t>
  </si>
  <si>
    <t>SIFON PVC 135° D=3"</t>
  </si>
  <si>
    <t>PUERTA METÁLICA CON REJILLA DE 0.80 m x 2.10 m.</t>
  </si>
  <si>
    <t>SIFON PVC 135° D=4"</t>
  </si>
  <si>
    <t>CODO 90° PVC E.L.  D= 2"</t>
  </si>
  <si>
    <t>UPS 2.0 KVA</t>
  </si>
  <si>
    <t>POSTE METALICO GALVANIZADO EN CALIENTE H=14m CON BRAZO SENCILLO</t>
  </si>
  <si>
    <t>CONECTOR TIPO CUÑA</t>
  </si>
  <si>
    <t>POSTE METALICO GALVANIZADO EN CALIENTE H=14m CON BRAZO DOBLE PROPOSITO DE 1.5m</t>
  </si>
  <si>
    <t>CURVA DE ACERO GALVANIZADA DE 4" X 90°</t>
  </si>
  <si>
    <t>UNIÓN GALVANIZADA DE 4"</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</si>
  <si>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</si>
  <si>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</si>
  <si>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</si>
  <si>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</si>
  <si>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</si>
  <si>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</si>
  <si>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</si>
  <si>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</si>
  <si>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</si>
  <si>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</si>
  <si>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</si>
  <si>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</si>
  <si>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</si>
  <si>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</si>
  <si>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</si>
  <si>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</si>
  <si>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</si>
  <si>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</si>
  <si>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</si>
  <si>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</si>
  <si>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</si>
  <si>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TUBERÍA Ø4" EN HIERRO GALVANIZADO</t>
  </si>
  <si>
    <t>CODO 90° Ø4" EN HIERRO GALVANIZADO</t>
  </si>
  <si>
    <t>MEDICIÓN DE PERFIL TRANSVERSAL PARA DETERMINACIÓN DEL AHUELLAMIENTO (100 M)</t>
  </si>
  <si>
    <t>TUBO (PERFIL TUBULAR) GALVANIZADO DE DIÁMETRO 3" ESPESOR 2.3 mm</t>
  </si>
  <si>
    <t>FRESADO DE PAVIMENTO - INCLUYE FRESADORA, OPERARIO Y COMBUSTIBLE. Incluye agua, puntas. No incluye transporte de maquinaria, transporte del fresado ni disposición final. A TODO COSTO</t>
  </si>
  <si>
    <t>ARQUEOLOGÍA</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</si>
  <si>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</si>
  <si>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</si>
  <si>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</si>
  <si>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</si>
  <si>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</si>
  <si>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</si>
  <si>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</si>
  <si>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</si>
  <si>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</si>
  <si>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</si>
  <si>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</si>
  <si>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</si>
  <si>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</si>
  <si>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</si>
  <si>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</si>
  <si>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</si>
  <si>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</si>
  <si>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</si>
  <si>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</si>
  <si>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</si>
  <si>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</si>
  <si>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</si>
  <si>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</si>
  <si>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</si>
  <si>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</si>
  <si>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</si>
  <si>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</si>
  <si>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</si>
  <si>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</si>
  <si>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</si>
  <si>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</si>
  <si>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</si>
  <si>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</si>
  <si>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</si>
  <si>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</si>
  <si>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</si>
  <si>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</si>
  <si>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</si>
  <si>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</si>
  <si>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</si>
  <si>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</si>
  <si>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</si>
  <si>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</si>
  <si>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</si>
  <si>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</si>
  <si>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KIT SILLA YEE 250 x 200 PVC</t>
  </si>
  <si>
    <t>KIT SILLA YEE 315 x 200 PVC</t>
  </si>
  <si>
    <t>KIT SILLA YEE 400 x 200 PVC</t>
  </si>
  <si>
    <t>KIT SILLA YEE 450 x 200 PVC</t>
  </si>
  <si>
    <t>TRATAMIENTO Y DISPOSICIÓN FINAL DE RESIDUOS PELIGROSOS</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</si>
  <si>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</si>
  <si>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</si>
  <si>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</si>
  <si>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</si>
  <si>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</si>
  <si>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</si>
  <si>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TACHA REFLECTIVA UNIDIRECCIONAL BLANCA/ROJA. Incluye suministro e instalación</t>
  </si>
  <si>
    <t>POSTE TIPO MÉNSULA T2 (2.50m) EN TUBO SCH 40 GALVANIZADO Y PINTADO.</t>
  </si>
  <si>
    <t>SEPARADORES (ESPACIADOR) DE DUCTERÍA PARA 2 TUBOS DE Ø2" UNA Y DOBLE CARA</t>
  </si>
  <si>
    <t>SEPARADORES (ESPACIADOR) DE DUCTERÍA PARA 4 TUBOS DE Ø2" UNA Y DOBLE CARA</t>
  </si>
  <si>
    <t>SEPARADORES (ESPACIADOR) DE DUCTERÍA PARA 2 TUBOS DE Ø4" UNA Y DOBLE CARA</t>
  </si>
  <si>
    <t>SEPARADORES (ESPACIADOR) DE DUCTERÍA PARA 4 TUBOS DE Ø4" UNA Y DOBLE CARA</t>
  </si>
  <si>
    <t>ADAPTADOR TERMINAL CAMPANA PVC D= 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</si>
  <si>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</si>
  <si>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</si>
  <si>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</si>
  <si>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</si>
  <si>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</si>
  <si>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</si>
  <si>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</si>
  <si>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</si>
  <si>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</si>
  <si>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</si>
  <si>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</si>
  <si>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</si>
  <si>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</si>
  <si>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</si>
  <si>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</si>
  <si>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</si>
  <si>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</si>
  <si>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</si>
  <si>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</si>
  <si>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</si>
  <si>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</si>
  <si>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</si>
  <si>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</si>
  <si>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</si>
  <si>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</si>
  <si>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</si>
  <si>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</si>
  <si>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</si>
  <si>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</si>
  <si>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</si>
  <si>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</si>
  <si>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</si>
  <si>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</si>
  <si>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</si>
  <si>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</si>
  <si>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</si>
  <si>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</si>
  <si>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</si>
  <si>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</si>
  <si>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</si>
  <si>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</si>
  <si>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</si>
  <si>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</si>
  <si>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</si>
  <si>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</si>
  <si>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</si>
  <si>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</si>
  <si>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</si>
  <si>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</si>
  <si>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</si>
  <si>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</si>
  <si>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</si>
  <si>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</si>
  <si>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</si>
  <si>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</si>
  <si>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PISO EN PORCELANATO COLOR GRIS OSCURO TIPO BARI PLUS, ACABADO PULIDO, FORMATO 0,60cmx0,60cm LÍNEA CONVENCIONAL.</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</si>
  <si>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</si>
  <si>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</si>
  <si>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</si>
  <si>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</si>
  <si>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</si>
  <si>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</si>
  <si>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PTO/3M</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</si>
  <si>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</si>
  <si>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</si>
  <si>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</si>
  <si>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</si>
  <si>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SECCIONADOR O CAJA DE MANIOBRA DE 6 VÍAS, E-S 600, D200, SERIE 15 KV.</t>
  </si>
  <si>
    <t>SECCIONADOR O CAJA DE MANIOBRA DE 4 VÍAS, E-S 600, D200, SERIE 15 KV.</t>
  </si>
  <si>
    <t>LOSETA PREFABRICADA A20 GRIS (200x200x60mm)</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</si>
  <si>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</si>
  <si>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</si>
  <si>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</si>
  <si>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</si>
  <si>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</si>
  <si>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</si>
  <si>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LUMINARIA LED 103W, 48 LED. Driver electrónico 120-227 Vac. 4.000k</t>
  </si>
  <si>
    <t>LUMINARIA LED 37W, 16 LED. Driver electrónico 120-277 V.</t>
  </si>
  <si>
    <t>LUMINARIA LED 70W, 32 LED. Driver electrónico 120-277 Vac. 4.000k</t>
  </si>
  <si>
    <t>TRANSFORMADOR SEMISUMERGIBLE 75 KVA 11.4 /0.208-0.120 KV DYN5.</t>
  </si>
  <si>
    <t>TRANSFORMADOR SEMISUMERGIBLE 45 KVA 11.4 /0.208-0.120 KV DYN5.</t>
  </si>
  <si>
    <t>TRANSFORMADOR SEMISUMERGIBLE 225 KVA 11.4 /0.208-0.120 KV DYN5.</t>
  </si>
  <si>
    <t>TAPA (REJILLA) PARA CAÑUELA A-124. Dimensiones: 600x300x100mm.</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</si>
  <si>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</si>
  <si>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</si>
  <si>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28 MPa (280 Kg/cm2) GRAVA COMÚN 5"</t>
  </si>
  <si>
    <t>ADOQUIN DE CONCRETO A26 (200x100x60mm) AMARILLO</t>
  </si>
  <si>
    <t>ADOQUIN DE CONCRETO A26 (200x100x60mm) OCRE</t>
  </si>
  <si>
    <t>ADOQUIN DE CONCRETO A25 (200x100x60mm) PEATONAL CHOCOLATE</t>
  </si>
  <si>
    <t>MUEBLE O MESA CON PUERTAS EN ACERO INOXIDABLE 1.23m x 0.60m x 0.90m</t>
  </si>
  <si>
    <t>MUEBLE O MESA CON PUERTAS EN ACERO INOXIDABLE 2.65m x 0.60m x 0.90m</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</si>
  <si>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</si>
  <si>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</si>
  <si>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</si>
  <si>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</si>
  <si>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</si>
  <si>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</si>
  <si>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</si>
  <si>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</si>
  <si>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</si>
  <si>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</si>
  <si>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</si>
  <si>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</si>
  <si>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</si>
  <si>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</si>
  <si>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</si>
  <si>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</si>
  <si>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</si>
  <si>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</si>
  <si>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</si>
  <si>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</si>
  <si>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NIPLE EN ACERO Ø 3" CON BRIDA Y EXTREMO LISO L= 300mm, REVESTIMIENTO INTERIOR Y EXTERIOR EN PINTURA EXPOXICA. SUMINISTRO Y TRANSPORTE</t>
  </si>
  <si>
    <t>CODO EN ACERO D=20" ENTRE 45° y 67.5° JUNTA ESPIGO-CAMPANA CON EMPAQUE CAUCHO.  REVESTIMIENTO INTERIOR Y EXTERIOR EN MORTERO DE CEMENTO. L=1,00X1,00M PRESIÓN TRABAJO 150 PSI. SUMINISTRO Y TRANSPORTE</t>
  </si>
  <si>
    <t>REDUCCION AC  8"x4" EXTREMO LISO</t>
  </si>
  <si>
    <t>GABINETE CONTRAINCENDIO T2</t>
  </si>
  <si>
    <t>TUBO PE100 PN16 90mm Ø3"</t>
  </si>
  <si>
    <t>TUBO PE100 PN16 110mm Ø4"</t>
  </si>
  <si>
    <t>TUBO PE100 PN10 160mm Ø6"</t>
  </si>
  <si>
    <t>BRIDA LOCA POLIETILENO D= 8"</t>
  </si>
  <si>
    <t>BRIDA LOCA POLIETILENO D= 4"</t>
  </si>
  <si>
    <t>NIPLE 36" ACERO CARBON EXTREMOS BRIDA/CAMPANA, CON REVESTIMIENTO INTERIOR Y RECUBRIMIENTO EXTERIOR EN MORTERO CEMENTO, CON SALIDA TANGENCIAL PARA PURGA 4" L= 2500mm. SUMINISTRO Y TRANSPORTE</t>
  </si>
  <si>
    <t>UNION REPARACION DESLIZANTE PVC D=1"</t>
  </si>
  <si>
    <t>BRIDA LOCA POLIETILENO D= 3"</t>
  </si>
  <si>
    <t>TRAGANTE CÚPULA 3" x 2" EN ALUMINIO</t>
  </si>
  <si>
    <t>BRIDA LOCA POLIETILENO D= 6"</t>
  </si>
  <si>
    <t>TEE HD EXTREMO JUNTA HIDRÁULICA 12"X12"</t>
  </si>
  <si>
    <t>CURVA PVC 6"</t>
  </si>
  <si>
    <t>TEE PVC E.L. D=1/2</t>
  </si>
  <si>
    <t>CINTA BANDIT 1/2"</t>
  </si>
  <si>
    <t>CODO 45° 1/8 CxE PVC SANITARIA D= 3"</t>
  </si>
  <si>
    <t>YEE PVC SANITARIA 6" x 8"</t>
  </si>
  <si>
    <t>TUBERIA PVC U.M. EXT CORRUGADO/INT LISO U.M. NORMA NTC 3722-1 D=60"</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</si>
  <si>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</si>
  <si>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</si>
  <si>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</si>
  <si>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</si>
  <si>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</si>
  <si>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</si>
  <si>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CODO HD 22.5° EXTREMO JUNTA HIDRÁULICA PARA PVC D= 3"</t>
  </si>
  <si>
    <t>CODO HD 45° EXTREMO JUNTA HIDRÁULICA PARA PVC D= 3"</t>
  </si>
  <si>
    <t>CODO HD 90° EXTREMO JUNTA HIDRÁULICA PARA PVC D= 3".</t>
  </si>
  <si>
    <t>TEE HD EXTREMO JUNTA HIDRÁULICA 6"x6"</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</si>
  <si>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</si>
  <si>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</si>
  <si>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</si>
  <si>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</si>
  <si>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</si>
  <si>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</si>
  <si>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CABLE MONOPOLAR DE COBRE, HF FR PARA 600 V  C.A. CALIBRE No. 12 AWG</t>
  </si>
  <si>
    <t>BLOQUE DE CEMENTO MACIZO 6X20X20 COLOR MARRÓN</t>
  </si>
  <si>
    <t>BLOQUE DE CEMENTO MACIZO 6X20X20 COLOR GRIS NATURAL O SIMILAR</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</si>
  <si>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</si>
  <si>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</si>
  <si>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</si>
  <si>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</si>
  <si>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</si>
  <si>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</si>
  <si>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</si>
  <si>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</si>
  <si>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</si>
  <si>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</si>
  <si>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</si>
  <si>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</si>
  <si>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</si>
  <si>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</si>
  <si>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</si>
  <si>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</si>
  <si>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</si>
  <si>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</si>
  <si>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</si>
  <si>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</si>
  <si>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</si>
  <si>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</si>
  <si>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</si>
  <si>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</si>
  <si>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</si>
  <si>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</si>
  <si>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</si>
  <si>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</si>
  <si>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PIEZA DE REMATE CURVA A117 PARA RAMPA TIPO C (600x400x450mm)</t>
  </si>
  <si>
    <t>SARDINEL ESPECIAL A116 PARA RAMPA TIPO C (600x600x350mm)</t>
  </si>
  <si>
    <t>PIEZA DE REMATE A115 PARA RAMPA VEHICULAR TIPO B (600x400x450mm)</t>
  </si>
  <si>
    <t>TEE HD EXTREMO LISO 3" x 3"</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</si>
  <si>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</si>
  <si>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</si>
  <si>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</si>
  <si>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</si>
  <si>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</si>
  <si>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</si>
  <si>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</si>
  <si>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</si>
  <si>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</si>
  <si>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</si>
  <si>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</si>
  <si>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</si>
  <si>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</si>
  <si>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</si>
  <si>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</si>
  <si>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</si>
  <si>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</si>
  <si>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</si>
  <si>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</si>
  <si>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</si>
  <si>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</si>
  <si>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</si>
  <si>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</si>
  <si>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</si>
  <si>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</si>
  <si>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</si>
  <si>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</si>
  <si>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</si>
  <si>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</si>
  <si>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</si>
  <si>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</si>
  <si>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</si>
  <si>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</si>
  <si>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</si>
  <si>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</si>
  <si>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</si>
  <si>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</si>
  <si>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</si>
  <si>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</si>
  <si>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3"X1 1/2" (REDUCCION CONCENTRICA)</t>
  </si>
  <si>
    <t>BUJE SOLDADO PRESION PVC 2"X3/4"</t>
  </si>
  <si>
    <t>BUJE SOLDADO PRESION CPVC 3/4" x 1/2"</t>
  </si>
  <si>
    <t>TEE HD EXTREMO LISO 2"x2"</t>
  </si>
  <si>
    <t>REGISTRO DE BOLA 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</si>
  <si>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</si>
  <si>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</si>
  <si>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</si>
  <si>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</si>
  <si>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</si>
  <si>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</si>
  <si>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</si>
  <si>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</si>
  <si>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</si>
  <si>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</si>
  <si>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</si>
  <si>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</si>
  <si>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</si>
  <si>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</si>
  <si>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</si>
  <si>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</si>
  <si>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</si>
  <si>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</si>
  <si>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</si>
  <si>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</si>
  <si>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</si>
  <si>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</si>
  <si>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</si>
  <si>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</si>
  <si>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</si>
  <si>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</si>
  <si>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</si>
  <si>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CLORURO DE CALCIO (En perlas)</t>
  </si>
  <si>
    <t>LOSETA PODOTACTIL EN POLIURETANO. ANCHO 0,40m. ACABADOS SEGÚN NORMA NTC 5610. DEC. 308/2018. INCLUYE LIMPIEZA Y ALISTAMIENTO DE SUPERFICIE. INCLUYE TODOS LOS ELEMENTOS DE COLOCACION, FIJACION Y MANO</t>
  </si>
  <si>
    <t>TELA PARA CERRAMIENTO 55 gr/m2, COLOR BLANCO, ANCHO = 2.10m</t>
  </si>
  <si>
    <t>ESPUMA DE POLIETILENO, ANCHO = 1.00 m,  ESPESOR = 5 mm</t>
  </si>
  <si>
    <t>PERFORACIÓN HORIZONTAL PARA DUCTO DE POLIETILENO D=6", INCLUYE TUBERÍA (Incluye suministro e instalación)</t>
  </si>
  <si>
    <t>PERFORACIÓN HORIZONTAL PARA DUCTO DE POLIETILENO D=12", INCLUYE TUBERÍA (Incluye suministro e instalación)</t>
  </si>
  <si>
    <t>TAPON HD EXTREMO JUNTA HIDRÁULICA D=12"</t>
  </si>
  <si>
    <t>BASE GRANULAR CLASE B (BGB_BG38) o (BGB_BG25)</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</si>
  <si>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</si>
  <si>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</si>
  <si>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</si>
  <si>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</si>
  <si>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</si>
  <si>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JABÓN LIQUIDO PARA MANOS. (Según Apéndice Bioseguridad Covid 19)_ Exento de IVA de forma temporal</t>
  </si>
  <si>
    <t>LAVAMANOS PORTÁTIL EN ACERO INOXIDABLE CON DOS TANQUES PARA AGUA LIMPIA Y RESIDUAL DE 20 LT C/U_ (Según Apéndice Bioseguridad Covid 19)</t>
  </si>
  <si>
    <t>FUMIGADORA DE ESPALDA. ASPERSOR BOMBA MANUAL 20 LITROS. DESINFECCIÓN_ (Según Apéndice Bioseguridad Covid 19)</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</si>
  <si>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</si>
  <si>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</si>
  <si>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</si>
  <si>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</si>
  <si>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</si>
  <si>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</si>
  <si>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</si>
  <si>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</si>
  <si>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</si>
  <si>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</si>
  <si>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</si>
  <si>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</si>
  <si>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TAPABOCAS DESECHABLE. (Según Apéndice Bioseguridad Covid 19)_ Exento de IVA de forma temporal</t>
  </si>
  <si>
    <t>HIPOCLORITO - (Según Apéndice Bioseguridad Covid 19)_ Exento de IVA de forma temporal</t>
  </si>
  <si>
    <t>ANGEO PLÁSTICO</t>
  </si>
  <si>
    <t>TRAGANTE CÚPULA CONCÉNTRICA DE 8"x 6" EN ALUMINIO</t>
  </si>
  <si>
    <t>ABONO ORGÁNICO COMPOST (No incluye transporte)</t>
  </si>
  <si>
    <t>REJA TIPO PASARELA FUNDICIÓN CLASE DE CARGA C250, Long=500 mm, H=22 mm, Ancho=323 mm</t>
  </si>
  <si>
    <t>TUBERÍA PVC SANITARIA D=10"</t>
  </si>
  <si>
    <t>TEE PVC SANITARIA D=6"</t>
  </si>
  <si>
    <t>CODO 22.5° CXC PVC SANITARIA D=6"</t>
  </si>
  <si>
    <t>PROTECTOR ANTIGRAFFITI</t>
  </si>
  <si>
    <t>Hr</t>
  </si>
  <si>
    <t>EQUIPO  COLAMINADO</t>
  </si>
  <si>
    <t>MEZCLADORA DE CONCRETO 1/2 BULTO</t>
  </si>
  <si>
    <t>DESPERDICIO</t>
  </si>
  <si>
    <t>LAMINA c16 E 1,5</t>
  </si>
  <si>
    <t xml:space="preserve">KGR/ M2 </t>
  </si>
  <si>
    <t xml:space="preserve">KGR / ML </t>
  </si>
  <si>
    <t xml:space="preserve">TUBO DE 2"  E =1,9 </t>
  </si>
  <si>
    <t xml:space="preserve">PESO PEDESTAL </t>
  </si>
  <si>
    <t>PLATINA DE 1/4"  E 6 MM</t>
  </si>
  <si>
    <t xml:space="preserve">IMPRESORA DIGITAL PARA SEÑALES DE TRÁNSITO </t>
  </si>
  <si>
    <t>REVISAR</t>
  </si>
  <si>
    <t>ESMALTE SINTETICO BLANCO</t>
  </si>
  <si>
    <t xml:space="preserve">GALON </t>
  </si>
  <si>
    <t xml:space="preserve">DERSPERDICIO </t>
  </si>
  <si>
    <t>EQUIPO</t>
  </si>
  <si>
    <t xml:space="preserve">UNIDAD </t>
  </si>
  <si>
    <t>PRECIO</t>
  </si>
  <si>
    <t xml:space="preserve">$/ DIA </t>
  </si>
  <si>
    <t>$/HORA</t>
  </si>
  <si>
    <t xml:space="preserve">$/MES </t>
  </si>
  <si>
    <t xml:space="preserve">VENTA </t>
  </si>
  <si>
    <t>TALADRO PERCUTOR 1/2</t>
  </si>
  <si>
    <t>ROTAMARTILLO</t>
  </si>
  <si>
    <t xml:space="preserve">SOLDADOR LINCON </t>
  </si>
  <si>
    <t xml:space="preserve">HIDROLAVADORA  6,5 LT/ MIN </t>
  </si>
  <si>
    <t>Alquiler Sierra Circular 7 1/4 Pulg 1950W</t>
  </si>
  <si>
    <t>Alquiler Tronzadora 14"</t>
  </si>
  <si>
    <t>PULIDORA   9"</t>
  </si>
  <si>
    <t>MEZCLADORA ELECTRICA  1,5 BT</t>
  </si>
  <si>
    <t xml:space="preserve">PLANTA ELECTRICA 4 TIEMPOS </t>
  </si>
  <si>
    <t xml:space="preserve">COMPRESOR </t>
  </si>
  <si>
    <t>ACONDICIONADOR DE SUPERFICIE (WAS PRIMER)</t>
  </si>
  <si>
    <t xml:space="preserve">$ / Hra </t>
  </si>
  <si>
    <t xml:space="preserve">RENDIMIENTO/HRA </t>
  </si>
  <si>
    <t xml:space="preserve">PINTURA ANTICORROSIVA </t>
  </si>
  <si>
    <t>JOR *PSS</t>
  </si>
  <si>
    <t>VEHICULO DELINEADOR</t>
  </si>
  <si>
    <t>VEHICULO DELINEADOR  R=1500 M/H</t>
  </si>
  <si>
    <t>G</t>
  </si>
  <si>
    <t>C</t>
  </si>
  <si>
    <t>PIPI</t>
  </si>
  <si>
    <t xml:space="preserve">CUADRILLAS </t>
  </si>
  <si>
    <t xml:space="preserve">MES </t>
  </si>
  <si>
    <t>AÑO</t>
  </si>
  <si>
    <t xml:space="preserve">DIA </t>
  </si>
  <si>
    <t xml:space="preserve">Jornal ayudante </t>
  </si>
  <si>
    <t xml:space="preserve">valor real del jornal </t>
  </si>
  <si>
    <t xml:space="preserve">valor total hora ayudante </t>
  </si>
  <si>
    <t xml:space="preserve">jornal Oficial </t>
  </si>
  <si>
    <t xml:space="preserve">valor total hora oficial </t>
  </si>
  <si>
    <t xml:space="preserve">Valor dia cuadrilla </t>
  </si>
  <si>
    <t xml:space="preserve">Valor hora cuadrilla </t>
  </si>
  <si>
    <t xml:space="preserve">Salida Electrica </t>
  </si>
  <si>
    <t>SALARIO MINIMO 2020</t>
  </si>
  <si>
    <t>Factores</t>
  </si>
  <si>
    <t xml:space="preserve">M.  Obra AA 
Albañileria </t>
  </si>
  <si>
    <t>1,2 Minimos</t>
  </si>
  <si>
    <t xml:space="preserve">2,1 Minimos </t>
  </si>
  <si>
    <t>M.  ObraBB
INSTALACIONES</t>
  </si>
  <si>
    <t xml:space="preserve">M.  Obra  CC
PINTURA </t>
  </si>
  <si>
    <t>AA+10%</t>
  </si>
  <si>
    <t>AA+15%</t>
  </si>
  <si>
    <t>CALCULO DEL FACTOR PRESTACIONAL</t>
  </si>
  <si>
    <t>Salario minimo vigente</t>
  </si>
  <si>
    <t>Subsidio de transporte</t>
  </si>
  <si>
    <t>AFECTACIÓN PRESTACIONAL ANUAL</t>
  </si>
  <si>
    <t>PESOS</t>
  </si>
  <si>
    <t>DOLARES</t>
  </si>
  <si>
    <t>AYUDANTE</t>
  </si>
  <si>
    <t>SALARIO</t>
  </si>
  <si>
    <t>OFICIAL</t>
  </si>
  <si>
    <t>Mensual</t>
  </si>
  <si>
    <t>OPERARIO</t>
  </si>
  <si>
    <t>TOPOGRAFO</t>
  </si>
  <si>
    <t>Total mensual</t>
  </si>
  <si>
    <t>JORNAL</t>
  </si>
  <si>
    <t>Total anual (A/30*365)</t>
  </si>
  <si>
    <t>Subsidio de transporte anual</t>
  </si>
  <si>
    <t>Salario anual con sub. De transporte</t>
  </si>
  <si>
    <t>SALARIO NOMINAL (365 días)</t>
  </si>
  <si>
    <t xml:space="preserve">Salario anual </t>
  </si>
  <si>
    <t>PRESTACIONES SOCIALES</t>
  </si>
  <si>
    <t>Cesantias anuales</t>
  </si>
  <si>
    <t>Interes sobre cesantia</t>
  </si>
  <si>
    <t>Prima - 30 días</t>
  </si>
  <si>
    <t>Vacaciones - 15 días</t>
  </si>
  <si>
    <t>SUBTOTAL PRESTACIONES SOCIALES</t>
  </si>
  <si>
    <t>SEGURIDAD SOCIAL</t>
  </si>
  <si>
    <t>Pensiones</t>
  </si>
  <si>
    <r>
      <t xml:space="preserve">Salud </t>
    </r>
    <r>
      <rPr>
        <sz val="8"/>
        <rFont val="Times New Roman"/>
        <family val="1"/>
      </rPr>
      <t>(Afectado por la reforma tributaria)</t>
    </r>
  </si>
  <si>
    <t>Riesgos Profesionales (ARL)</t>
  </si>
  <si>
    <t>SUBTOTAL SEGURIDAD SOCIAL</t>
  </si>
  <si>
    <t>APORTES PARAFISCALES</t>
  </si>
  <si>
    <r>
      <t xml:space="preserve">SENA </t>
    </r>
    <r>
      <rPr>
        <sz val="8"/>
        <rFont val="Times New Roman"/>
        <family val="1"/>
      </rPr>
      <t>(Afectado por la reforma tributaria) - asumido por el CREE</t>
    </r>
  </si>
  <si>
    <r>
      <t xml:space="preserve">ICBF </t>
    </r>
    <r>
      <rPr>
        <sz val="8"/>
        <rFont val="Times New Roman"/>
        <family val="1"/>
      </rPr>
      <t>(Afectado por la reforma tributaria) - asumido por el CREE</t>
    </r>
  </si>
  <si>
    <t>Caja de compensación familiar</t>
  </si>
  <si>
    <r>
      <t xml:space="preserve">FIC </t>
    </r>
    <r>
      <rPr>
        <sz val="8"/>
        <rFont val="Times New Roman"/>
        <family val="1"/>
      </rPr>
      <t>(Fondo Nacional de Formación Profesional de la Industria de la Construcción)</t>
    </r>
  </si>
  <si>
    <t>SUBTOTAL PARAFISCALES</t>
  </si>
  <si>
    <t>DOTACIÓN</t>
  </si>
  <si>
    <t>Dotación</t>
  </si>
  <si>
    <t>Implementos de Seguridad</t>
  </si>
  <si>
    <t>SUBTOTAL DOTACIÓN</t>
  </si>
  <si>
    <t>VALOR REAL DEL SALARIO</t>
  </si>
  <si>
    <t>RECUPERACIÓN PRESTACIONAL ANUAL</t>
  </si>
  <si>
    <t>TIEMPO PRODUCTIVO</t>
  </si>
  <si>
    <t>Domingos</t>
  </si>
  <si>
    <t>Festivos</t>
  </si>
  <si>
    <t>Permisos</t>
  </si>
  <si>
    <t xml:space="preserve">Numero de días </t>
  </si>
  <si>
    <t>HORAS HÁBILES LABORALES</t>
  </si>
  <si>
    <t>RECUPERACIÓN SALARIAL</t>
  </si>
  <si>
    <t>Valor hora efectiva (FP / FR)</t>
  </si>
  <si>
    <t>Valor real del salario</t>
  </si>
  <si>
    <t>FACTOR PRESTACIONAL</t>
  </si>
  <si>
    <t>Información tomada del MINTRABAJO - Articulo : "Cual es el costo global del salario minimo en Colombia para 2014", Tabla 1 - Calculo factor prestacional, Tabla 3 - Calculo tiempo productivo.</t>
  </si>
  <si>
    <t>2014, incluye ley 1607de 2012 Impuesto CREE (Impuesto sobre la renta para la equidad)</t>
  </si>
  <si>
    <t>El subsidio de transporte se reconoce hasta dos (2) SMMLV</t>
  </si>
  <si>
    <r>
      <rPr>
        <b/>
        <sz val="12"/>
        <color indexed="63"/>
        <rFont val="Arial"/>
        <family val="2"/>
      </rPr>
      <t xml:space="preserve">Decreto 2360, </t>
    </r>
    <r>
      <rPr>
        <sz val="12"/>
        <color indexed="63"/>
        <rFont val="Arial"/>
        <family val="2"/>
      </rPr>
      <t>del 26 de diciembre de 2019</t>
    </r>
  </si>
  <si>
    <r>
      <rPr>
        <b/>
        <sz val="12"/>
        <color indexed="63"/>
        <rFont val="Arial"/>
        <family val="2"/>
      </rPr>
      <t xml:space="preserve">Dec_2361  </t>
    </r>
    <r>
      <rPr>
        <sz val="12"/>
        <color indexed="63"/>
        <rFont val="Arial"/>
        <family val="2"/>
      </rPr>
      <t xml:space="preserve">_ del 26 de dic de 20192018
</t>
    </r>
  </si>
  <si>
    <t>VALOR REAL DEL SALARIO 2020 - AFECTACIÓN PRESTACIONAL ANUAL</t>
  </si>
  <si>
    <t>HERRAMIENTA MENOR (15% MO)</t>
  </si>
  <si>
    <t xml:space="preserve">THINNER </t>
  </si>
  <si>
    <t>CUADRILLA DE PINTURA CC   HH</t>
  </si>
  <si>
    <t>LIJA DE TELA 120</t>
  </si>
  <si>
    <t>PL</t>
  </si>
  <si>
    <t>PINTURA  ESMALTE SINTETICO</t>
  </si>
  <si>
    <t>PINTURA EN POLVO</t>
  </si>
  <si>
    <t xml:space="preserve">TÉCNICO - DIBUJANTE 2 </t>
  </si>
  <si>
    <t xml:space="preserve">CINTA DE SEÑALIZACION  CL 2MM </t>
  </si>
  <si>
    <t>DELINEADOR TUBULAR LASTRADO</t>
  </si>
  <si>
    <t>SEÑALES TEMPORALES PORTATILES</t>
  </si>
  <si>
    <t>DISPOSITIVOS LUMINOSOS</t>
  </si>
  <si>
    <t>KIT DE SEÑALIZACION</t>
  </si>
  <si>
    <t>TON</t>
  </si>
  <si>
    <t>AYUDANTE DE ALBAÑILERIA 3</t>
  </si>
  <si>
    <t>BANDERERO</t>
  </si>
  <si>
    <t>REPUBLICA DE COLOMBIA</t>
  </si>
  <si>
    <t>Seccretaria Distrital de Movilidad</t>
  </si>
  <si>
    <t>ESPECIFICACIÓN: Nuevo Manual de Señalización</t>
  </si>
  <si>
    <t>ITEM:  KIT SEÑALIZACION TEMPORAL PARA PMT</t>
  </si>
  <si>
    <t>UNIDAD  : UND</t>
  </si>
  <si>
    <t>I. EQUIPO</t>
  </si>
  <si>
    <t>Valor-Unit.</t>
  </si>
  <si>
    <t>Sub-Total</t>
  </si>
  <si>
    <t>II. MATERIALES EN OBRA</t>
  </si>
  <si>
    <t>Precio-Unit.</t>
  </si>
  <si>
    <t>III. TRANSPORTES</t>
  </si>
  <si>
    <t>Material</t>
  </si>
  <si>
    <t>Vol. Peso ó Cant.</t>
  </si>
  <si>
    <t>Distancia</t>
  </si>
  <si>
    <t>M3-Km</t>
  </si>
  <si>
    <t>Tarifa</t>
  </si>
  <si>
    <t>IV. MANO DE OBRA</t>
  </si>
  <si>
    <t>Prestaciones</t>
  </si>
  <si>
    <t>Total Costo Directo</t>
  </si>
  <si>
    <t>V. COSTOS INDIRECTOS</t>
  </si>
  <si>
    <t>Porcentaje</t>
  </si>
  <si>
    <t>Valor Total</t>
  </si>
  <si>
    <t>ADMINISTRACION</t>
  </si>
  <si>
    <t xml:space="preserve">IMPREVISTOS </t>
  </si>
  <si>
    <t>Precio unitario total aproximado al peso</t>
  </si>
  <si>
    <t xml:space="preserve">KIT SEÑALES TEMPORAL PORTATILES </t>
  </si>
  <si>
    <t>SUMINISTRO E INSTALCION DE PMT</t>
  </si>
  <si>
    <t xml:space="preserve">UND -HORA </t>
  </si>
  <si>
    <t xml:space="preserve">HR MES </t>
  </si>
  <si>
    <t xml:space="preserve">MESES </t>
  </si>
  <si>
    <t xml:space="preserve"> PMT (KIT )</t>
  </si>
  <si>
    <t>IMPRIMANTE ACRÍLICO NEGRO  4 mill</t>
  </si>
  <si>
    <t>REFLECTOMETRO HORIZONTAL</t>
  </si>
  <si>
    <t xml:space="preserve">REFLECTOMETRO VERICAL </t>
  </si>
  <si>
    <t>KGR/GAL</t>
  </si>
  <si>
    <t xml:space="preserve">DESPERDICIO  </t>
  </si>
  <si>
    <t>EQUIPO DE CONTROL DE OBRA</t>
  </si>
  <si>
    <t>KGR /GAL</t>
  </si>
  <si>
    <t>EN CONCRETO</t>
  </si>
  <si>
    <t>e= 1,8 mm</t>
  </si>
  <si>
    <t xml:space="preserve">KRS </t>
  </si>
  <si>
    <t>KGR/M2</t>
  </si>
  <si>
    <t>KGR/ML</t>
  </si>
  <si>
    <t xml:space="preserve">EN FLEXIBLE </t>
  </si>
  <si>
    <t>E= 2 mm</t>
  </si>
  <si>
    <t>A= ,15</t>
  </si>
  <si>
    <t xml:space="preserve">MICROESFERA </t>
  </si>
  <si>
    <t>10%(PINTURA )</t>
  </si>
  <si>
    <t>https://spanish.alibaba.com/product-detail/thermoplastic-road-marking-paint-for-traffic-signs-and-road-safety-60191310241.html</t>
  </si>
  <si>
    <t xml:space="preserve">5 A 6 </t>
  </si>
  <si>
    <t xml:space="preserve">PERSONAS </t>
  </si>
  <si>
    <t xml:space="preserve">M2 </t>
  </si>
  <si>
    <t>A= 0,15</t>
  </si>
  <si>
    <t xml:space="preserve">PERSONAL--DIA </t>
  </si>
  <si>
    <t>HRA</t>
  </si>
  <si>
    <r>
      <t>Rendimiento (metros cuadrados a 1.2 mm secos):</t>
    </r>
    <r>
      <rPr>
        <sz val="11"/>
        <color rgb="FF333333"/>
        <rFont val="Arial"/>
        <family val="2"/>
      </rPr>
      <t> 3 m²/gal</t>
    </r>
  </si>
  <si>
    <t xml:space="preserve">RENDIMIENTO </t>
  </si>
  <si>
    <t>Galones /M2</t>
  </si>
  <si>
    <t>Consumo Pintura: 0.9 Kg/m2 ( @ 600 micrones espesor seco</t>
  </si>
  <si>
    <t>400-700 g/m2</t>
  </si>
  <si>
    <t xml:space="preserve">Consumo Perlas Drop-On     E403 : </t>
  </si>
  <si>
    <t>Se recomienda aplicar entre 300 y 400 gramos por metro cuadrado aplicado</t>
  </si>
  <si>
    <t>kgr/M2</t>
  </si>
  <si>
    <t>,</t>
  </si>
  <si>
    <t>CLASE</t>
  </si>
  <si>
    <t xml:space="preserve">M2 /GALON </t>
  </si>
  <si>
    <t xml:space="preserve">ML / GALON </t>
  </si>
  <si>
    <t xml:space="preserve">COSUMO </t>
  </si>
  <si>
    <t>GAL / M2</t>
  </si>
  <si>
    <t>GAL / ML</t>
  </si>
  <si>
    <t xml:space="preserve">GAL </t>
  </si>
  <si>
    <t>PLASTICO EN FRIO   __LLANA</t>
  </si>
  <si>
    <t xml:space="preserve">IMPRIMANTE ACRILICO - NEGRO </t>
  </si>
  <si>
    <t xml:space="preserve">PLASTICO EN FRIO   __PULVERIZACION </t>
  </si>
  <si>
    <t>DENSIDAD_KGR / GALON</t>
  </si>
  <si>
    <t xml:space="preserve">PLASTICO EN FRIO   __ MAQUINA AUTOMATICA </t>
  </si>
  <si>
    <t>PLASTICO EN FRIO   __ RODILLO</t>
  </si>
  <si>
    <t xml:space="preserve">PINTURA O RESINA TERMOPLÁSTICA _EXTRUSION </t>
  </si>
  <si>
    <t xml:space="preserve">PINTURA O RESINA TERMOPLÁSTICA -pulverizacion </t>
  </si>
  <si>
    <t>EQUIPO MANUAL DE PINTURA PLÁSTICO EN FRIO (POR EXTRUSIÓN)</t>
  </si>
  <si>
    <t>REVISAR ESTOS UNITARIOS POR CONSUMO</t>
  </si>
  <si>
    <t xml:space="preserve">                                                                                        </t>
  </si>
  <si>
    <t>EQUIPO DE APLICACION ALUMINA ANTIDESLIZANTE</t>
  </si>
  <si>
    <t>INICIO</t>
  </si>
  <si>
    <t>NUESTROS PRODUCTOS</t>
  </si>
  <si>
    <t>SEÑALIZACIÓN HORIZONTAL</t>
  </si>
  <si>
    <t>SEMAFOROS Y SEÑALIZACIÓN LUMINOSA</t>
  </si>
  <si>
    <t>MONTAJES</t>
  </si>
  <si>
    <t>NOSOTROS</t>
  </si>
  <si>
    <t>https://www.reflex.com.co/?gclid=EAIaIQobChMIv6_U2saA7AIVA4NaBR1-2gV3EAAYASAAEgIlU_D_BwE</t>
  </si>
  <si>
    <t>https://www.aliensenalizacion.com/senalizacionvialhorizontal</t>
  </si>
  <si>
    <t xml:space="preserve">TALADRO PERCUTOR  </t>
  </si>
  <si>
    <t>4/87</t>
  </si>
  <si>
    <t>CHAZO DE EXPANSION 5/16 *4</t>
  </si>
  <si>
    <t>GRAVILLA de  1/4"</t>
  </si>
  <si>
    <t>VOLUMEN</t>
  </si>
  <si>
    <t>GRVA DENSIDAD -1,6TON/M3</t>
  </si>
  <si>
    <t>5*0,2*0,02</t>
  </si>
  <si>
    <t>M^2</t>
  </si>
  <si>
    <t>BALIZA ILUMINADA ELEVADA (LUZ INTERMITENTE DE COLOR AMARILLO) DIMENSIONES DE ACUERDO CON LA FIGURA  6,1-4 DE RESOLUCIÓN 1885 DE 2015.</t>
  </si>
  <si>
    <t>10/172</t>
  </si>
  <si>
    <t>LTS</t>
  </si>
  <si>
    <t>TINTA SCREM SERIGRAFIA</t>
  </si>
  <si>
    <t>E = VALOR TOTAL PROPUESTA ECONOMICA (POR ZONA)</t>
  </si>
  <si>
    <t>TOTAL OBRA Y SUMINISTROS</t>
  </si>
  <si>
    <t>VALOR</t>
  </si>
  <si>
    <t>ID</t>
  </si>
  <si>
    <t>4. ANEXO PROPUESTA ECONOMICA GENERAL</t>
  </si>
  <si>
    <r>
      <rPr>
        <b/>
        <sz val="9"/>
        <rFont val="Arial"/>
        <family val="2"/>
      </rPr>
      <t xml:space="preserve">NOTA 2 ANEXO PRESUPUESTO SUMINISTROS: </t>
    </r>
    <r>
      <rPr>
        <sz val="9"/>
        <rFont val="Arial"/>
        <family val="2"/>
      </rPr>
      <t>EL COSTO DIRECTO INCLUYE EL VALOR DEL IVA Y APLICAN LOS DESCUENTOS VIGENTES DE LEY AL MOMENTO DE FACTURAR.
LAS CANTIDADES DE SUMINISTRO POR EJECUTAR SON APROXIMADAS Y ESTAN CALCULADAS CON BASE A PROYECCIONES, POR LO TANTO, PODRAN AUMENTAR, DISMINUIR O SER SUPRIMIDAS DURANTE LA EJECUCIÓN DEL PROYECTO, TALES VARIACIONES NO VICIARÁN NI INVALIDARÁN EL CONTRATO PRODUCTO DE ESTA LICITACIÓN PÚBLICA. EL CONTRATISTA SE OBLIGA A EJECUTAR LAS MAYORES O MENORES CANTIDADES DE SUMINISTROS QUE RESULTAREN A LOS MISMOS PRECIOS DE LA PROPUESTA. ADICIONALMENTE EL VALOR DE CADA ITEM DE SUMINISTRO OFERTADO POR EL PROPONENTE DEBE SER IGUAL O INFERIOR AL PRESUPUESTO OFICIAL POR ITEM ESTABLECIDO POR LA SECRETARIA DE MOVILIDAD PARA EL PRESENTE PROCESO.</t>
    </r>
  </si>
  <si>
    <t>C = TOTAL OBRA + SUMINISTROS
(C= A + B)</t>
  </si>
  <si>
    <t>B = TOTAL SUMINISTROS (INCLUYE IVA)</t>
  </si>
  <si>
    <t>2. ANEXO PRESUPUESTO SUMINISTROS</t>
  </si>
  <si>
    <t>PRESUPUESTO</t>
  </si>
  <si>
    <t>DESENGRASANTE</t>
  </si>
  <si>
    <t>SDM 2019</t>
  </si>
  <si>
    <t>SUPUESTOS MACROECONÓMICOS 2020 - 2031</t>
  </si>
  <si>
    <r>
      <t xml:space="preserve">Inflación doméstica </t>
    </r>
    <r>
      <rPr>
        <b/>
        <i/>
        <sz val="11"/>
        <color theme="4" tint="-0.499984740745262"/>
        <rFont val="Calibri"/>
        <family val="2"/>
      </rPr>
      <t>(fin de período)</t>
    </r>
  </si>
  <si>
    <r>
      <t xml:space="preserve">PIB Nación </t>
    </r>
    <r>
      <rPr>
        <b/>
        <i/>
        <sz val="11"/>
        <color theme="4" tint="-0.499984740745262"/>
        <rFont val="Calibri"/>
        <family val="2"/>
      </rPr>
      <t>(Var real %)</t>
    </r>
  </si>
  <si>
    <r>
      <t xml:space="preserve">PIB Bogotá </t>
    </r>
    <r>
      <rPr>
        <b/>
        <i/>
        <sz val="11"/>
        <color theme="4" tint="-0.499984740745262"/>
        <rFont val="Calibri"/>
        <family val="2"/>
      </rPr>
      <t>(Var real %)</t>
    </r>
    <r>
      <rPr>
        <b/>
        <sz val="14"/>
        <color theme="4" tint="-0.499984740745262"/>
        <rFont val="Calibri"/>
        <family val="2"/>
      </rPr>
      <t>*</t>
    </r>
  </si>
  <si>
    <r>
      <t xml:space="preserve">Tasa de cambio </t>
    </r>
    <r>
      <rPr>
        <b/>
        <i/>
        <sz val="11"/>
        <color theme="4" tint="-0.499984740745262"/>
        <rFont val="Calibri"/>
        <family val="2"/>
      </rPr>
      <t>(Promedio de Período)</t>
    </r>
  </si>
  <si>
    <t>Fuente: Supuestos macroeconómicos del Ministerio de Hacienda y Crédito Público - MFMP 2020 ( Julio de 2020).  * El PIB de Bogotá se presentará con la publicación del MFMP 2020, Proyecto de presupuesto 2021</t>
  </si>
  <si>
    <t>ADHESIVO EPÓXICO PARA BANDAS ALERTADORAS</t>
  </si>
  <si>
    <t>RESALTO TIPO COJIN EN CAUCHO CON ALTA RESISTENCIA AL IMPACTO CON LARGO ENTRE 2 Y 3 M, ANCHO ENTRE 1,6 Y 1,8 M Y ALTURA ENTRE 6 Y 7,5 CM (INCLUYE ELEMENTOS DE SUJECIÓN)</t>
  </si>
  <si>
    <t>BARRICADA, ANCHO 2,4 M, 3 LISTONES DE 20 CM DE ANCHO EN MATERIAL REFLECTIVO TIPO IV O SUPERIOR (BLANCO Y NARANJA), ALTURA MIN 1,5M, FIGURA 4-15 RESOLUCIÓN 1885 DE 2015</t>
  </si>
  <si>
    <t>SEÑAL PARE/SIGA EN PAPEL RETROREFLECTIVO TIPO IV O SUPERIOR (30 CM)</t>
  </si>
  <si>
    <t>RESALTO PORTÁTIL DE PLÁSTICO CON ALTA RESISTENCIA AL IMPACTO DE ANCHO ENTRE 30 Y 50 CM Y ALTURA ENTRE 6 Y 8 CM (INCLUYE ELEMENTOS DE SUJECIÓN)</t>
  </si>
  <si>
    <t>AVERY
DENNISON</t>
  </si>
  <si>
    <t>LÁMINA RETRORREFLECTIVA TIPO VIII, NTC 4739</t>
  </si>
  <si>
    <t>LÁMINA RETRORREFLECTIVA TIPO IX, NTC 4739</t>
  </si>
  <si>
    <t>LÁMINA RETRORREFLECTIVA TIPO IV, NTC 4739, Color Amarillo Limón Fluorescente de 76cm de ancho por 45.7m de largo</t>
  </si>
  <si>
    <t>LÁMINA RETRORREFLECTIVA TIPO IX, NTC 4739, Color Blanco o Amarillo de 92 cm de ancho por 45.7m de largo</t>
  </si>
  <si>
    <t>LÁMINA RETRORREFLECTIVA TIPO IX, NTC 4739, Color Amarillo Limón Fluorescente de 92cm de ancho por 45.7m de largo</t>
  </si>
  <si>
    <t>PINTURA ACRÍLICA BASE SOLVENTE COLOR NEGRO</t>
  </si>
  <si>
    <t>EPOXIPOLIAMIDA</t>
  </si>
  <si>
    <t>EVERY
DENNISON</t>
  </si>
  <si>
    <t>PRECIOS 2017</t>
  </si>
  <si>
    <t xml:space="preserve">HR </t>
  </si>
  <si>
    <t>NSP DE COLOMBIA</t>
  </si>
  <si>
    <t>TACHAS ILUMINADAS BIDIRECCIONALES INTERNAMENTE (LUZ CONTINUA)</t>
  </si>
  <si>
    <t>DELINEADOR TUBULAR COMPUESTO LASTRADO  FIG 4-13</t>
  </si>
  <si>
    <t xml:space="preserve">ML </t>
  </si>
  <si>
    <t>SUMINISTRO E INSTALALCION DE CINTA PREFORMADA PARA MARCAS VIALES UN SOLO TONO (FLECHAS, CUADROS, RECTANGULOS) ESPESOR 1.5 mm</t>
  </si>
  <si>
    <t>SUMINISTRO E INSTALALCION DE CINTA PREFORMADA PARA MARCAS VIALES UN SOLO TONO (SIMBOLOS, PALBRAS, LETRAS,NUMEROS) ESPESOR DE 1,5mm</t>
  </si>
  <si>
    <t>SUMINISTRO E INSTALALCION DE CINTA PREFORMADA PARA MARCAS VIALES DOS TONO (SIMBOLOS, PALBRAS, LETRAS,NUMEROS) ESPESOR DE 1.5mm</t>
  </si>
  <si>
    <t>SUMINISTRO E INSTALALCION DE CINTA PREFORMADA PARA MARCAS VIALES DISEÑOS PERSONALIZADOS PASOS PEATONALES 3D 3 COLORES (BLANCO, GRIS, NEGRO) ESPESOR DE 1.5MM</t>
  </si>
  <si>
    <t>SUMINISTRO E INSTALALCION DE CINTA PREFORMADA PARA MARCAS VIALESDISEÑOS PERSONALIZADOS PASOS PEATONALENS DECORATIVOS Y LOGOTIPOS DE UN SOLO COLOR ESPESOR DE 1.5MM</t>
  </si>
  <si>
    <t>SUMINISTRO E INSTALALCION DE CINTA PREFORMADA PARA MARCAS VIALES DISEÑOS PERSONALIZADOS PASOS PEATONALES DECORATIVOS Y LOGOTIPOS DE VARIOS COLORES  ESPESOR DE 1.5MM</t>
  </si>
  <si>
    <t>CINTA PREFORMADA PARA MARCAS VIALES UN SOLO TONO (FLECHAS, CUADROS, RECTANGULOS) ESPESOR 2.3 mm</t>
  </si>
  <si>
    <t>CINTA PREFORMADA PARA MARCAS VIALES UN SOLO TONO (SIMBOLOS, PALBRAS, LETRAS,NUMEROS) ESPESOR 2,3MM</t>
  </si>
  <si>
    <t>CINTA PREFORMADA PARA MARCAS VIALES DOS TONO (SIMBOLOS, PALBRAS, LETRAS,NUMEROS) ESPESOR 2.3MM</t>
  </si>
  <si>
    <t>SUMINISTRO E INSTALALCION DE CINTA PREFORMADA PARA MARCAS VIALES DISEÑOS PERSONALIZADOS PASOS PEATONALES 3D 3 COLORES (BLANCO, GRIS, NEGRO) ESPESOR DE 2,3MM</t>
  </si>
  <si>
    <t>SUMINISTRO E INSTALALCION DE CINTA PREFORMADA PARA MARCAS VIALES DISEÑOS PERSONALIZADOS PASOS PEATONALENS DECORATIVOS Y LOGOTIPOS DE UN SOLO COLOR ESPESOR DE 2,3MM</t>
  </si>
  <si>
    <t>SUMINISTRO E INSTALALCION DE CINTA PREFORMADA PARA MARCAS VIALES DISEÑOS PERSONALIZADOS PASOS PEATONALES DECORATIVOS Y LOGOTIPOS DE VARIOS COLORES  ESPESOR DE 2,3MM</t>
  </si>
  <si>
    <t>SUMINISTRO E INSTALACION DE CINTA PREFORMADA PARA LÍNEAS DE DEMARCACIÓN COLOR AMARILO O NEGRO INCLUYE MICROESFERA ESPESOR DE 1,5 MM   ,10</t>
  </si>
  <si>
    <t>SUMINSITRO E INCINTA PREFORMADA PARA LÍNEAS DE DEMARCACIÓN COLOR AMARILO O NEGRO INCLUYE MICROESFERA ESPESOR DE 1,5 MM  ,12</t>
  </si>
  <si>
    <t>SUMINISTRO E INSTALALCION DE CINTA PREFORMADA PARA LÍNEAS DE DEMARCACIÓN COLOR AMARILO O NEGRO INCLUYE MICROESFERA ESPESOR DE 1,5 MM   ,15</t>
  </si>
  <si>
    <t>CINTA PREFORMADA PARA LÍNEAS DE DEMARCACIÓN COLOR AMARILO O NEGRO INCLUYE MICROESFERA ESPESOR DE 1,5 MM ,40</t>
  </si>
  <si>
    <t>SUMINISTRO E INSTALALCION DE CINTA PREFORMADA PARA LÍNEAS DE DEMARCACIÓN COLOR AMARILO O NEGRO INCLUYE MICROESFERA ESPESOR DE 2,3 MM   ,20</t>
  </si>
  <si>
    <t>SUMINISTRO E INSTALALCION DE CINTA PREFORMADA PARA LÍNEAS DE DEMARCACIÓN COLOR AMARILO O NEGRO INCLUYE MICROESFERA ESPESOR DE 2,3 MM  ,10</t>
  </si>
  <si>
    <t>SUMINISTRO E INSTALALCION DE CINTA PREFORMADA PARA LÍNEAS DE DEMARCACIÓN COLOR AMARILO O NEGRO INCLUYE MICROESFERA ESPESOR DE 2,3 MM   ,12</t>
  </si>
  <si>
    <t>SUMINISTRO E INSTALALCION DE CINTA PREFORMADA PARA LÍNEAS DE DEMARCACIÓN COLOR AMARILO O NEGRO INCLUYE MICROESFERA ESPESOR DE 2,3 MM   ,15</t>
  </si>
  <si>
    <t>CINTA PREFORMADA PARA LÍNEAS DE DEMARCACIÓN COLOR AMARILO O NEGRO INCLUYE MICROESFERA ESPESOR DE 2,3 MM   ,40</t>
  </si>
  <si>
    <t>SISTEMA ANTIGRAFFITI PELÍCULA LIQUIDA CERAKOTE HIGH GLOSS</t>
  </si>
  <si>
    <t xml:space="preserve">PINTURA ELECTRO ESTATICA FOTOLUMINISCENTE  </t>
  </si>
  <si>
    <t xml:space="preserve">KL </t>
  </si>
  <si>
    <t xml:space="preserve">IMPRESION DIGITAL UV SOBRE RIGIDOS </t>
  </si>
  <si>
    <t>SUMINISTRO E INSTALALCION DE CINTA PREFORMADA PARA LÍNEAS DE DEMARCACIÓN COLOR AMARILO O NEGRO INCLUYE MICROESFERA ESPESOR DE 1,5 MM  0,20,</t>
  </si>
  <si>
    <t>PASO PEATONAL INTELIGENTE, CONFORMADO POR 2 PANEL LED (SP47), TACHAS LED (CANTIDAD DETERMINADA SEGÚN ANCHO DE LA CALLE), 2 SENSORES Y 2 UNIDADES DE CONTROL AC/DC; INTEGRADO COMO SISTEMA DE PREVENCIÓN VIAL QUE INDICA A LOS CONDUCTORES SOBRE LA REDUCCIÓN DE LA VELOCIDAD Y LA DETENCIÓN DEL VEHÍCULO PARA PERMITIR EL PASO DE PEATONES.
SE ANEXA FICHA TÉCNICA DEL PRODUCTO.</t>
  </si>
  <si>
    <t>IDU</t>
  </si>
  <si>
    <t>IDU
PRECIO DE REFERENCIA</t>
  </si>
  <si>
    <t>KR</t>
  </si>
  <si>
    <t>SECOP II SDM-011-2020
ESTRUCTURADOR COLOMBIA
13-10-2020</t>
  </si>
  <si>
    <t>SECOP II SDM-011-2020
INTEGRAL S.A.
13-10-2020</t>
  </si>
  <si>
    <t>LPC INGENIERÍA VIAL
14-10-2020</t>
  </si>
  <si>
    <t>Camión con caldera para derretir el termoplástico</t>
  </si>
  <si>
    <t>TECNICO INSPECTOR 2 NOCTURNO</t>
  </si>
  <si>
    <t xml:space="preserve">Suministro e instalación de tachas reflectivas según diseño con espigo de mínimo 5 cm. Cumpliendo con los coeficientes de intensidad luminosa de la NTC 4745 (Tabla 1). </t>
  </si>
  <si>
    <t xml:space="preserve">Suministro e instalación de tachas reflectivas segun diseño. Cumpliendo con los coeficientes de intensidad luminosa de la NTC 4745 (Tabla 1). </t>
  </si>
  <si>
    <t>CONO VIAL.</t>
  </si>
  <si>
    <t>MARCADOR CILÍNDRICO O HITO TUBULAR, COLOR AMARILLO, MATERIAL SINTÉTICO FLEXIBLE, DOS BANDAS DE MIN 10 CM EN PAPEL REFLECTIVO BLANCO TIPO IV O SUPERIOR, ALTURA ENTRE 70 Y 80 CM, DIÁMETRO 20 CM (FIGURA 5-10 RESOLUCIÓN 1885 DE 2015), INCLUYE ELEMENTOS DE SUJECIÓN</t>
  </si>
  <si>
    <t>RESALTO TRAPEZOIDAL O POMPEYANO, MATERIAL CON ALTA RESISTENCIA AL IMPACTO, LARGO MIN 2,5 M, 2 RAMPAS DE ACCESO LARGO 1 M PENDIENTE 15% MÁX  Y ALTURA 10 CM, INCLUYE ELEMENTOS DE SUJECIÓN (FIGURA 5-26 RESOLUCIÓN 1885 DE 2015). (POR METRO DE ANCHO VIAL)</t>
  </si>
  <si>
    <t>RESALTO PARABÓLICO Y CIRCULAR, MATERIAL CON ALTA RESISTENCIA AL IMPACTO, LARGO ENTRE 3,7 Y 6,7 M Y ALTURA MAX 10 CM, INCLUYE ELEMENTOS DE SUJECIÓN (FIGURA 5-17 (27) RESOLUCIÓN 1885 DE 2015) (POR METRO DE ANCHO VIAL)</t>
  </si>
  <si>
    <t>RESALTO TIPO COJIN EN PLASTICO CON ALTA RESISTENCIA AL IMPACTO CON LARGO ENTRE 2 Y 3 M, ANCHO ENTRE 1,6 Y 1,8 M Y ALTURA ENTRE 6 Y 7,5 CM (INCLUYE ELEMENTOS DE SUJECIÓN)</t>
  </si>
  <si>
    <t>ISLAS PEATONALES ANCHO MIN 1,8 M, ALTURA ENTRE 10 Y 15 CM, MATERIAL CON ALTA RESISTENCIA AL IMPACTO, INCLUYE ELEMENTOS DE SUJECIÓN (FIGURA 6.1-1 IMAGEN 1 O 3 RESOLUCIÓN 1885 DE 2015)</t>
  </si>
  <si>
    <t>ISLAS PEATONALES ANCHO MIN 1,2 M, ALTURA ENTRE 10 Y 15 CM, MATERIAL CON ALTA RESISTENCIA AL IMPACTO, INCLUYE ELEMENTOS DE SUJECIÓN (FIGURA 6.1-1 IMAGEN 1 O 3 RESOLUCIÓN 1885 DE 2015)</t>
  </si>
  <si>
    <t>ISLAS PEATONALES ANCHO MIN 1,5 M, ALTURA ENTRE 10 Y 15 CM, MATERIAL CON ALTA RESISTENCIA AL IMPACTO, INCLUYE ELEMENTOS DE SUJECIÓN (FIGURA 6.1-1 IMAGEN 1 O 3 RESOLUCIÓN 1885 DE 2015)</t>
  </si>
  <si>
    <t>HITO LUMINOSO, CON SISTEMA DE ILUMINACIÓN INTERNO, LUZ CONTINUA, BLANCO O AMARILLO, ALTURA DE 70 CM, ANCHO MÍN 30 CM (FIGURA 5-14 RESOLUCIÓN 1885 DE 2015) PROVEEDOR</t>
  </si>
  <si>
    <t>HOMCENTER</t>
  </si>
  <si>
    <t>EASY</t>
  </si>
  <si>
    <t xml:space="preserve">construvarios </t>
  </si>
  <si>
    <t>PRECIO 
INVIAS</t>
  </si>
  <si>
    <t>HOMECENTER</t>
  </si>
  <si>
    <t>LÁMINA RETRORREFLECTIVA TIPO IV, NTC 4739, Color Amarillo Limón Fluorescente de 61cm de ancho por 45.7m de largo</t>
  </si>
  <si>
    <t>DOBLADORA DE LAMINA</t>
  </si>
  <si>
    <t>EQUIPO DE SCREEN</t>
  </si>
  <si>
    <t>ACUEDUCTO</t>
  </si>
  <si>
    <t>IMPRIMANTE TRANSPARENTE  BASE EPOXICA (CINTAS PREFORMADAS)</t>
  </si>
  <si>
    <t>6S</t>
  </si>
  <si>
    <t>7S</t>
  </si>
  <si>
    <t>DISPOSITIVOS LUMINOSOS  TIPO FLASHER PARA CONO</t>
  </si>
  <si>
    <t>BASTON LUMINOSO BICOLOR</t>
  </si>
  <si>
    <t>VALLA DE APERTURA TIPO  A</t>
  </si>
  <si>
    <t>BALIZA DESTELLANTE FIG. 3-40 RES 1885-2015</t>
  </si>
  <si>
    <t>TOPE VEHICULAR VERTICAL, MATERIAL CON ALTA RESISTENCIA AL IMPACTO, ALTURA MIN 60 CM CON UNA BANDA DE 15 CM EN PAPEL REFLECTIVA BLANCO TIPO IV O SUPERIOR</t>
  </si>
  <si>
    <t>8S</t>
  </si>
  <si>
    <t>9S</t>
  </si>
  <si>
    <t>10S</t>
  </si>
  <si>
    <t>11S</t>
  </si>
  <si>
    <t xml:space="preserve">DISPOSITIVOS LUMINOSOS  TIPO FLASHER PARAVALLA PUESTO DE CONTROL </t>
  </si>
  <si>
    <t>12S</t>
  </si>
  <si>
    <t xml:space="preserve">VALLA PLEGABLE PUESTO DE CONTROL </t>
  </si>
  <si>
    <t>FLASHER PARA VALLA</t>
  </si>
  <si>
    <t>BASTON LUMINOSO BICOLOR RECARGABLE RETRACTIL</t>
  </si>
  <si>
    <t xml:space="preserve">SEÑALES TEMPORALES SR- SP CON  APOYO TRIPODE </t>
  </si>
  <si>
    <t xml:space="preserve">SEÑAL PORTATIL CON APOYO TRIPODE </t>
  </si>
  <si>
    <t>CINTA TERMOPLASTICO  PREFORMADA DE COLOR BLANCO E= 90 mill</t>
  </si>
  <si>
    <t>CINTA TERMOPLATICO  PREFORMADA DE COLOR BLANCO E=125 mill</t>
  </si>
  <si>
    <t>CINTA TERMOPLATICO  PREFORMADA DE COLOR AMARILLO E= 90 mill</t>
  </si>
  <si>
    <t>CINTA TERMOPLATICO PREFORMADA DE COLOR AMARILLO E=125 mill</t>
  </si>
  <si>
    <t>CINTA TERMOPLATICO  PREFORMADA DE COLOR ROJO  E= 90 mill</t>
  </si>
  <si>
    <t>CINTA TERMOPLATICO PREFORMADA DE COLOR ROJO  E=125 mill</t>
  </si>
  <si>
    <t>CINTA TERMOPLATICO  PREFORMADA DE COLOR AZUL  E= 90 mill</t>
  </si>
  <si>
    <t>CINTA TERMOPLATICO PREFORMADA DE COLOR AZUL   E=125 mill</t>
  </si>
  <si>
    <t xml:space="preserve">ANTORCHA </t>
  </si>
  <si>
    <t>GLP</t>
  </si>
  <si>
    <t>VALOR GENERAL DE LA OFERTA ECONÓMICA EN LETRAS (E)
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t>
  </si>
  <si>
    <t>Suministro e instalacion de material granular (recebo)para lastrado de dispositivos de señalizacion (incluye transporte)</t>
  </si>
  <si>
    <t>TOTAL</t>
  </si>
  <si>
    <t xml:space="preserve">PRECIOS BASE + INFLACION </t>
  </si>
  <si>
    <t xml:space="preserve">UNA ZONA </t>
  </si>
  <si>
    <t>SIETE ZONAS</t>
  </si>
  <si>
    <t xml:space="preserve">VALOR </t>
  </si>
  <si>
    <t>Dedicación</t>
  </si>
  <si>
    <t>Especialista en Tránsito</t>
  </si>
  <si>
    <t>Tecnólogo en georreferenciación</t>
  </si>
  <si>
    <t>Trabajador Social</t>
  </si>
  <si>
    <t>Secretaria</t>
  </si>
  <si>
    <t>Estampilla Procultura</t>
  </si>
  <si>
    <t xml:space="preserve">Estampilla Pro Adulto Mayor </t>
  </si>
  <si>
    <t>Estampilla Universidad Pedagógica</t>
  </si>
  <si>
    <t xml:space="preserve">Estampilla Universidad Distrital </t>
  </si>
  <si>
    <t>Imprevistos</t>
  </si>
  <si>
    <t>CALCULO DEL A.I.U</t>
  </si>
  <si>
    <t>Recurso Humano</t>
  </si>
  <si>
    <t>Salario o valor</t>
  </si>
  <si>
    <t>F.P</t>
  </si>
  <si>
    <t>Director de Obra del proyecto</t>
  </si>
  <si>
    <t>Ingeniero Residente diurno</t>
  </si>
  <si>
    <t>Ingeniero Residente nocturno</t>
  </si>
  <si>
    <t>Profesional SST</t>
  </si>
  <si>
    <t>Conductor Diurno</t>
  </si>
  <si>
    <t>Conductor nocturno</t>
  </si>
  <si>
    <t>TOTAL RECURSO HUMANO</t>
  </si>
  <si>
    <t>Otros gastos de Administración</t>
  </si>
  <si>
    <t>Arrendamiento Arrendamiento Bodega y oficina</t>
  </si>
  <si>
    <t>mes</t>
  </si>
  <si>
    <t>Alquiler de computador con Office y Autocad</t>
  </si>
  <si>
    <t>Alquiler de impresoras</t>
  </si>
  <si>
    <t>Alquiler plotter</t>
  </si>
  <si>
    <t>Servicio públicos Servicios públicos, incluye servicios de comunicaciones (teléfono, fax, internet), y otros.</t>
  </si>
  <si>
    <t>Personal Administrativo no facturado</t>
  </si>
  <si>
    <t>Personal Profesional y Técnico no facturado</t>
  </si>
  <si>
    <t>Auxilio para gastos  de papeleria,  papel plotter fotocopias y otros Suministros  de  oficina necesarios
para el desarrollo de las actividades del contrato</t>
  </si>
  <si>
    <t>Auxilio por celulares - equipo y  consumo- Alquiler celulares con plan de datos</t>
  </si>
  <si>
    <t>Otro Alquiler de cámara fotográfica digital</t>
  </si>
  <si>
    <t>Alquiler mobiliario de oficina</t>
  </si>
  <si>
    <t>Dotación personal mínimo</t>
  </si>
  <si>
    <t>Dotación personal operativo mínimo</t>
  </si>
  <si>
    <t>Elementos de bioseguridad</t>
  </si>
  <si>
    <t>Termómetro Infrarojo Temperatura Corporal</t>
  </si>
  <si>
    <t>TOTAL OTROS GASTOS ADMINISTRATIVOS</t>
  </si>
  <si>
    <t>Estampillas e Impuestos</t>
  </si>
  <si>
    <t>Vigencia</t>
  </si>
  <si>
    <t xml:space="preserve">Contribución Especial  </t>
  </si>
  <si>
    <t>Retención</t>
  </si>
  <si>
    <t>ICA</t>
  </si>
  <si>
    <t>TOTAL ESTAMPILLAS E IMPUESTOS</t>
  </si>
  <si>
    <t>Legalización del contrato</t>
  </si>
  <si>
    <t>Pólizas - Gasto fijo comprobable-</t>
  </si>
  <si>
    <t>TOTAL LEGALIZACIÓN DEL CONTRATO</t>
  </si>
  <si>
    <t>Total costos Administración</t>
  </si>
  <si>
    <t>Porcentaje Administración</t>
  </si>
  <si>
    <t>Utilidad</t>
  </si>
  <si>
    <t>TOTAL AIU</t>
  </si>
  <si>
    <t>VALOR CONTRATO (1 ZONA)</t>
  </si>
  <si>
    <t>MATERIAL FOTOLUMINICENTE</t>
  </si>
  <si>
    <t>Sika Floor3 Quartz Top 50 kilos Neutro</t>
  </si>
  <si>
    <t xml:space="preserve">Sika Floor3 Quartz Top 50 kilos Neutro O SIMILAR </t>
  </si>
  <si>
    <t xml:space="preserve">TOTAL PRESUPUESTO </t>
  </si>
  <si>
    <t xml:space="preserve">CATIDADES TOTALES </t>
  </si>
  <si>
    <t>D  - TOTAL OBRA</t>
  </si>
  <si>
    <t>E = TOTAL SUMINISTROS (INCLUYE IVA)</t>
  </si>
  <si>
    <t>F = TOTAL OBRA + SUMINISTROS
(F= D*7 + E</t>
  </si>
  <si>
    <t>F = TOTAL OBRA + SUMINISTROS
(F= D + E</t>
  </si>
  <si>
    <t>TOTAL POR  7 ZONAS</t>
  </si>
  <si>
    <t>Fabricación y suministro de tableros en lámina galvanizada C-16 E=1,5 mm, material reflectivo Tipo XI , película antigraffiti, para señales SP-SR-SI cumpliendo normatividad vigente. (Incluye elementos de fijación)</t>
  </si>
  <si>
    <t>Fabricación, suministro e instalación de señal preventiva, Reglamentaria  e informativa de 45 cm con tablero doble en lámina galvanizada C-16 E=1,5mm y material reflectivoTipo IV o superior, película antigraffiti, con tubo galvanizado de 2" de diámetro interno y espesor de 3.9 mm  cumpliendo normatividad vigente. (Incluye la cimentación del soporte para la señal)</t>
  </si>
  <si>
    <t>Fabricación, suministro e instalación de tablero de 60 cm, señal Reglamentaria, preventiva o informativa, material reflectivo tipo XI, película antigraffiti, en lámina galvanizada C16 E=1,5 mm, cumpliendo normatividad vigente. (Incluye elementos de fijación)</t>
  </si>
  <si>
    <t>Fabricación, suministro e instalación de tablero de 75 cm, señal Reglamentaria, preventiva o informativa, material reflectivo tipo XI, película antigraffiti, en lámina galvanizada C16 E=1,5 mm, cumpliendo normatividad vigente. (Incluye elementos de fijación)</t>
  </si>
  <si>
    <t>Fabricación, suministro e instalación de tablero de 90 cm, señal Reglamentaria, preventiva o informativa, material reflectivo tipo XI, película antigraffiti,  en lámina galvanizada C16 E=1,5 mm, cumpliendo normatividad vigente. (Incluye elementos de fijación)</t>
  </si>
  <si>
    <t>Fabricación, suministro e instalación de tablero de 45 cm, señal preventiva, reglamentaría e informativa, lámina galvanizada C-16 E=1,5 mm y material reflectivotipo IV o superior, película antigraffiti, cumpliendo normatividad vigente. (Incluye elementos de fijación)</t>
  </si>
  <si>
    <t>Suministro y aplicación de antideslizante para marcas viales según norma NTC 2072</t>
  </si>
  <si>
    <t>Suministro y anclaje de tachón en resina poliéster de color amarillo con alta resistencia al impacto y material retroreflectivo tipo XI en los costados (Tipo piramidal con base rectangular, con incrustación al pavimento, altura máxima de 6 cm, ancho de 15 cm y largo 25 cm). Incluye accesorios y materiales para fijación.</t>
  </si>
  <si>
    <t>Suministro, instalación y lastrado (con material granular mínimo a ¼ de su altura) de maletín plástico de base mínima de 50 cm por 200 cm y altura mínima de 100 cm, con material reflectivo tipo XI color blanco, incluye transportes, instalación y lastrado.</t>
  </si>
  <si>
    <t>Transporte de materiales</t>
  </si>
  <si>
    <t>Suministro e instalación de cinta en termoplástico preformada de color amarillo e= 90 mils</t>
  </si>
  <si>
    <t>Suministro e instalación de cinta en termoplástico preformada de color amarillo e= 125 mils</t>
  </si>
  <si>
    <t>Suministro e instalación de cinta en termoplástico preformada de color rojo e= 90 mils</t>
  </si>
  <si>
    <t>Suministro e instalación de cinta en termoplástico preformada de color rojo e= 125 mils</t>
  </si>
  <si>
    <t>Suministro e instalación de cinta en termoplástico preformada de color azul e= 90 mils</t>
  </si>
  <si>
    <t>Suministro e instalación de cinta en termoplástico preformada de color azul e= 125 mils</t>
  </si>
  <si>
    <t>Suministro e instalación de bandas fotoluminiscentes para paso vehicular de 8 mm de altura, construida con gravilla de 3 mm y resina epóxica.</t>
  </si>
  <si>
    <t>Suministro e instalación de bandas  fotoluminiscentes para ciclorrutas; de 8 mm de altura, construida con gravilla de 3 mm y resina epóxica.</t>
  </si>
  <si>
    <t>SUPUESTOS MACROECONÓMICOS 2018 - 2030</t>
  </si>
  <si>
    <r>
      <t xml:space="preserve">PIB Bogotá </t>
    </r>
    <r>
      <rPr>
        <b/>
        <i/>
        <sz val="11"/>
        <color theme="4" tint="-0.499984740745262"/>
        <rFont val="Calibri"/>
        <family val="2"/>
      </rPr>
      <t>(Var real %)</t>
    </r>
  </si>
  <si>
    <t>Fuente: Supuestos macroeconómicos del Ministerio de Hacienda y Crédito Público ( Junio de 2019), LatinFocus consensus Forcast.  El PIB Bogotá corresponde a las cifras publicadas por el DANE en las Cuentas departamentales ( 2018) y a estimaciones de la DEEF-SDH -  (2019-2020). Versión: Agosto 2019</t>
  </si>
  <si>
    <t xml:space="preserve"> </t>
  </si>
  <si>
    <t>POR ZONA _OBRA</t>
  </si>
  <si>
    <t xml:space="preserve">COSTODIRECTO </t>
  </si>
  <si>
    <t>Incluir Y/O IZAJE</t>
  </si>
  <si>
    <t xml:space="preserve">HRAS / AÑO </t>
  </si>
  <si>
    <t>AIU</t>
  </si>
  <si>
    <t xml:space="preserve">BASE </t>
  </si>
  <si>
    <t>1mm</t>
  </si>
  <si>
    <t>39,37 mils</t>
  </si>
  <si>
    <t xml:space="preserve">90 mils </t>
  </si>
  <si>
    <t>CINTA TERMOPLATICO PREFORMADA DE COLOR AZUL   E=59 mill</t>
  </si>
  <si>
    <t>UND/HORA</t>
  </si>
  <si>
    <t>(Personal por encima de 2 SMMLV)</t>
  </si>
  <si>
    <t>(Personal por debajo de 2 SMMLV)</t>
  </si>
  <si>
    <t>CONCEPTO</t>
  </si>
  <si>
    <t>PORCENTAJE</t>
  </si>
  <si>
    <t>1.</t>
  </si>
  <si>
    <t>Salarios y Prestaciones Sociales de Personal Facturable</t>
  </si>
  <si>
    <t xml:space="preserve">Salarios </t>
  </si>
  <si>
    <t>Prima anual (legal)</t>
  </si>
  <si>
    <t>Cesantía</t>
  </si>
  <si>
    <t>Intereses de cesantía</t>
  </si>
  <si>
    <t>Vacaciones</t>
  </si>
  <si>
    <t>Seguridad Social - salud</t>
  </si>
  <si>
    <t>Seguridad Social - pensión</t>
  </si>
  <si>
    <t>Caja de Compensación Familiar</t>
  </si>
  <si>
    <t>Transporte</t>
  </si>
  <si>
    <t>Otros (Auxilios varios, prestaciones extralegales, Incapacidades no cubiertas)</t>
  </si>
  <si>
    <t>TOTAL FACTOR PRESTACIONAL</t>
  </si>
  <si>
    <t>2.</t>
  </si>
  <si>
    <t>Gastos Generales</t>
  </si>
  <si>
    <t>Servicios públicos, servicios de aseo y cafetería</t>
  </si>
  <si>
    <t>Servicios públicos, servicios de aseo y cafetería, incluye mantenimiento</t>
  </si>
  <si>
    <t>Incluye entre otros personal para la ejecución de tareas adminstrativas como pagos, correspondencia, trámites, aseo, etc</t>
  </si>
  <si>
    <t>Incluye entre otros Ingeniero de apoyo, dibujantes</t>
  </si>
  <si>
    <t>Fórmulas para liquidar prestaciones sociales:</t>
  </si>
  <si>
    <t>1. Prima de servicios: (Salario mensual * Días trabajados en el semestre)/360.</t>
  </si>
  <si>
    <t>2. Cesantías: (Salario mensual * Días trabajados)/360.</t>
  </si>
  <si>
    <t>3. Intereses sobre cesantías: (Cesantías * Días trabajados * 0,12)/360.</t>
  </si>
  <si>
    <t>4. Vacaciones: (Salario mensual básico * Días trabajados)/720.</t>
  </si>
  <si>
    <t>https://www.dvial.es/bolardos-de-plastico-hitos-y-balizas/999-191-hito-de-vertice-divergente-de-senalizacion-obispo.html#/24-tamano-120/267-color-azul</t>
  </si>
  <si>
    <t>13S</t>
  </si>
  <si>
    <t>14S</t>
  </si>
  <si>
    <t>SUMINISTRO DE BANNER 1,20 M X 1,20 M CON IMPRESIÓN DIGITAL FULL COLOR, EN LONA VINILICA (APLICACIÓN Y EL USO DE LA MARCA CIUDAD)</t>
  </si>
  <si>
    <t>VALLA ROMPETRAFICO DE 0,80 X 1,20 MTS, CONSTRUIDA EN TUBO CUADRADO DE 1"  C-18 Y  LAMINA GALVANIZADA C-20 (APLICACIÓN Y EL USO DE LA MARCA CIUDAD)</t>
  </si>
  <si>
    <t>G-VIAL</t>
  </si>
  <si>
    <t xml:space="preserve"> BANNER 1,20 M X 1,20 M CON IMPRESIÓN DIGITAL FULL COLOR, EN LONA VINILICA (APLICACIÓN Y EL USO DE LA MARCA CIUDAD), CON OJALES</t>
  </si>
  <si>
    <t xml:space="preserve">PAPEL REFLECTIVO TIPO IV </t>
  </si>
  <si>
    <t>https://www.homecenter.com.co/homecenter-co/product/278147/alambre-negro-1kg-c17-147mm-alm/278147/</t>
  </si>
  <si>
    <t>https://www.homecenter.com.co/homecenter-co/product/555989/broca-tipo-usa-p-muro-punta-tungsteno-1-2-x-4-/555989/</t>
  </si>
  <si>
    <t>https://www.homecenter.com.co/homecenter-co/product/555985/broca-tipo-usa-p-muro-punta-tungsteno-5-8-x-6/555985/</t>
  </si>
  <si>
    <t>https://www.homecenter.com.co/homecenter-co/product/13846/cemento-argos-gris-50kg/13846/</t>
  </si>
  <si>
    <t>https://www.homecenter.com.co/homecenter-co/product/336895/cinta-de-acordonamiento-rollo-500mt/336895/</t>
  </si>
  <si>
    <t>https://www.homecenter.com.co/homecenter-co/product/338593/disolvente-xilol-industrial-x-3-litros/338593/</t>
  </si>
  <si>
    <t xml:space="preserve">PINTUCO </t>
  </si>
  <si>
    <t>SOCINTER</t>
  </si>
  <si>
    <t>https://www.homecenter.com.co/homecenter-co/product/297070/gravilla-mona-40kg/297070/</t>
  </si>
  <si>
    <t>https://www.homecenter.com.co/homecenter-co/product/66915/sikafloor-3-quartz-top-endurecedor-de-pisos-neutro-30kg/66915/</t>
  </si>
  <si>
    <t>https://www.homecenter.com.co/homecenter-co/product/147971/pintura-epoxica-poliamida-gris-1-galon/147971/</t>
  </si>
  <si>
    <t>https://www.homecenter.com.co/homecenter-co/product/232046/anticorrosiva-1-galon-negro/232046/</t>
  </si>
  <si>
    <t>https://www.homecenter.com.co/homecenter-co/product/86533/tubo-cerramiento-galvanizado-2pg-x-191mm-x-6m/86533/</t>
  </si>
  <si>
    <t>https://www.homecenter.com.co/homecenter-co/product/156251/tubo-cuadrado-50-x-50-x-20mm-x-6m-estructural-hr50/156251/</t>
  </si>
  <si>
    <t>https://www.homecenter.com.co/homecenter-co/product/103223/electrodo-6013-x-1-8-kilo/103223/</t>
  </si>
  <si>
    <t>https://www.homecenter.com.co/homecenter-co/product/91607/puntilla-con-cabeza-2-1-2pg-500g/91607/</t>
  </si>
  <si>
    <t>https://www.homecenter.com.co/homecenter-co/product/329947/tela-mixta-verde-azul-impresa-50ml-x-2m-ancho/329947/</t>
  </si>
  <si>
    <t>https://www.homecenter.com.co/homecenter-co/product/96669/broca-hss-1-2-pulgada-d60a331/96669/</t>
  </si>
  <si>
    <t>MADERAS PUERTO COLOMBIA LTDA</t>
  </si>
  <si>
    <t>ASERRIO SAN IGNACIO LTDA</t>
  </si>
  <si>
    <t>FORMADERAS Y CASETONES WP SAS</t>
  </si>
  <si>
    <t>PROVESI</t>
  </si>
  <si>
    <t>https://provesi.com.co/otros-senalizacion-vial/1975-barrera-vial-o-maletin-plastico-largo-205mts-alto-1mt-ancho-base-495-cm-pg-2g.html</t>
  </si>
  <si>
    <t>https://provesi.com.co/otros-senalizacion-vial/837-senalizador-vial-tubular-base-cono-naranja-baliza-3-reflectivos-pg-.html</t>
  </si>
  <si>
    <t>https://provesi.com.co/otros-senalizacion-vial/842-hito-delineador-vial-flexible-naranja-tubo-senalizacion-tg-tornillos.html</t>
  </si>
  <si>
    <t>https://provesi.com.co/otros-senalizacion-vial/853-1656-tacha-reflectiva-ojos-de-gato-bidireccional.html#/75-color-blaco_rojo</t>
  </si>
  <si>
    <t>IDU
2024</t>
  </si>
  <si>
    <t>CONDUCTOR NOCTURNO (No Incluye factor prestacional)</t>
  </si>
  <si>
    <t>Plazo 2024</t>
  </si>
  <si>
    <t>Plazo 2025</t>
  </si>
  <si>
    <t>Plazo 2026</t>
  </si>
  <si>
    <t>Plazo 2027</t>
  </si>
  <si>
    <t>Vr. Total 2024</t>
  </si>
  <si>
    <t>Vr. Total 2025</t>
  </si>
  <si>
    <t>Vr. Total 2026</t>
  </si>
  <si>
    <t>Vr. Total 2027</t>
  </si>
  <si>
    <t>https://www.easy.com.co/cemento-argos-portland-tipo-i-x-50-kg/p</t>
  </si>
  <si>
    <t>https://www.easy.com.co/soga-clasica-pp-10mm-x-1-m/p</t>
  </si>
  <si>
    <t>https://www.easy.com.co/tela-verde-2-10-mt-x-1mt-uv-2anos/p</t>
  </si>
  <si>
    <t>https://www.easy.com.co/thinner-comun-1gl-djg/p</t>
  </si>
  <si>
    <t>https://www.homecenter.com.co/homecenter-co/product/304472/wash-primer-algreco-componente-a-1-galon/304472/</t>
  </si>
  <si>
    <t>https://www.easy.com.co/lija-multi-flex-met-no120-6pg-rollo-x1m/p?idsku=1102668&amp;gad_source=1&amp;gclid=Cj0KCQjwztOwBhD7ARIsAPDKnkCxc9YS6nPcxHuY72VASk2FlUaeFlpTnBaUJzIQyWhg4W9DvIhaJ1AaAhS7EALw_wcB</t>
  </si>
  <si>
    <t xml:space="preserve">SUMINISTROS  OSORIO  </t>
  </si>
  <si>
    <t xml:space="preserve">SUMINISTROS OSORIO </t>
  </si>
  <si>
    <t>https://ferreteriaosorio.com/products/alambre-negro</t>
  </si>
  <si>
    <t>https://ferreteriaosorio.com/products/broca-hss-irwin?variant=36692845461654</t>
  </si>
  <si>
    <t>https://ferreteriaosorio.com/products/manila-milenio?variant=36883773456534</t>
  </si>
  <si>
    <t>https://www.easy.cl/remache-tipo-pop-4-x-10-mm-10-unidades-imporper-238193/p</t>
  </si>
  <si>
    <t>https://ferreteriaosorio.com/products/soldadura-electrica?_pos=1&amp;_sid=9cac538d7&amp;_ss=r&amp;variant=36821987131542</t>
  </si>
  <si>
    <t>FERRETERÍA Y ELECTRICOS SARAY</t>
  </si>
  <si>
    <t>https://ferreteriasaray.com/inicio/chazo-expansivo-estrella-516-x-4-2323.html</t>
  </si>
  <si>
    <t>https://ferreteriasaray.com/inicio/soga-n-10--6410.html</t>
  </si>
  <si>
    <t>FERRETERÍA Y ELÉCTRICOS SARAY</t>
  </si>
  <si>
    <t>https://www.homecenter.com.co/homecenter-co/product/91604/puntilla-con-cabeza-1-500g/91604/</t>
  </si>
  <si>
    <t>PINTUCO</t>
  </si>
  <si>
    <t>FERROPETROL</t>
  </si>
  <si>
    <t xml:space="preserve">FERROPETROL </t>
  </si>
  <si>
    <t>https://ferropetrol.com/shop/sin-categoria/angulo-hr-1-8-x-2-x-6-mts/</t>
  </si>
  <si>
    <t>https://ferropetrol.com/shop/sin-categoria/angulo-hr-1-4-x-2-x-6-mts/</t>
  </si>
  <si>
    <t>https://ferropetrol.com/shop/pintuco/gal-pintura-multip-base-solv-blanco-653/</t>
  </si>
  <si>
    <t>https://ferropetrol.com/shop/pintuco/galon-ajustador-xilol-21204-10017263/</t>
  </si>
  <si>
    <t>https://ferropetrol.com/shop/sin-categoria/tela-verde-para-cerramiento/</t>
  </si>
  <si>
    <t>https://ferropetrol.com/shop/sin-categoria/manila-polipropileno-3-8-x-250-mts/</t>
  </si>
  <si>
    <t>https://ferropetrol.com/shop/sin-categoria/lb-puntilla-c-cabeza-1/</t>
  </si>
  <si>
    <t>https://ferropetrol.com/shop/sin-categoria/puntilla-c-cabeza-21-2/</t>
  </si>
  <si>
    <t>FERRETERÍA LEVALLEJO AZ</t>
  </si>
  <si>
    <t>https://ferreteriaonlinelevallejoaz.com/puntilla-c-cab-2-1-2-500grm-caball/</t>
  </si>
  <si>
    <t>https://ferreteriaonlinelevallejoaz.com/soldadura-elect-3-32-6013-lincol/</t>
  </si>
  <si>
    <t>DIGALTEX S.A.S</t>
  </si>
  <si>
    <t xml:space="preserve">DIGALTEX S.A.S </t>
  </si>
  <si>
    <t>https://www.digaltex.com/producto/vendaval-liso-laf/</t>
  </si>
  <si>
    <t xml:space="preserve">EL PALUSTRE </t>
  </si>
  <si>
    <t>https://elpalustre.com.co/index.php?route=product/product&amp;path=17_139&amp;product_id=789</t>
  </si>
  <si>
    <t>https://elpalustre.com.co/index.php?route=product/product&amp;product_id=3945</t>
  </si>
  <si>
    <t>https://provesi.com.co/productos/1675-pegante-epoxico-bicomponente-16-kg-pintuco.html</t>
  </si>
  <si>
    <t>https://www.velogassaesp.com/productos/cilindro-de-100-lbs-45-kg/</t>
  </si>
  <si>
    <t xml:space="preserve">ICCU PRECIO DE REFERENCIA LA CALERA </t>
  </si>
  <si>
    <t xml:space="preserve">UTIL </t>
  </si>
  <si>
    <t>https://www.util.com.co/broca-s-d-s-tungsteno-trab-pesado-discover-58-x-8/p</t>
  </si>
  <si>
    <t>https://www.util.com.co/broca-tipo-usa-pmuro-punta-tungsteno-12-x-4-/p</t>
  </si>
  <si>
    <t>ICCU</t>
  </si>
  <si>
    <t xml:space="preserve">LA FERRETEMIA </t>
  </si>
  <si>
    <t xml:space="preserve">SOCINTER </t>
  </si>
  <si>
    <t>CEMEX</t>
  </si>
  <si>
    <t>LO ENCUENTRAS. COM.CO</t>
  </si>
  <si>
    <t>LO ENCUENTRAS. COM. CO</t>
  </si>
  <si>
    <t>https://www.loencuentras.com.co/agregados-y-material-de-cantera/1428-grava-1-1-2.html</t>
  </si>
  <si>
    <t>https://www.loencuentras.com.co/agregados-y-material-de-cantera/43-recebo-b-200.html</t>
  </si>
  <si>
    <t>https://www.loencuentras.com.co/hierros/70-alambre-negro-de-amarre.html</t>
  </si>
  <si>
    <t>M</t>
  </si>
  <si>
    <t>L</t>
  </si>
  <si>
    <t>GAL</t>
  </si>
  <si>
    <t>https://www.prosisoma.com/producto/par-de-pretal-para-trabajo-en-postes/</t>
  </si>
  <si>
    <t xml:space="preserve">OTROS </t>
  </si>
  <si>
    <t>https://www.producabos.com/producto/gravilla-mona-no-2-corriente/</t>
  </si>
  <si>
    <t>https://www.producabos.com/producto/gravilla-mona-no-1-corriente/</t>
  </si>
  <si>
    <t>OTROS</t>
  </si>
  <si>
    <t>https://ferreco.com/inicio/6673-4-unidades-tornillo-hexagonal-516-x-3-12-con-tuerca-y-arandela.html</t>
  </si>
  <si>
    <t>CONSTRUMOLE</t>
  </si>
  <si>
    <t>https://www.construmole.com/producto/lamina-galvanizada-2-x-1-c-16-1-50/#:~:text=%24208.627!,Si%20tienes%20alguna%20duda%2C%20preg%C3%BAntanos.</t>
  </si>
  <si>
    <t>https://www.homecenter.com.co/homecenter-co/product/136254/tornillo-hexagonal-1-2x2-y-tuerca/136254/</t>
  </si>
  <si>
    <t>https://www.homecenter.com.co/homecenter-co/product/136258/tornillo-hexagonal-1-2x4-y-tuerca/136258/</t>
  </si>
  <si>
    <t>https://www.homecenter.com.co/homecenter-co/product/593349/remache-tipo-pop-aluminio-1-4-x-1-5u/593349/</t>
  </si>
  <si>
    <t>https://tiendabosch.co/discos-abrasivos/21121-disco-flap-fibra-4-12-curvo-grano-40-bosch-.html</t>
  </si>
  <si>
    <t>m2</t>
  </si>
  <si>
    <t>Kg</t>
  </si>
  <si>
    <t xml:space="preserve">TORNILLOS ZINCADOS DE 1/2" X 21/2" con tuerca y arandelas planas </t>
  </si>
  <si>
    <t>ABRAZADERA EN PLATINA A 36 50*5,0 mm</t>
  </si>
  <si>
    <t>DISCO DE PULIDORA 71/2</t>
  </si>
  <si>
    <t>https://www.homecenter.com.co/homecenter-co/product/136255/tornillo-hexagonal-1-2x2-1-2-y-tuerca/136255/</t>
  </si>
  <si>
    <t xml:space="preserve">TORNILLOS ZINCADOS DE 1/2" X 2 1/2" con tuerca y arandelas planas </t>
  </si>
  <si>
    <t>https://es.aliexpress.com/item/1005005495515712.html?spm=a2g0o.productlist.main.3.e38e541fBspD87&amp;algo_pvid=82dc1de5-91a9-44a3-b3d1-40f6931ae604&amp;algo_exp_id=82dc1de5-91a9-44a3-b3d1-40f6931ae604-1&amp;pdp_npi=4%40dis%21COP%2110398685.44%2110398685.44%21%21%212600.00%212600.00%21%402101fb0d17133715823447894e190b%2112000033305023400%21sea%21CO%210%21AB&amp;curPageLogUid=bgpXiIdsudHp&amp;utparam-url=scene%3Asearch%7Cquery_from%3A</t>
  </si>
  <si>
    <t>https://es.aliexpress.com/item/1005005768185329.html?src=google&amp;src=google&amp;albch=shopping&amp;acnt=272-267-0231&amp;slnk=&amp;plac=&amp;mtctp=&amp;albbt=Google_7_shopping&amp;gclsrc=aw.ds&amp;albagn=888888&amp;ds_e_adid=&amp;ds_e_matchtype=&amp;ds_e_device=c&amp;ds_e_network=x&amp;ds_e_product_group_id=&amp;ds_e_product_id=es1005005768185329&amp;ds_e_product_merchant_id=509201117&amp;ds_e_product_country=CO&amp;ds_e_product_language=es&amp;ds_e_product_channel=online&amp;ds_e_product_store_id=&amp;ds_url_v=2&amp;albcp=20552822549&amp;albag=&amp;isSmbAutoCall=false&amp;needSmbHouyi=false&amp;gad_source=1&amp;gclid=CjwKCAjw5v2wBhBrEiwAXDDoJWAK1C8eU5koYSmFxWS_YKTwa7xcgwIktFLJBT6t15N-rnHrIItFuxoC3u0QAvD_BwE&amp;aff_fcid=03a4912e13304884a5aacdb33703a0a1-1713372061702-01233-UneMJZVf&amp;aff_fsk=UneMJZVf&amp;aff_platform=aaf&amp;sk=UneMJZVf&amp;aff_trace_key=03a4912e13304884a5aacdb33703a0a1-1713372061702-01233-UneMJZVf&amp;terminal_id=32a8f8adff23433abe1b17e4fd2bd01d&amp;afSmartRedirect=y</t>
  </si>
  <si>
    <t>https://es.aliexpress.com/item/1005005866143500.html?src=google&amp;src=google&amp;albch=shopping&amp;acnt=272-267-0231&amp;slnk=&amp;plac=&amp;mtctp=&amp;albbt=Google_7_shopping&amp;gclsrc=aw.ds&amp;albagn=888888&amp;ds_e_adid=&amp;ds_e_matchtype=&amp;ds_e_device=c&amp;ds_e_network=x&amp;ds_e_product_group_id=&amp;ds_e_product_id=es1005005866143500&amp;ds_e_product_merchant_id=562973009&amp;ds_e_product_country=CO&amp;ds_e_product_language=es&amp;ds_e_product_channel=online&amp;ds_e_product_store_id=&amp;ds_url_v=2&amp;albcp=20546892456&amp;albag=&amp;isSmbAutoCall=false&amp;needSmbHouyi=false&amp;gad_source=1&amp;gclid=CjwKCAjw5v2wBhBrEiwAXDDoJSTDD3FOoIY1mMozAiFNsEeO8c0pMgIzKhtn340jfOe-BLg0Yi9-uxoCEaUQAvD_BwE&amp;aff_fcid=4fa31ae477ff4d7f8fafec195f3be4c3-1713372201300-02535-UneMJZVf&amp;aff_fsk=UneMJZVf&amp;aff_platform=aaf&amp;sk=UneMJZVf&amp;aff_trace_key=4fa31ae477ff4d7f8fafec195f3be4c3-1713372201300-02535-UneMJZVf&amp;terminal_id=32a8f8adff23433abe1b17e4fd2bd01d&amp;afSmartRedirect=y</t>
  </si>
  <si>
    <t>https://es.aliexpress.com/item/1005005820476968.html</t>
  </si>
  <si>
    <t>https://es.aliexpress.com/i/1005006190812038.html</t>
  </si>
  <si>
    <t>https://es.aliexpress.com/item/1005002781972063.html?src=google&amp;src=google&amp;albch=shopping&amp;acnt=272-267-0231&amp;slnk=&amp;plac=&amp;mtctp=&amp;albbt=Google_7_shopping&amp;gclsrc=aw.ds&amp;albagn=888888&amp;ds_e_adid=&amp;ds_e_matchtype=&amp;ds_e_device=c&amp;ds_e_network=x&amp;ds_e_product_group_id=&amp;ds_e_product_id=es1005002781972063&amp;ds_e_product_merchant_id=109337440&amp;ds_e_product_country=CO&amp;ds_e_product_language=es&amp;ds_e_product_channel=online&amp;ds_e_product_store_id=&amp;ds_url_v=2&amp;albcp=20552822549&amp;albag=&amp;isSmbAutoCall=false&amp;needSmbHouyi=false&amp;gad_source=1&amp;gclid=CjwKCAjw5v2wBhBrEiwAXDDoJVFxIu82RWUudgCtcH2EVGFaGTzp1hGv0RshcAkbbsVki3rpFH5MVhoC73AQAvD_BwE&amp;aff_fcid=55f5d13041b346448d586e840529902a-1713372998923-00848-UneMJZVf&amp;aff_fsk=UneMJZVf&amp;aff_platform=aaf&amp;sk=UneMJZVf&amp;aff_trace_key=55f5d13041b346448d586e840529902a-1713372998923-00848-UneMJZVf&amp;terminal_id=32a8f8adff23433abe1b17e4fd2bd01d&amp;afSmartRedirect=y</t>
  </si>
  <si>
    <t>https://articulo.mercadolibre.com.co/MCO-1266078473-dobladora-de-lamina-250-metros-dobladora-de-lamina-manual-_JM#position=2&amp;search_layout=stack&amp;type=item&amp;tracking_id=1cf7fff3-52f0-47f8-9994-dd613de60702</t>
  </si>
  <si>
    <t>https://articulo.mercadolibre.com.co/MCO-1273787945-pistola-soldadura-mig-14ak-antorcha-soldadura-3-metros-_JM#is_advertising=true&amp;position=2&amp;search_layout=stack&amp;type=pad&amp;tracking_id=b333f6d5-7285-4782-9f7e-bf90a46c84a6&amp;is_advertising=true&amp;ad_domain=VQCATCORE_LST&amp;ad_position=2&amp;ad_click_id=OGNiNDM0ZDAtNTUyNS00ODNlLTg3ZTUtMzlkYjRkZDYxZDNk</t>
  </si>
  <si>
    <t>https://articulo.mercadolibre.com.co/MCO-1972626094-sikadur-42-anclaje-grout-epoxico-de-pernos-x-5-kg-_JM#position=14&amp;search_layout=stack&amp;type=item&amp;tracking_id=227d4730-48a1-4f7b-a954-f91f056deda7</t>
  </si>
  <si>
    <t>https://tienda.fajobe.com.co/producto/lamina-galvanizada-calibre-20-0-85mm-1x2mt/</t>
  </si>
  <si>
    <t>https://articulo.mercadolibre.com.co/MCO-585781968-pretales-dielectricos-para-trabajos-en-alturas-marca-insafe-_JM#is_advertising=true&amp;position=1&amp;search_layout=stack&amp;type=pad&amp;tracking_id=eb5adec3-7764-4b41-b79e-ee2bc883d339&amp;is_advertising=true&amp;ad_domain=VQCATCORE_LST&amp;ad_position=1&amp;ad_click_id=OTE1YmUxMzItNDMzOS00N2NlLWFiZTMtMWI0Njk3ODJhZDI5</t>
  </si>
  <si>
    <t>https://articulo.mercadolibre.com.co/MCO-939039708-doblador-de-tubo-hidraulico-12-toneladas-horizontal-truper-_JM#position=3&amp;search_layout=stack&amp;type=item&amp;tracking_id=fac7da89-ddfb-411c-a98c-5bfefbcf5a0b</t>
  </si>
  <si>
    <t>https://articulo.mercadolibre.com.co/MCO-1349274101-pulverizador-de-pintura-sin-aire-vevor-1500w-pulverizador-d-_JM#position=3&amp;search_layout=stack&amp;type=item&amp;tracking_id=8101257a-5fe0-4262-b2ef-360b7ad68d99</t>
  </si>
  <si>
    <t>https://lacampana.co/wp-content/uploads/2022/03/Pesos-y-Espesores-de-Laminas-de-Acero.pdf</t>
  </si>
  <si>
    <t>Suministro y Aplicación de pintura Acrílica base solvente pigmentada (verde o naranja o rojo o azul) marcas viales con microesfera, espesor seco 9 mils y 51% de solidos por volumen, incluye pictogramas</t>
  </si>
  <si>
    <t>FERRERÍA S.A.S.</t>
  </si>
  <si>
    <t xml:space="preserve">IMPRESIÓN DIGITAL INCLUYE TINTA GARANTÍA 12 AÑOS </t>
  </si>
  <si>
    <t>ABRAZADERA PARA TABLERO DE SEÑAL ELEVADA PARA DIAMETROS MAYORES O IGUALES A 2"</t>
  </si>
  <si>
    <t>DISPOSITIVO DE LECTURA RFID -TAG</t>
  </si>
  <si>
    <t>https://articulo.mercadolibre.com.co/MCO-565766755-arnes-naranja-de-4-puntos-correas-de-2-paquete-de-2-_JM#position=36&amp;search_layout=stack&amp;type=item&amp;tracking_id=acb979fa-cef5-4e9b-b138-818e37b7caf0</t>
  </si>
  <si>
    <t>https://www.easy.com.co/pintura-trafico-1gl-negro-tito-pabon/p?idsku=1134045&amp;gad_source=1&amp;gclid=Cj0KCQjwiYOxBhC5ARIsAIvdH50Bn9W37Xsaf1BBe_SgBWsTM_HBiBqOdExZkUtaoi9PnxLy5c34IeAaAgnXEALw_wcB</t>
  </si>
  <si>
    <t>https://articulo.mercadolibre.com.co/MCO-866217954-tinta-textil-para-serigrafiascreen-plastisol-420-gr-_JM#position=4&amp;search_layout=stack&amp;type=item&amp;tracking_id=494c7d2b-aeb8-41fa-8e13-127001be8aed</t>
  </si>
  <si>
    <r>
      <t>Transporte   Vehículo   para   transporte   del   personal.   Camioneta   4x2,   doble-cabina, modelo</t>
    </r>
    <r>
      <rPr>
        <b/>
        <sz val="11"/>
        <color rgb="FFC00000"/>
        <rFont val="Arial Narrow"/>
        <family val="2"/>
      </rPr>
      <t xml:space="preserve"> 2015</t>
    </r>
    <r>
      <rPr>
        <sz val="11"/>
        <rFont val="Arial Narrow"/>
        <family val="2"/>
      </rPr>
      <t xml:space="preserve"> o superior, con placa blanca, para trabajos en jornada diurna.
Incluye salario del conductor y todas las prestaciones de ley asociadas al mismo.</t>
    </r>
  </si>
  <si>
    <t xml:space="preserve">Suministro e instalación de tableros y/o lamas en lamina galvanizada C-20, papel retroflectivo tipo XI; fondos, textos, flechas, pictogramas y orlas en impresión digital. Incluye papel antigrafitti, tornilleria, perfiles para marcos y abrazaderas. </t>
  </si>
  <si>
    <t xml:space="preserve">Fecha de Actualización </t>
  </si>
  <si>
    <t>Actualización 2023-I - Fase I</t>
  </si>
  <si>
    <t>CONCRETO GRAVA COMÚN 4000 PSI 27 MPa (280 Kg/cm2)</t>
  </si>
  <si>
    <t>COMPACTADOR DE LLANTAS - MASA SIN LASTRES DE 9 A 11 TONELADAS - INCLUYE OPERARIO Y COMBUSTIBLE</t>
  </si>
  <si>
    <t>Actualización 2023-I - Fase II + M.O. ley 2101 de 2021</t>
  </si>
  <si>
    <t>M2/MES</t>
  </si>
  <si>
    <t>TUBERIA CONDUIT METALICA RMC D= 1"</t>
  </si>
  <si>
    <t>TUBERIA CONDUIT METALICA RMC D= 1 1/2"</t>
  </si>
  <si>
    <t>VIBROCOMPACTADORA TIPO RANA - VIBRACIONES POR MINUTO DE 5320 A 5880 - INCLUYE COMBUSTIBLE</t>
  </si>
  <si>
    <t>GRUA EXTENSION PARA POSTES DE BRAZO ARTICULADO. INCLUYE OPERARIO Y COMBUSTIBLE</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</si>
  <si>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</si>
  <si>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</si>
  <si>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</si>
  <si>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TARIFA JORNAL - PERSONAL DE OBRA - AYUDANTE (INCLUYE FACTOR DE PRESTACIONES)</t>
  </si>
  <si>
    <t>Actualización 2023-I Fase II + MO 2024</t>
  </si>
  <si>
    <t>TARIFA JORNAL - PERSONAL DE OBRA - OFICIAL (INCLUYE FACTOR DE PRESTACIONES)</t>
  </si>
  <si>
    <t>COMPRESOR REMOLCABLE PARA MARTILLOS NEUMATICOS - CAUDAL DE AIRE DE 185 CFM - INCLUYE COMBUSTIBLE</t>
  </si>
  <si>
    <t>CODO HD EXTREMO LISO 45ºX10"</t>
  </si>
  <si>
    <t>TERMINADORA DE ASFALTO - ANCHO DE PAVIMENTACIÓN ESTÁNDAR DE 2 A 6m - VOLUMEN DE LA TOLVA DE 5 A 8 M3 - INCLUYE OPERARIO Y COMBUSTIBLE</t>
  </si>
  <si>
    <t>TACHON EN CONCRETO 0.4x0.15x0.08m</t>
  </si>
  <si>
    <t>TACHA REFLECTIVA UNIDIRECCIONAL, NO INCLUYE ELEMENTOS DE ANCLAJE</t>
  </si>
  <si>
    <t>MEZCLADORA DE CONCRETO (1,5 BULTOS) - INCLUYE COMBUSTIBLE</t>
  </si>
  <si>
    <t>ADOQUIN DE CONCRETO A25 (20x10x6cm)</t>
  </si>
  <si>
    <t>ALQUILER PILOTEADORA PESO 60.000 KG, DIÁMETRO MAXIMO 1,20 M, PROFUNDIDAD 48 M. - INCLUYE OPERARIO Y COMBUSTIBLE</t>
  </si>
  <si>
    <t>CORTADORA DE PAVIMENTOS (SIN DISCO) - PROFUNDIDAD DE CORTE MÁXIMO DE 16 A 20 cm - INCLUYE COMBUSTIBLE</t>
  </si>
  <si>
    <t>TARIFA HORA - PERSONAL DE OBRA - OFICIAL (INCLUYE FACTOR DE PRESTACIONES)</t>
  </si>
  <si>
    <t>TARIFA HORA - PERSONAL DE OBRA - AYUDANTE (INCLUYE FACTOR DE PRESTACIONES)</t>
  </si>
  <si>
    <t>MANLIFT - PLATAFORMA ELEVADORA A COMBUSTIÓN DE BRAZO ARTICULADO - ALTURA MÁXIMA DE TRABAJO DE 16 A 18 M - INCLUYE OPERARIO Y COMBUSTIBLE</t>
  </si>
  <si>
    <t>ESTABILIZADORA / RECICLADORA EN FRÍO - ANCHO DE CORTE/MEZCLA DE 2.4 A 2.7 M - PROFUNDIDAD DE CORTE/MEZCLA DE  476 A 518 MM - INCLUYE OPERARIO Y COMBUSTIBLE</t>
  </si>
  <si>
    <t>TIERRA NEGRA, incluye fertilizante y cascarilla de arroz</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</si>
  <si>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</si>
  <si>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</si>
  <si>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</si>
  <si>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</si>
  <si>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VIBRADOR DE EJE FLEXIBLE ELÉCTRICO - POTENCIA DE 2 A 3 HP</t>
  </si>
  <si>
    <t>RODILLO VIBROCOMPACTADOR TÁNDEM PEQUEÑO - MASA DE 2,5 A 3 TONELADAS - AMPLITUD DE COMPACTACIÓN DE 0.5 MM  - INCLUYE OPERARIO Y COMBUSTIBLE</t>
  </si>
  <si>
    <t xml:space="preserve">MARTILLO DEMOLEDOR NEUMÁTICO - GOLPES POR MINUTO DE 1100 A 1680 - CONSUMO DE AIRE DE 57 A 85 CFM </t>
  </si>
  <si>
    <t>METODO DE ENSAYO PARA DETERMINAR LA DENSIDAD DEL CEMENTO HIDRAULICO. Norma técnica: NTC - 221 - 19 ASTM C188-17 (23)</t>
  </si>
  <si>
    <t>METODO DE ENSAYO PARA DETERMINAR EL TIEMPO DE FRAGUADO DEL CEMENTO HIDRAULICO MEDIANTE EL APARATO DE VICAT. Norma técnica: NTC-118-20 ASTM C119-21.</t>
  </si>
  <si>
    <t>EQUIVALENTE DE ARENA DE SUELOS Y AGREGADOS FINOS. Norma técnica: INV E 133-13 ASTM D2419 - 14.</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</si>
  <si>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</si>
  <si>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</si>
  <si>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</si>
  <si>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</si>
  <si>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D422-63-98 (retirado 2016).</t>
  </si>
  <si>
    <t>DETERMINACIÓN DE LA CANTIDAD DE MATERIAL QUE PASA EL TAMIZ DE 75 UM (N° 200) EN LOS AGREGADOS PÉTREOS MEDIANTE LAVADO. Norma técnica: INV E 214-13 NTC 78-1995</t>
  </si>
  <si>
    <t>DETERMINACION DE LA GRAVEDAD ESPECÍFICA DE LAS PARTICULAS SOLIDAS DE LOS SUELOS Y DEL LLENANTE MINERAL, EMPLEANDO UN PICNOMETRO CON AGUA. Norma técnica: INVE-128-13 ASTM D854-14 (retirado 2023).</t>
  </si>
  <si>
    <t>DETERMINACION DE LOS FACTORES DE CONTRACCION DE LOS SUELOS. Norma técnica: INVE-127-13 NTC-1503-01 ASTM D427-04 (retirado 2010).</t>
  </si>
  <si>
    <t>DETERMINACION DEL CONTENIDO ORGANICO DE UN SUELO MEDIANTE EL ENSAYO DE PERDIDA POR IGNICION. Norma técnica: INVE-121-13 AASHTO T-267-86 (18).</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</si>
  <si>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</si>
  <si>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</si>
  <si>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</si>
  <si>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</si>
  <si>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COMPACTACIÓN). Norma técnica: INV E 141-13 ASTM D698 - 12e2.</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</si>
  <si>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</si>
  <si>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</si>
  <si>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</si>
  <si>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C39/C39M-21.</t>
  </si>
  <si>
    <t>TRACCIÓN INDIRECTA DE CILINDROS DE CONCRETO. Norma técnica: INV E - 411 -13 NTC - 722 ASTM C496/C496M.</t>
  </si>
  <si>
    <t>ENSAYO DE ADHERENCIA EN BANDEJA. Norma técnica: INVE-740-13.</t>
  </si>
  <si>
    <t>ESTABILIDAD Y FLUJO DE MEZCLAS ASFALTICAS EN CALIENTE EMPLEANDO EL EQUIPO MARSHALL (UNA PROBETA). Norma técnica: INVE-748-13 ASTM D6926-20 ASTM D6927-15 (22).</t>
  </si>
  <si>
    <t>CONOS H= 0,9- 1,0mt</t>
  </si>
  <si>
    <t>ESTOPEROL 10 cm x 3 cm (NO INCLUYE ELEMENTOS DE ANCLAJE)</t>
  </si>
  <si>
    <t>VIBRADOR DE EJE FLEXIBLE A COMBUSTIÓN - POTENCIA DE 5 A 7 HP</t>
  </si>
  <si>
    <t>GEOMALLA TENSAR BX 1100 \ FORTGRID BX 30</t>
  </si>
  <si>
    <t>GEOMALLA TENSAR BX 1200 \ FORTGRID BX 50</t>
  </si>
  <si>
    <t>SIERRA ELÉCTRICA CALADORA - POTENCIA DE 500 A 563 W</t>
  </si>
  <si>
    <t>PLANTA ELECTRICA POTENCIA ELÉCTRICA GENERADA 4KW - INCLUYE COMBUSTIBLE</t>
  </si>
  <si>
    <t>TALADRO ROTOPERCUTOR - POTENCIA DE 860 A 1030 WATTS</t>
  </si>
  <si>
    <t>GUADAÑADORA - POTENCIA DE 1.3 A 1.7 KW</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</si>
  <si>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</si>
  <si>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</si>
  <si>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PARTÍCULAS FRACTURADAS EN UN AGREGADO GRUESO. Norma técnica: INV E 227-13.</t>
  </si>
  <si>
    <t>INDICES DE APLANAMIENTO Y ALARGAMIENTO DE LOS AGREGADOS PARA CARRETERAS. Norma técnica: INVE-230-13.</t>
  </si>
  <si>
    <t>DENSIDAD, DENSIDAD RELATIVA (GRAVEDAD ESPECÍFICA) Y ABSORCIÓN DEL AGREGADO FINO. Norma técnica: INV E 222-13 NTC-237-1995.</t>
  </si>
  <si>
    <t>PENETRACION DE LOS MATERIALES BITUMINOSOS. Norma técnica: INV E - 706 - 13 NTC 5028 ASTM D5.</t>
  </si>
  <si>
    <t>DUCTILIDAD DE LOS MATERIALES ASFALTICOS. Norma técnica: INVE-702-13 ASTM D113-17 (18).</t>
  </si>
  <si>
    <t>EVALUACION DE LA SUSCEPTIBILIDAD AL AGUA DE LAS MEZCLAS DE CONCRETO ASFALTICO UTILIZANDO LA PRUEBA DE TRACCION INDIRECTA (SEIS PROBETAS). Norma técnica: INVE-725-13 ASTM D4867/D4867M-09-14 (22) AASHTO T-283-21.</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</si>
  <si>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</si>
  <si>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</si>
  <si>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 E – 712 - 13 ASTM D36/D36M.</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</si>
  <si>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</si>
  <si>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</si>
  <si>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</si>
  <si>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</si>
  <si>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</si>
  <si>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</si>
  <si>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FERMENTACIÓN TUBOS MÚLTIPLES.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</si>
  <si>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</si>
  <si>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</si>
  <si>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</si>
  <si>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</si>
  <si>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</si>
  <si>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</si>
  <si>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</si>
  <si>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</si>
  <si>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</si>
  <si>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PH. Norma técnica: SM 4500 - H + B  ASTM D 1293 2012.</t>
  </si>
  <si>
    <t>DETERMINACION DE TEMPERATURA DEL AGUA. Norma técnica: SM-2550-B-17.</t>
  </si>
  <si>
    <t>DETERMINACION DE COLOR VERDADERO (METODO DE COMPARACION VISUAL). Norma técnica: SM-2120-B-17.</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</si>
  <si>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</si>
  <si>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</si>
  <si>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FLEXION DEL CONCRETO USANDO UNA VIGA SIMPLEMENTE APOYADA Y CARGADA EN LOS TERCIOS DE LA LUZ LIBRE. Norma técnica: NTC-2871-18.</t>
  </si>
  <si>
    <t>EQUIPO VACTOR - SONDEO - LIMPIEZA - RECOLECCIÓN DE LODOS NO PELIGROSOS (No incluye agua).</t>
  </si>
  <si>
    <t>COMPRESOR DE AIRE DE PISTÓN - CAUDAL DE AIRE DE 38 A 53 CFM</t>
  </si>
  <si>
    <t>HIDROLAVADORA MOTOR A COMBUSTIÓN - CAUDAL DE 8 A 13 LITROS POR MINUTO - PRESIÓN DE 2700 A 2960 PSI - INCLUYE COMBUSTIBLE</t>
  </si>
  <si>
    <t>KIT DE NIVELACION PARA HIDRANTE  DE DIÁMETRO DE 6", LONGITUD 400mm , INCLUYE TODOS LOS ELEMENTOS NECESARIOS PARA SU INSTALACIÓN</t>
  </si>
  <si>
    <t xml:space="preserve">TUBO EN CONCRETO ALTA RESISTENCIA D= 10". </t>
  </si>
  <si>
    <t>KIT DE NIVELACION PARA HIDRANTE TRÁFICO DE DIÁMETRO DE 4", LONGITUD 400mm , INCLUYE TODOS LOS ELEMENTOS NECESARIOS PARA SU INSTALACIÓN</t>
  </si>
  <si>
    <t>COLOR ENDURECEDOR DE CUARZO (4 Kg/m2)</t>
  </si>
  <si>
    <t>TARIFA DIA - 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</si>
  <si>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</si>
  <si>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2014 A 2011. 75% DE LA TARIFA ESTABLECIDA. INCLUYE TODOS LOS COSTOS DE OPERACIÓN Y MANTENIMIENTO EXCEPTO EL SALARIO DEL CONDUCTOR.</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</si>
  <si>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</si>
  <si>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</si>
  <si>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</si>
  <si>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COMPACTACIÓN). Norma técnica: INV E 142-13 ASTM D1557 - 12e1.</t>
  </si>
  <si>
    <t>METODO PARA DETERMINAR EL NUMERO DE REBOTE (INDICE ESCLEROMETRICO) EN EL CONCRETO ENDURECIDO, ZONA POR ELEMENTO. Norma técnica: INVE-413-13 NTC-3692-18 ASTM C805/C805M-18 (19).</t>
  </si>
  <si>
    <t>PARAL METÁLICO LARGO - LONGITUD DE 2.00 A 3.50 M</t>
  </si>
  <si>
    <t>EFECTO DEL AGUA SOBRE LA RESISTENCIA A LA COMPRESION DE LAS MEZCLAS ASFALTICAS COMPACTADAS (ENSAYO DE INMERSIÓN- COMPRESIÓN), incluye elaboración. Norma técnica: INVE-738-13 ASTM D1075-11 (19).</t>
  </si>
  <si>
    <t>MODULO RESILIENTE DE SUELOS Y AGREGADOS. Norma técnica: INVE-156-13 AASHTO T-307-21.</t>
  </si>
  <si>
    <t>EQUIPO DE OXICORTE - PRESIÓN DE OXÍGENO 125 PSI - PRESIÓN GAS COMBUSTIBLE 15 PSI</t>
  </si>
  <si>
    <t>ADOQUIN EN CONCRETO COLOR OCRE A25 - Adoquin en concreto de 10x20x6cm-Color Ocre</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</si>
  <si>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</si>
  <si>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</si>
  <si>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</si>
  <si>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ASFALTICAS EN CALIENTE MEDIANTE EL ENSAYO DE FLEXION EN DOS PUNTOS SOBRE PROBETAS TRAPEZOIDALES. Norma técnica: INVE-808-13 UNE-EN-12697-24-19 Anexo A NFP-98-261-1-01.</t>
  </si>
  <si>
    <t>TUBERIA CONDUIT METALICA EMT D= 2"</t>
  </si>
  <si>
    <t>TUBERIA CONDUIT METALICA EMT D= 1"</t>
  </si>
  <si>
    <t>TUBERIA CONDUIT METALICA EMT D= 3/4"</t>
  </si>
  <si>
    <t>TARIFA JORNAL - PERSONAL DE OBRA - SOLDADOR (INCLUYE FACTOR DE PRESTACIONES)</t>
  </si>
  <si>
    <t>TARIFA JORNAL - PROFESIONAL CATEGORÍA 8 (INCLUYE FACTOR DE PRESTACIONES)</t>
  </si>
  <si>
    <t>TARIFA DIA - 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</si>
  <si>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</si>
  <si>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</si>
  <si>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</si>
  <si>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</si>
  <si>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</si>
  <si>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</si>
  <si>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TARIFA MES - PERSONAL DE OBRA - OPERADOR EQUIPO DE SEÑALIZACIÓN (INCLUYE FACTOR DE PRESTACIONES)</t>
  </si>
  <si>
    <t>TARIFA JORNAL - PERSONAL DE OBRA - OPERADOR EQUIPO DE SEÑALIZACIÓN (INCLUYE FACTOR DE PRESTACIONES)</t>
  </si>
  <si>
    <t>TARIFA DIA - ALQUILER DE VEHICULO: CAMPERO, PICK-UP, CAMIONETA, CAMION O SIMILAR CON CAPACIDAD DE CARGA DE 3 TON O MAS, MODELO 2014 A 2011. 75% DE LA TARIFA ESTABLECIDA. INCLUYE TODOS LOS COSTOS DE OPERACIÓN Y MANTENIMIENTO EXCEPTO EL SALARIO DEL CONDUCTOR</t>
  </si>
  <si>
    <t>BORRADO SEÑALIZACIÓN VIAL TIPO FRESADO CON MÁQUINA BERTELLI O SIMILAR (ML)</t>
  </si>
  <si>
    <t>TACHA REFLECTIVA BIDIRECCIONAL (NO INCLUYE ELEMENTOS DE ANCLAJE)</t>
  </si>
  <si>
    <t>TUBERIA CONCRETO REF. CL.V D=36´ (90 CM)</t>
  </si>
  <si>
    <t>DETERMINACION DE CLORUROS. Norma técnica: SM-4500-Cl-B-17.</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</si>
  <si>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</si>
  <si>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</si>
  <si>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</si>
  <si>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</si>
  <si>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</si>
  <si>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TUBERIA CONDUIT METALICA EMT D= 4"</t>
  </si>
  <si>
    <t>ENSAYO DE COMPRESION TRIAXIAL SOBRE SUELOS COHESIVOS (EN CONDICION CONSOLIDADA, NO DRENADA CU 3 PUNTOS). Norma técnica: INVE-153-13 UNE-EN-ISO-17892-9-19  Numerales 6.4 y 6.7.2* (Norma de referencia) ASTM D4767-11 (20).</t>
  </si>
  <si>
    <t>CEMENTO BLANCO</t>
  </si>
  <si>
    <t>TUBO CONDUIT METALICA EMT D=1" (3M)</t>
  </si>
  <si>
    <t>TARIFA JORNAL - PERSONAL DE OBRA - TECNICO SOLDADOR (INCLUYE FACTOR DE PRESTACIONES)</t>
  </si>
  <si>
    <t>TARIFA JORNAL - PERSONAL DE OBRA - TÉCNICO (SOLDADOR 1 A) (INCLUYE FACTOR DE PRESTACIONES)</t>
  </si>
  <si>
    <t>CURVA  EMT D= 3"</t>
  </si>
  <si>
    <t>UNIÓN EMT D= 3"</t>
  </si>
  <si>
    <t>CURVA  EMT D= 1 1/4"</t>
  </si>
  <si>
    <t>UNIÓN EMT D= 1 1/4"</t>
  </si>
  <si>
    <t>CURVA  EMT D= 2"</t>
  </si>
  <si>
    <t>UNIÓN EMT D= 2"</t>
  </si>
  <si>
    <t>ELECTROSOLDADOR - DE 350 A 515 AMPERIOS EN UN CICLO DE TRABAJO DEL 60%</t>
  </si>
  <si>
    <t>TARIFA JORNAL - PERSONAL DE OBRA - TÉCNICO (INCLUYE FACTOR DE PRESTACIONES)</t>
  </si>
  <si>
    <t>BLOQUE CANALIZADOR AMARILLO - SEPARADOR TIPO TRANSMILENIO. NO INCLUYE ELEMENTOS DE ANCLAJE</t>
  </si>
  <si>
    <t>TARIFA JORNAL - PERSONAL DE OBRA - OPERADOR EQUIPO DE SEÑALIZACIÓN HORARIO NOCTURNO (INCLUYE FACTOR DE PRESTACIONES)</t>
  </si>
  <si>
    <t>MOVILIZACIÓN, MONTAJE Y DESMONTAJE DE EQUIPO ENTRE PERFORACIONES DENTRO DE LA OBRA</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</si>
  <si>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</si>
  <si>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</si>
  <si>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</si>
  <si>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</si>
  <si>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</si>
  <si>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</si>
  <si>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</si>
  <si>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</si>
  <si>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</si>
  <si>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</si>
  <si>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</si>
  <si>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</si>
  <si>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</si>
  <si>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</si>
  <si>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</si>
  <si>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</si>
  <si>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</si>
  <si>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</si>
  <si>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GEOMALLA FORTGRID ASPHALT 75  3.8m\ FORTGRID ASPHALT 300 GEF: 3,2</t>
  </si>
  <si>
    <t>GEOMALLA FORTGRID ASPHALT 100  3.8m\ FORTGRID ASPHALT 700 GEF: 7,0</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</si>
  <si>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</si>
  <si>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</si>
  <si>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 xml:space="preserve">TARIFA DIA - EQUIPO DE TOPOGRAFÍA. INCLUYE TRÁNSITO, NIVEL Y ELEMENTOS COMPLEMENTARIOS </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</si>
  <si>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</si>
  <si>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</si>
  <si>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</si>
  <si>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</si>
  <si>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</si>
  <si>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</si>
  <si>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</si>
  <si>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</si>
  <si>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</si>
  <si>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</si>
  <si>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</si>
  <si>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</si>
  <si>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</si>
  <si>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</si>
  <si>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</si>
  <si>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</si>
  <si>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</si>
  <si>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</si>
  <si>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</si>
  <si>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</si>
  <si>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</si>
  <si>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</si>
  <si>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</si>
  <si>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</si>
  <si>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</si>
  <si>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</si>
  <si>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</si>
  <si>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</si>
  <si>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</si>
  <si>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</si>
  <si>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 xml:space="preserve">TARIFA MES - EQUIPO DE TOPOGRAFÍA. INCLUYE TRÁNSITO, NIVEL Y ELEMENTOS COMPLEMENTARIOS </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</si>
  <si>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</si>
  <si>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</si>
  <si>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</si>
  <si>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</si>
  <si>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</si>
  <si>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</si>
  <si>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</si>
  <si>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</si>
  <si>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TARIFA DIA - DISTANCIOMETRO  (Incluyendo tránsito y Estación Total) - Capacidad de Lectura hasta 1500m</t>
  </si>
  <si>
    <t>TARIFA MES - DISTANCIOMETRO  (Incluyendo tránsito y Estación Total) - Capacidad de Lectura hasta 1500m.</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</si>
  <si>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</si>
  <si>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</si>
  <si>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</si>
  <si>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</si>
  <si>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</si>
  <si>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</si>
  <si>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</si>
  <si>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PLUMA GRÚA A COMBUSTIÓN - CAPACIDAD DE CARGA DE  250 A 300 KG. GUAYA DE 35m. NO INCLUYE COMBUSTIBLE</t>
  </si>
  <si>
    <t>GRÚA REMOLQUE TIPO PLANCHÓN.  INCLUYE CONDUCTOR Y COMBUSTIBLE - INCLUYE MOVILIZACIÓN Y DESMOVILIZACIÓN</t>
  </si>
  <si>
    <t>CARGA PUNTUAL EN MUESTRAS DE ROCA INTACTA. Norma técnica: ASTM D5731 - 16.</t>
  </si>
  <si>
    <t>METODO PARA LA DETERMINACION DEL INDICE DE DESLEIMIENTO - DURABILIDAD DE LUTITAS Y OTRAS ROCAS DEBILES. Norma técnica: INVE-236-13 ASTM D4644-16.</t>
  </si>
  <si>
    <t>RESISTENCIA A LA TRACCIÓN INDIRECTA DE MUESTRAS DE ROCA INTACTA. Norma técnica: ASTM D3967 - 16.</t>
  </si>
  <si>
    <t>LAMINA ALVEOLAR POLICARBONATO 6 MM</t>
  </si>
  <si>
    <t>TARIFA JORNAL - PROFESIONAL CATEGORÍA 6 (NO INCLUYE FACTOR DE PRESTACIONES)</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</si>
  <si>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</si>
  <si>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UNE-EN-ISO-17892-10 (19)* (Norma de referencia) UNE-103401-98 ASTM D6528-17.</t>
  </si>
  <si>
    <t>ENSAYO DE CORTE DIRECTO EN CONDICION CONSOLIDADA DRENADA (CD 3 PUNTOS). Norma técnica: INVE-154-13 NTC-1917-00 UNE-EN-ISO-17892-10-19 Numerales 5.2.1 y 7.7.1 ASTM D3080/D3080M-1 1 (Retirado en 2020) AASHTO T-236-22.</t>
  </si>
  <si>
    <t>ENSAYO DE COMPRESION TRIAXIAL SOBRE SUELOS COHESIVOS (EN CONDICION NO CONSOLIDADA, NO DRENADA UU 3 PUNTOS). Norma técnica: INVE-153-13 UNE-EN-ISO-17892-8-19 ASTM D2850-23.</t>
  </si>
  <si>
    <t>DENSIDAD Y PESO UNITARIO DEL SUELO EN EL TERRENO POR EL MÉTODO DEL CONO Y ARENA. Norma técnica: INV E 161-13 NTC 1667-02 ASTM D1556 / D1556M - 15e1 .</t>
  </si>
  <si>
    <t>PALA REDONDA No.  2 CON CABO</t>
  </si>
  <si>
    <t>PUNTILLA GRAPA EN U 1 1/4 x 9"</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</si>
  <si>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</si>
  <si>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</si>
  <si>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</si>
  <si>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</si>
  <si>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</si>
  <si>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</si>
  <si>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</si>
  <si>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</si>
  <si>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MEDIDA DEL POTENCIAL DE COLAPSO DE UN SUELO PARCIALMENTE SATURADO. Norma técnica: INVE-157-13 ASTM  D5333-03 (retirado en 2017).</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</si>
  <si>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</si>
  <si>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</si>
  <si>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</si>
  <si>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</si>
  <si>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</si>
  <si>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</si>
  <si>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</si>
  <si>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</si>
  <si>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</si>
  <si>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DETERMINACION DEL CONTENIDO DE AZUFRE EN LOS AGREGADOS PETREOS. Norma técnica: INVE-233-13.</t>
  </si>
  <si>
    <t>DETERMINACION DE LA REACTIVIDAD POTENCIAL ACALI-SILICE DE AGREGADOS (METODO QUIMICO). Norma técnica: INVE-234-13 NTC-175-96.</t>
  </si>
  <si>
    <t>DETERMINACION DE LA LIMPIEZA SUPERFICIAL DE LAS PARTICULAS DE AGREGADO GRUESO. Norma técnica: INVE-237-13.</t>
  </si>
  <si>
    <t>DETERMINACIÓN DE LA RESISTENCIA DEL AGREGADO GRUESO A LA DEGRADACIÓN POR ABRASIÓN, UTILIZANDO EL APARATO MICRO-DEVAL. Norma técnica: INV E-238-13.</t>
  </si>
  <si>
    <t>DETERMINACION DEL CONTENIDO DE VACIOS EN AGREGADOS FINOS NO COMPACTADOS (INFLUENCIADO POR LA FORMA DE LAS PARTICULAS, LA TEXTURA SUPERFICIAL Y LA GRANULOMETRIA). Norma técnica: INVE-239-13.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</si>
  <si>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</si>
  <si>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</si>
  <si>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</si>
  <si>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</si>
  <si>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DETERMINACION DEL CONTENIDO DE AGUA EN LOS MATERIALES BITUMINOSOS POR DESTILACION. Norma técnica: INVE-704-13 ASTM D95-13 (18).</t>
  </si>
  <si>
    <t>PUNTOS DE INFLAMACION Y DE COMBUSTION MEDIANTE LA COPA ABIERTA CLEVELAND. Norma técnica: INVE-709-13 ASTM D92-18.</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</si>
  <si>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</si>
  <si>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</si>
  <si>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INVE-720-13 ASTM D2872-22.</t>
  </si>
  <si>
    <t>GRAVEDAD ESPECÍFICA BULK Y DENSIDAD DE MEZCLAS ASFÁLTICAS COMPACTADAS ABSORBENTES EMPLEANDO ESPECÍMENES RECUBIERTOS CON UNA PELÍCULA DE PARAFINA. Norma técnica: INV E – 734 - 13 ASTM D1188.</t>
  </si>
  <si>
    <t>GRAVEDAD ESPECIFICA MAXIMA DE MEZCLAS ASFALTICAS PARA PAVIMENTOS. Norma técnica: INVE-735-13 ASTM D2041/D2041M-11 (19).</t>
  </si>
  <si>
    <t>MEDIDA DE LA DENSIDAD DE CAPAS DE CONCRETO ASFALTICO EN EL TERRENO EMPLEANDO EL METODO NUCLEAR. Norma técnica: INVE-746-13 ASTM D2950/D2950M-22 (23).</t>
  </si>
  <si>
    <t>DETERMINACION DE LAS PROPIEDADES REOLOGICAS DE LOS LIGANTES ASFALTICOS MEDIANTE EL REOMETRO DE CORTE DINAMICO. Norma técnica: INVE-750-13 AASHTO T-315-20.</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</si>
  <si>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</si>
  <si>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</si>
  <si>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</si>
  <si>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</si>
  <si>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</si>
  <si>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 E-714-13 ASTM D 88.</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</si>
  <si>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</si>
  <si>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</si>
  <si>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 (19).</t>
  </si>
  <si>
    <t>MUESTREO Y ENSAYO DE PREFABRICADOS DE CONCRETO NO REFORZADOS, VIBROCOMPACTADOS (RESISTENCIA A LA COMPRESION). Norma técnica: NTC-4024-01 Numeral 6.</t>
  </si>
  <si>
    <t>ABSORCIÓN DE AGUA POR LOS ADOQUINES DE CONCRETO. Norma técnica: INV E - 427 - 13 NTC 2017 numeral 6.3 ASTM C140.</t>
  </si>
  <si>
    <t>MEDIDA DE LA MACROTEXTURA SUPERFICIAL DE UN PAVIMENTO EMPLEANDO LA TECNICA VOLUMETRICA. Norma técnica: INVE-791-13 ASTM E965-15 (19) NLT-335-00.</t>
  </si>
  <si>
    <t>MÉTODO PARA DETERMINAR LA CARGA DE ROTURA Y ELONGACIÓN DE GEOTEXTILES (MÉTODO GRAB). Norma técnica: ASTM D4632 D4632M - 15a.</t>
  </si>
  <si>
    <t>MÉTODOS PARA MUESTREO Y ENSAYOS DE UNIDADES DE MAMPOSTERÍA Y OTROS PRODUCTOS DE ARCILLA. MÓDULO DE ROTURA - ENSAYO DE FLEXION. Norma técnica: NTC-4017-18 Numeral 6.</t>
  </si>
  <si>
    <t>ADOQUINES DE CONCRETO PARA PAVIMENTOS (RESISTENCIA A LA FLEXOTRACCION - MODULO DE ROTURA). Norma técnica: NTC-2017-18 Numeral 6.4.</t>
  </si>
  <si>
    <t>METODO DE ENSAYO PARA DETERMINAR LA RESISTENCIA A LA ABRASION DE MATERIALES PARA PISOS Y PAVIMENTOS, MEDIANTE ARENA Y DISCO METALICO ANCHO. (ADOQUINES DE CONCRETO). Norma técnica: NTC-5147-02.</t>
  </si>
  <si>
    <t>LOSETAS DE CONCRETO PARA PAVIMENTOS. RESISTENCIA A LA FLEXOTRACCION - MODULO DE ROTURA. Norma técnica: NTC-4992-22 Numeral 6.4.</t>
  </si>
  <si>
    <t>LOSETAS DE CONCRETO PARA PAVIMENTOS. ABSORCION DE AGUA Y DENSIDAD. Norma técnica: NTC-4992-22 Numeral 6.3.</t>
  </si>
  <si>
    <t>METODO DE ENSAYO PARA DETERMINAR LA RESISTENCIA A LA ABRASION DE MATERIALES PARA PISOS Y PAVIMENTOS, MEDIANTE ARENA Y DISCO METALICO ANCHO. (LOSETAS DE CONCRETO). Norma técnica: NTC-5147-02.</t>
  </si>
  <si>
    <t>PREFABRICADOS DE CONCRETO. BORDILLOS Y SARDINALES DE CONCRETO (MODULO DE ROTURA). Norma técnica: NTC-4109-19 Numeral 7.</t>
  </si>
  <si>
    <t>EXTRACCION DE TESTIGOS DE PAVIMENTOS ASFALTICOS MEDIANTE ASERRADO, DE 100 CM X 100 CM. Norma técnica: INVE-758-13 Numeral 5.2 ASTM D5361/D5361M-22.</t>
  </si>
  <si>
    <t>TARIFA MES - PERSONAL DE OBRA - TÉCNICO (PLOMERO_ELECTRICISTA) (INCLUYE FACTOR DE PRESTACIONES)</t>
  </si>
  <si>
    <t>TARIFA MES - PERSONAL DE OBRA - AYUDANTE (INCLUYE FACTOR DE PRESTACIONES)</t>
  </si>
  <si>
    <t>COSTO DE LA REPRODUCCIÓN DE PLANOS TAMAÑO PLIEGO</t>
  </si>
  <si>
    <t>EXPANSIÓN LIBRE EN CONSOLIDÓMETRO. Norma técnica: ASTM D4546 - 14e1. Norma técnica: ASTM D4546 - 14e1.</t>
  </si>
  <si>
    <t xml:space="preserve">CONO CONCENTRICO PARA POZO D= 1.20m x 0.60m e=0.10m  h= 0.75m </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</si>
  <si>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</si>
  <si>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</si>
  <si>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</si>
  <si>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</si>
  <si>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</si>
  <si>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</si>
  <si>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</si>
  <si>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</si>
  <si>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</si>
  <si>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</si>
  <si>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</si>
  <si>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PÉNDULO BRITÁNICO. Norma técnica: INV E – 792 - 13 NTC 5129 ASTM E 501.</t>
  </si>
  <si>
    <t>TARIFA MES - PERSONAL DE OBRA - AYUDANTE (NO INCLUYE FACTOR DE PRESTACIONES)</t>
  </si>
  <si>
    <t>TARIFA MES - 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</si>
  <si>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</si>
  <si>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</si>
  <si>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</si>
  <si>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</si>
  <si>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</si>
  <si>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</si>
  <si>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</si>
  <si>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</si>
  <si>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</si>
  <si>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</si>
  <si>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</si>
  <si>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</si>
  <si>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</si>
  <si>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</si>
  <si>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</si>
  <si>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</si>
  <si>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</si>
  <si>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</si>
  <si>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</si>
  <si>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</si>
  <si>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</si>
  <si>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</si>
  <si>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</si>
  <si>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</si>
  <si>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</si>
  <si>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</si>
  <si>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</si>
  <si>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</si>
  <si>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</si>
  <si>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</si>
  <si>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</si>
  <si>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</si>
  <si>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</si>
  <si>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</si>
  <si>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</si>
  <si>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</si>
  <si>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</si>
  <si>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TARIFA JORNAL - PERSONAL DE OBRA - AYUDANTE - HORARIO NOCTURNO (INCLUYE FACTOR DE PRESTACIONES)</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</si>
  <si>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</si>
  <si>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</si>
  <si>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</si>
  <si>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</si>
  <si>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</si>
  <si>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</si>
  <si>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</si>
  <si>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</si>
  <si>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</si>
  <si>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</si>
  <si>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</si>
  <si>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</si>
  <si>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</si>
  <si>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</si>
  <si>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</si>
  <si>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</si>
  <si>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</si>
  <si>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</si>
  <si>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</si>
  <si>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</si>
  <si>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</si>
  <si>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</si>
  <si>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</si>
  <si>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</si>
  <si>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</si>
  <si>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</si>
  <si>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</si>
  <si>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</si>
  <si>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</si>
  <si>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</si>
  <si>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</si>
  <si>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</si>
  <si>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</si>
  <si>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</si>
  <si>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</si>
  <si>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</si>
  <si>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</si>
  <si>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</si>
  <si>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</si>
  <si>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</si>
  <si>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</si>
  <si>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</si>
  <si>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</si>
  <si>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</si>
  <si>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</si>
  <si>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</si>
  <si>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</si>
  <si>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</si>
  <si>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</si>
  <si>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</si>
  <si>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</si>
  <si>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</si>
  <si>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</si>
  <si>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</si>
  <si>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</si>
  <si>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</si>
  <si>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</si>
  <si>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</si>
  <si>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</si>
  <si>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</si>
  <si>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OBTENCION DE NUCLEOS DE CONCRETO ENDURECIDO (NUCLEOS DE 6"). Norma técnica: INVE-418-13 NTC-3658-18.</t>
  </si>
  <si>
    <t>TUBERIA CONDUIT METALICA EMT D= 3"</t>
  </si>
  <si>
    <t>TUBERIA CONDUIT METALICA EMT D= 1 1/4"</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</si>
  <si>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</si>
  <si>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</si>
  <si>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</si>
  <si>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</si>
  <si>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</si>
  <si>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</si>
  <si>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</si>
  <si>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(UNIDAD). Norma técnica: NTC-220-22 ASTM C109/C109M-21.</t>
  </si>
  <si>
    <t>TARIFA MES - ESTACIÓN DE TOPOGRAFÍA CON TRÍPODE, DOS BASTONES, DOS PRISMAS CON PORTAPRISMA</t>
  </si>
  <si>
    <t>TARIFA MES - SISTEMA GPS, BASE, ROVER Y COLECTOR DE DATOS</t>
  </si>
  <si>
    <t>CÁMARA DIGITAL COMPACTA MÍNIMO 16.2 MEGAPIXELES, MEMORIA DE 8 GB, VÍDEO HD CON PAUSA Y ZOOM (DIA)</t>
  </si>
  <si>
    <t>MARTILLO DEMOLEDOR ELÉCTRICO - POTENCIA DE 1920 A 2200 WATTS - GOLPES POR MINUTO DE 860 A 2000</t>
  </si>
  <si>
    <t>TUBERIA METALICO RIGID D= 6"</t>
  </si>
  <si>
    <t>CIELO RASO EN BANDEJA TILE LAY IN DE 610 mm x 610mm EN ALUZINC PERFORADO PERFIL CLP INCLUYE PERFILES DE FIJACION SISTEMA DE SUSPENSION Y ESPACIO PARA LAMPARAS. SUMINISTRO E INSTALACIÓN</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</si>
  <si>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</si>
  <si>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</si>
  <si>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</si>
  <si>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</si>
  <si>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</si>
  <si>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</si>
  <si>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</si>
  <si>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</si>
  <si>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SPLP - EXTRACCIÓN DE METALES PESADOS. Norma técnica: EPA-SW-846-1312-94.</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</si>
  <si>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</si>
  <si>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</si>
  <si>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</si>
  <si>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</si>
  <si>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</si>
  <si>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</si>
  <si>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</si>
  <si>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</si>
  <si>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</si>
  <si>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</si>
  <si>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EPA-SW-846-7473-07.</t>
  </si>
  <si>
    <t>ENSAYO DE LIXIVIACIÓN - ANTIMONIO. Norma técnica: SM 3120 B  / EPA 7473.</t>
  </si>
  <si>
    <t>PERMEABILIDAD DE SUELOS GRANULARES (CABEZA CONSTANTE). Norma técnica: INVE-130-13.</t>
  </si>
  <si>
    <t>PERMEABILIDAD DEL CONCRETO AL AGUA. Norma técnica: NTC-4483-98.</t>
  </si>
  <si>
    <t>ENSAYO DE CLASIFICACIÓN DE LOS COMPONENTES DE LOS ÁRIDOS GRUESOS RECICLADOS. Norma técnica: UNE-EN 933-11.</t>
  </si>
  <si>
    <t>DETERMINACION DE CONDUCTIVIDAD. Norma técnica: SM-2510-B-17.</t>
  </si>
  <si>
    <t>DETERMINACION DE OLOR. Norma técnica: SM-2150-B-17.</t>
  </si>
  <si>
    <t>CADMIO TOTAL. Norma técnica: SM 3111 B.</t>
  </si>
  <si>
    <t>COBRE TOTAL. Norma técnica: SM 3111 B.</t>
  </si>
  <si>
    <t>DETERMINACION DE MERCURIO TOTAL. Norma técnica: SM-3112-B-17.</t>
  </si>
  <si>
    <t>NIQUEL TOTAL. Norma técnica: SM 3111 B.</t>
  </si>
  <si>
    <t>PLOMO TOTAL. Norma técnica: SM 3111 B.</t>
  </si>
  <si>
    <t>ZINC TOTAL. Norma técnica: SM 3111 B.</t>
  </si>
  <si>
    <t>DETERMINACION DE DUREZA TOTAL. Norma técnica: SM-2340-C-17.</t>
  </si>
  <si>
    <t>FOSFATOS. Norma técnica: SM-4110-B-17.</t>
  </si>
  <si>
    <t>BORNA TERMINAL DE ALUMINIO 1 HUECO, 4/0 AWG</t>
  </si>
  <si>
    <t>VALVULA CHEQUE DE 1"</t>
  </si>
  <si>
    <t>SEÑAL EN POLIESTIRENO (30cm x 20cm) FOTOLUMINISCENTE - NORMA NTC - ISO</t>
  </si>
  <si>
    <t xml:space="preserve">CAMIÓN CON CALDERA PARA DERRETIR EL TERMOPLÁSTICO </t>
  </si>
  <si>
    <t>DETERMINACION DE FENOLES. Norma: SM-5530-B-17.</t>
  </si>
  <si>
    <t>USO DEL PENETRÓMETRO DINÁMICO DE CONO EN APLICACIONES DE PAVIMENTOS A POCA PROFUNDIDAD. Norma técnica: INV E 172-13 ASTM D6951 / D6951M - 09(2015).</t>
  </si>
  <si>
    <t>DETERMINACION DE SUELOS EXPANSIVOS (PROBETA). Norma técnica: INVE-132-13.</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</si>
  <si>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</si>
  <si>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</si>
  <si>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DETERMINACION DEL LIMITE LIQUIDO DE LOS SUELOS - LIMITE PLASTICO E INDICE DE PLASTICIDAD DE LOS SUELOS. Norma técnica: INVE-125-13 INVE-126-13 NTC-4630-99 ASTM D4318-17e1 (18).</t>
  </si>
  <si>
    <t>PH DE LOS SUELOS. Norma técnica: INV E -131.</t>
  </si>
  <si>
    <t>RELACIONES HUMEDAD-DENSIDAD DE MEZCLAS DE SUELO CEMENTO. Norma técnica: INVE-611-13.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</si>
  <si>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</si>
  <si>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</si>
  <si>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</si>
  <si>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VACIOS DEL LLENANTE SECO COMPACTADO. Norma técnica: INVE-229-13.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</si>
  <si>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</si>
  <si>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</si>
  <si>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METODO DE PRUEBA ESTANDAR PARA LA PERMEABILIDAD AL AGUA DE GEOTEXTILES POR PERMITIVIDAD. Norma técnica: ASTM D4491/D4491M-22.</t>
  </si>
  <si>
    <t>DETERMINACIÓN DEL CONTENIDO DE MATERIA ORGÁNICA DE UN SUELO POR EL MÉTODO DE PERMANGANATO POTÁSICO. Norma técnica: UNE 103204.</t>
  </si>
  <si>
    <t>BARRAJE PREFORMADO BT DE 6 SALIDAS, AP 280 CON FUSIBLE DE 175 AMP</t>
  </si>
  <si>
    <t>CAJA 4X2 DE 3/4" (Soporte de dispositivo). Metalica</t>
  </si>
  <si>
    <t>REDUCCION HD 24" x 16"</t>
  </si>
  <si>
    <t>VALVULA 1 1/2" PARA EXPULSIÓN DE AIRE</t>
  </si>
  <si>
    <t>VALVULA DE MARIPOSA Ø 12"A BRIDA - BRIDA (A) (150 PSI)</t>
  </si>
  <si>
    <t>VALVULA DE COMPUERTA Ø 4" (E.L) CON SELLO EN BRONCE</t>
  </si>
  <si>
    <t>SEÑAL METÁLICA DEFINITIVA DOBLE DE 0.75x0.75m REFLECTIVO GRADO INGENIERÍA ÁNGULOS DE 2x1/4", LÁMINA CLA. 16 PINTADA UNA CARA PINTURA ELECTROSTÁTICA. INCL. POSTE</t>
  </si>
  <si>
    <t>MUESTRA</t>
  </si>
  <si>
    <t>UNION JUNTA DE DESMONTAJE TIPO DRESSER Ø 4" 150 PSI</t>
  </si>
  <si>
    <t>VALVULA COMPUERTA ELÁSTICA EXTREMOS BRIDADOS. D=3"  150 PSI (VASTAGO ASCENDENTE)</t>
  </si>
  <si>
    <t>LUMINARIA RALED IV 128 LED, RA02SII, 200W COMPLETA PARA ALUMBRADO PÚBLICO</t>
  </si>
  <si>
    <t>TEE BRIDADO, D 6"X6" (DN150), ASTM A126, GALVANIZADO ASTM A123, ASME B16.42, RF CLASE 150</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</si>
  <si>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</si>
  <si>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</si>
  <si>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</si>
  <si>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</si>
  <si>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MEDICIÓN DEL TAMAÑO. Norma técnica: NTC-4017-18 numeral 18.</t>
  </si>
  <si>
    <t>LOSETAS DE CONCRETO PARA PAVIMENTOS. DIMENSIONAMIENTO. Norma técnica: NTC-4992-22 Numeral 6.2.10.</t>
  </si>
  <si>
    <t>MUESTREO Y METODOS DE ENSAYO DE UNIDADES DE MAMPOSTERIA DE CONCRETO Y UNIDADES RELACIONADAS. ABSORCIÓN DE AGUA. Norma técnica: NTC-4024-23 Numeral 8.</t>
  </si>
  <si>
    <t>ADOQUINES DE CONCRETO PARA PAVIMENTOS. MEDICIONES - DIMENSIONAMIENTO. Norma técnica: NTC-2017-18 Numeral 6.2.</t>
  </si>
  <si>
    <t>DETERMINACIÓN DE LA VISCOSIDAD DEL ASFALTO EMPLEANDO VISCOSÍMETROS CAPILARES DE VACÍO. Norma técnica: INV E – 716 - 13 ASTM D2171.</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</si>
  <si>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</si>
  <si>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</si>
  <si>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</si>
  <si>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DETERMINACIÓN DEL POTENCIAL DE REACTIVIDAD ÁLCALI DEL AGREGADOS (MÉTODO DE LAS BARRAS DE MORTERO). Norma técnica: ASTM 1260.</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</si>
  <si>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</si>
  <si>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</si>
  <si>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</si>
  <si>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</si>
  <si>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</si>
  <si>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ANDAMIO CERTIFICADO MULTIDIRECCIONAL, 2 TORRES CON PASARELA DE 3 M, SECCIÓN  DE 2.07 X 2.07 M, ALTURA DE ANDAMIO 4 M</t>
  </si>
  <si>
    <t>BASTÓN LUMINOSO 5 FUNCIONES GRANDE ST -900 -1 55 x 4.5 cm RECARGABLE.</t>
  </si>
  <si>
    <t>MEDICIÓN DE LA RESISTENCIA AL DESLIZAMIENTO EN ESTRUCTURA DE PAVIMENTO RÍGIDOS Y FLEXIBLES (COEFICIENTE DE FRICCIÓN) CON CON EQUIPO DE ALTO RENDIMIENTO. INCLUYE MOVILIZACIÓN, TOMA DE INFORMACIÓN, PROCESAMIENTO, ANÁLISIS Y ENTREGA DE RESULTADOS. NO INCLUYE VEHÍCULO ESCOLTA.</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</si>
  <si>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</si>
  <si>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TOMA DE DEFLEXIONES CON EQUIPO DEFLECTOMETRO DE IMPACTO (FWD/HWD) PARA PAVIMENTO CON SUPERFICIE FLEXIBLE. INCLUYE MOVILIZACION, CARRO ESCOLTA DEL EQUIPO, TOMA DE INFORMACION, PROCESAMIENTO Y ENTREGA DE RESULTADOS. Norma técnica: INVE-797-13 INVE-798-13 ASTM D4695-03 (20).</t>
  </si>
  <si>
    <t>TOMA DE DEFLEXIONES CON EQUIPO DEFLECTOMETRO DE IMPACTO (FWD/HWD) PARA PAVIMENTO CON SUPERFICIE RIGIDA. INCLUYE MOVILIZACION, CARRO ESCOLTA DEL EQUIPO, TOMA DE INFORMACION, PROCESAMIENTO Y ENTREGA DE RESULTADOS. Norma técnica: ASTM D4694-09 (20).</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</si>
  <si>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</si>
  <si>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</si>
  <si>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</si>
  <si>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</si>
  <si>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</si>
  <si>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</si>
  <si>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</si>
  <si>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</si>
  <si>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</si>
  <si>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</si>
  <si>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METODO DE PRUEBA ESTANDAR PARA DETERMINAR EL ESPESOR DE LAS CAPAS DE PAVIMENTO USANDO RADAR DE ONDA CORTA (GPR). CON EQUIPO GEORRADAR, EQUIPADO MINIMO CON DOS ANTENAS DE OPERACION, CON FRECUENCIAS: LA PRIMERA COMO MINIMO 1000 MHZ Y LA SEGUNDA ENTRE 300 Y 600. Norma técnica: ASTM D4748-10 (20).</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</si>
  <si>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</si>
  <si>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t>
  </si>
  <si>
    <t>MEDICION DE PERFIL DE MACROTEXTURA EN ESTRUCTURA DE PAVIMENTO CON PERFILOMETRO LASER Y DETERMINACION DE LA PROFUNDIDAD MEDIA DEL PERFIL (MDP). INCLUYE MOVILIZACION Y CARRO ESCOLTA DEL EQUIPO Y TOMA DE INFORMACION, PROCESAMIENTO, CALCULO Y ENTREGA DE RESULTADOS. Norma técnica: ASTM E1845-15 (16).</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</si>
  <si>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</si>
  <si>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</si>
  <si>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</si>
  <si>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RADIOGRÁFICO. Norma técnica: ASTM E94.</t>
  </si>
  <si>
    <t>EVALUACION DEL GRADO DE LIMPIEZA CON HERRAMIENTAS MANUALES. Norma técnica: SSPC-SP2-18.</t>
  </si>
  <si>
    <t>EVALUACIÓN DEL GRADO DE LIMPIEZA MANUAL Y MECÁNICA. Norma técnica: SSPC-SP3.</t>
  </si>
  <si>
    <t>EVALUACIÓN DEL GRADO DE LIMPIEZA POR CHORRO ABRASIVO A GRADO METAL BLANCO BASADO EN EL PATRÓN SSPC - VIS1. Norma técnica: SSPC-SP5 SSPC-SP7.</t>
  </si>
  <si>
    <t>EVALUACION DEL GRADO DE RUGOSIDAD DEL RECUBRIMIENTO. Norma técnica: NTC-3951-96 ASTM D4417-21.</t>
  </si>
  <si>
    <t>EVALUACIÓN DE CONDICIONES AMBIENTALES (EN EL MOMENTO DE LA APLICACIÓN DEL RECUBRIMIENTO). Norma técnica: NTC 3951  ASTM E337.</t>
  </si>
  <si>
    <t>INSPECCION VISUAL PARA EVALUACION DE DEFECTOS Y DEFINICION DE PROCEDIMIENTOS DE REPARACION. Norma técnica: ASTM A123/A123M-15 (17).</t>
  </si>
  <si>
    <t>TRACCIÓN DE ACERO ESTRUCTURAL. Norma técnica: NTC 3353 - ASTM E8.</t>
  </si>
  <si>
    <t>BARRAS CORRUGADAS Y LISAS DE ACERO DE BAJA ALEACION, PARA REFUERZO DE CONCRETO. TRACCION DE BARRAS LISAS Y CORRUGADAS. Norma técnica: NTC-2289-20 Numeral 9 NTC-3353-21.</t>
  </si>
  <si>
    <t>TRACCIÓN DE ALAMBRE DE ACERO/TORON DE ACERO. Norma técnica: NTC 2289 NTC 3353 ASTM A370.</t>
  </si>
  <si>
    <t>METODO DE PRUEBA ESTANDAR PARA DETERMINAR LA DUREZA ROCKWELL DE MATERIALES METALICOS (ALUMINIO). Norma técnica: NTC-19-96 ASTM E18-22.</t>
  </si>
  <si>
    <t>METODO DE ENSAYO PARA MEDIR LA EXPANSION DEL CEMENTO HIDRAULICO EN BARRAS DE MORTERO SUMERGIDAS EN AGUA. Norma técnica: NTC-4927-20.</t>
  </si>
  <si>
    <t>ENSAYO PARA DETERMINAR LA ACTIVIDAD PUZOLANICA EN CEMENTOS CON PUZOLANA. Norma técnica: NTC-1512-18.</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</si>
  <si>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</si>
  <si>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</si>
  <si>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</si>
  <si>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</si>
  <si>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</si>
  <si>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METODOS DE ENSAYO PARA MEDIR EL FLUJO LIBRE, FLUJO RESTRINGIDO Y SEGREGACION EN CONCRETOS AUTOCOMPACTANTES. Norma técnica: NTC-5222-03 .</t>
  </si>
  <si>
    <t>TIEMPO DE FRAGUADO DE MEZCLAS DE CONCRETO POR MEDIO DE SU RESISTENCIA A LA PENETRACIÓN. Norma técnica: NTC 890.</t>
  </si>
  <si>
    <t>TOMA DE LECTURAS DIARIAS PARA ESTIMAR LA RESISTENCIA DEL CONCRETO POR EL MÉTODO DE MADUREZ. Norma técnica: NTC 3756.</t>
  </si>
  <si>
    <t>RESISTENCIA A LA PENETRACIÓN PISTÓN DE 50 MM DE DIÁMETRO. Norma técnica: ASTM D6241.</t>
  </si>
  <si>
    <t>TAMAÑO DE  ABERTURA APARENTE. Norma técnica: ASTM D4751 NTC-2255-2003.</t>
  </si>
  <si>
    <t>ESTABILIDAD  ULTRAVIOLETA POR HR. Norma técnica: ASTM D4355.</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</si>
  <si>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</si>
  <si>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</si>
  <si>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</si>
  <si>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</si>
  <si>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</si>
  <si>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</si>
  <si>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</si>
  <si>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</si>
  <si>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</si>
  <si>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</si>
  <si>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</si>
  <si>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</si>
  <si>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EMULSION ASFALTICA. Norma técnica: INVE-761-13 ASTM D244-09 (17).</t>
  </si>
  <si>
    <t>ESTABILIDAD DE LAS EMULSIONES ASFALTICAS DURANTE EL ALMACENAMIENTO. Norma técnica: INVE-764-13 ASTM D6930-19.</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</si>
  <si>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</si>
  <si>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</si>
  <si>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</si>
  <si>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</si>
  <si>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</si>
  <si>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</si>
  <si>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</si>
  <si>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</si>
  <si>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</si>
  <si>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</si>
  <si>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</si>
  <si>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</si>
  <si>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METODO DE PRUEBA ESTANDAR PARA PROPIEDADES DE COMPRESION DE PLASTICOS RIGIDOS. Norma técnica: ASTM D695-23.</t>
  </si>
  <si>
    <t>FLEXION DE LOSETA EN PLÁSTICO RÍGIDO. Norma técnica: NTC 663. Norma técnica: NTC 663.</t>
  </si>
  <si>
    <t>RESISTENCIA A LA ABRASIÓN - DESGASTE DE PLÁSTICO RÍGIDO. Norma técnica: ASTM D3389. Norma técnica: ASTM D3389.</t>
  </si>
  <si>
    <t>TUBERÍA FLEXIBLE DE ALTA DENSIDAD NEGRA. TUBO Ø6" (160mm), TUBERÍA PEAD, PE100, SDR17, DN50, PE.</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</si>
  <si>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</si>
  <si>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</si>
  <si>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</si>
  <si>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</si>
  <si>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UNION DRESSER D=30". SUMINISTRO Y TRANSPORTE</t>
  </si>
  <si>
    <t>VALVULA DE MARIPOSA Ø 20" (A) (150 PSI). SUMINISTRO Y TRANSPORTE</t>
  </si>
  <si>
    <t>VÁLVULA DE COMPUERTA DE Ø 3" BRONCE T/P RED WHITE. SUMINISTRO Y TRANSPORTE</t>
  </si>
  <si>
    <t>TAPON HD EXTREMO LISO D=2"</t>
  </si>
  <si>
    <t>VALVULA DE MARIPOSA D=18" EXTREMOS BRIDADOS CLASE 150 OPERACIÓN MANUAL</t>
  </si>
  <si>
    <t>AVISO PUNTO IDU 1.50m x 0.90m EN LÁMINA GALVANIZADA CAL. 24. INCLUYE SUMINISTRO E INSTALACIÓN</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</si>
  <si>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</si>
  <si>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</si>
  <si>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</si>
  <si>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</si>
  <si>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</si>
  <si>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</si>
  <si>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</si>
  <si>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</si>
  <si>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</si>
  <si>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</si>
  <si>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</si>
  <si>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KIT DE NIVELACION PARA HIDRANTE DE DIÁMETRO 3", LONGITUD 300mm.</t>
  </si>
  <si>
    <t>PODA RADICULAR (Incl. MdeO) Poda de raíz de especímenes de Rango 2. Incl. poda, aplicación de cicatrizante, astillado de residuos, limpieza del lugar, transporte y disposición final de residuos e info</t>
  </si>
  <si>
    <t>REGISTRO DE BOLA 3" PVC</t>
  </si>
  <si>
    <t>CODO PVC EXTREMO LISO 45ºX3/4"</t>
  </si>
  <si>
    <t xml:space="preserve">ADAPTADOR TERMINAL CAMPANA PVC D=2" </t>
  </si>
  <si>
    <t>TERMOMETRO INFRARROJO PARA USO EN HUMANOS, LIBRE DE CONTACTO, IMPERMEABLE. (Según Apéndice Bioseguridad Covid 19)_ Exento de IVA de forma temporal</t>
  </si>
  <si>
    <t>GEL ANTIBACTERIAL Antiséptico para manos sin enjuague, a base de glicerina, alcohol antiséptico al 70%, contenido máx. de agua 30%.(Según Apéndice Bioseguridad Covid 19)_ Exento IVA de forma temporal</t>
  </si>
  <si>
    <t>BIG BAG TELA POLIPROPILENO R220 GM/2 Rollo de 100m-100cm x 100cm x 160cm Solapa/Fondo Ciego. Reata 25/30 blancos</t>
  </si>
  <si>
    <t>RECUBRIMIENTO EPÓXICO DE ALTA RESISTENCIA QUÍMICA INSENSIBLE A LA HUMEDAD</t>
  </si>
  <si>
    <t>SEPARADORES (ESPACIADOR) DE DUCTERÍA PARA 6 TUBOS DE Ø2" UNA Y DOBLE CARA</t>
  </si>
  <si>
    <t>SEPARADORES (ESPACIADOR) DE DUCTERÍA PARA 8 TUBOS DE Ø2" UNA Y DOBLE CARA</t>
  </si>
  <si>
    <t>SEPARADORES (ESPACIADOR) DE DUCTERÍA PARA 6 TUBOS DE Ø4" UNA Y DOBLE CARA</t>
  </si>
  <si>
    <t>SEPARADORES (ESPACIADOR) DE DUCTERÍA PARA 8 TUBOS DE Ø4" UNA Y DOBLE CARA</t>
  </si>
  <si>
    <t>TAPA INICIO / FINAL PARA SARDINEL DE DRENAJE RD 200 H:33</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</si>
  <si>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</si>
  <si>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</si>
  <si>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</si>
  <si>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</si>
  <si>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</si>
  <si>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</si>
  <si>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</si>
  <si>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</si>
  <si>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</si>
  <si>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</si>
  <si>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</si>
  <si>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</si>
  <si>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</si>
  <si>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</si>
  <si>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</si>
  <si>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</si>
  <si>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</si>
  <si>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</si>
  <si>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</si>
  <si>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</si>
  <si>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</si>
  <si>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</si>
  <si>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</si>
  <si>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COMPRESION INCONFINADA DE MEZCLAS COMPACTADAS DE SUELO-CAL (CON MEDICION DE ESFUERZO-DEFORMACION). Norma Técnica INVE-605-13.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</si>
  <si>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</si>
  <si>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</si>
  <si>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</si>
  <si>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</si>
  <si>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</si>
  <si>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SISTEMAS DE PINTURAS PROTECTORAS. VARIABLES DE EVALUACION EN CAMPO. VALORACION DE LA CONTINUIDAD EN PELICULA. Norma Técnica ASTM D5162-21.</t>
  </si>
  <si>
    <t>METODO DE ENSAYO PARA DETERMINAR LA FINURA DEL CEMENTO HIDRAULICO UTILIZANDO EL TAMIZ DE 45 mm (No. 325). Norma Técnica: NTC-294-18.</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</si>
  <si>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</si>
  <si>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</si>
  <si>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</si>
  <si>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</si>
  <si>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</si>
  <si>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</si>
  <si>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</si>
  <si>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</si>
  <si>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</si>
  <si>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</si>
  <si>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</si>
  <si>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</si>
  <si>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</si>
  <si>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</si>
  <si>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</si>
  <si>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</si>
  <si>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</si>
  <si>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</si>
  <si>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</si>
  <si>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</si>
  <si>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</si>
  <si>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</si>
  <si>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</si>
  <si>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</si>
  <si>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</si>
  <si>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</si>
  <si>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MARCO Y TAPA PARA CAJA DE INSPECCION CODENSA CS290</t>
  </si>
  <si>
    <t>RECARGA DE CILINDRO DE GAS 40 LB</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</si>
  <si>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</si>
  <si>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</si>
  <si>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</si>
  <si>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</si>
  <si>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</si>
  <si>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</si>
  <si>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CONCRETO MR45 (350 Kg/cm2) ACELERADO 7 DÍAS</t>
  </si>
  <si>
    <t>CODO EN ACERO Ø24" ENTRE 67 1/2° Y 90° JUNTA ESPIGO Y CAMPANA, CON EMPAQUE DE CAUCHO, CON REVEST.INT. Y RECUBR. EXT. EN MORTERO DE CEMENTO. L= 1.65m x 1.65m</t>
  </si>
  <si>
    <t>REDUCCIÓN EN ACERO Ø 20" x 16" CON ESPIGO Ø 20" Y CAMPANA Ø 16, REVESTIDA INTERIOR Y EXTERIOR CON MORTERO CEMENTO. L= 0.58m PRESIÓN DE TRABAJO= 150 PSI</t>
  </si>
  <si>
    <t>JUNTA DE DILATACIÓN ELASTOMÉRICA 160 MOVIMIENTO 160mm+/-80mm</t>
  </si>
  <si>
    <t>JUNTA DE DILATACIÓN ELASTOMÉRICA 230 MOVIMIENTO 230mm+/-115mm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</si>
  <si>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</si>
  <si>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</si>
  <si>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</si>
  <si>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</si>
  <si>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</si>
  <si>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</si>
  <si>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RESINA  DE IMPREGNACIÓN DE ALTO MÓDULO Y ALTA RESISTENCIA</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</si>
  <si>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</si>
  <si>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</si>
  <si>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</si>
  <si>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</si>
  <si>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</si>
  <si>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</si>
  <si>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</si>
  <si>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</si>
  <si>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</si>
  <si>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</si>
  <si>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</si>
  <si>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</si>
  <si>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</si>
  <si>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</si>
  <si>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</si>
  <si>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</si>
  <si>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</si>
  <si>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</si>
  <si>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</si>
  <si>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</si>
  <si>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</si>
  <si>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</si>
  <si>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</si>
  <si>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</si>
  <si>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</si>
  <si>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</si>
  <si>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</si>
  <si>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</si>
  <si>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</si>
  <si>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</si>
  <si>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</si>
  <si>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</si>
  <si>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</si>
  <si>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</si>
  <si>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</si>
  <si>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</si>
  <si>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</si>
  <si>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METODO DE PRUEBA ESTANDAR PARA LA RESISTENCIA DE LA UNION DE GEOMALLAS INDIVIDUALES. Norma Técnica: ASTM D7737/D7737M-15 (23)</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</si>
  <si>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</si>
  <si>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</si>
  <si>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</si>
  <si>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</si>
  <si>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</si>
  <si>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(17).</t>
  </si>
  <si>
    <t>METODO DE PRUEBA ESTANDAR PARA POTASIO EN AGUA POR ESPECTROFOTOMETRIA DE ABSORCION ATOMICA. Norma técnica: ASTM D4192-15 (17).</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</si>
  <si>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</si>
  <si>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</si>
  <si>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</si>
  <si>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</si>
  <si>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</si>
  <si>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</si>
  <si>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</si>
  <si>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</si>
  <si>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</si>
  <si>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</si>
  <si>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</si>
  <si>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</si>
  <si>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</si>
  <si>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</si>
  <si>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</si>
  <si>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</si>
  <si>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</si>
  <si>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</si>
  <si>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</si>
  <si>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</si>
  <si>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</si>
  <si>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</si>
  <si>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</si>
  <si>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</si>
  <si>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</si>
  <si>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</si>
  <si>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</si>
  <si>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</si>
  <si>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</si>
  <si>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</si>
  <si>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</si>
  <si>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</si>
  <si>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</si>
  <si>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</si>
  <si>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</si>
  <si>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</si>
  <si>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</si>
  <si>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</si>
  <si>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</si>
  <si>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</si>
  <si>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</si>
  <si>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</si>
  <si>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</si>
  <si>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</si>
  <si>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</si>
  <si>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</si>
  <si>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</si>
  <si>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</si>
  <si>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</si>
  <si>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</si>
  <si>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</si>
  <si>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</si>
  <si>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</si>
  <si>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</si>
  <si>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</si>
  <si>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</si>
  <si>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</si>
  <si>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</si>
  <si>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</si>
  <si>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</si>
  <si>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</si>
  <si>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</si>
  <si>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</si>
  <si>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</si>
  <si>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</si>
  <si>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</si>
  <si>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</si>
  <si>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</si>
  <si>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</si>
  <si>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</si>
  <si>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</si>
  <si>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</si>
  <si>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</si>
  <si>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</si>
  <si>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</si>
  <si>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</si>
  <si>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 xml:space="preserve">TUBERIA CONDUIT METALICA RMC D= 6'' </t>
  </si>
  <si>
    <t>PLANTA ELÉCTRICA - POTENCIA ELÉCTRICA GENERADA 11-13 kW INCLUYE COMBUSTIBLE</t>
  </si>
  <si>
    <t>PARAL METÁLICO CORTO DE 1.50 m A 2.7 m</t>
  </si>
  <si>
    <t>ANDAMIO MULTIDIRECCIONAL - ALTURA 9 m - ÁREA 4 m2</t>
  </si>
  <si>
    <t>MEDIDA DE LA IRREGULARIDAD SUPERFICIAL DE UN PAVIMENTO MEDIANTE LA REGLA DE TRES METROS, ESTATICA O RODANTE (POR UNIDAD). NO INCLUYE TRANSPORTE. Norma Técnica: INVE-793-13 ASTM E1703/E1703M-10 (23).</t>
  </si>
  <si>
    <t>MEDIDA DE SEGREGACIÓN TÉRMICA DE MEZCLAS ASFÁLTICAS MEDIANTE CÁMARA TERMOGRÁFICA (Por unidad) - No Incluye Transporte</t>
  </si>
  <si>
    <t>MEDIDA DE SEGREGACIÓN TÉRMICA DE MEZCLAS ASFÁLTICAS MEDIANTE CÁMARA TERMOGRÁFICA (Por jornada) - No Incluye Transporte</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</si>
  <si>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</si>
  <si>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</si>
  <si>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</si>
  <si>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</si>
  <si>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</si>
  <si>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</si>
  <si>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</si>
  <si>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</si>
  <si>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</si>
  <si>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</si>
  <si>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</si>
  <si>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</si>
  <si>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</si>
  <si>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ALQUILER MICROPÍLOTEADORA PESO 9.200 KG, DIÁMETRO MAXIMO DE ABRAZADERAS 26 CM, FUERZA DE EXTRACCIÓN 6 TONELADAS - INCLUYE OPERARIO Y COMBUSTIBLE</t>
  </si>
  <si>
    <t>Capítulo</t>
  </si>
  <si>
    <t>Subcapítulo</t>
  </si>
  <si>
    <t>Fecha de actualización</t>
  </si>
  <si>
    <t>EXCAVACIONES</t>
  </si>
  <si>
    <t>EXC. CONFORMACIÓN DE SUBRASANTE</t>
  </si>
  <si>
    <t>Actualización 2023-I - Fase II + M.O. 2024</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</si>
  <si>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</si>
  <si>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</si>
  <si>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</si>
  <si>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</si>
  <si>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</si>
  <si>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</si>
  <si>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</si>
  <si>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</si>
  <si>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</si>
  <si>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</si>
  <si>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</si>
  <si>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</si>
  <si>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</si>
  <si>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</si>
  <si>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</si>
  <si>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</si>
  <si>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</si>
  <si>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</si>
  <si>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</si>
  <si>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</si>
  <si>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</si>
  <si>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</si>
  <si>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</si>
  <si>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</si>
  <si>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</si>
  <si>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</si>
  <si>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</si>
  <si>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</si>
  <si>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</si>
  <si>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</si>
  <si>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</si>
  <si>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</si>
  <si>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</si>
  <si>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</si>
  <si>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</si>
  <si>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</si>
  <si>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</si>
  <si>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</si>
  <si>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</si>
  <si>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PISOS EN ADOQUINES Y EN LOSETAS</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</si>
  <si>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</si>
  <si>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</si>
  <si>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</si>
  <si>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</si>
  <si>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</si>
  <si>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</si>
  <si>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</si>
  <si>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</si>
  <si>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</si>
  <si>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</si>
  <si>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</si>
  <si>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</si>
  <si>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</si>
  <si>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</si>
  <si>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</si>
  <si>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</si>
  <si>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</si>
  <si>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</si>
  <si>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</si>
  <si>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</si>
  <si>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</si>
  <si>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</si>
  <si>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</si>
  <si>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</si>
  <si>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</si>
  <si>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</si>
  <si>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</si>
  <si>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</si>
  <si>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</si>
  <si>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</si>
  <si>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</si>
  <si>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</si>
  <si>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</si>
  <si>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</si>
  <si>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</si>
  <si>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</si>
  <si>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</si>
  <si>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</si>
  <si>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</si>
  <si>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</si>
  <si>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</si>
  <si>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</si>
  <si>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</si>
  <si>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</si>
  <si>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</si>
  <si>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</si>
  <si>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</si>
  <si>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</si>
  <si>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</si>
  <si>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</si>
  <si>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</si>
  <si>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</si>
  <si>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</si>
  <si>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</si>
  <si>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</si>
  <si>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</si>
  <si>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</si>
  <si>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</si>
  <si>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</si>
  <si>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</si>
  <si>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</si>
  <si>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</si>
  <si>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</si>
  <si>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</si>
  <si>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</si>
  <si>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</si>
  <si>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</si>
  <si>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</si>
  <si>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</si>
  <si>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</si>
  <si>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</si>
  <si>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</si>
  <si>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</si>
  <si>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</si>
  <si>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</si>
  <si>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</si>
  <si>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</si>
  <si>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</si>
  <si>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</si>
  <si>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</si>
  <si>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</si>
  <si>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</si>
  <si>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</si>
  <si>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</si>
  <si>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</si>
  <si>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</si>
  <si>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</si>
  <si>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</si>
  <si>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</si>
  <si>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</si>
  <si>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</si>
  <si>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</si>
  <si>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</si>
  <si>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</si>
  <si>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</si>
  <si>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</si>
  <si>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</si>
  <si>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</si>
  <si>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</si>
  <si>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</si>
  <si>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</si>
  <si>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</si>
  <si>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</si>
  <si>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</si>
  <si>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</si>
  <si>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</si>
  <si>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</si>
  <si>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</si>
  <si>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</si>
  <si>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</si>
  <si>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</si>
  <si>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</si>
  <si>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</si>
  <si>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</si>
  <si>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</si>
  <si>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</si>
  <si>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</si>
  <si>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</si>
  <si>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</si>
  <si>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</si>
  <si>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</si>
  <si>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</si>
  <si>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</si>
  <si>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</si>
  <si>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</si>
  <si>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</si>
  <si>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</si>
  <si>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</si>
  <si>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</si>
  <si>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</si>
  <si>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</si>
  <si>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</si>
  <si>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</si>
  <si>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</si>
  <si>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</si>
  <si>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</si>
  <si>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</si>
  <si>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</si>
  <si>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</si>
  <si>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</si>
  <si>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</si>
  <si>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</si>
  <si>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</si>
  <si>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</si>
  <si>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</si>
  <si>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</si>
  <si>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</si>
  <si>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</si>
  <si>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</si>
  <si>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</si>
  <si>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</si>
  <si>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</si>
  <si>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</si>
  <si>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</si>
  <si>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</si>
  <si>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</si>
  <si>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</si>
  <si>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</si>
  <si>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</si>
  <si>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</si>
  <si>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</si>
  <si>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</si>
  <si>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</si>
  <si>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</si>
  <si>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</si>
  <si>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</si>
  <si>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</si>
  <si>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</si>
  <si>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</si>
  <si>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</si>
  <si>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</si>
  <si>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</si>
  <si>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</si>
  <si>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</si>
  <si>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</si>
  <si>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</si>
  <si>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</si>
  <si>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</si>
  <si>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</si>
  <si>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</si>
  <si>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</si>
  <si>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</si>
  <si>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</si>
  <si>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</si>
  <si>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</si>
  <si>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</si>
  <si>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</si>
  <si>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</si>
  <si>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</si>
  <si>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</si>
  <si>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</si>
  <si>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</si>
  <si>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</si>
  <si>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</si>
  <si>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</si>
  <si>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</si>
  <si>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</si>
  <si>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</si>
  <si>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</si>
  <si>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</si>
  <si>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</si>
  <si>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</si>
  <si>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</si>
  <si>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CAPAS GRANULARES</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</si>
  <si>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</si>
  <si>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</si>
  <si>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</si>
  <si>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</si>
  <si>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</si>
  <si>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</si>
  <si>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</si>
  <si>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</si>
  <si>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</si>
  <si>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</si>
  <si>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</si>
  <si>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</si>
  <si>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</si>
  <si>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</si>
  <si>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</si>
  <si>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</si>
  <si>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</si>
  <si>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</si>
  <si>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</si>
  <si>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</si>
  <si>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</si>
  <si>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</si>
  <si>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LUMINARIA DE SODIO 400W PARA AP (INC.SUMINISTRO E INSTALACIÓN. INC. BOMBILLO Y FOTOCELDA CON BASE. NO INC BRAZO SOPORTE)</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</si>
  <si>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</si>
  <si>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</si>
  <si>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</si>
  <si>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</si>
  <si>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</si>
  <si>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</si>
  <si>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</si>
  <si>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</si>
  <si>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</si>
  <si>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</si>
  <si>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</si>
  <si>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</si>
  <si>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</si>
  <si>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</si>
  <si>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</si>
  <si>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</si>
  <si>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</si>
  <si>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</si>
  <si>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</si>
  <si>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</si>
  <si>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</si>
  <si>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</si>
  <si>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</si>
  <si>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</si>
  <si>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</si>
  <si>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</si>
  <si>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</si>
  <si>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</si>
  <si>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</si>
  <si>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</si>
  <si>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</si>
  <si>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</si>
  <si>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</si>
  <si>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</si>
  <si>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</si>
  <si>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</si>
  <si>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</si>
  <si>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</si>
  <si>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</si>
  <si>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</si>
  <si>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</si>
  <si>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</si>
  <si>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</si>
  <si>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</si>
  <si>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</si>
  <si>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</si>
  <si>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</si>
  <si>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</si>
  <si>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</si>
  <si>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</si>
  <si>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</si>
  <si>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</si>
  <si>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</si>
  <si>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</si>
  <si>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</si>
  <si>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</si>
  <si>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</si>
  <si>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</si>
  <si>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</si>
  <si>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</si>
  <si>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</si>
  <si>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</si>
  <si>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</si>
  <si>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</si>
  <si>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</si>
  <si>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</si>
  <si>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</si>
  <si>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</si>
  <si>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</si>
  <si>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</si>
  <si>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</si>
  <si>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</si>
  <si>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</si>
  <si>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</si>
  <si>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</si>
  <si>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</si>
  <si>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</si>
  <si>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</si>
  <si>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</si>
  <si>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</si>
  <si>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</si>
  <si>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</si>
  <si>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</si>
  <si>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DADO EN CONCRETO 4000 PSI, (27 Mpa) PREMEZCLADO, GRAVA COMÚN (Incluye Suministro, Formaleteo en madera, Bombeo, colocación y Curado. No incluye refuerzo)</t>
  </si>
  <si>
    <t>VIGA EN CONCRETO PREMEZCLADO DE 3500 PSI (24 Mpa) GRAVA COMUN (Incluye Sumin., bombeo con autobomba, Formaleteo en madera, Colocación y Curado. No incl. Refuerzo)</t>
  </si>
  <si>
    <t>CONCRETO 3000 PSI GRAVA FINA PARA ESTRUCTURA DE TRANSICIÓN (PREMEZCLADO. INCL. SUMIN, FORMALETA, BOMBEO CON AUTOBOMBA Y COLOCACIÓN. NO INCL. REFUERZO, CURADO)</t>
  </si>
  <si>
    <t>CONCRETO 3000 PSI GRAVA FINA PARA ESTRIBOS (PREMEZCLADO. INCLUYE SUMINISTRO, BOMBEO CON AUTOBOMBA, FORMALETEO Y COLOCACIÓN. NO INCL. REFUERZO, CURADO)</t>
  </si>
  <si>
    <t>CONCRETO 3000 PSI GRAVA FINA PARA PUENTE CAJÓN (PREMEZCLADO. INCLUYE SUMIN., BOMBEO CON AUTOBOMBA, FORMALETEO Y COLOCACIÓN. NO INCL. REFUERZO, CURADO)</t>
  </si>
  <si>
    <t>MURO DE CONTENCIÓN EN CONCRETO 3000 PSI PREMEZCLADO, GRAVA FINA. (Incluye suministro, formaleteo, bombeo, colocación y curado. No incl. Refuerzo)</t>
  </si>
  <si>
    <t>CONCRETO 3000 PSI GRAVA FINA PARA BOX CULVERT (PREMEZCLADO. INCLUYE SUMIN., FORMALETEO, BOMBEO CON AUTOBOMBA Y COLOCACIÓN. NO INCL. REFUERZO, CURADO)</t>
  </si>
  <si>
    <t>ALETA VIGA SOLERA EN CONCRETO PREMEZCLADO DE 3000 PSI (21Mpa) GRAVA FINA (Incl. Sumin., bombeo con autobomba, Formaleteo madera, Colocación y Curado. No incl. Refuerzo)</t>
  </si>
  <si>
    <t>CONCRETO 2000 PSI GRAVA COMÚN PARA SUB-BASE PUENTE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</si>
  <si>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</si>
  <si>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</si>
  <si>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</si>
  <si>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</si>
  <si>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</si>
  <si>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</si>
  <si>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</si>
  <si>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</si>
  <si>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</si>
  <si>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</si>
  <si>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</si>
  <si>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</si>
  <si>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TALA DE ARBOLES CLASE IV (20M&lt;H&lt;30M. INCLUYE DESENRAÍCE, RETIRO Y DISPOSICIÓN FINAL)</t>
  </si>
  <si>
    <t>PISO EN ADOQUIN DE ARCILLA 26X6X6CM (SUMINISTRO E INSTALACIÓN. INCLUYE BASE 4CM ARENA NIVELACIÓN Y ARENA DE SELLO)</t>
  </si>
  <si>
    <t>TALA DE ARBOLES CLASE III (10M &lt; H &lt; 20 M. INCLUYE DESENRAÍCE, RETIRO Y DISPOSICIÓN FINAL)</t>
  </si>
  <si>
    <t>TALA DE ARBOLES CLASE I (H&lt;5M. INCLUYE DESENRAÍCE, RETIRO Y DISPOSICIÓN FINAL)</t>
  </si>
  <si>
    <t>SUBDREN EN GRAVILLA 3/4", 0.5X1M (INC. SUMIN. Y EXTENDIDO MANUAL. INC. GEOTEXTIL NT CR=700N Y TUBERÍA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</si>
  <si>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</si>
  <si>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</si>
  <si>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</si>
  <si>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</si>
  <si>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</si>
  <si>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</si>
  <si>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</si>
  <si>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</si>
  <si>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</si>
  <si>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</si>
  <si>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</si>
  <si>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</si>
  <si>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</si>
  <si>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</si>
  <si>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</si>
  <si>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</si>
  <si>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</si>
  <si>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MALLA VIAL ARTERIAL</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</si>
  <si>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</si>
  <si>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</si>
  <si>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</si>
  <si>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</si>
  <si>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</si>
  <si>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</si>
  <si>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</si>
  <si>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</si>
  <si>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</si>
  <si>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</si>
  <si>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</si>
  <si>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</si>
  <si>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</si>
  <si>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</si>
  <si>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</si>
  <si>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</si>
  <si>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</si>
  <si>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</si>
  <si>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</si>
  <si>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</si>
  <si>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</si>
  <si>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</si>
  <si>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</si>
  <si>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</si>
  <si>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</si>
  <si>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</si>
  <si>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</si>
  <si>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</si>
  <si>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</si>
  <si>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</si>
  <si>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</si>
  <si>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</si>
  <si>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</si>
  <si>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</si>
  <si>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</si>
  <si>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NT CR=700N Y TUBERÍA PVC CORRUG.-FILTRO D=4")</t>
  </si>
  <si>
    <t>SUBDREN EN GRAVILLA 1/2", 0.5X1M (INC. SUMIN. Y COMPACT. INC. GEOTEXTIL NT CR=700N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</si>
  <si>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</si>
  <si>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</si>
  <si>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</si>
  <si>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</si>
  <si>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</si>
  <si>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</si>
  <si>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</si>
  <si>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</si>
  <si>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</si>
  <si>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</si>
  <si>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</si>
  <si>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</si>
  <si>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</si>
  <si>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</si>
  <si>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</si>
  <si>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</si>
  <si>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</si>
  <si>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</si>
  <si>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</si>
  <si>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</si>
  <si>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</si>
  <si>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</si>
  <si>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</si>
  <si>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</si>
  <si>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</si>
  <si>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</si>
  <si>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</si>
  <si>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</si>
  <si>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</si>
  <si>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</si>
  <si>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</si>
  <si>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</si>
  <si>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</si>
  <si>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</si>
  <si>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</si>
  <si>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</si>
  <si>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</si>
  <si>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</si>
  <si>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</si>
  <si>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</si>
  <si>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</si>
  <si>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</si>
  <si>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</si>
  <si>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</si>
  <si>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</si>
  <si>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</si>
  <si>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</si>
  <si>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</si>
  <si>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</si>
  <si>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</si>
  <si>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</si>
  <si>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</si>
  <si>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</si>
  <si>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</si>
  <si>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</si>
  <si>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</si>
  <si>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</si>
  <si>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</si>
  <si>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</si>
  <si>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</si>
  <si>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</si>
  <si>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</si>
  <si>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</si>
  <si>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</si>
  <si>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</si>
  <si>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</si>
  <si>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</si>
  <si>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</si>
  <si>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</si>
  <si>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</si>
  <si>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</si>
  <si>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</si>
  <si>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</si>
  <si>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</si>
  <si>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</si>
  <si>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</si>
  <si>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</si>
  <si>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</si>
  <si>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</si>
  <si>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</si>
  <si>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</si>
  <si>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</si>
  <si>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</si>
  <si>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</si>
  <si>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</si>
  <si>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</si>
  <si>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</si>
  <si>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</si>
  <si>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</si>
  <si>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</si>
  <si>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</si>
  <si>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</si>
  <si>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</si>
  <si>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</si>
  <si>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</si>
  <si>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</si>
  <si>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</si>
  <si>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</si>
  <si>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</si>
  <si>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</si>
  <si>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</si>
  <si>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</si>
  <si>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</si>
  <si>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</si>
  <si>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</si>
  <si>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</si>
  <si>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</si>
  <si>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</si>
  <si>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</si>
  <si>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</si>
  <si>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</si>
  <si>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</si>
  <si>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</si>
  <si>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</si>
  <si>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</si>
  <si>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</si>
  <si>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</si>
  <si>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4000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</si>
  <si>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</si>
  <si>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</si>
  <si>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</si>
  <si>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</si>
  <si>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</si>
  <si>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</si>
  <si>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</si>
  <si>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</si>
  <si>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</si>
  <si>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</si>
  <si>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</si>
  <si>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</si>
  <si>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</si>
  <si>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</si>
  <si>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</si>
  <si>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</si>
  <si>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</si>
  <si>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ANCHA)=40 KN/M PARA ESTABILIZACION SUBRASANTE/CAPAS GRANULARES (INC. SUMIN. E INST.)</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</si>
  <si>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</si>
  <si>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</si>
  <si>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</si>
  <si>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</si>
  <si>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</si>
  <si>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</si>
  <si>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</si>
  <si>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</si>
  <si>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</si>
  <si>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</si>
  <si>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</si>
  <si>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</si>
  <si>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</si>
  <si>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</si>
  <si>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</si>
  <si>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</si>
  <si>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</si>
  <si>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</si>
  <si>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</si>
  <si>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</si>
  <si>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</si>
  <si>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</si>
  <si>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</si>
  <si>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</si>
  <si>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</si>
  <si>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</si>
  <si>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</si>
  <si>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</si>
  <si>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</si>
  <si>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</si>
  <si>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</si>
  <si>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</si>
  <si>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</si>
  <si>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</si>
  <si>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</si>
  <si>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</si>
  <si>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</si>
  <si>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</si>
  <si>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</si>
  <si>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TALA DE ARBOLES CLASE V (H&gt;30M. INCLUYE DESENRAÍCE, CARGUE, TRANSPORTE Y DISPOSICIÓN FINAL)</t>
  </si>
  <si>
    <t>TALA DE ARBOLES CLASE II (5M &lt; H &lt; 10M. INCLUYE DESENRAÍCE, RETIRO Y DISPOSICIÓN FINAL)</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</si>
  <si>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</si>
  <si>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</si>
  <si>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</si>
  <si>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</si>
  <si>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</si>
  <si>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</si>
  <si>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</si>
  <si>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</si>
  <si>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</si>
  <si>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</si>
  <si>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</si>
  <si>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</si>
  <si>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</si>
  <si>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</si>
  <si>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</si>
  <si>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</si>
  <si>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</si>
  <si>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</si>
  <si>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</si>
  <si>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</si>
  <si>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</si>
  <si>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</si>
  <si>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</si>
  <si>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</si>
  <si>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</si>
  <si>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</si>
  <si>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</si>
  <si>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</si>
  <si>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</si>
  <si>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</si>
  <si>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</si>
  <si>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</si>
  <si>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</si>
  <si>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</si>
  <si>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</si>
  <si>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</si>
  <si>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</si>
  <si>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</si>
  <si>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</si>
  <si>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</si>
  <si>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</si>
  <si>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</si>
  <si>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</si>
  <si>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</si>
  <si>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</si>
  <si>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</si>
  <si>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</si>
  <si>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</si>
  <si>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</si>
  <si>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</si>
  <si>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</si>
  <si>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</si>
  <si>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</si>
  <si>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</si>
  <si>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</si>
  <si>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</si>
  <si>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</si>
  <si>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</si>
  <si>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</si>
  <si>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</si>
  <si>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</si>
  <si>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</si>
  <si>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</si>
  <si>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</si>
  <si>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</si>
  <si>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</si>
  <si>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</si>
  <si>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</si>
  <si>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</si>
  <si>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</si>
  <si>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</si>
  <si>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</si>
  <si>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</si>
  <si>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</si>
  <si>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</si>
  <si>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</si>
  <si>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</si>
  <si>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</si>
  <si>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+ 2 AYUDANTES).</t>
  </si>
  <si>
    <t>CUADRILLA (TECNICO ELECTRICO + AYUDANTE).</t>
  </si>
  <si>
    <t>CUADRILLA (TUBERO + AYUDANTE).</t>
  </si>
  <si>
    <t>CUADRILLA (OFICIAL + 4 AYUDANTES).</t>
  </si>
  <si>
    <t>CUADRILLA (3 OFICIALES + 6 AYUDANTES).</t>
  </si>
  <si>
    <t>CUADRILLA (OFICIAL + 3 AYUDANTES).</t>
  </si>
  <si>
    <t>DEMOLICIÓN MUROS E=0.15M (INCLUYE CARGUE)</t>
  </si>
  <si>
    <t>DEMOLICIÓN MUROS E=0.25M (INCLUYE CARGUE)</t>
  </si>
  <si>
    <t>CARCAMO PROTECCIÓN DE TUBERÍA Ø 8" NORMA EAAB NS-090 . 3V.2</t>
  </si>
  <si>
    <t>RED TELEFONICA COLOMBIA TELECOMUNICACIONES</t>
  </si>
  <si>
    <t>CAMARA DOBLE TIPO "FS" COLOMBIA TELECOMUNICACIONES ESQUEMA CT-018</t>
  </si>
  <si>
    <t>CAMARA TIPO "2FR" COLOMBIA TELECOMUNICACIONES DIBUJO CT-019</t>
  </si>
  <si>
    <t>CAMARA TIPO "FR" COLOMBIA TELECOMUNICACIONES ESQUEMA CT-021</t>
  </si>
  <si>
    <t>CAMARA DOBLE TIPO "2FS" COLOMBIA TELECOMUNICACIONES ESQUEMA CT-055</t>
  </si>
  <si>
    <t>RED ELECTRICA EPM</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</si>
  <si>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</si>
  <si>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</si>
  <si>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</si>
  <si>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</si>
  <si>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</si>
  <si>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</si>
  <si>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ARENA LAVADA DE PEÑA PARA EMBOQUILLADO (INCLUYE SUMINISTRO, BARRIDO PARA SELLADO DE JUNTAS Y COMPACTACIÓN)</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</si>
  <si>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</si>
  <si>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</si>
  <si>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</si>
  <si>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</si>
  <si>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</si>
  <si>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</si>
  <si>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</si>
  <si>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</si>
  <si>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</si>
  <si>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</si>
  <si>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</si>
  <si>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</si>
  <si>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</si>
  <si>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</si>
  <si>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</si>
  <si>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</si>
  <si>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</si>
  <si>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</si>
  <si>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</si>
  <si>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</si>
  <si>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</si>
  <si>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</si>
  <si>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</si>
  <si>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</si>
  <si>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</si>
  <si>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</si>
  <si>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</si>
  <si>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</si>
  <si>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ZAPATA EN CONCRETO PREMEZCLADO DE 3000 PSI (21Mpa), GRAVA COMÚN (Incluye Sumin., Formaleteo en madera, Colocación y Curado. No incl. Refuerzo ni bombeo).</t>
  </si>
  <si>
    <t>VIGA DE AMARRE EN CONCRETO DE 3000 PSI GRAVA COMÚN SECCIÓN 20X20 (Para cerramiento de predios lotes IDU)</t>
  </si>
  <si>
    <t>COLUMNA EN CONCRETO DE 3000 PSI GRAVA COMÚN SECCIÓN 20X20 (Para cerramiento de predios lotes IDU)</t>
  </si>
  <si>
    <t>PAÑETE LISO MURO 1:3 (NO INCLUYE ANDAMIO)</t>
  </si>
  <si>
    <t>SUBBASE GRANULAR B-400 (SUMINISTRO, EXTENDIDO, NIVELACIÓN, HUMEDECIMIENTO Y COMPACTACIÓN CON VIBROCOMPACTADOR)</t>
  </si>
  <si>
    <t>CUADRILLA (2 AYUDANTES).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</si>
  <si>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</si>
  <si>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</si>
  <si>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</si>
  <si>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MALLA VIAL INTERMEDIA</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</si>
  <si>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</si>
  <si>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</si>
  <si>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</si>
  <si>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</si>
  <si>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</si>
  <si>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</si>
  <si>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MALLA VIAL LOCAL</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</si>
  <si>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</si>
  <si>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</si>
  <si>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</si>
  <si>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</si>
  <si>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</si>
  <si>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</si>
  <si>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</si>
  <si>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</si>
  <si>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</si>
  <si>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</si>
  <si>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</si>
  <si>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</si>
  <si>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</si>
  <si>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ACTIVIDADES ADICIONALES</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</si>
  <si>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</si>
  <si>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</si>
  <si>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</si>
  <si>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</si>
  <si>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</si>
  <si>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</si>
  <si>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</si>
  <si>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</si>
  <si>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</si>
  <si>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</si>
  <si>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SUBBASE GRANULAR CLASE A (SBG_A) (SUMINISTRO, EXTENDIDO MANUAL, HUMEDECIMIENTO Y COMPACTACIÓN)</t>
  </si>
  <si>
    <t>SUBBASE GRANULAR CLASE C (SBG_C) (SUMINISTRO, EXTENDIDO MANUAL, HUMEDECIMIENTO Y COMPACTACIÓN)</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</si>
  <si>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</si>
  <si>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</si>
  <si>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</si>
  <si>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</si>
  <si>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</si>
  <si>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</si>
  <si>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</si>
  <si>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</si>
  <si>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DENSA EN CALIENTE MD-12 ASFALTO 80-100. (SUMINISTRO, EXTENDIDO, NIVELACIÓN MANUAL Y COMPACTACIÓN MECÁNICA CON VIBROCOMPACTADOR TÁNDEM PEQUEÑO, INCLUYE OPERARIO Y COMBUSTIBLE).</t>
  </si>
  <si>
    <t>ESTOPEROLES DE 10 CM X 2.5 CM. SUMINISTRO E INSTALACION.</t>
  </si>
  <si>
    <t>INDICES</t>
  </si>
  <si>
    <t>CONSTRUCCIÓN DE ANDENES</t>
  </si>
  <si>
    <t>CONSTRUCCIÓN DE CICLORUTAS</t>
  </si>
  <si>
    <t>CONSTRUCCION DE ANDENES</t>
  </si>
  <si>
    <t>REHABILITACION ZONA VERDE E=10 CM. INCLUYE DESCAPOTE, SIEMBRA DE GRAMA, TIERRA NEGRA Y RETIRO DE MATERIAL ORGANICO. NO INCLUYE REDES.</t>
  </si>
  <si>
    <t>REHABILITACION DE PAVIMENTO RÍGIDO</t>
  </si>
  <si>
    <t>REHABILITACIÓN DE PAVIMENTO RÍGIDO: LOSAS EN CONCRETO HIDRÁULICO MR41 E=0.18M. EXCAVACIÓN EN BASE E=15CM., BASE BG_B E=15CM. NO INCLUYE SARDINEL, GEOTEXTIL.</t>
  </si>
  <si>
    <t>CONSTRUCCIÓN DE ESCALERAS EN CONCRETO</t>
  </si>
  <si>
    <t>CONSTRUCCIÓN DE ESCALERAS EN CONCRETO 3000 PSI GRAVA COMÚN. INCLUYE EXCAVACIÓN MANUAL, SUBBASE GRANULAR CLASE B, ACERO DE REFUERZO Y TRANSPORTE Y DISPOSICIÓN FINAL DE ESCOMBROS.</t>
  </si>
  <si>
    <t>ADOQUIN DE ARCILLA TR. LIVIANO 20X10X6CM (SUMINISTRO E INSTALACIÓN. INCLUYE BASE 4CM MORTERO 2000 Y ARENA DE SELLO)</t>
  </si>
  <si>
    <t>MANTENIMIENTO CORRECTIVO DE ESPACIO PUBLICO ADOQUIN DE ARCILLA LIVIANO SOBRE MORTERO. INCL. RETIRO ADOQUIN E INSTALAR NUEVO. NO INCLUYE REDES.</t>
  </si>
  <si>
    <t>ACTIVIDADES DE CONSERVACIÓN</t>
  </si>
  <si>
    <t>SOBRECARPETA: RODADURA ASFÁLTICA E=0.05M</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</si>
  <si>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</si>
  <si>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</si>
  <si>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</si>
  <si>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</si>
  <si>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</si>
  <si>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</si>
  <si>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</si>
  <si>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TIPO PLACA DE PROTECCIÓN PARA TUBERÍA Ø 8" NORMA EAAB NS-090 . 3V.2. INCLUYE: DESPERDICIOS, COMPACTACIÓN Y DESPUNTES.</t>
  </si>
  <si>
    <t>CARCAMO TIPO PLACA DE PROTECCIÓN PARA TUBERÍA Ø 10" NORMA EAAB NS-090 . 3V.2. INCLUYE: DESPERDICIOS, COMPACTACIÓN Y DESPUNTES.</t>
  </si>
  <si>
    <t>TRANSPORTE Y DISPOSICION FINAL DE ESCOMBROS EN SITIO AUTORIZADO (DISTANCIA DE TRANSPORTE 28 KM)</t>
  </si>
  <si>
    <t>CARCAMO TIPO PLACA DE PROTECCIÓN PARA TUBERÍA Ø 12" NORMA EAAB NS-090 . 3V.2. INCLUYE: DESPERDICIOS, COMPACTACIÓN Y DESPUNTES.</t>
  </si>
  <si>
    <t>CARCAMO TIPO PLACA DE PROTECCIÓN PARA TUBERÍA Ø 16" NORMA EAAB NS-090 . 3V.2. INCLUYE: DESPERDICIOS, COMPACTACIÓN Y DESPUNTES.</t>
  </si>
  <si>
    <t>CARCAMO TIPO PLACA DE PROTECCIÓN PARA TUBERÍA Ø 18" NORMA EAAB NS-090 . 3V.2. INCLUYE: DESPERDICIOS, COMPACTACIÓN Y DESPUNTES.</t>
  </si>
  <si>
    <t>CARCAMO TIPO PLACA DE PROTECCIÓN PARA TUBERÍA Ø 20" NORMA EAAB NS-090 . 3V.2. INCLUYE: DESPERDICIOS, COMPACTACIÓN Y DESPUNTES.</t>
  </si>
  <si>
    <t>CARCAMO TIPO PLACA DE PROTECCIÓN PARA TUBERÍA Ø 24" NORMA EAAB NS-090 . 3V.2. INCLUYE: DESPERDICIOS, COMPACTACIÓN Y DESPUNTES.</t>
  </si>
  <si>
    <t>CARCAMO TIPO PLACA DE PROTECCIÓN PARA TUBERÍA Ø 27" NORMA EAAB NS-090 . 3V.2. INCLUYE: DESPERDICIOS, COMPACTACIÓN Y DESPUNTES.</t>
  </si>
  <si>
    <t>CARCAMO TIPO PLACA DE PROTECCIÓN PARA TUBERÍA Ø 30" NORMA EAAB NS-090 . 3V.2. INCLUYE: DESPERDICIOS, COMPACTACIÓN Y DESPUNTES.</t>
  </si>
  <si>
    <t>CARCAMO TIPO PLACA DE PROTECCIÓN PARA TUBERÍA Ø 32" NORMA EAAB NS-090 . 3V.2. INCLUYE: DESPERDICIOS, COMPACTACIÓN Y DESPUNTES.</t>
  </si>
  <si>
    <t>CARCAMO TIPO PLACA DE PROTECCIÓN PARA TUBERÍA Ø 36"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</si>
  <si>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</si>
  <si>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</si>
  <si>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</si>
  <si>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</si>
  <si>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</si>
  <si>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</si>
  <si>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</si>
  <si>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</si>
  <si>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</si>
  <si>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</si>
  <si>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</si>
  <si>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</si>
  <si>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</si>
  <si>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</si>
  <si>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</si>
  <si>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</si>
  <si>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</si>
  <si>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TUBERIA GRP 1800MM (INCLUYE TRANSPORTE). SUMINISTRO E INSTALACION.</t>
  </si>
  <si>
    <t>TUBERIA GRP 2000MM (INCLUYE TRANSPORTE). SUMINISTRO E INSTALACION.</t>
  </si>
  <si>
    <t>TUBERIA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</si>
  <si>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</si>
  <si>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</si>
  <si>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</si>
  <si>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</si>
  <si>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</si>
  <si>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</si>
  <si>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</si>
  <si>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</si>
  <si>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</si>
  <si>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</si>
  <si>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</si>
  <si>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</si>
  <si>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</si>
  <si>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</si>
  <si>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MANTENIMIENTO CORRECTIVO DE ESPACIO PUBLICO ADOQUIN DE ARCILLA PESADO SOBRE MORTER. INCL. RETIRO ADOQUIN E INSTALAR NUEVO</t>
  </si>
  <si>
    <t>ADOQUIN DE ARCILLA TR.PESADO 0.20X10X8CM (SUMINISTRO E INSTALACIÓN. INCLUYE BASE 4CM MORTERO 2000 Y ARENA DE SELLO)</t>
  </si>
  <si>
    <t>MANTENIMIENTO CORRECTIVO ESPACIO PUBLICO EN ADOQUIN DE CONCRETO TRAFICO PESADO 20X10X8CM SOBRE ARENA. INCL. RETIRO ADOQUIN E INSTALAR NUEVO</t>
  </si>
  <si>
    <t>REHABILITACIÓN DE ANDEN EN ADOQUIN DE CONCRETO TRAFICO PESADO (20X10X8CM) BASE ARENA. NO INCL BORDILLO. INCL. DEMOLICIÓN ADOQUIN E INSTALAR NUEVO</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</si>
  <si>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</si>
  <si>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</si>
  <si>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</si>
  <si>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</si>
  <si>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</si>
  <si>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</si>
  <si>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</si>
  <si>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</si>
  <si>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</si>
  <si>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</si>
  <si>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</si>
  <si>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</si>
  <si>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</si>
  <si>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</si>
  <si>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</si>
  <si>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</si>
  <si>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</si>
  <si>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</si>
  <si>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</si>
  <si>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</si>
  <si>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</si>
  <si>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</si>
  <si>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</si>
  <si>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</si>
  <si>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</si>
  <si>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</si>
  <si>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</si>
  <si>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</si>
  <si>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</si>
  <si>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</si>
  <si>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</si>
  <si>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</si>
  <si>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</si>
  <si>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</si>
  <si>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PUENTES</t>
  </si>
  <si>
    <t>PUENTES PEATONALES</t>
  </si>
  <si>
    <t>MALLA VIAL RURAL</t>
  </si>
  <si>
    <t>VIAS RURALES</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</si>
  <si>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</si>
  <si>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</si>
  <si>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</si>
  <si>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</si>
  <si>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</si>
  <si>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</si>
  <si>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</si>
  <si>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</si>
  <si>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</si>
  <si>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</si>
  <si>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CUADRILLA (TUBERO + 4 AYUDANTES).</t>
  </si>
  <si>
    <t>RETIRO DE BOLARDO EN CONCRETO TIPO M-60. INCLUYE REPARACION DEL SITIO CON CONCRETO DE 1500PSI HECHO EN OBRA (40X40X10CM) Y SUBBASE GRANULAR SBG_200 E=0.35. NO INCLUYE RETIRO DE ESCOMBROS. INCLUYE DEMOLICION Y EXCAVACION.</t>
  </si>
  <si>
    <t>MANTENIMIENTO RUTINARIO DE ANDENES EN ADOQUÍN O LOSETA INCLUYE SELLO DE JUNTAS, BARRIDO, RETIRO MANUAL DE CAPA VEGETAL Y TRANSPORTE Y DISPOSICION DE ESCOMBROS A 21KM.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</si>
  <si>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</si>
  <si>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</si>
  <si>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</si>
  <si>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</si>
  <si>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</si>
  <si>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</si>
  <si>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</si>
  <si>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BASE GRANULAR CLASE A (BG_A) ESTABILIZADA AL 4% CON EMULSIÓN ASFÁLTICA CRL-1 (INCLUYE SUMINISTRO TRANSPORTE, COLOCACION Y COMPACTACION).</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</si>
  <si>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</si>
  <si>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</si>
  <si>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</si>
  <si>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</si>
  <si>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</si>
  <si>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</si>
  <si>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</si>
  <si>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</si>
  <si>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</si>
  <si>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</si>
  <si>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</si>
  <si>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</si>
  <si>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</si>
  <si>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</si>
  <si>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</si>
  <si>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</si>
  <si>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</si>
  <si>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</si>
  <si>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</si>
  <si>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</si>
  <si>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</si>
  <si>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</si>
  <si>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</si>
  <si>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</si>
  <si>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</si>
  <si>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</si>
  <si>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CUADRILLA (TUBERO + 3 AYUDANTES).</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</si>
  <si>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</si>
  <si>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</si>
  <si>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</si>
  <si>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</si>
  <si>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</si>
  <si>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PISO EN CONCRETO COLOR OCRE 4000 PSI ESTAMPADO TIPO ESPINA DE PESCADO E=0.12M (INCLUYE SUMINISTRO Y COLOCACIÓN DE CONCRETO, MOLDE DESMOLDANTE, COLOR ENDURECEDOR DE CUARZO, SELLANTE. INCLUYE CORTE Y SELLADO DE JUNTAS..</t>
  </si>
  <si>
    <t>GEODREN VIAL DE 100MM X 1.0M. SUMINISTRO E INSTALACIÓN. (INCLUYE EXCAVACIÓN MANUAL E= 30CM Y RELLENO EN MATERIAL SELECCIONADO PROVENIENTE DE EXCAVACIÓN..</t>
  </si>
  <si>
    <t>RAMPA VEHICULAR FUNDIDA EN EL SITIO EN CONCRETO PREMEZCLADO DE 3000 PSI (GRAVA COMUN) SUM, CONSTR. E INSTALACIÓN. INCLUYE ACABADO EN ADOQUIN DE ARCILLA TIPO TRÁFICO PESADO O SIMILAR, BASE DE 4CM EN MORTERO DE 2000 PSI.</t>
  </si>
  <si>
    <t>CONCRETO GRAVA COMUN DE 3000 PSI (210 KG/CM2) PARA RAMPAS DE EMPALME E= 0.20M PROMEDIO,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</si>
  <si>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</si>
  <si>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</si>
  <si>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ETB T-13 H= 0.30M (INCLUYE CONCRETO, ACERO DE REFUERZO, BLOQUE PARA CÁMARA TELEFÓNICA, MORTERO, ARO Y TAPA ETB).</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</si>
  <si>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</si>
  <si>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</si>
  <si>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</si>
  <si>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</si>
  <si>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</si>
  <si>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</si>
  <si>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</si>
  <si>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GESTIÓN SOCIAL</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</si>
  <si>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</si>
  <si>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</si>
  <si>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</si>
  <si>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</si>
  <si>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</si>
  <si>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</si>
  <si>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</si>
  <si>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</si>
  <si>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</si>
  <si>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</si>
  <si>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</si>
  <si>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</si>
  <si>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</si>
  <si>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</si>
  <si>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</si>
  <si>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</si>
  <si>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</si>
  <si>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NEOPRENO REFORZADO 0.40 X 0.90 X 1" DOBLE REFUERZO SUMINISTRO E INSTALACIÓN (INCLUYE LIMPIEZA DE LA SUPERFICIE CON CHORRO DE AIRE A PRESIÓN, HERRAMIENTA MENOR Y COMPRESOR).</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</si>
  <si>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</si>
  <si>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</si>
  <si>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</si>
  <si>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</si>
  <si>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</si>
  <si>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 EN LÍNEA DE TUBERÍA EN PVC A HF 4". SUM E INST. (INCL UNIÓN DE REPARACIÓN PVC U.M. D=4", ADAPTADOR MACHO PVC US D=4", UNIÓN GIBAULT HD CL. 25 D= 4" Y 1MT DE TUBERÍA PVC D= 4"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</si>
  <si>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</si>
  <si>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</si>
  <si>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</si>
  <si>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</si>
  <si>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FORMALETAS</t>
  </si>
  <si>
    <t>ACOMETIDA DOMICILIARIA DE 1/2". SUMINISTRO E INSTALACIÓN. (INCLUYE TUBERIA PF D=1/2", REGISTROS Y ACCESORIOS, LOG. PROM. = 6.50M).</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</si>
  <si>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</si>
  <si>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</si>
  <si>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GRAVA COMÚN 4000 PSI (280 KG/CM2) PARA CÁMARAS ESPECIALES DE INTERCONEXIÓN DE ALCANTARILLADO (PREMEZCLADO, INCLUYE SUMINISTRO, FORMALETA Y COLOCACIÓN. NO INCLUYE REFUERZO NI CURADO).</t>
  </si>
  <si>
    <t>PEDESTAL PARA EQUIPO DE CONTROL EN CONCRETO DE 3000 PSI (1.0M X 1.0M X 1.0M).</t>
  </si>
  <si>
    <t>RAMPA TIPO B (B12) LONGITUD=3.00M, DESARROLLO=0.40MT (INCLUYE MATERIAL DE BASE MORTERO 2000 PSI)</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</si>
  <si>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</si>
  <si>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</si>
  <si>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</si>
  <si>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</si>
  <si>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</si>
  <si>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</si>
  <si>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2 CABLES. SUMINISTRO E INSTALACIÓN. INCL. EXCAV. EXTENDIDO, HUMEDECIMIENTO Y COMPACTACIÓN DE RELLENOS PARA REDES EN ARENA DE PEÑA Y EN MATERIAL SELECC. PROVENIENTE DE LA EXCAVACIÓN.</t>
  </si>
  <si>
    <t>VIAS FERREAS</t>
  </si>
  <si>
    <t>CUADRILLA (OFICIAL + 10 AYUDANTES).</t>
  </si>
  <si>
    <t>CAJA DE INSPECCION 0.80X0.8M. SUMINISTRO Y CONSTRUCCION. (H=0.6M. INCLUYE MARCO Y TAPA, NO INCLUYE BASE Y CAÑUELA).</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</si>
  <si>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</si>
  <si>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</si>
  <si>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</si>
  <si>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</si>
  <si>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</si>
  <si>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</si>
  <si>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</si>
  <si>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</si>
  <si>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</si>
  <si>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</si>
  <si>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</si>
  <si>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</si>
  <si>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</si>
  <si>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</si>
  <si>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</si>
  <si>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</si>
  <si>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</si>
  <si>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</si>
  <si>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</si>
  <si>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</si>
  <si>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</si>
  <si>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</si>
  <si>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</si>
  <si>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</si>
  <si>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</si>
  <si>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</si>
  <si>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</si>
  <si>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</si>
  <si>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</si>
  <si>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</si>
  <si>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</si>
  <si>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</si>
  <si>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</si>
  <si>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</si>
  <si>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</si>
  <si>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</si>
  <si>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</si>
  <si>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</si>
  <si>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</si>
  <si>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</si>
  <si>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</si>
  <si>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</si>
  <si>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</si>
  <si>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</si>
  <si>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</si>
  <si>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</si>
  <si>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</si>
  <si>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</si>
  <si>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</si>
  <si>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</si>
  <si>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</si>
  <si>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</si>
  <si>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</si>
  <si>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</si>
  <si>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</si>
  <si>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</si>
  <si>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</si>
  <si>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</si>
  <si>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</si>
  <si>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</si>
  <si>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</si>
  <si>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</si>
  <si>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</si>
  <si>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</si>
  <si>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</si>
  <si>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</si>
  <si>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</si>
  <si>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</si>
  <si>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</si>
  <si>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</si>
  <si>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</si>
  <si>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</si>
  <si>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</si>
  <si>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</si>
  <si>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</si>
  <si>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</si>
  <si>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</si>
  <si>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</si>
  <si>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</si>
  <si>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PERSONAL DE BRIGADA Y ASEO (INCLUYE HERRAMIENTA MENOR). SUMINISTRO.</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</si>
  <si>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</si>
  <si>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</si>
  <si>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</si>
  <si>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</si>
  <si>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</si>
  <si>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</si>
  <si>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</si>
  <si>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</si>
  <si>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</si>
  <si>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FILTRO DE DRENAJE DE 0.6M X 1.0M. SUMINISTRO E INSTALACION. (INCLUYE TUBERIA PERFORADA D=4", GRAVA COMUN 1/2" Y GEOTEXTIL NT 4000 O SIMILAR).</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</si>
  <si>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</si>
  <si>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</si>
  <si>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</si>
  <si>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</si>
  <si>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</si>
  <si>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</si>
  <si>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</si>
  <si>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</si>
  <si>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</si>
  <si>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</si>
  <si>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</si>
  <si>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</si>
  <si>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</si>
  <si>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ELASTOMERICA TIPO AWGJ 70 DE 70MM DE RECORRIDO O SIMILAR. SUMINISTRO Y COLOCACIÓN. (INCLUYE PERNOS Y SOLDADURA).</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</si>
  <si>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</si>
  <si>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</si>
  <si>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</si>
  <si>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</si>
  <si>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</si>
  <si>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ESCARIFICACIÓN MECÁNICA ABUZARDADO Y CORTE CON DISCO DIAMANTADO PARA RECALCE DE ELEMENTOS ESTRUCTURALES PROFUNDIDAD VARIABLE ENTRE 5CM Y 20CM. INCLUYE TRANSPORTE DE ESCOMBROS.</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</si>
  <si>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</si>
  <si>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</si>
  <si>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</si>
  <si>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</si>
  <si>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</si>
  <si>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</si>
  <si>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</si>
  <si>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</si>
  <si>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</si>
  <si>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</si>
  <si>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</si>
  <si>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</si>
  <si>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</si>
  <si>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</si>
  <si>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</si>
  <si>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</si>
  <si>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</si>
  <si>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</si>
  <si>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CARCAMO TIPO PLACA DE PROTECCIÓN DE TUBO EN POLIETILENO D= 2", 3", 4", 6" Y 8". (INCLUYE RELLENO EN ARENA DE PEÑA, REFUERZO, CONCRETO DE 2000 PSI Y 4000 PSI, FORMALETA Y TRANSPORTE DE PETREOS).</t>
  </si>
  <si>
    <t>CARCAMO TIPO PLACA PARA PROTECCIÓN DE TUBO EN POLIETILENO D= 10", 12", 14" Y 16" (INCLUYE RELLENO EN ARENA DE PEÑA, REFUERZO, CONCRETO DE 2000 PSI Y 4000 PSI, FORMALETA Y TRANSPORTE DE PETREOS).</t>
  </si>
  <si>
    <t>CAJA PARA SECCIONADOR MANIOBRA SUBESTACIÓN SEMISUMERGIBLE NORMA CODENSA CS290 (ANDEN. INCL BASE EN CONCRETO DE 1500 PSI. RECEBO COMPACTADO, MUROS, PAÑETE EN MORTERO IMPERMEAB. ACERO REFUERZO, ESCALERA DE GATO, MARCO Y TAPAS.</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</si>
  <si>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</si>
  <si>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</si>
  <si>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</si>
  <si>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</si>
  <si>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</si>
  <si>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</si>
  <si>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</si>
  <si>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</si>
  <si>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</si>
  <si>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</si>
  <si>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</si>
  <si>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</si>
  <si>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</si>
  <si>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</si>
  <si>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4000 PSI (280 KG/CM2) PARA MURO DE CONTENCION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</si>
  <si>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</si>
  <si>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CONCRETO GRAVA COMÚN DE 5000 PSI (350 KG/CM2) PARA SUPER ESTRUCTURA ACELERADO A 2 DÍAS. (CONCRETO GRAVA COMÚN.INCLUYE ACELERANTE, FORMALETA, CURADO DE CONCRETO Y MANO DE OBRA).</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</si>
  <si>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</si>
  <si>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</si>
  <si>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</si>
  <si>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</si>
  <si>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</si>
  <si>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</si>
  <si>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</si>
  <si>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REDUCCION CONCENTRICA HD 8"X4" (SUMINISTRO E INSTALACIÓN)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</si>
  <si>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</si>
  <si>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</si>
  <si>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</si>
  <si>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</si>
  <si>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</si>
  <si>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</si>
  <si>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</si>
  <si>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</si>
  <si>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</si>
  <si>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</si>
  <si>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</si>
  <si>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</si>
  <si>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</si>
  <si>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</si>
  <si>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</si>
  <si>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</si>
  <si>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</si>
  <si>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</si>
  <si>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</si>
  <si>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</si>
  <si>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</si>
  <si>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</si>
  <si>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</si>
  <si>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</si>
  <si>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</si>
  <si>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</si>
  <si>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</si>
  <si>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MAMPOSTERIA</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</si>
  <si>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</si>
  <si>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</si>
  <si>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</si>
  <si>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</si>
  <si>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</si>
  <si>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</si>
  <si>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</si>
  <si>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</si>
  <si>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</si>
  <si>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</si>
  <si>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</si>
  <si>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</si>
  <si>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</si>
  <si>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MANEJO DE AGUAS PARA TRABAJOS SOBRE CANAL. ALTURA DE LA BARRERA 1.50M (INCLUYE EQUIPO, SUMINISTRO Y MANO DE OBRA.</t>
  </si>
  <si>
    <t>DEMARCACION LINEA DE CANALIZACION BICICARRIL A= 0.25M EN PINTURA TERMOPLASTICA (INCLUYE SUMINISTRO Y APLICACION CON EQUIPO. INCLUYE MICROESFERA)</t>
  </si>
  <si>
    <t>CANASTILLA PASAJUNTAS (INCLUYE SUMINISTRO Y FIJACIÓN)</t>
  </si>
  <si>
    <t>FLECHA DIRECCIONAL "FRENTE, DERECHA E IZQUIERDA" PARA PAVIMENTO FLEXIBLE (E= 15 MILS. ACRILICA BASE AGUA. INCLUYE SUMINISTRO Y APLICACIÓN CON EQUIPO. INCLUYE MICROESFERAS.</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</si>
  <si>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</si>
  <si>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</si>
  <si>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DINTEL EN CONCRETO DE 3000 PSI 10CM X 10CM (SUMINISTRO E INSTALACIÓN).</t>
  </si>
  <si>
    <t>SILLA EN CONCRETO DE 3000 PSI 10CM X 15CM (SUMINISTRO E INSTALACIÓN).</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</si>
  <si>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</si>
  <si>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</si>
  <si>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</si>
  <si>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</si>
  <si>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</si>
  <si>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</si>
  <si>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</si>
  <si>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TOMACORRIENTES CON CONEXIÓN A TIERRA, BIFÁSICOS, DOS POLOS, 3 HILOS, 20 A, 250 VC.A., (LÍNEA NEMA 6), PARA TRABAJO PESADO. (INCLUYE INSTALACIÓN, CAJA DE SALIDA, ELEMENTOS DE CONEXIÓN, DE EMPALME Y DE MONTAJE).</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</si>
  <si>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</si>
  <si>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</si>
  <si>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</si>
  <si>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</si>
  <si>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</si>
  <si>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</si>
  <si>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</si>
  <si>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</si>
  <si>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</si>
  <si>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</si>
  <si>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</si>
  <si>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</si>
  <si>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</si>
  <si>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</si>
  <si>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</si>
  <si>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</si>
  <si>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</si>
  <si>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</si>
  <si>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</si>
  <si>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</si>
  <si>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</si>
  <si>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</si>
  <si>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</si>
  <si>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</si>
  <si>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</si>
  <si>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</si>
  <si>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</si>
  <si>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</si>
  <si>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</si>
  <si>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</si>
  <si>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</si>
  <si>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</si>
  <si>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</si>
  <si>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</si>
  <si>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</si>
  <si>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</si>
  <si>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</si>
  <si>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</si>
  <si>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</si>
  <si>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</si>
  <si>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</si>
  <si>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</si>
  <si>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</si>
  <si>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</si>
  <si>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</si>
  <si>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</si>
  <si>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</si>
  <si>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</si>
  <si>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</si>
  <si>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</si>
  <si>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</si>
  <si>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</si>
  <si>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</si>
  <si>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</si>
  <si>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</si>
  <si>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</si>
  <si>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</si>
  <si>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</si>
  <si>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</si>
  <si>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</si>
  <si>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EL MASTIL DEL GPS EN TUBERIA EMT 1" INCL PEDESTAL EN CONCRETO DE 1.0MX0.80MX0.80M. ESTA SALIDA VA DESDE EL MASTIL DEL GPS A SALIDA DE LA RAMPA NORTE HASTA EL RACK DE DATOS DEL VAGON Y EMBEBIDA EN EL PISO.</t>
  </si>
  <si>
    <t>POZO DE TIERRA CON VARILLA DE COBRE DE 2.40M, GEL, CABLE NO. 2/0 AWG. CONSTRUCCION. SON LAS PUESTAS A TIERRA DE LOS VAGONES Y RAMPAS NUEVAS DE CONEXION A PUENTES PEATONALES.</t>
  </si>
  <si>
    <t>ACOMETIDA PARCIAL 3NO. 1/0 + 1NO. 2 - 600V-CU. SUMINISTRO E INSTALACION. ACOMETIDA PARCIAL ENTRE ARMARIOS NORTE Y SUR PARA ALIMENTACION ENTRE LOS VAGONES. INSTALADOS POR DEBAJO DEL PISO DE LOS VAGONES.</t>
  </si>
  <si>
    <t>NEOPRENO REFORZADO 0.50 X 0.50 X 2" DOBLE REFUERZO. SUMINISTRO E INSTALACION. (INCLUYE LIMPIEZA DE LA SUPERFICIE CON CHORRO DE AIRE A PRESIÓN, HERRAMIENTA MENOR Y COMPRESOR).</t>
  </si>
  <si>
    <t>GEODREN VIAL DE 160MM X 1.0M. SUMINISTRO E INSTALACION. (INCLUYE EXCAVACION MANUAL (ANCHO = 30CM) Y RELLENO EN MATERIAL SELECCIONADO PROVENIENTE DE EXCAVACION.</t>
  </si>
  <si>
    <t>GEODREN VIAL DE 200MM X 1.0M. SUMINISTRO E INSTALACION. (INCLUYE EXCAVACION MANUAL (ANCHO = 30CM) Y RELLENO EN MATERIAL SELECCIONADO PROVENIENTE DE EXCAVACION.</t>
  </si>
  <si>
    <t>DEMARCACION METROS LINEALES EN PINTURA TIPO TRAFICO BASE SOLVENTE COLOR BLANCO Y/O AMARILLA. LINEA 0.12M Y 16 MILS (INCLUYE SUMINISTRO Y APLICACION CON EQUIPO. INCLUYE MICROESFERAS TIPO DROP ON PARA LINEAS DE BORDE Y DE CARRIL).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</si>
  <si>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</si>
  <si>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</si>
  <si>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METROS LINEALES EN PINTURA TIPO TRAFICO BASE SOLVENTE COLOR NEGRO. LINEA 0.15M (INCLUYE SUMINISTRO Y APLICACION CON EQUIPO. NO INCLUYE MICROESFERAS).</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</si>
  <si>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</si>
  <si>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</si>
  <si>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</si>
  <si>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</si>
  <si>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</si>
  <si>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</si>
  <si>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</si>
  <si>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</si>
  <si>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</si>
  <si>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</si>
  <si>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</si>
  <si>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</si>
  <si>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</si>
  <si>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</si>
  <si>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</si>
  <si>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</si>
  <si>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</si>
  <si>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</si>
  <si>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</si>
  <si>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</si>
  <si>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</si>
  <si>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</si>
  <si>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</si>
  <si>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</si>
  <si>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</si>
  <si>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</si>
  <si>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</si>
  <si>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</si>
  <si>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</si>
  <si>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</si>
  <si>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</si>
  <si>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</si>
  <si>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</si>
  <si>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</si>
  <si>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CABLE DE COBRE DESNUDO NO.2/0 AWG. SUMINISTRO E INSTALACION. PARA EL ANILLO EQUIPOTENCIAL DE LA ESTACION, UNIENDO LOS ELECTRODOS DE CAJA DE 3 MEDIDORES CON LOS DE LOS MODULOS. INCLUYE SOLDADURA EXOTERMICA.</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</si>
  <si>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</si>
  <si>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</si>
  <si>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</si>
  <si>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</si>
  <si>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</si>
  <si>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</si>
  <si>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</si>
  <si>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</si>
  <si>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</si>
  <si>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</si>
  <si>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</si>
  <si>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</si>
  <si>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</si>
  <si>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</si>
  <si>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</si>
  <si>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</si>
  <si>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</si>
  <si>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</si>
  <si>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</si>
  <si>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</si>
  <si>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</si>
  <si>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GEODREN VIAL CON TUBERIA CIRCULAR 100MM H= 2.0M. SUMINISTRO E INSTALACION. (NO INCLUYE EXCAVACION NI RELLENOS)</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</si>
  <si>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</si>
  <si>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</si>
  <si>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</si>
  <si>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</si>
  <si>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</si>
  <si>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</si>
  <si>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</si>
  <si>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</si>
  <si>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</si>
  <si>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</si>
  <si>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</si>
  <si>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</si>
  <si>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</si>
  <si>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</si>
  <si>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</si>
  <si>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</si>
  <si>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</si>
  <si>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PEDESTAL EN CONCRETO DE 3500 PSI GRAVA COMÚN (0.30 M X 0.40 M X 1.00 M) O MEDIDAS SIMILARES. CONSTRUCCIÓN. CON DOS DUCTOS PESADOS DE PVC TIPO DB D= 2".</t>
  </si>
  <si>
    <t>RETIRO DE POSTES T1, T1X Y T2 (INCLUYE GRUA).</t>
  </si>
  <si>
    <t>RETIRO Y REUBICACION DE POSTES T1, T1X Y T2 (INCLUYE GRUA).</t>
  </si>
  <si>
    <t>POSTE TIPO MASTIL T1X (5.00M) EN TUBO SCH 40 GALVANIZADO Y PINTADO. SUMINISTRO E INSTALACIÓN.</t>
  </si>
  <si>
    <t>PLATINA DE POSTE (CUADRADA DE 0.30M X 0.30M FABRICADA EN HIERRO DE 3/8" DE ESPESOR CON 4 ORIFICIOS DE 3/4" Y UNA PERFORACION CENTRAL DE 3" PARA FIJACION DEL POSTE AL ANCLAJE BASE).</t>
  </si>
  <si>
    <t>PINTURA EN VIA DE POSTES TIPO MENSULA T2 (L= 4.50M A 6.50M).</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</si>
  <si>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</si>
  <si>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</si>
  <si>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</si>
  <si>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</si>
  <si>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</si>
  <si>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</si>
  <si>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</si>
  <si>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</si>
  <si>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</si>
  <si>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</si>
  <si>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</si>
  <si>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</si>
  <si>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</si>
  <si>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</si>
  <si>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</si>
  <si>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</si>
  <si>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</si>
  <si>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</si>
  <si>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</si>
  <si>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</si>
  <si>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</si>
  <si>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</si>
  <si>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</si>
  <si>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TELÉFONO PUBLICO DE PEDESTAL TIPO M20 (INCLUYE CARGUE Y TRANSPORTE A ALMACÉN AUTORIZADO POR EL IDU (NO INCLUYE REPARACIÓN DEL SITIO).</t>
  </si>
  <si>
    <t>CARTELERA TIPO PUNTO CREA DE 1.00M X 1.00M EN ALUMINIO ANODIZADO, CON PAÑO COLOR GRIS, CENEFA SUPERIOR, PUERTAS CORREDIZAS, LOGO INSTITUCIONAL. INCLUYE SUMINISTRO E INSTALACION.</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</si>
  <si>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</si>
  <si>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</si>
  <si>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</si>
  <si>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</si>
  <si>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</si>
  <si>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</si>
  <si>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4000 PSI GRAVA COMÚN PARA TABLERO PUENTE DE 5.30M X 0.20M X 27.00M (PREMEZCLADO. INCLUYE SUMIN., FORMALETEO Y COLOCACIÓN. NO INCL. REFUERZO, CURADO).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</si>
  <si>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</si>
  <si>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</si>
  <si>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</si>
  <si>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</si>
  <si>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</si>
  <si>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</si>
  <si>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SEÑAL VERTICAL UNA CARA PARA CICLORUTA PARAL 3M, ÁNGULO DE 2X1/4X3M LAMINA CAL. 16 PINTADA POR UNA CARA 0.60M X 0.60M O 0.75M X 0.75M (INCLUYE SUMINISTRO E INSTALACIÓN)</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</si>
  <si>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</si>
  <si>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CUADRILLA (TECNICO ELECTRICO + 2 AYUDANTES).</t>
  </si>
  <si>
    <t>SELLO PVC FLEXIBLE PARA SELLOS DE JUNTAS SOMETIDAS A PRESIÓN HIDRÁULICA, ANCHO = 15CM. SUMINISTRO Y COLOCACIÓN</t>
  </si>
  <si>
    <t>GRAVILLA DE 3/4" PEGADA CON MORTERO 1:3 E= 0.15M PARA ENTREGA A CANAL. SUMINISTRO E INSTALACIÓN</t>
  </si>
  <si>
    <t>PRUEBA HIDROSTÁTICA EN TUBERÍAS HASTA 12" DE DIÁMETRO, TRAMOS MÁXIMOS DE 500M. INCLUYE DESINFECCIÓN DE TUBERÍA.</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</si>
  <si>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</si>
  <si>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</si>
  <si>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</si>
  <si>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</si>
  <si>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</si>
  <si>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</si>
  <si>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</si>
  <si>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</si>
  <si>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</si>
  <si>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</si>
  <si>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</si>
  <si>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</si>
  <si>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</si>
  <si>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</si>
  <si>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</si>
  <si>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</si>
  <si>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</si>
  <si>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</si>
  <si>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</si>
  <si>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</si>
  <si>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</si>
  <si>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</si>
  <si>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DEMARCACION LINEA DE PARADA DE TRANSMILENIO. AREA: 3.96 M2 SEGUN PARAMETROS DE DISEÑO DE TRANSMILENIO (E= 2.3 MILS, TERMOPLASTICA. SUMINISTRO Y APLICACION CON EQUIPO. INCLUYE MICROESFERAS.</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</si>
  <si>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</si>
  <si>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</si>
  <si>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</si>
  <si>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</si>
  <si>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PASACALLES IMPRESO EN LONA BANNER (7.0M X 1.0M) TERMINADO CON PALOS EN LOS EXTREMOS. INCLUYE SUMINISTRO E INSTALACION.</t>
  </si>
  <si>
    <t>CONCRETO 3000 PSI GRAVA COMÚN PARA BARRERA NEW JERSEY MONODIRECCIONAL DE 0.90M DE ALTURA X 0.375 DE BASE X 4.76M DE LONG. (PREMEZCLADO. INCLUYE SUMINISTRO, FORMALETEO, COLOCACIÓN. NO INCLUYE REFUERZO NI CURADO).</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</si>
  <si>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</si>
  <si>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</si>
  <si>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MAMPOSTERIA EN BLOQUE e = 0.12m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</si>
  <si>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</si>
  <si>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</si>
  <si>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</si>
  <si>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</si>
  <si>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</si>
  <si>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</si>
  <si>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</si>
  <si>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</si>
  <si>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</si>
  <si>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</si>
  <si>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</si>
  <si>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</si>
  <si>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</si>
  <si>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</si>
  <si>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</si>
  <si>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</si>
  <si>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</si>
  <si>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CRUZ HD 12" X 6" JUNTA HIDRÁULICA (SUMINISTRO E INSTALACIÓN)</t>
  </si>
  <si>
    <t>ACOMETIDA A TABLERO 3X2 + 1X4. THW. COBRE</t>
  </si>
  <si>
    <t>SUPER ESTRUCTURA EN CONCRETO DE 6000 PSI PREMEZCLADO, GRAVA COMÚN (Incluye Sumin, bombeo, Formaleteo, Colocación y Curado. No incl. Refuerzo).</t>
  </si>
  <si>
    <t>CERRAMIENTO (8 HILERAS DE ALAMBRE DE PÚAS CALIBRE 12.5, CON POSTE DE MADERA ROLLIZA DE 8cm DE DIÁMETRO Y 2.00m DE ALTURA, ENTERRADO COMO MIN. 0.40, CON 2.00m., ENTRE POSTES)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</si>
  <si>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</si>
  <si>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</si>
  <si>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</si>
  <si>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DE ESPACIO PUBLICO LOSETA A-50 SOBRE ARENA. INCL. RETIRO LOSETA E INSTALAR LA MISMA.</t>
  </si>
  <si>
    <t>MANTENIMIENTO CORRECTIVO, RETIRO Y REINSTALACIÓN DE BORDILLO PREFABRICADO A80 (RETIRO E INSTALACIÓN. INCLUYE MATERIAL DE BASE)</t>
  </si>
  <si>
    <t>ELEMENTOS DE OFICINA</t>
  </si>
  <si>
    <t>ALQUILER DE PUESTO DE TRABAJO - ESCRITORIO 75X120X50CM</t>
  </si>
  <si>
    <t>TARIFAS DE EVALUACIÓN Y DIAGNÓSTICO</t>
  </si>
  <si>
    <t>EVALUACION SUPERFICIAL. INCLUYE LEVANTAMIENTO DE FALLAS (AUSCULTACIÓN VISUAL) PARA DETERMINAR EL PCI (NORMA ASTM D 6433-07) PARA CALZADA SEGMENTO</t>
  </si>
  <si>
    <t>ALQUILER SEÑAL VERTICAL GRUPO I (75X75CM) (INCLUYE SUMINISTRO E INSTALACIÓN)</t>
  </si>
  <si>
    <t>ALQUILER SEÑAL VERTICAL GRUPO I (60X60CM) (INCLUYE SUMINISTRO E INSTALACIÓN)</t>
  </si>
  <si>
    <t>ALQUILER SEÑAL VERTICAL GRUPO I (90X90CM) (INCLUYE SUMINISTRO E INSTALACIÓN)</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</si>
  <si>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</si>
  <si>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</si>
  <si>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</si>
  <si>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CARCAMO TIPO PLACA DE PROTECCIÓN PARA TUBERÍA Ø 14" NORMA EAAB NS-090 . 3V.2. INCLUYE: DESPERDICIOS, COMPACTACIÓN Y DESPUNTES.</t>
  </si>
  <si>
    <t>PISOS EN METALDECK 2" CALIBRE 16 (1.50MM) PARA PUENTES VEHICULARES. (INCLUYE TRANSPORTE, HERRAMIENTA MENOR, MANO DE OBRA)</t>
  </si>
  <si>
    <t>PISOS EN METALDECK 2" CALIBRE 18 (1.50MM) PARA PUENTES PEATONALES. (INCLUYE TRANSPORTE, HERRAMIENTA MENOR, MANO DE OBRA)</t>
  </si>
  <si>
    <t>CONCRETO 3000 PSI GRAVA FINA PARA BARANDAS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</si>
  <si>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</si>
  <si>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</si>
  <si>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</si>
  <si>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</si>
  <si>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</si>
  <si>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</si>
  <si>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</si>
  <si>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</si>
  <si>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</si>
  <si>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</si>
  <si>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</si>
  <si>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</si>
  <si>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</si>
  <si>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</si>
  <si>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</si>
  <si>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</si>
  <si>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</si>
  <si>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</si>
  <si>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</si>
  <si>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</si>
  <si>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</si>
  <si>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</si>
  <si>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</si>
  <si>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</si>
  <si>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</si>
  <si>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</si>
  <si>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</si>
  <si>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</si>
  <si>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</si>
  <si>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</si>
  <si>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</si>
  <si>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</si>
  <si>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</si>
  <si>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</si>
  <si>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</si>
  <si>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</si>
  <si>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</si>
  <si>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</si>
  <si>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</si>
  <si>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</si>
  <si>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</si>
  <si>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</si>
  <si>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</si>
  <si>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</si>
  <si>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</si>
  <si>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</si>
  <si>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</si>
  <si>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</si>
  <si>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</si>
  <si>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</si>
  <si>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</si>
  <si>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</si>
  <si>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</si>
  <si>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</si>
  <si>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</si>
  <si>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</si>
  <si>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HECHO EN OBRA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</si>
  <si>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</si>
  <si>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ACTIVIDADES DE CONSERVACION</t>
  </si>
  <si>
    <t>ACTIVIDADES DE CONSERVACIÓN_</t>
  </si>
  <si>
    <t>PIEDRA RAJÓN PARA PROTECCIÓN DEL CANAL E= 30 CM INCLUYE MORTERO 2500 PSI PARA PEGA E= 10 CM (INCLUYE SUMINISTRO E INSTALACIÓN)</t>
  </si>
  <si>
    <t>GAVIONES - SUMINISTRO Y CONSTRUCCIÓN. INCLUYE RAJÓN, MALLA PARA GAVIONES Y ALAMBRE RECOCIDO.</t>
  </si>
  <si>
    <t>TUBO GALVANIZADO 3". GOTERO. INCLUYE SUMINISTRO E INSTALACIÓN</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</si>
  <si>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</si>
  <si>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</si>
  <si>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</si>
  <si>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JUNTA DE DILATACIÓN TRAMOS 1.00 M (MOVIMIENTO +/- 25 MM)</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</si>
  <si>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</si>
  <si>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</si>
  <si>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</si>
  <si>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</si>
  <si>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</si>
  <si>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</si>
  <si>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</si>
  <si>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</si>
  <si>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</si>
  <si>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</si>
  <si>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</si>
  <si>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</si>
  <si>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</si>
  <si>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</si>
  <si>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</si>
  <si>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</si>
  <si>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TUBERIA PVC D=14" TIPO U.M. RDE 21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</si>
  <si>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</si>
  <si>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</si>
  <si>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</si>
  <si>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</si>
  <si>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</si>
  <si>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</si>
  <si>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</si>
  <si>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</si>
  <si>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</si>
  <si>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</si>
  <si>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</si>
  <si>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</si>
  <si>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</si>
  <si>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</si>
  <si>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</si>
  <si>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GEODRÉN VIAL H= 1.0M O DRENAFLEX PLANAR H= 1.0M, TUBERÍA DE 100MM (INCLUYE COLOCACIÓN BASE GRANULAR CLASE C, SUMINISTRO Y COLOCACIÓN GEODREN)</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</si>
  <si>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</si>
  <si>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</si>
  <si>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</si>
  <si>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</si>
  <si>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</si>
  <si>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</si>
  <si>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</si>
  <si>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</si>
  <si>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</si>
  <si>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MARCO Y TAPA PARA SUMIDERO 0.52M X 0.90M EAAB NP-023. SUMINISTRO E INSTALACIÓN</t>
  </si>
  <si>
    <t>LIMPIEZA DE CÁRCAMOS (INCLUYE CARGUE, RETIRO Y DISPOSICIÓN FINAL DE SOBRANTES, CON EL 60% DE COLMATACIÓN)</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</si>
  <si>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</si>
  <si>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</si>
  <si>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</si>
  <si>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</si>
  <si>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</si>
  <si>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</si>
  <si>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</si>
  <si>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</si>
  <si>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</si>
  <si>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</si>
  <si>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</si>
  <si>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</si>
  <si>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ESTABILIZACIÓN DE SUBRASANTE CON RECICLADO DE CONCRETO (INCLUYE DEMOLICIÓN, EXTENDIDO, NIVELACIÓN Y COMPACTACIÓN CON RETROEXCAVADORA SOBRE ORUGA Y COMPACTADOR)</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</si>
  <si>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</si>
  <si>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</si>
  <si>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</si>
  <si>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</si>
  <si>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</si>
  <si>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</si>
  <si>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</si>
  <si>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</si>
  <si>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</si>
  <si>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</si>
  <si>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</si>
  <si>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</si>
  <si>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</si>
  <si>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</si>
  <si>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BAJANTE EN LÁMINA GALVANIZADA CAL. 22 INSPECCIONABLE, INCLUYE PINTURA EPÓXICA GRIS HUMO PARA RECUBRIMIENTO.</t>
  </si>
  <si>
    <t>VIDRIO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</si>
  <si>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</si>
  <si>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</si>
  <si>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</si>
  <si>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</si>
  <si>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</si>
  <si>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</si>
  <si>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</si>
  <si>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</si>
  <si>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</si>
  <si>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</si>
  <si>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</si>
  <si>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</si>
  <si>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</si>
  <si>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</si>
  <si>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</si>
  <si>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</si>
  <si>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</si>
  <si>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</si>
  <si>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</si>
  <si>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</si>
  <si>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</si>
  <si>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</si>
  <si>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</si>
  <si>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</si>
  <si>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</si>
  <si>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</si>
  <si>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</si>
  <si>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</si>
  <si>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</si>
  <si>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</si>
  <si>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</si>
  <si>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</si>
  <si>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</si>
  <si>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TRANSFORMADOR SECO TRIFASICO 150 KVA, 11400 V - 208 / 120 V. EN CELDA PARA TRANSFORMADOR (INCLUYE SUMINISTRO E INSTALACIÓN)</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</si>
  <si>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</si>
  <si>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TRITUBO PE 100 FOPT DE 40MM (1 1/4") RDE 13.5 MULTF. D= 40 X 40 X 40 MM POLIETILENO DE ALTA DENSIDAD. INCLUYE SUMINISTRO E INSTALACIÓN. NO INCLUYE RELLENO.</t>
  </si>
  <si>
    <t>BANDAS SONORAS REDUCTORAS DE VELOCIDAD DE 3CM DE ALTURA, CONSTRUIDA CON GRAVILLA DE 1/2", PINTURA DE LARGA DURACIÓN BLANCA Y RESINA EPÓXICA</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</si>
  <si>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</si>
  <si>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</si>
  <si>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</si>
  <si>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</si>
  <si>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</si>
  <si>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</si>
  <si>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</si>
  <si>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</si>
  <si>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</si>
  <si>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</si>
  <si>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</si>
  <si>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</si>
  <si>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</si>
  <si>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</si>
  <si>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</si>
  <si>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</si>
  <si>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</si>
  <si>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</si>
  <si>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</si>
  <si>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</si>
  <si>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</si>
  <si>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</si>
  <si>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</si>
  <si>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</si>
  <si>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</si>
  <si>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</si>
  <si>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</si>
  <si>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</si>
  <si>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</si>
  <si>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</si>
  <si>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</si>
  <si>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</si>
  <si>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</si>
  <si>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</si>
  <si>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</si>
  <si>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</si>
  <si>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</si>
  <si>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</si>
  <si>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</si>
  <si>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</si>
  <si>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</si>
  <si>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</si>
  <si>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</si>
  <si>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</si>
  <si>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</si>
  <si>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</si>
  <si>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</si>
  <si>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</si>
  <si>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</si>
  <si>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</si>
  <si>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</si>
  <si>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</si>
  <si>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</si>
  <si>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</si>
  <si>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</si>
  <si>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</si>
  <si>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</si>
  <si>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</si>
  <si>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</si>
  <si>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</si>
  <si>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</si>
  <si>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</si>
  <si>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</si>
  <si>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</si>
  <si>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</si>
  <si>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</si>
  <si>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</si>
  <si>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SALIDA PARA ILUMINACIÓN (SUMINISTRO E INSTALACIÓN)</t>
  </si>
  <si>
    <t>CABLE CONDUCTOR MONOPOLAR DE 3X6 + 1X6 + 1X8T AWG AL THWN, 600 V.(ALUMINIO Y COBRE) (INCLUYE SUMINISTRO E INSTALACIÓN)</t>
  </si>
  <si>
    <t>APOYO ELASTOMÉRICO EN NEOPRENO REFORZADO DUREZA 60 PARA APOYO SUPERESTRUCTURA. (SUMINISTRO E INSTALACIÓN).</t>
  </si>
  <si>
    <t>CABLE MONOPOLAR DE COBRE, HF FR PARA 600V C.A. CALIBRE NO. 8 AWG. (INCLUYE SUMINISTRO E INSTALACIÓN)</t>
  </si>
  <si>
    <t>BARRA DE UNION 5/8". (INCLUYE SUMINISTRO E INSTALACIÓN).</t>
  </si>
  <si>
    <t>BARRICADA METALICA TIPO IDU CON CERRADO REFLECTIVO NARANJA Y BLANCO GRADO INGENIERIA, MEDIDAS: 2.40M X 1.50M - 3 BANDEJAS DE 20CM X 2.40M. TABLERO DE DESVIO DE 60CM. (INCLUYE CABALLETE, SUMINISTRO E INSTALACIÓN)</t>
  </si>
  <si>
    <t>FIBRA ÓPTICA MONOMODO DE 4 HILOS (INCLUYE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</si>
  <si>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</si>
  <si>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</si>
  <si>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</si>
  <si>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</si>
  <si>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</si>
  <si>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</si>
  <si>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</si>
  <si>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</si>
  <si>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</si>
  <si>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</si>
  <si>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</si>
  <si>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</si>
  <si>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</si>
  <si>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</si>
  <si>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</si>
  <si>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</si>
  <si>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</si>
  <si>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TENSAR BX 1100 PARA REFUERZO DE MATERIALES GRANULARES. (INCLUYE SUMINISTRO E INSTALACIÓN).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</si>
  <si>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</si>
  <si>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</si>
  <si>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</si>
  <si>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</si>
  <si>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</si>
  <si>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</si>
  <si>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</si>
  <si>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</si>
  <si>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</si>
  <si>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</si>
  <si>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EMPATES DE TUBERÍA EN CCP A CCP 24"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</si>
  <si>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</si>
  <si>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</si>
  <si>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PMT</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</si>
  <si>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</si>
  <si>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</si>
  <si>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</si>
  <si>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</si>
  <si>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</si>
  <si>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</si>
  <si>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</si>
  <si>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</si>
  <si>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</si>
  <si>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</si>
  <si>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</si>
  <si>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</si>
  <si>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VERTICAL SR 90X30 , INCLUYE POSTE.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</si>
  <si>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</si>
  <si>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</si>
  <si>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</si>
  <si>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</si>
  <si>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</si>
  <si>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</si>
  <si>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</si>
  <si>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</si>
  <si>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</si>
  <si>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</si>
  <si>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</si>
  <si>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</si>
  <si>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</si>
  <si>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</si>
  <si>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</si>
  <si>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</si>
  <si>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</si>
  <si>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</si>
  <si>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</si>
  <si>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</si>
  <si>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TUBERÍA EN ACERO Ø24" CON UNIONES ESPIGO/CAMPANA CON EMPAQUE DE CAUCHO. REVEST.INTERIOR Y RECUBR EXT. EN MORTERO CEMENTO. L= 6.00M PRESIÓN TRABAJO 150 PSI.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</si>
  <si>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</si>
  <si>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</si>
  <si>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</si>
  <si>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</si>
  <si>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</si>
  <si>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</si>
  <si>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</si>
  <si>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</si>
  <si>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</si>
  <si>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</si>
  <si>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</si>
  <si>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</si>
  <si>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</si>
  <si>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</si>
  <si>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</si>
  <si>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t>
  </si>
  <si>
    <t>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t>
  </si>
  <si>
    <t>NIPLE 16" ACERO CARBON EXTREMOS ESPIGO/CAMPANA L= 3000MM CON SALIDA BRIDADA PARA BOCA DE ACCESO 16" Y SALIDA PARA VENTOSA 2"(ACERO). (SUMINISTRO E INSTALACIÓN)</t>
  </si>
  <si>
    <t>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t>
  </si>
  <si>
    <t>NIPLE 16" ACERO CARBON EXTREMOS ESPIGO/CAMPANA L= 3000MM CON SALIDA PARA BOCA DE ACCESO 16" (ACERO). (SUMINISTRO E INSTALACIÓN)</t>
  </si>
  <si>
    <t>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t>
  </si>
  <si>
    <t>NIPLE 4" DE ACERO SCH-40 S/C EXTREMOS LISO, L=360MM. (SUMINISTRO E INSTALACIÓN)</t>
  </si>
  <si>
    <t>NIPLE 24" ACERO CARBON EXTREMOS LISOS CON SALIDA PARA PITÓMETRO 1" Y DOS SALIDAS 1 1/2". L= 2000 MM.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</si>
  <si>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</si>
  <si>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</si>
  <si>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</si>
  <si>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</si>
  <si>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</si>
  <si>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</si>
  <si>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</si>
  <si>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</si>
  <si>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</si>
  <si>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</si>
  <si>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CODO EN ACERO Ø=4" (INCLUYE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</si>
  <si>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</si>
  <si>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</si>
  <si>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</si>
  <si>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</si>
  <si>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</si>
  <si>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</si>
  <si>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t>
  </si>
  <si>
    <t>SEÑAL VERTICAL GRUPO DE REGLAMENTARIAS TIPO CIRCULO (D= 60CM). CON PLAQUETA INCLUYE POSTE. SUMINISTRO E INSTALACIÓN.</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</si>
  <si>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</si>
  <si>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</si>
  <si>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</si>
  <si>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</si>
  <si>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</si>
  <si>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</si>
  <si>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</si>
  <si>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</si>
  <si>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</si>
  <si>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</si>
  <si>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</si>
  <si>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</si>
  <si>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</si>
  <si>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TIPO H&gt; 8.50 M. SUMINISTRO E INSTALACIÓN.</t>
  </si>
  <si>
    <t>APOYO FIJO EN NEOPRENO DE 0.30M X 0.50M X 0.072M, DUREZA 60 REFORZADO CON 2 PLATINAS DE 1/4" - EJE 1.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</si>
  <si>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</si>
  <si>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</si>
  <si>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</si>
  <si>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</si>
  <si>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</si>
  <si>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</si>
  <si>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</si>
  <si>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</si>
  <si>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</si>
  <si>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</si>
  <si>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</si>
  <si>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</si>
  <si>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</si>
  <si>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</si>
  <si>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</si>
  <si>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</si>
  <si>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</si>
  <si>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SIFÓN PVC 135° D=3" (INCLUYE SUMINISTRO E INSTALACIÓN)</t>
  </si>
  <si>
    <t>SIFÓN PVC 135° D=4" (INCLUYE SUMINISTRO E INSTALACIÓN)</t>
  </si>
  <si>
    <t>ACOMETIDA EN CONDUCTORES DE ALUMINIO 4X(1X2/0) AWG AISLADO HFFR 600 V C.A. INCLUYE CONDUCTORES, CONEXIONES Y ACCESORIOS DE MONTAJE Y MARCACIÓN (INCLUYE SUMINISTRO Y MONTAJE)</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</si>
  <si>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</si>
  <si>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</si>
  <si>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</si>
  <si>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</si>
  <si>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</si>
  <si>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</si>
  <si>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</si>
  <si>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</si>
  <si>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</si>
  <si>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</si>
  <si>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</si>
  <si>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</si>
  <si>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</si>
  <si>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</si>
  <si>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</si>
  <si>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</si>
  <si>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</si>
  <si>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</si>
  <si>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CAJA DE EMPALME PARA FIBRA ÓPTICA (INCLUYE SUMINISTRO E INSTALACIÓN)</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</si>
  <si>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</si>
  <si>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</si>
  <si>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</si>
  <si>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</si>
  <si>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</si>
  <si>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ACOMETIDA EN BAJA TENSIÓN EN CONDUCTORES ALUMINIO 6X150 MM^2 + 1X70 MM^2, THHN, 600 V, INCLUYE CONECTORES, ACCESORIOS, ELEMENTOS DE MARCACION Y FIJACION (INCLUYE SUMINISTRO E INSTALACIÓN) DESDE TRANSFORMADOR HACIA TABLERO SISTEMA CONTRA INCENDIO.</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</si>
  <si>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</si>
  <si>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</si>
  <si>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</si>
  <si>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</si>
  <si>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</si>
  <si>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TEE PVC U.M. 8" X 4" (SUMINISTRO E INSTALACIÓN)</t>
  </si>
  <si>
    <t>PASO ESCALERA DE GATO EN POLIPROPILENO DE ALTO IMPACTO CON ALMA DE ACERO S/NS-07. SUMINISTRO E INSTALACIÓN.</t>
  </si>
  <si>
    <t>BARRERAS Y DEMARCACIÓN VIAL</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</si>
  <si>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</si>
  <si>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</si>
  <si>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</si>
  <si>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</si>
  <si>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</si>
  <si>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</si>
  <si>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</si>
  <si>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</si>
  <si>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</si>
  <si>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</si>
  <si>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GEODREN CON TUBERÍA CIRCULAR 100MM H=0.5 O DRENAFLEX CON TUBERÍA CIRCULAR 100MM H=0.5. SUMINISTRO E INSTALACION.</t>
  </si>
  <si>
    <t>CUADRILLA (OFICIAL + AYUDANTES) HORARIO NOCTURNO INCLUYE PRESTACIONES</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</si>
  <si>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</si>
  <si>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</si>
  <si>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</si>
  <si>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</si>
  <si>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</si>
  <si>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 CONFORMACION DE SUBRASANTE</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</si>
  <si>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</si>
  <si>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</si>
  <si>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</si>
  <si>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</si>
  <si>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</si>
  <si>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</si>
  <si>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</si>
  <si>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</si>
  <si>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</si>
  <si>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</si>
  <si>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</si>
  <si>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</si>
  <si>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</si>
  <si>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</si>
  <si>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</si>
  <si>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</si>
  <si>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</si>
  <si>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</si>
  <si>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</si>
  <si>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</si>
  <si>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</si>
  <si>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</si>
  <si>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</si>
  <si>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</si>
  <si>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MANTENIMIENTO CORRECTIVO ESPACIO PUBLICO LOSETA A-50 SOBRE MORTERO. INCL. RETIRO LOSETA E INSTALAR LA MISMA.</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</si>
  <si>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</si>
  <si>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</si>
  <si>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</si>
  <si>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</si>
  <si>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</si>
  <si>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</si>
  <si>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</si>
  <si>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</si>
  <si>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</si>
  <si>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</si>
  <si>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</si>
  <si>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</si>
  <si>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</si>
  <si>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</si>
  <si>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</si>
  <si>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COLLAR DE DERIVACIÓN DE 4" X 1/2". SUMINISTRO E INSTALACION. (INCLUYE TALADRO ROTOPERCUTOR 3/4", PLANTA ELÉCTRICA 4KW).</t>
  </si>
  <si>
    <t>CÁRCAMO DE PROTECCION EN TUBERÍA Ø 12" NORMA EAAB NS-090 version 2 V.2 (incluye Formaleta, Concreto de 2000 y 3000 PSI, Acero de Refuerzo, curado y Manijas en varilla lisa de 1").</t>
  </si>
  <si>
    <t>INSTALACIÓN DE TUBERÍA PVC D=12" TIPO U.M. RDE 21 (Solo incluye la mano de obra)</t>
  </si>
  <si>
    <t>RELLENO EN GRAVILLA FINA DIÁMETRO 1/2” MEZCLADO CON RESMA DE LÁTEX EN PROPORCIÓN DE GRAVILLA FINA 58-65 KG/M2 Y RESINE LÁTEX 7 A 8 KG/M2 ESPESOR APROXIMADO E: 0.07 M.</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</si>
  <si>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</si>
  <si>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</si>
  <si>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</si>
  <si>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</si>
  <si>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</si>
  <si>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</si>
  <si>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</si>
  <si>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</si>
  <si>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LOSA DE CONCRETO MR45 ACELERADO A 3 DÍAS (SUMINISTRO, FORMALETEADO, COLOCACIÓN Y ACABADO. NO INCLUYE ACERO, CURADO Y JUNTAS).</t>
  </si>
  <si>
    <t>LOSA DE CONCRETO MR50 ACELERADO A 3 DÍAS (SUMINISTRO, FORMALETEADO, COLOCACIÓN Y ACABADO. NO INCLUYE ACERO, CURADO Y JUNTAS).</t>
  </si>
  <si>
    <t>GEOCELDA HDPE PERFORADA, ALTURA 15 CM (SUMINISTRO E INSTALACIÓN).</t>
  </si>
  <si>
    <t>MANEJO DE AGUAS (INCLUYE MOTOBOMBA CON COMBUSTIBLE Y OPERADOR)</t>
  </si>
  <si>
    <t>GEODREN CON TUBERÍA CIRCULAR 100 MM H=1.0 O DRENAFLEX CON TUBERÍA CIRCULAR 100 MM H=1.0 (SUMINISTRO E INSTALACIÓN).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</si>
  <si>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</si>
  <si>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</si>
  <si>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</si>
  <si>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</si>
  <si>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</si>
  <si>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</si>
  <si>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</si>
  <si>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</si>
  <si>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</si>
  <si>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</si>
  <si>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</si>
  <si>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</si>
  <si>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</si>
  <si>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</si>
  <si>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</si>
  <si>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</si>
  <si>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</si>
  <si>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</si>
  <si>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</si>
  <si>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</si>
  <si>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</si>
  <si>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</si>
  <si>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</si>
  <si>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</si>
  <si>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</si>
  <si>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</si>
  <si>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</si>
  <si>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</si>
  <si>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</si>
  <si>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</si>
  <si>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</si>
  <si>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</si>
  <si>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</si>
  <si>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</si>
  <si>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</si>
  <si>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</si>
  <si>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</si>
  <si>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</si>
  <si>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</si>
  <si>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</si>
  <si>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</si>
  <si>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</si>
  <si>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</si>
  <si>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</si>
  <si>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</si>
  <si>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</si>
  <si>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</si>
  <si>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</si>
  <si>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</si>
  <si>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</si>
  <si>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</si>
  <si>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</si>
  <si>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</si>
  <si>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</si>
  <si>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</si>
  <si>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</si>
  <si>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PIEZA ESPECIAL CCP Ø24" LISOXLISO CL 300 LONGITUD 4000MM CON (1) SALIDA VERTICAL SOBRE LOMO DE Ø3" LONGITUD 200MM DE LA CAJA EXTERNA DEL TUBO A BRIDA B.16.5 Y (2) RUANAS PASAMURO Ø24" E=1" HA SOLDADAS. (INCLUYE SUMINISTRO E INSTALACIÓN).</t>
  </si>
  <si>
    <t>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t>
  </si>
  <si>
    <t>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t>
  </si>
  <si>
    <t>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</si>
  <si>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</si>
  <si>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</si>
  <si>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</si>
  <si>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</si>
  <si>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</si>
  <si>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</si>
  <si>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</si>
  <si>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</si>
  <si>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</si>
  <si>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CINTURÓN DE CIERRE HA Ø24" E=1/4"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</si>
  <si>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</si>
  <si>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</si>
  <si>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</si>
  <si>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</si>
  <si>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</si>
  <si>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</si>
  <si>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ADAPTADOR TERMINAL CAMPANA PVC D=6" (SUMINISTRO E INSTALACIÓN)</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</si>
  <si>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</si>
  <si>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</si>
  <si>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</si>
  <si>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</si>
  <si>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</si>
  <si>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REUBICACIÓN DE SEÑALES VERTICALES (APLICA PARA RETIRO Y REINSTALACIÓN DE SEÑALES SENCILLAS Y DÚPLEX. INCLUYE DEMOLICIÓN DE PISO, RETIRO Y DISPOSICIÓN FINAL DE ESCOMBROS)</t>
  </si>
  <si>
    <t>BOLSACRETO 1.20M X 2.40M X 0.40M. SUMINISTRO E INSTALACIÓN.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</si>
  <si>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</si>
  <si>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</si>
  <si>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</si>
  <si>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</si>
  <si>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</si>
  <si>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</si>
  <si>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</si>
  <si>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</si>
  <si>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</si>
  <si>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</si>
  <si>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</si>
  <si>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</si>
  <si>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</si>
  <si>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</si>
  <si>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</si>
  <si>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</si>
  <si>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</si>
  <si>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</si>
  <si>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</si>
  <si>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</si>
  <si>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</si>
  <si>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</si>
  <si>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</si>
  <si>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</si>
  <si>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</si>
  <si>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</si>
  <si>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</si>
  <si>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</si>
  <si>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</si>
  <si>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</si>
  <si>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</si>
  <si>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</si>
  <si>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</si>
  <si>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</si>
  <si>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</si>
  <si>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</si>
  <si>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</si>
  <si>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</si>
  <si>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</si>
  <si>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</si>
  <si>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</si>
  <si>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</si>
  <si>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</si>
  <si>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</si>
  <si>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</si>
  <si>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</si>
  <si>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</si>
  <si>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</si>
  <si>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</si>
  <si>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</si>
  <si>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</si>
  <si>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</si>
  <si>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</si>
  <si>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ESTUCO PLASTICO EN MUROS (INCLUYE SUMINISTRO E INSTALACIÓN).</t>
  </si>
  <si>
    <t>TAPA (REJILLA) PARA CAÑUELA A-124. DIMENSIONES: 600X300X100MM. (INCLUYE SUMINISTRO DE MATERIALES E INSTALACIÓN)</t>
  </si>
  <si>
    <t>SEMÁFORO CUATRO MÓDULOS FIJACIÓN EN MÁSTIL (INCLUYE SUMINISTRO E INSTALACIÓN)</t>
  </si>
  <si>
    <t>SEMÁFORO CUATRO MÓDULOS FIJACIÓN EN MÁSTIL CON FLECHA DE GIRO (INCLUYE SUMINISTRO E INSTALACIÓN)</t>
  </si>
  <si>
    <t>APOYO ELASTOMÉRICO EN NEOPRENO REFORZADO CIRCULAR. DIÁMETRO 900MM, H= 200MM, DUREZA-60 (SUMINISTRO E INSTALACIÓN).</t>
  </si>
  <si>
    <t>SUPER ESTRUCTURA EN CONCRETO DE 7000 PSI PREMEZCLADO, GRAVA COMÚN (Incluye Sumin, bombeo, Formaleteo, Colocación y Curado. No incl. Refuerzo).</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</si>
  <si>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</si>
  <si>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</si>
  <si>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</si>
  <si>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</si>
  <si>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</si>
  <si>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</si>
  <si>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</si>
  <si>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</si>
  <si>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</si>
  <si>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</si>
  <si>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</si>
  <si>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</si>
  <si>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</si>
  <si>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</si>
  <si>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</si>
  <si>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</si>
  <si>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</si>
  <si>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</si>
  <si>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</si>
  <si>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</si>
  <si>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</si>
  <si>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</si>
  <si>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</si>
  <si>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</si>
  <si>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</si>
  <si>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</si>
  <si>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</si>
  <si>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TUBERÍA EN ACERO Ø30" CON UNIONES ESPIGO/CAMPANA CON EMPAQUE DE CAUCHO. REVEST.INTERIOR Y RECUBR EXT. EN MORTERO CEMENTO. NORMA AWWA C200. L= 6.00M PRESIÓN TRABAJO 150 PSI.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</si>
  <si>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</si>
  <si>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</si>
  <si>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</si>
  <si>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</si>
  <si>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</si>
  <si>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</si>
  <si>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</si>
  <si>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</si>
  <si>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</si>
  <si>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NIPLE EN ACERO Ø 3" CON BRIDA Y EXTREMO LISO L= 300MM, REVESTIMIENTO INTERIOR Y EXTERIOR EN PINTURA EXPOXICA.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</si>
  <si>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</si>
  <si>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</si>
  <si>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</si>
  <si>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</si>
  <si>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</si>
  <si>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</si>
  <si>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</si>
  <si>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</si>
  <si>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</si>
  <si>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</si>
  <si>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</si>
  <si>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</si>
  <si>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</si>
  <si>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</si>
  <si>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</si>
  <si>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</si>
  <si>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</si>
  <si>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</si>
  <si>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</si>
  <si>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</si>
  <si>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</si>
  <si>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</si>
  <si>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</si>
  <si>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</si>
  <si>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</si>
  <si>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</si>
  <si>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</si>
  <si>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</si>
  <si>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</si>
  <si>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DEMOLICIÓN COLECTOR EN MAMPOSTERIA ESPESOR 0.25. INCLUYE TRANSPORTE Y DISPOSICIÓN FINAL DE SOBRANTES.</t>
  </si>
  <si>
    <t>PROTECCIÓN DE BORDES (SUMINISTRO E INSTALACIÓN ÁNGULO 2"X2"X 1/4" + 5 VARILLAS 3/8" L= 0.40M)</t>
  </si>
  <si>
    <t>EMPATE ORTOGONAL PVC-PVC 12"X6" (INCLUYE SUMINISTRO E INSTALACIÓN DE TEE 12"X6" HD, 4 UNIONES, TUBERÍA RDE 21) (SUMINISTRO E INSTALACIÓN)</t>
  </si>
  <si>
    <t>TEE PVC U.M. 12" X 12" (SUMINISTRO E INSTALACIÓN)</t>
  </si>
  <si>
    <t>TAPÓN HD EXTREMO LISO D=2"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</si>
  <si>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</si>
  <si>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</si>
  <si>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</si>
  <si>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</si>
  <si>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</si>
  <si>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</si>
  <si>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</si>
  <si>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</si>
  <si>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</si>
  <si>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</si>
  <si>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</si>
  <si>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</si>
  <si>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TRAGANTE CÚPULA DE 3"X 2" DE ALUMINIO. (INCLUYE SUMINISTRO E INSTALACIÓN)</t>
  </si>
  <si>
    <t>EMPATES DE TUBERÍA EN PVC A PEAD 3" LINEAL SEGÚN NORMA NS-023 (INCLUYE ACOPLE UNIVERSAL Ø=3"=1UN; BRIDA LOCA POLIETILENO Ø=3"=1UN; PORTABRIDA POLIETILENO Ø=3"=1UN). SUMINISTRO E INSTALACIÓN.</t>
  </si>
  <si>
    <t>BAJANTE PARA ACOMETIDA IMC 1 D= 6" , CAPACETE, CINTA BAND IT, CURVA PVC. (INCLUYE APERTURA DE ZANJA PARA INSTALACION DE CURVA Y TUBERIA GALVANIZADA, RESANE Y RETIRO DE ESCOMBROS). SUMINISTRO E INSTALACIÓN.</t>
  </si>
  <si>
    <t>TUBERÍA PVC U.M. EXT CORRUGADO/INT LISO U.M. NORMA NTC 3722-1 D=60" (INCLUYE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</si>
  <si>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</si>
  <si>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</si>
  <si>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</si>
  <si>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</si>
  <si>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</si>
  <si>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</si>
  <si>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</si>
  <si>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</si>
  <si>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</si>
  <si>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</si>
  <si>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</si>
  <si>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</si>
  <si>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</si>
  <si>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</si>
  <si>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BRIDA FLANGE SLIP ON D=6" ACERO SOLDABLE RF 150 LB ANSI B16.5 (SUMINISTRO E INSTALACIÓN)</t>
  </si>
  <si>
    <t>BRIDA FLANGE SLIP ON D=12" ACERO SOLDABLE RF 150 LB ANSI B16.5 (SUMINISTRO E INSTALACIÓN)</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</si>
  <si>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</si>
  <si>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</si>
  <si>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</si>
  <si>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</si>
  <si>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</si>
  <si>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</si>
  <si>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</si>
  <si>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75 KVA 11.4/0.208-0.120 KV EN ACEITE VEGETAL (INCLUYE SUMINISTRO E INSTALACIÓN).</t>
  </si>
  <si>
    <t>TRANSFORMADOR TIPO PEDESTAL PARA AP DE 150 KVA 11.4/0.208-0.120 KV EN ACEITE VEGETAL (INCLUYE SUMINISTRO E INSTALACIÓN).</t>
  </si>
  <si>
    <t>CONDUCTOR DE ALUMINIO THHW DE 240 MM2 600 V PVC DE 90° CT (INCLUYE SUMINISTRO E INSTALACIÓN).</t>
  </si>
  <si>
    <t>CABLE CONDUCTOR DE ALUMINIO REFORZADO DESNUDO, CALIBRE NO. 2 AWG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</si>
  <si>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</si>
  <si>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</si>
  <si>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</si>
  <si>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EMPALME DE DERIVACIÓN EN RESINA AP 839 (EMPALME RECTO / DERIVACIÓN RESINA)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</si>
  <si>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</si>
  <si>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</si>
  <si>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</si>
  <si>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</si>
  <si>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</si>
  <si>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</si>
  <si>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</si>
  <si>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</si>
  <si>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</si>
  <si>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</si>
  <si>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</si>
  <si>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BANCA CONCRETO CON ESPALDAR. (TRASLADO EN CAMIONETA A ALMACÉN Y REUBICACIÓN POSTERIOR).</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</si>
  <si>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</si>
  <si>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</si>
  <si>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</si>
  <si>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</si>
  <si>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LOSETA PREFABRICADA EN CONCRETO A20 TIPO PANOT DE 20X20X6CM COLOR GRIS (SUMINISTRO E INSTALACIÓN. INCLUYE MORTERO DE 1500 PSI DE NIVELACIÓN)</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</si>
  <si>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</si>
  <si>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</si>
  <si>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</si>
  <si>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</si>
  <si>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</si>
  <si>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</si>
  <si>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</si>
  <si>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</si>
  <si>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</si>
  <si>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</si>
  <si>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</si>
  <si>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</si>
  <si>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</si>
  <si>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</si>
  <si>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</si>
  <si>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</si>
  <si>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</si>
  <si>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</si>
  <si>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</si>
  <si>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</si>
  <si>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</si>
  <si>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</si>
  <si>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</si>
  <si>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</si>
  <si>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</si>
  <si>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</si>
  <si>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</si>
  <si>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</si>
  <si>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</si>
  <si>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</si>
  <si>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</si>
  <si>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</si>
  <si>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</si>
  <si>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</si>
  <si>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</si>
  <si>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</si>
  <si>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</si>
  <si>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</si>
  <si>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</si>
  <si>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</si>
  <si>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</si>
  <si>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</si>
  <si>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</si>
  <si>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</si>
  <si>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</si>
  <si>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</si>
  <si>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</si>
  <si>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</si>
  <si>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</si>
  <si>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</si>
  <si>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</si>
  <si>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</si>
  <si>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</si>
  <si>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</si>
  <si>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</si>
  <si>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</si>
  <si>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</si>
  <si>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</si>
  <si>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</si>
  <si>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</si>
  <si>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</si>
  <si>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</si>
  <si>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</si>
  <si>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</si>
  <si>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</si>
  <si>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</si>
  <si>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</si>
  <si>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</si>
  <si>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</si>
  <si>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</si>
  <si>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DEMOLICIÓN PISOS DE CONCRETO - RAMPAS VEHICULARES Y PEATONALES EXISTENTES. (Espesor variable hasta 0.10 m. Incluye Cargue, transporte y disposición final de sobrantes escombrera autorizada).</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</si>
  <si>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</si>
  <si>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</si>
  <si>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o (BGB_BG25) - HORARIO NOCTURNO. (Suministro, Extendido Manual, Humedecimiento y Compactación)</t>
  </si>
  <si>
    <t>BASE GRANULAR CLASE A (BGA_BG38) o (BGB_BG25) (Suministro, Extendido, Nivelación, Humedecimiento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</si>
  <si>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</si>
  <si>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</si>
  <si>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</si>
  <si>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</si>
  <si>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</si>
  <si>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</si>
  <si>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AC 6"X6" SEGÚN NORMA NS-023, INCLUYE SUMINISTRO E INSTALACIÓN DE TUBERÍA PVC D=6" U.M RDE 21=1 ML, TEE HD 6"X6" PARA AC=1 UN, UG HD D=6"=3 UN, UZ U.M PVC D=6"=1 UN, UR HD D=6"=1 UN (Suministro e instalación).</t>
  </si>
  <si>
    <t>CODO HD 22.5° EXTREMO JUNTA HIDRÁULICA PARA PVC D= 2"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</si>
  <si>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</si>
  <si>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</si>
  <si>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LITRO</t>
  </si>
  <si>
    <t>MANTENIMIENTO RUTINARIO MALLA VIAL RURAL PRINCIPAL EN CONCRETO HIDRÁULICO</t>
  </si>
  <si>
    <t>UNION DE REPARACION HD EL D=4" (Suministro e Instalación).</t>
  </si>
  <si>
    <t>BARRERA DE SEGURIDAD EN CONCRETO A-165 ( 53x60x150cm). (Suministro, transporte e Instalación).</t>
  </si>
  <si>
    <t>EMPATE DE TUBERÍA EN PVC A HG 8" LINEAL TIPO B SEGÚN NORMA NS-023, INCLUYE TUBERÍA PVC D=8" U.M RDE 21=1 ML, UR HD D=8"=1 UN, UZ PVC D=8"=1 UN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</si>
  <si>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</si>
  <si>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</si>
  <si>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</si>
  <si>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</si>
  <si>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</si>
  <si>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</si>
  <si>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</si>
  <si>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</si>
  <si>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</si>
  <si>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</si>
  <si>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</si>
  <si>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</si>
  <si>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</si>
  <si>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</si>
  <si>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</si>
  <si>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</si>
  <si>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</si>
  <si>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</si>
  <si>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</si>
  <si>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</si>
  <si>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</si>
  <si>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REFORZAMIENTO DE VIGAS METÁLICAS EN LÁMINA DE ACERO LÁMINA HR 8mm x 20"A588 GR B/A709 GR 50/W DE 8x560x9000 mm INCLUYE SUMINISTRO DE MATERIALES, EQUIPOS, TRANSPORTES, MANEJO, ALMACENAMIENTO, DESPERDICIOS Y MANO DE OBRA</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</si>
  <si>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</si>
  <si>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</si>
  <si>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</si>
  <si>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</si>
  <si>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</si>
  <si>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</si>
  <si>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</si>
  <si>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</si>
  <si>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</si>
  <si>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</si>
  <si>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TAPÓN DE ACERO 16" SOLDADO (INCLUYE SUMINISTRO E INSTALACIÓN)</t>
  </si>
  <si>
    <t>JUNTA DE DILATACION ELASTOMÉRICA 160 DESPLAZAMIENTO 160MM+/-80MM  (INCLUYE SUMINISTRO E INSTALACIÓN Y MATERIAL PARA ANCLAJES).</t>
  </si>
  <si>
    <t>REEMPLAZO DE JUNTA DE DILATACION ELASTOMÉRICA 230 DESPLAZAMIENTO 230MM+/-115MM (INLCUYE SUMINSTRO, ACCESORIOS, MATERIALES E INSTALACIÓN)</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</si>
  <si>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</si>
  <si>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</si>
  <si>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</si>
  <si>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</si>
  <si>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</si>
  <si>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</si>
  <si>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 ESTÁTICA PUENTES</t>
  </si>
  <si>
    <t>PRUEBAS DE CARGA</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</si>
  <si>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</si>
  <si>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</si>
  <si>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</si>
  <si>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ELEMENTOS DE BIOSEGURIDAD SEGÚN APÉNDICE</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</si>
  <si>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</si>
  <si>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</si>
  <si>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</si>
  <si>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</si>
  <si>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</si>
  <si>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</si>
  <si>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</si>
  <si>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</si>
  <si>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</si>
  <si>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</si>
  <si>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</si>
  <si>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</si>
  <si>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</si>
  <si>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</si>
  <si>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</si>
  <si>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</si>
  <si>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</si>
  <si>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</si>
  <si>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</si>
  <si>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</si>
  <si>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</si>
  <si>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</si>
  <si>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</si>
  <si>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</si>
  <si>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</si>
  <si>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</si>
  <si>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</si>
  <si>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</si>
  <si>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</si>
  <si>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</si>
  <si>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</si>
  <si>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</si>
  <si>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</si>
  <si>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</si>
  <si>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</si>
  <si>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</si>
  <si>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</si>
  <si>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APOYO ELASTOMÉRICO EN NEOPRENO SIN REFUERZO DUREZA 60 PARA APOYO SUPERESTRUCTURA.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</si>
  <si>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</si>
  <si>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</si>
  <si>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</si>
  <si>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</si>
  <si>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</si>
  <si>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</si>
  <si>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</si>
  <si>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</si>
  <si>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</si>
  <si>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</si>
  <si>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</si>
  <si>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</si>
  <si>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</si>
  <si>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</si>
  <si>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</si>
  <si>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</si>
  <si>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</si>
  <si>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</si>
  <si>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</si>
  <si>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</si>
  <si>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</si>
  <si>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</si>
  <si>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 xml:space="preserve">EMPRESAS  </t>
  </si>
  <si>
    <t>SDM-2021 (COTIZADOS EN NOV/2020)</t>
  </si>
  <si>
    <t>IPC (2020:1.61%; 2021:5.62%;2022:13,12%;2023:9,28%) TOTAL: 32.67%</t>
  </si>
  <si>
    <t>PROYECTADOS DEL 2021 A 2024</t>
  </si>
  <si>
    <t>JR 2021</t>
  </si>
  <si>
    <t>PROMEDIO EN MES</t>
  </si>
  <si>
    <t>PROFESIONAL SST (No Incluye factor prestacional)</t>
  </si>
  <si>
    <t>año</t>
  </si>
  <si>
    <t>https://fullmineria.com/producto/hitos-de-arista/</t>
  </si>
  <si>
    <t>https://fullmineria.com/producto/estoperol-en-plastico-blanco/</t>
  </si>
  <si>
    <t>https://www.homecenter.com.co/homecenter-co/product/492252/tacha-blanca-roja-con-espigo-x-50-unds/492252/</t>
  </si>
  <si>
    <t>https://fullmineria.com/producto/flascher-luminoso-solar/</t>
  </si>
  <si>
    <t>https://fullmineria.com/producto/barricada-metalica-tipo-idu-2/</t>
  </si>
  <si>
    <r>
      <rPr>
        <b/>
        <sz val="10"/>
        <rFont val="Franklin Gothic Book"/>
        <family val="2"/>
      </rPr>
      <t>NOTA 1 ANEXO PRESUPUESTO DE OBRA</t>
    </r>
    <r>
      <rPr>
        <sz val="10"/>
        <rFont val="Franklin Gothic Book"/>
        <family val="2"/>
      </rPr>
      <t>: LAS CANTIDADES DE OBRA POR EJECUTAR SON APROXIMADAS Y ESTAN CALCULADAS CON BASE A PROYECCIONES DE SEÑALIZACION INSTALADA, POR LO TANTO PODRAN AUMENTAR, DISMINUIR O SER SUPRIMIDAS DURANTE LA EJECUCIÓN DEL PROYECTO, TALES VARIACIONES NO VICIARÁN NI INVALIDARÁN EL CONTRATO PRODUCTO DE ESTA LICITACIÓN PÚBLICA. EL CONTRATISTA SE OBLIGA A EJECUTAR LAS MAYORES O MENORES CANTIDADES DE OBRA QUE RESULTAREN A LOS MISMOS PRECIOS DE LA PROPUESTA. ADICIONALMENTE, EL VALOR UNITARIO DE CADA ITEM OFERTADO POR EL PROPONENTE DEBE SER IGUAL O INFERIOR AL PRESUPUESTO OFICIAL POR ITEM ESTABLECIDO POR LA SECRETARIA DE MOVILIDAD PARA EL PRESENTE PROCESO</t>
    </r>
  </si>
  <si>
    <t>PRECIO UNITARIO INCLUYE AIU</t>
  </si>
  <si>
    <t>PRECIOS DE REFEENCIA INCLUIDO AIU</t>
  </si>
  <si>
    <t>OBRA</t>
  </si>
  <si>
    <t>SUMINISTROS</t>
  </si>
  <si>
    <t>TOTALES</t>
  </si>
  <si>
    <r>
      <rPr>
        <b/>
        <sz val="10"/>
        <rFont val="Franklin Gothic Book"/>
        <family val="2"/>
      </rPr>
      <t xml:space="preserve">NOTA 2 ANEXO PRESUPUESTO SUMINISTROS: </t>
    </r>
    <r>
      <rPr>
        <sz val="10"/>
        <rFont val="Franklin Gothic Book"/>
        <family val="2"/>
      </rPr>
      <t>EL COSTO DIRECTO INCLUYE EL VALOR DEL IVA Y APLICAN LOS DESCUENTOS VIGENTES DE LEY AL MOMENTO DE FACTURAR.
LAS CANTIDADES DE SUMINISTRO POR EJECUTAR SON APROXIMADAS Y ESTAN CALCULADAS CON BASE A PROYECCIONES, POR LO TANTO, PODRAN AUMENTAR, DISMINUIR O SER SUPRIMIDAS DURANTE LA EJECUCIÓN DEL PROYECTO, TALES VARIACIONES NO VICIARÁN NI INVALIDARÁN EL CONTRATO PRODUCTO DE ESTA LICITACIÓN PÚBLICA. EL CONTRATISTA SE OBLIGA A EJECUTAR LAS MAYORES O MENORES CANTIDADES DE SUMINISTROS QUE RESULTAREN A LOS MISMOS PRECIOS DE LA PROPUESTA. ADICIONALMENTE EL VALOR DE CADA ITEM DE SUMINISTRO OFERTADO POR EL PROPONENTE DEBE SER IGUAL O INFERIOR AL PRESUPUESTO OFICIAL POR ITEM ESTABLECIDO POR LA SECRETARIA DE MOVILIDAD PARA EL PRESENTE PROCESO.</t>
    </r>
  </si>
  <si>
    <t>TOTAL POR ZONA</t>
  </si>
  <si>
    <t>TOTAL 7 ZONAS</t>
  </si>
  <si>
    <t>% DE DISPONIBILIDAD</t>
  </si>
  <si>
    <t>https://fullmineria.com/producto/cojin-reductor-trafico-pesado/</t>
  </si>
  <si>
    <t>https://es.aliexpress.com/item/605106074.html</t>
  </si>
  <si>
    <t>Datos iniciales</t>
  </si>
  <si>
    <t>Puntilla lisa 1" con cabeza (ferreteriasaray.com)</t>
  </si>
  <si>
    <t>https://laferretemia.com/index.php/product/chazo-cuna/</t>
  </si>
  <si>
    <t>PLATINA 1/4 X 1 (lagranferreteria.com)</t>
  </si>
  <si>
    <t>Origen</t>
  </si>
  <si>
    <t>Grupo de base de datos</t>
  </si>
  <si>
    <t>Demanda</t>
  </si>
  <si>
    <t>CONCRETOS Y MORTEROS PREMEZCLADOS</t>
  </si>
  <si>
    <t>Actualización 2024-I - Fase I</t>
  </si>
  <si>
    <t>EQUIPO PESADO</t>
  </si>
  <si>
    <t>ARBOLES-GRAMAS-VEGETACIÓN Y PLANTACIÓN PAISAJÍSTIC</t>
  </si>
  <si>
    <t>FORMALETAS, ENTIBADOS, ANDAMIOS Y ACCESORIOS</t>
  </si>
  <si>
    <t>MALLAS Y ACEROS PARA REFUERZO</t>
  </si>
  <si>
    <t>LADRILLOS, BLOQUES Y ADOQUINES</t>
  </si>
  <si>
    <t>AGREGADOS PÉTREOS, BASES Y SUBBASES GRANULARES</t>
  </si>
  <si>
    <t>MARCOS, TAPAS, REJILLAS, HERRAJES Y CAJILLAS</t>
  </si>
  <si>
    <t>DUCTOS PVC - ELECTRICOS/TELEFONICOS TIPO TDP-DB-EB</t>
  </si>
  <si>
    <t>TUBERIAS Y ACCESORIOS DE PVC - ACUEDUCTO</t>
  </si>
  <si>
    <t>MATERIALES BÁSICOS</t>
  </si>
  <si>
    <t>TUBERÍA Y ACCESORIOS CONDUIT GALVANIZADAS</t>
  </si>
  <si>
    <t>COMBUSTIBLES Y LUBRICANTES</t>
  </si>
  <si>
    <t>EQUIPO LIVIANO Y HERRAMIENTAS</t>
  </si>
  <si>
    <t xml:space="preserve">SUELDOS Y JORNALES </t>
  </si>
  <si>
    <t>No aplica actualización</t>
  </si>
  <si>
    <t>BORDILLOS Y LOSETAS</t>
  </si>
  <si>
    <t>TUBERÍA Y ACCESORIOS DE PVC PARA ALCANTARILLADO</t>
  </si>
  <si>
    <t>PINTURAS</t>
  </si>
  <si>
    <t>TUBERÍA Y ACCESORIOS DE CONCRETO</t>
  </si>
  <si>
    <t>POSTES Y ALUMBRADO PUBLICO</t>
  </si>
  <si>
    <t>MOBILIARIO URBANO Y DE PARQUES</t>
  </si>
  <si>
    <t>ACCESORIOS HD PARA REDES DE ACUEDUCTO</t>
  </si>
  <si>
    <t>SEÑALES, BARRERAS Y DEMARCACIÓN VIAL</t>
  </si>
  <si>
    <t>UNION PVC PRESION NORMA NTC 382 D=2 1/2"</t>
  </si>
  <si>
    <t>MOTOSIERRA - POTENCIA 2 A 3 KW (INCLUYE COMBUSTIBLE)</t>
  </si>
  <si>
    <t>TRANSPORTES DE MATERIALES Y ACARREOS</t>
  </si>
  <si>
    <t>EMULSIONES Y MEZCLAS ASFÁLTICAS</t>
  </si>
  <si>
    <t>SELLANTES-IMPERMEABILIZANTES Y ADITIVOS CONCRETOS</t>
  </si>
  <si>
    <t>POZOS Y COMPONENTES - ALCANTARILLADO</t>
  </si>
  <si>
    <t>SUMIDEROS Y COMPONENTES</t>
  </si>
  <si>
    <t>SOLDADURA Y PEGANTES</t>
  </si>
  <si>
    <t>MATERIALES DE FERRETERÍA Y OTROS</t>
  </si>
  <si>
    <t>CORTADORA DE LADRILLO (SIN DISCO) - PROFUNDIDAD DE CORTE DE 10 A 17cm (INLCUYE COMBUSTIBLE)</t>
  </si>
  <si>
    <t>TUBERIA CONDUIT METALICA GALVANIZADA IMC D= 1"</t>
  </si>
  <si>
    <t>TUBERIA CONDUIT METALICA GALVANIZADA IMC D= 1 1/2"</t>
  </si>
  <si>
    <t>TUBERIA CONDUIT METALICA GALVANIZADA EMT D= 1 1/2"</t>
  </si>
  <si>
    <t>ENSAYO LABORATORIO - CEMENTOS HIDRÁULICOS</t>
  </si>
  <si>
    <t>ENSAYO LABORATORIO - SUELOS</t>
  </si>
  <si>
    <t>ENSAYO LABORATORIO - AGREGADOS PETREOS</t>
  </si>
  <si>
    <t>ENSAYO CAMPO - ELEMENTOS ESTRUCTURALES CONCRETO</t>
  </si>
  <si>
    <t>ENSAYO CAMPO - DIAGNOSTICO DE PAVIMENTOS</t>
  </si>
  <si>
    <t>ENSAYO LABORATORIO - CONCRETOS HIDRÁULICOS</t>
  </si>
  <si>
    <t>ENSAYO LABORATORIO - MATERIALES BITUMINOSOS</t>
  </si>
  <si>
    <t>ENSAYO LABORATORIO - MEZCLAS ASFALTICAS</t>
  </si>
  <si>
    <t>ELEMENTOS DE BIOSEGURIDAD</t>
  </si>
  <si>
    <t xml:space="preserve">BAÑO TIPO FLUSHING - ALQUILER MANTENIMIENTO Y ASEO DE BAÑO PORTATIL </t>
  </si>
  <si>
    <t>DOTACIÓN (EPP) Y EQUIP. Y HERRAM. SEGUR. INDUSTR.</t>
  </si>
  <si>
    <t>TUBERÍA Y ACCESORIOS EN GRP</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</si>
  <si>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</si>
  <si>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</si>
  <si>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</si>
  <si>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</si>
  <si>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</si>
  <si>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</si>
  <si>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</si>
  <si>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</si>
  <si>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</si>
  <si>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</si>
  <si>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</si>
  <si>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</si>
  <si>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</si>
  <si>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</si>
  <si>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</si>
  <si>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</si>
  <si>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</si>
  <si>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</si>
  <si>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</si>
  <si>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</si>
  <si>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</si>
  <si>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</si>
  <si>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</si>
  <si>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</si>
  <si>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</si>
  <si>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</si>
  <si>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</si>
  <si>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</si>
  <si>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</si>
  <si>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</si>
  <si>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</si>
  <si>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</si>
  <si>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</si>
  <si>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</si>
  <si>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</si>
  <si>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</si>
  <si>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</si>
  <si>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</si>
  <si>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</si>
  <si>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</si>
  <si>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</si>
  <si>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</si>
  <si>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TUBERÍA Y ACCESORIOS ACERO AL CARBÓN</t>
  </si>
  <si>
    <t>ENSAYO LABORATORIO - ANÁLISIS DE AGUAS</t>
  </si>
  <si>
    <t>MUEBLES - EQUIPOS Y ELEMENTOS OFICINA</t>
  </si>
  <si>
    <t>SERV. DIAGNÓSTICO-INSPECCIÓN REDES HIDROSANITARIAS</t>
  </si>
  <si>
    <t>GESTIÓN SOCIAL ELEMENTOS DE PUBLICIDAD</t>
  </si>
  <si>
    <t>EXÁMENES MÉDICOS</t>
  </si>
  <si>
    <t>PRODUCTOS QUÍMICOS - PESTICIDAS - FITOSANITARIOS</t>
  </si>
  <si>
    <t>TUBERIA Y ACCESORIOS EN ACERO GALVANIZADO</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</si>
  <si>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</si>
  <si>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</si>
  <si>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</si>
  <si>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</si>
  <si>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</si>
  <si>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14"</t>
  </si>
  <si>
    <t>MOLDE PARA ESTAMPADO DE CONCRETO</t>
  </si>
  <si>
    <t>NEOPRENOS</t>
  </si>
  <si>
    <t>TARIFA _ ALQUILER DE VEHICULO</t>
  </si>
  <si>
    <t>GESTIÓN SOCIAL ELEMENTOS DE IDENTIFICACIÓN EN OBRA</t>
  </si>
  <si>
    <t>ACTIVIDADES A TODO COSTO</t>
  </si>
  <si>
    <t>SEMAFORIZACION</t>
  </si>
  <si>
    <t>CABLES Y ACCESORIOS ELECTRICOS</t>
  </si>
  <si>
    <t>ENSAYO LABORATORIO - ROCA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</si>
  <si>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</si>
  <si>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</si>
  <si>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</si>
  <si>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</si>
  <si>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</si>
  <si>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</si>
  <si>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</si>
  <si>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</si>
  <si>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</si>
  <si>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</si>
  <si>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</si>
  <si>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</si>
  <si>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</si>
  <si>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</si>
  <si>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</si>
  <si>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</si>
  <si>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</si>
  <si>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</si>
  <si>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</si>
  <si>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</si>
  <si>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</si>
  <si>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</si>
  <si>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</si>
  <si>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</si>
  <si>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</si>
  <si>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 xml:space="preserve">CURVA METALICA GALVANIZADA IMC D=1" </t>
  </si>
  <si>
    <t>PISOS (CONVENCIONALES Y TIPO TRANSMILENIO)</t>
  </si>
  <si>
    <t>CAPACETE METALICO GALVANIZADO IMC DE 3"</t>
  </si>
  <si>
    <t>TUBERIA CONDUIT METALICA GALVANIZADA IMC D= 4"</t>
  </si>
  <si>
    <t>TARIFA _ TRATAMIENTO Y/O MANEJO SILVICULTURAL</t>
  </si>
  <si>
    <t>CUBIERTA - CIELO RASO - CORTASOL TIPO TRANSMILENIO</t>
  </si>
  <si>
    <t>TARIFA _ EQUIPO</t>
  </si>
  <si>
    <t>ENSAYO LABORATORIO - COMPONENTE DE ESPACIO PÚBLICO</t>
  </si>
  <si>
    <t>ENSAYO LABORATORIO - GEOSINTÉTICOS</t>
  </si>
  <si>
    <t>TARIFA _ OPERACIÓN OFICINA</t>
  </si>
  <si>
    <t>TARIFA _ OBRA</t>
  </si>
  <si>
    <t>TUBERIA CONDUIT METALICA GALVANIZADA IMC D= 2"</t>
  </si>
  <si>
    <t>UNIÓN METALICA GALVANIZADA IMC D= 2"</t>
  </si>
  <si>
    <t>TUBERIA CONDUIT METALICA GALVANIZADA IMC D= 3/4"</t>
  </si>
  <si>
    <t>UNIÓN METALICA GALVANIZADA IMC D= 3/4"</t>
  </si>
  <si>
    <t>ENSAYO LABORATORIO - MORTERO</t>
  </si>
  <si>
    <t>TUBERIA CONDUIT METALICA GALVANIZADA IMC D= 3"</t>
  </si>
  <si>
    <t>ENSAYO LABORATORIO - AGREGADOS PROVENIENTES DE RCD</t>
  </si>
  <si>
    <t>PISO EN MÁRMOL ROYAL VETA (30CMS X 60CMS)</t>
  </si>
  <si>
    <t>TUBERÍA Y ACCESORIOS EN POLIETILENO</t>
  </si>
  <si>
    <t>PLANTACIÓN DE LIQUIDAMBAR H=1.5 m. (Incluye suministro al sitio de obra, plantacion, caja, tierra, abono y tutor)</t>
  </si>
  <si>
    <t>PLANTACIÓN DE CEDRO H=1.5 m. (Incluye suministro al sitio de obra, plantacion, caja, tierra, abono y tutor)</t>
  </si>
  <si>
    <t>LIQUIDAMBAR H=2.5 m. (Incluye suministro al sitio de obra, tutor con manguera y alambre)</t>
  </si>
  <si>
    <t>HIEDRA MIAMI (Incluye suministro al sitio de obra de 12 Unidades por m2)</t>
  </si>
  <si>
    <t>TUBERÍA Y ACCESORIOS EN ACERO</t>
  </si>
  <si>
    <t>PALMA DE CERA H=3.5 m. (Incluye suministro al sitio de obra, tutor H=3.00m con manguera y alambre. No incluye caja y abono).</t>
  </si>
  <si>
    <t>VALVULA COMPUERTA VÁSTAGO NO ASENDENTE D=4" EXTREMOS BRIDADOS  (150 PSI)</t>
  </si>
  <si>
    <t>VÁLVULA TIPO GLOBO DN =4 BR CL 125</t>
  </si>
  <si>
    <t>SUMINISTRO DE ESPECIES DE JARDINERÍA PORTE BAJO (CINTAS)</t>
  </si>
  <si>
    <t>SUMINISTRO ESPECIES DE JARDINERÍA PORTE ALTO (GARRAS DE CANGURO)</t>
  </si>
  <si>
    <t>ENSAYO LABORATORIO - PERFORACIONES</t>
  </si>
  <si>
    <t>LEVANTAMIENTO TOPOGRÁFICO</t>
  </si>
  <si>
    <t>CANAL DE DRENAJE</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</si>
  <si>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</si>
  <si>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</si>
  <si>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</si>
  <si>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PINO ROMERON H=1.5 m. (Incluye suministro, tutor con manguera y alambre)</t>
  </si>
  <si>
    <t>ENSAYO CAMPO - SOLDADURAS</t>
  </si>
  <si>
    <t>ENSAYO CAMPO -RECUBRIMIENTO ESTRUCTURA METÁLICA</t>
  </si>
  <si>
    <t>ENSAYO LABORATORIO - ACERO ESTRUCTURAL</t>
  </si>
  <si>
    <t>ENSAYO LABORATORIO - ACERO REFUERZO Y PRETENSADO</t>
  </si>
  <si>
    <t>ENSAYO LABORATORIO - ALUMINIO</t>
  </si>
  <si>
    <t>ENSAYO LABORATORIO - CONCRETO PRETENSADO</t>
  </si>
  <si>
    <t>ENSAYO LABORATORIO - NEOPRENO</t>
  </si>
  <si>
    <t>ENSAYO LABORATORIO - PINTURA</t>
  </si>
  <si>
    <t>ENSAYO LABORATORIO - PLÁSTICO RÍGIDO</t>
  </si>
  <si>
    <t>TUBERÍA EN POLIETILENO DE 1" (25mm) - RDE21 - PN 8 - PE 100</t>
  </si>
  <si>
    <t>SUMINISTRO DE HORTENSIA JUMBO - FLOR AZUL (Incluye suministro al sitio de obra de 6 unidades por M2)</t>
  </si>
  <si>
    <t>ACERO ESTRUCTURAL A709 GRADO 50. (INCLUYE TRANSPORTE, FABRICACIÓN Y MONTAJE CON ANTICORROSIVO Y PINTURA DE ACABADO EN EPÓXICO) (INCLUYE MATERIALES, INSUMOS, HERRAMIENTAS Y EQUIPOS, ANDAMIOS, MANO DE OBRA CALIFICADA Y TODO LO NECESARIO PARA DESARROLLAR LA OBRA</t>
  </si>
  <si>
    <t>TUBERIA PEAD 1.30m - PE 100 - PN 8 - RDE21</t>
  </si>
  <si>
    <t>TUBERIA PEAD 1.40m - PE 100 - PN 8 - RDE21</t>
  </si>
  <si>
    <t>TUBERIA PEAD 1.50m - PE 100 - PN 8 - RDE21</t>
  </si>
  <si>
    <t>TUBERIA PEAD 1.60m - PE 100 - PN 8 - RDE21</t>
  </si>
  <si>
    <t>TUBERIA PEAD 1.80m - PE 100 - PN 8 - RDE21</t>
  </si>
  <si>
    <t>TUBERIA PEAD 2.00m - PE 100 - PN 8 - RDE21</t>
  </si>
  <si>
    <t>CODO 45° - RDE 11 - PE100 - PN16 (110mm) Ø4"</t>
  </si>
  <si>
    <t>CODO 45° - RDE 11 - PE100 - PN16 (160mm) Ø6"</t>
  </si>
  <si>
    <t>CODO 90° - RDE 11 - PE100 - PN16 (160mm) Ø6"</t>
  </si>
  <si>
    <t>CODO 45° - RDE 11 - PE100 - PN16 (200mm) Ø8"</t>
  </si>
  <si>
    <t>UNIÓN 3" PE 100, PN16 - RDE 11</t>
  </si>
  <si>
    <t>UNIÓN 4" PE 100, PN16 - RDE 11</t>
  </si>
  <si>
    <t>PORTABRIDA POLIETILENO D= 8" PE 100, PN 16 - RDE 11</t>
  </si>
  <si>
    <t>UNIÓN 6" PE 100, PN16 - RDE 11</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</si>
  <si>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</si>
  <si>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</si>
  <si>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</si>
  <si>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</si>
  <si>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</si>
  <si>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</si>
  <si>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</si>
  <si>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</si>
  <si>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PORTABRIDA POLIETILENO D= 3" PE 100, PN 16 - RDE 11</t>
  </si>
  <si>
    <t>PORTABRIDA POLIETILENO D= 6" PE 100, PN 16 - RDE 11</t>
  </si>
  <si>
    <t>CAPACETE METALICO GALVANIZADO IMC DE 6"</t>
  </si>
  <si>
    <t>SOPORTE PARA TUBERÍA DIÁMETRO 3" TIPO "OMEGA"</t>
  </si>
  <si>
    <t>AMBIENTAL</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</si>
  <si>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</si>
  <si>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</si>
  <si>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</si>
  <si>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PLANTACION DE CUCHARO H= 1.5 m. (Incluye suministro al sitio de obra, plantacion, aplicación y mezcla de sustrato, tutor y amarre. Incluye transporte y disposición final de sobrantes en sitio autorizado a 28 km).</t>
  </si>
  <si>
    <t>HELECHO MACHO H=1.0 m. (Incluye suministro al sitio de obra)</t>
  </si>
  <si>
    <t>TEE PE 6"x6" - PE100, PN 16 - RDE 11</t>
  </si>
  <si>
    <t>REDUCCIÓN CONCÉNTRICA 6"X4" - PE100 - PN16 - RDE 11</t>
  </si>
  <si>
    <t>TEE PE 12"X6" PE100, PN16 - RDE 11</t>
  </si>
  <si>
    <t>AFORO DE TRANSITO</t>
  </si>
  <si>
    <t>ELEMENTO DE BIOSEGURIDAD SEGÚN APÉNDICE</t>
  </si>
  <si>
    <t>TUBERÍA ALCANTARILLADO PEAD 1500 mm (60") SN-8</t>
  </si>
  <si>
    <t>ENSAYO LABORATORIO - RUIDO</t>
  </si>
  <si>
    <t>ENSAYO LABORATORIO - AIRE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</si>
  <si>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</si>
  <si>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</si>
  <si>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</si>
  <si>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</si>
  <si>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</si>
  <si>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</si>
  <si>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</si>
  <si>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</si>
  <si>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</si>
  <si>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</si>
  <si>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</si>
  <si>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</si>
  <si>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</si>
  <si>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</si>
  <si>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</si>
  <si>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</si>
  <si>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SEPARADOR DE CARRIL REBASABLE  40cm x 15cm x 8cm  EN POLIETILENO DE ALTA DENSIDAD SIN PLOMO DE COLOR.  INCLUYE ANCLAJE EN CHAZO PLÁTICO Y DOS (2) TORNILLOS TIRAFONDO DE 1/2" x 4 1/2".</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</si>
  <si>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</si>
  <si>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</si>
  <si>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</si>
  <si>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</si>
  <si>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</si>
  <si>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</si>
  <si>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</si>
  <si>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</si>
  <si>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</si>
  <si>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</si>
  <si>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SUMINISTRO E INSTALACION DE SEÑAL TIPO DE FRECUENCIA EN LAMINA DE 15X15CM REMACHADA A LA ESTRUCTURA CON UNA LAMINA DE 4X15CM, RECUBIERTA POR AMBAS CARAS EN PELICULA REFLECTIVA GRADO INGENIERIA AZUL PARA EL FONDO Y BLANCO PARA EL NUMERO O LETRA. SEGUN CARTILLA DE ESTACIONES SENCILLAS DE TRANSMILENIO</t>
  </si>
  <si>
    <t>SUMINISTRO E INSTALACION DE SEÑAL TIPO DE VAGON EN LAMINA DE 25X25CM REMACHADA A LA ESTRUCTURA CON UNA LAMINA DE 4X25CM, RECUBIERTA POR AMBAS CARAS EN PELICULA REFLECTIVA GRADO INGENIERIA AZUL PARA EL FONDO Y BLANCO PARA EL NUMERO O LETRA. SEGUN CARTILLA DE ESTACIONES SENCILLAS DE TRANSMILENIO</t>
  </si>
  <si>
    <t>SUMINISTRO E INSTALACION DE SEÑAL ADHESIVA PARA ALINEACION BUS, COLOR ROJO Y AMARILLO, CADA UNA DE 5X50CM. SEGUN CARTILLA DE ESTACIONES SENCILLAS DE TRANSMILENIO</t>
  </si>
  <si>
    <t>SUMINISTRO E INSTALACION DE 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t>
  </si>
  <si>
    <t>SUMINISTRO E INSTALACION DE 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t>
  </si>
  <si>
    <t>SUMINISTRO E INSTALACION DE VALLA TRANSVERSAL DE SEÑALIZACION PARA SALIDA DE ESTACION (75X42CM) EN VINILO ADHESIVO FOTOLUMINISCENTE SOBRE ALUCOBOND DE 4MM. SEGUN CARTILLA DE SEÑALETICA TRANSMILENIO 2023 PARA ESTACIONES TIPO - ANCHO 5 MT</t>
  </si>
  <si>
    <t>SUMINISTRO E INSTALACION DE VALLA TRANSVERSAL DE SEÑALIZACION PARA RUTA DE EVACUACION (75X34.7CM) EN VINILO ADHESIVO FOTOLUMINISCENTE IMPRESION 1440 DPI, SOBRE ALUCOBOND DE 4MM. SEGUN CARTILLA DE SEÑALETICA TRANSMILENIO 2023 PARA ESTACIONES TIPO - ANCHO 5 MT</t>
  </si>
  <si>
    <t>SUMINISTRO E INSTALACION DE VALLA TRANSVERSAL DE SEÑALIZACION PARA INTERCAMBIO DE VAGON (100X32CM) EN VINILO ADHESIVO SOBRE ALUCOBOND DE 4MM. SEGUN CARTILLA DE SEÑALETICA TRANSMILENIO 2023 PARA ESTACIONES TIPO - ANCHO 5 MT</t>
  </si>
  <si>
    <t>SUMINISTRO E INSTALACION DE VALLA TRANSVERSAL DE SEÑALIZACION PARA INGRESO A VAGON (100X40CM) EN VINILO ADHESIVO SOBRE ALUCOBOND DE 4MM. SEGUN CARTILLA DE SEÑALETICA TRANSMILENIO 2023 PARA ESTACIONES TIPO - ANCHO 5 MT</t>
  </si>
  <si>
    <t>SUMINISTRO E INSTALACION DE VALLA TRANSVERSAL DE SEÑALIZACION PARA INGRESO A SERVICIO (100X40CM) EN VINILO ADHESIVO SOBRE ALUCOBOND DE 4MM. SEGUN CARTILLA DE SEÑALETICA TRANSMILENIO 2023 PARA ESTACIONES TIPO - ANCHO 5 MT</t>
  </si>
  <si>
    <t>SUMINISTRO E INSTALACION DE VALLA TRANSVERSAL DE SEÑALIZACION PARA TAQUILLA (190X40CM) EN VINILO ADHESIVO SOBRE ALUCOBOND DE 4MM. SEGUN CARTILLA DE SEÑALETICA TRANSMILENIO 2023 PARA ESTACIONES TIPO - ANCHO 5 MT</t>
  </si>
  <si>
    <t>SUMINISTRO E INSTALACION DE VALLA TRANSVERSAL DE SEÑALIZACION PARA TAQUILLA (240X40CM) EN VINILO ADHESIVO SOBRE ALUCOBOND DE 4MM. SEGUN CARTILLA DE SEÑALETICA TRANSMILENIO 2023 PARA ESTACIONES TIPO - ANCHO 5 MT</t>
  </si>
  <si>
    <t>SUMINISTRO E INSTALACION DE VALLA TRANSVERSAL DE SEÑALIZACION PARA ACCESO A ESTACION (335X32CM) EN VINILO ADHESIVO SOBRE ALUCOBOND DE 4MM. SEGUN CARTILLA DE SEÑALETICA TRANSMILENIO 2023 PARA ESTACIONES TIPO - ANCHO 5 MT</t>
  </si>
  <si>
    <t>SUMINISTRO E INSTALACION DE VALLA TRANSVERSAL DE SEÑALIZACION PARA ACCESO A BICI ESTACION (400X30CM) EN VINILO ADHESIVO SOBRE ALUCOBOND DE 4MM. SEGUN CARTILLA DE SEÑALETICA TRANSMILENIO 2023 PARA ESTACIONES TIPO - ANCHO 5 MT</t>
  </si>
  <si>
    <t>SUMINISTRO E INSTALACION DE PORTA MAPAS INFORMATIVO PARA BICI ESTACION (115X85CM APROX). SEGUN CARTILLA DE SEÑALETICA TRANSMILENIO 2023</t>
  </si>
  <si>
    <t>SUMINISTRO E INSTALACION DE PORTA MAPAS INFORMATIVO PARA ESTACION (205X168CM APROX). SEGUN CARTILLA DE SEÑALETICA TRANSMILENIO 2023</t>
  </si>
  <si>
    <t>Antiguo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</si>
  <si>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</si>
  <si>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</si>
  <si>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</si>
  <si>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</si>
  <si>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</si>
  <si>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MEZCLA ASFÁLTICA EN CALIENTE TIPO DENSO MD12 ASFALTO 80-100. (INCLUYE SUMINISTRO, EXTENDIDO, NIVELACIÓN MANUAL, COMPACTACIÓN MECÁNICA CON VIBROCOMPACTADOR TÁNDEM PEQUEÑO CON OPERARIO Y COMBUSTIBLE, FACTOR DE COMPACTACION Y TRANSPORTE DE MATERIAL A 21 KMS).</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</si>
  <si>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</si>
  <si>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</si>
  <si>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</si>
  <si>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</si>
  <si>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</si>
  <si>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</si>
  <si>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</si>
  <si>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</si>
  <si>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</si>
  <si>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</si>
  <si>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</si>
  <si>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</si>
  <si>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</si>
  <si>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</si>
  <si>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</si>
  <si>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</si>
  <si>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</si>
  <si>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</si>
  <si>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ACOPLE GRP 2400MM. INCLUYE TRANSPORTE, SUMINISTRO E INSTALACION.</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</si>
  <si>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</si>
  <si>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</si>
  <si>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</si>
  <si>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</si>
  <si>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</si>
  <si>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</si>
  <si>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</si>
  <si>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</si>
  <si>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</si>
  <si>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</si>
  <si>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CAMARA GRP 2500 * 2500 * 1200 (INCLUYE TUBERIA , CHIMENEA 2.5M Y ACCESORIOS. INCLUYE TRANSPORTE, SUMINISTRO E INSTALACION.</t>
  </si>
  <si>
    <t>CAMARA GRP 2600 * 2600 * 1200 (INCLUYE TUBERIA , CHIMENEA 2.5M Y ACCESORIOS.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</si>
  <si>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</si>
  <si>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</si>
  <si>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</si>
  <si>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</si>
  <si>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</si>
  <si>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</si>
  <si>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</si>
  <si>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</si>
  <si>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</si>
  <si>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MAMPOSTERIA EN BLOQUE DE CONCRETO 15X20X40 DE DOS PERFORACIONES TIPO INDUSTRIAL, ACABADO DOBLE CARA. INCLUYE MORTERO 1:4 HECHO EN OBRA.</t>
  </si>
  <si>
    <t>DEMARCACION PICTOGRAMA ZONA ESCOLAR EN PINTURA TERMOPLASTICA E=2.3MM. (INCLUYE SUMINISTRO, APLICACION CON EQUIPO Y MICROESFERAS).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</si>
  <si>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</si>
  <si>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</si>
  <si>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</si>
  <si>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</si>
  <si>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 xml:space="preserve">Nuevo </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</si>
  <si>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</si>
  <si>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</si>
  <si>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 xml:space="preserve">Nuevo Carrera 7a. </t>
  </si>
  <si>
    <t>Nuevo</t>
  </si>
  <si>
    <t>PLANTACION DE LIQUIDAMBAR H=2.5 M. (INCLUYE SUMINISTRO AL SITIO DE OBRA, EXCAVACIÓN MANUAL, PLANTACION, CAJA, TIERRA, ABONO, TUTOR, TRANSPORTE Y DISPOSICIÓN FINAL DE ESCOMBROS EN SITIO AUTORIZADO A 28 KM).</t>
  </si>
  <si>
    <t xml:space="preserve">PLANTACION DE HIEDRA MIAMI (INCLUYE SUMINSTRO AL SITIO DE OBRA DE 12 UNIDADES POR M2, PLANTACION Y TRANSPORTE Y DISPOSICIÓN FINAL DE ESCOMBROS A 28 KM). </t>
  </si>
  <si>
    <t>Nuevo - Tintal Alsacia</t>
  </si>
  <si>
    <t>PLANTACION DE PALMA DE CERA (INCLUYE SUMINISTRO AL SITIO DE OBRA, PLANTACION, TIERRA NEGRA Y TRANSPORTE Y DISPOSICIÓN FINAL DE ESCOMBROS EN SITIO AUTORIZADO A 28 KM).</t>
  </si>
  <si>
    <t>Nuevo - Av. Rincón</t>
  </si>
  <si>
    <t>Nuevo - Troncal Caracas</t>
  </si>
  <si>
    <t>Nuevo - Portal Américas</t>
  </si>
  <si>
    <t>Nuevo - Av. Cali/Ferrocarril</t>
  </si>
  <si>
    <t xml:space="preserve">Nuevo - Portal Tunal </t>
  </si>
  <si>
    <t>Nuevo - Carrera 7a</t>
  </si>
  <si>
    <t>Nuevo - Recurrente DTM</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</si>
  <si>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</si>
  <si>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</si>
  <si>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Nuevo - DTM</t>
  </si>
  <si>
    <t>Nuevo - Proyecto</t>
  </si>
  <si>
    <t>PLANTACIÓN DE LIQUIDÁMBAR H=1.5 M. (INCLUYE SUMINISTRO AL SITIO DE OBRA, EXCAVACIÓN MANUAL, PLANTACION, CAJA, TIERRA, ABONO, TUTOR, TRANSPORTE Y DISPOSICIÓN FINAL DE ESCOMBROS EN SITIO AUTORIZADO A 28 KM).</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</si>
  <si>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</si>
  <si>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</si>
  <si>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</si>
  <si>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Nuevo Troncal Caracas</t>
  </si>
  <si>
    <t>PLANTACION DE PINO ROMERON H=1.5 M. (INCLUYE SUMINISTRO AL SITIO DE OBRA, PLANTACION, EXCAVACION MANUAL, CAJA, TIERRA, ABONO, TUTOR Y TRANSPORTE Y DISPOSICIÓN FINAL DE ESCOMBROS EN SITIO AUTORIZADO A 28 KM).</t>
  </si>
  <si>
    <t>Nuevo - DTP</t>
  </si>
  <si>
    <t xml:space="preserve">Nuevo Proyecto </t>
  </si>
  <si>
    <t>PLANTACION DE HORTENCIA (INCLUYE SUMINISTRO AL SITIO DE OBRA, PLANTACION Y TIERRA NEGRA).</t>
  </si>
  <si>
    <t>Nuevo Av. 68</t>
  </si>
  <si>
    <t xml:space="preserve">Nuevo - Av. Cali </t>
  </si>
  <si>
    <t>Nuevo - Ciclo Puentes</t>
  </si>
  <si>
    <t>Nuevo Ciclopuentes</t>
  </si>
  <si>
    <t>Nuevo Aceras y CicloRutas</t>
  </si>
  <si>
    <t>Nuevo Centros Fundacionales</t>
  </si>
  <si>
    <t>Nuevo DTE</t>
  </si>
  <si>
    <t>MEZCLA ASFÁLTICA EN CALIENTE DENSA MD19 CON CEMENTO ASFÁLTICO CA 14 (Suministro, Extendido, Nivelación y Compactación mecánica con vibrocompactador y compactador de llantas)</t>
  </si>
  <si>
    <t>Nuevo - Aceras y CicloRutas</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</si>
  <si>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</si>
  <si>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</si>
  <si>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</si>
  <si>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</si>
  <si>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PLANTACION DE CUCHARO H= 1.5 M. (INCLUYE SUMINISTRO AL SITIO DE OBRA, PLANTACION, APLICACIÓN Y MEZCLA DE SUSTRATO, TUTOR Y AMARRE. INCLUYE TRANSPORTE Y DISPOSICIÓN FINAL DE SOBRANTES EN SITIO AUTORIZADO A 28 KM).</t>
  </si>
  <si>
    <t>HELECHO MACHO, DENSIDAD=6 u/m2 (INCLUYE SUMINISTRO AL SITIO DE OBRA Y PLANTACION. NO INCLUYE TIERRA NEGRA ADICIONAL, NI TRANSPORTE DE SOBRANTES).</t>
  </si>
  <si>
    <t>Nuevo - Emergencia Sanitaria</t>
  </si>
  <si>
    <t>Nuevo DTP</t>
  </si>
  <si>
    <t>DTP - OGA</t>
  </si>
  <si>
    <t>Nuevo DTINI</t>
  </si>
  <si>
    <t xml:space="preserve">Nuevo STEST </t>
  </si>
  <si>
    <t>Nuevo DTC</t>
  </si>
  <si>
    <t>Nuevo STED</t>
  </si>
  <si>
    <t xml:space="preserve">Nuevo DTINI (Actualización con ET 2018) </t>
  </si>
  <si>
    <t>Nuevo OAC</t>
  </si>
  <si>
    <t>Depuración</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</si>
  <si>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</si>
  <si>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</si>
  <si>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</si>
  <si>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</si>
  <si>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</si>
  <si>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</si>
  <si>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</si>
  <si>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</si>
  <si>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</si>
  <si>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</si>
  <si>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</si>
  <si>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</si>
  <si>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</si>
  <si>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</si>
  <si>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 xml:space="preserve">SUMINISTRO E INSTALACIÓN DE LAMINA ALFAJOR </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</si>
  <si>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</si>
  <si>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</si>
  <si>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</si>
  <si>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</si>
  <si>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</si>
  <si>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</si>
  <si>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CONCRETO 4000 PSI GRAVA COMÚN PARA BOX CULVERT (PREMEZCLADO. INCLUYE SUMINISTRO, FORMALETEO Y COLOCACIÓN. NO INCL. REFUERZO, CURADO)</t>
  </si>
  <si>
    <t>CONCRETO 3000 PSI GRAVA COMÚN PARA PLACA DE APROXIMACIÓN PUENTE VEHICULAR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</si>
  <si>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</si>
  <si>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</si>
  <si>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</si>
  <si>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</si>
  <si>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</si>
  <si>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43 (300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</si>
  <si>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</si>
  <si>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</si>
  <si>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</si>
  <si>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</si>
  <si>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</si>
  <si>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</si>
  <si>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</si>
  <si>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GRAVILLA Ø ≤ 1/2"</t>
  </si>
  <si>
    <t>Construcción de bandas sonoras reductoras de velocidad de 1 cm de altura, construida con gravilla mona #2", pintura de larga duración blanca y resina epoxica</t>
  </si>
  <si>
    <t>Construcción de bandas sonoras reductoras de velocidad de 3 cm de altura, construida con gravilla de 3/4", pintura de larga duración blanca y resina epoxica</t>
  </si>
  <si>
    <t>TUBO GALVANIZADO DE 2" X 2,0 mm ESPESOR DE PARED</t>
  </si>
  <si>
    <t>Fabricación, suministro e instalación de Señal Reglamentaria, Preventiva ó Informativa de 90 cm, material reflectivoTipo XI , película antigraffiti, en lámina galvanizada C-16 E=1,5 mm, pedestal en tubo gavanizado de 2" SR - SP cumpliendo normatividad vigente.</t>
  </si>
  <si>
    <t>CENTRO HIERROS</t>
  </si>
  <si>
    <t>LA CAMPANA</t>
  </si>
  <si>
    <t xml:space="preserve">ACEROS PENSILVANIA </t>
  </si>
  <si>
    <t>Fabricación de plaquetas, suministro e instalación para señal SR - SP - SI - ST (alto mínimo de 23 cm) material reflectivo Tipo XI, película antigraffiti, en lámina galvanizada C-16 E=1,5 mm, cumpliendo normatividad vigente.</t>
  </si>
  <si>
    <t>Fabricación, suministro e instalación de señal preventiva, reglamentaría e informativa de 45 cm, lámina galvanizada C-16 E=1,5 mm y material reflectivoTipo IV o superior, película antigraffiti, con tubo galvanizado de 2" de diámetro interno y espesor de 2.0 mm  cumpliendo normatividad vigente.</t>
  </si>
  <si>
    <t>Suministro y Aplicación de pintura Acrílica base solvente 12 cm para líneas de demarcación, con microesfera, con antideslizante, espesor seco 9 mils y 51% de sólidos por volumen</t>
  </si>
  <si>
    <t xml:space="preserve">Suministro y Aplicación de pintura Acrílica base solvente marcas viales con microesfera, con antideslizante, espesor seco 9 mils y 51% de solidos por volumen, incluye pictogramas. </t>
  </si>
  <si>
    <t>Suministro y Aplicación de pintura Acrílica base solvente marcas viales sin microesfera, con antideslizante, espesor seco 9 mils y 51% de solidos por volumen, incluye pictogramas</t>
  </si>
  <si>
    <t>Suministro y Aplicación de pintura Acrílica base agua 12 cm para líneas de demarcación, con microesfera,con antideslizante, espesor seco de 9 mils y 60% de sólidos por volumen</t>
  </si>
  <si>
    <t xml:space="preserve">Suministro y Aplicación de pintura Acrílica base agua para marcas viales con microesfera, antideslizante, espesor seco de 9 mils y 60% de solidos por volumen, incluye pictogramas. </t>
  </si>
  <si>
    <t xml:space="preserve">Suministro y Aplicación de pintura Acrílica base agua para marcas viales sin microesfera, con antideslizante espesor seco de 9 mils y 60% de solidos por volumen, incluye pictogramas. </t>
  </si>
  <si>
    <t>Suministro y Aplicación de pintura Acrílica base agua pigmentada, con antideslizante, (Multicolor según 3.7.3. Color de las demarcaciones planas para urbanismos tácticos u otras intervenciones tácticas urbanas) para marcas viales sin microesfera, espesor seco de 9 mils y 60% de solidos por volumen, incluye pictogramas</t>
  </si>
  <si>
    <t>Suministro y Aplicación de pintura Acrílica base agua marcas viales, con antideslizante, sin microesferde demarcación de bahías, espesor seco de 9 mils y 60% de sólidos por volumen</t>
  </si>
  <si>
    <t>Suministro y Aplicación de resina Termoplástica a = 12 cm, para líneas de demarcación,con antideslizante, incluye microesfera y espesor seco 90 mils (2.3mm)</t>
  </si>
  <si>
    <t>Suministro y Aplicación de resina Termoplástica a = 15 cm, para líneas de demarcación,con antideslizante, incluye microesfera y espesor seco 90 mils (2.3mm)</t>
  </si>
  <si>
    <t>Suministro y Aplicación de resina Termoplástica para marcas viales, sin microesfera, con antideslizante, y espesor seco de 90 mils (2.3mm), incluye pictogramas</t>
  </si>
  <si>
    <t>Suministro y Aplicación de resina Termoplástica para marcas viales, con antideslizante, con microesfera y espesor seco de 90 mils (2.3mm), incluye pictogramas</t>
  </si>
  <si>
    <t>Suministro y Aplicación de pintura en plástico en frio metilmetacrilato de 12 cm para líneas de demarcación, con microesfera, con antideslizante, y espesor seco mínimo de 22 mils (por pulverización o spray)según norma NTC 4744</t>
  </si>
  <si>
    <t>Suministro y Aplicación de pintura en plástico en frio metilmetacrilato de 15 cm para líneas de demarcación, con antideslizante, con microesfera y espesor seco mínimo de 22 mils (por pulverización o spray) según norma NTC 4744</t>
  </si>
  <si>
    <t>Suministro y Aplicación de pintura en plástico en frio metilmetacrilato de 20 cm para líneas de demarcación, con antideslizante, con microesfera y espesor seco mínimo de 22 mils (por pulverización o spray) según norma NTC 4744</t>
  </si>
  <si>
    <t>Suministro y aplicación de pintura de plástico en frio metilmetacrilato para marcas viales,con antideslizante, con microesfera y espesor seco mínimo de 22 mils (por pulverización o spray) según norma NTC 4744, incluye pictogramas</t>
  </si>
  <si>
    <t>Suministro y aplicación de pintura de plástico en frio metilmetacrilato para marcas viales sin microesfera,con antideslizante, y espesor seco de mínimo de 22 mils (por pulverización o spray) según norma NTC 4744, incluye pictogramas</t>
  </si>
  <si>
    <t>Suministro y Aplicación de pintura en plástico en frio metilmetacrilato de 12 cm para líneas de demarcación, con microesfera, con antideslizante, y espesor seco de 50 mils (extruible) según norma NTC 4744</t>
  </si>
  <si>
    <t>Suministro y Aplicación de pintura en plástico en frio metilmetacrilato de 15 cm para líneas de demarcación, con antideslizante, con microesfera y espesor seco de 50 mils (extruible) según norma NTC 4744</t>
  </si>
  <si>
    <t>Suministro y Aplicación de pintura en plástico en frio metilmetacrilato de 20 cm para líneas de demarcación, con microesfera, con antideslizante, y espesor seco de 50 mils (extruible) según norma NTC 4744</t>
  </si>
  <si>
    <t>Suministro y aplicación de pintura de plástico en frio metilmetacrilato para marcas viales, con antideslizante, con microesfera y espesor seco de 50 mils (extruible) según norma NTC 4744, incluye pictogramas</t>
  </si>
  <si>
    <t>Suministro y aplicación de pintura de plástico en frio metilmetacrilato para marcas viales sin microesfera, con antideslizante, y espesor seco de 50 mils (extruible) según norma NTC 4744, incluye pictogramas</t>
  </si>
  <si>
    <t>Suministro y aplicación manual (método llana) de pintura de plástico en frio metilmetacrilato con microesferas, con antideslizante, para marcas viales de espesor seco de 50 mils según norma NTC 4744, incluye pictogramas.</t>
  </si>
  <si>
    <t>Suministro y aplicación manual (método llana) de pintura de plástico en frio metilmetacrilato sin microesferas, con antideslizante, para marcas viales de espesor seco de 50 mils según norma NTC 4744, incluye pictogramas.</t>
  </si>
  <si>
    <t>Suministro e instalación de cinta en termoplástico preformada de color blanco e= 90 mils. Cumpliendo con las especificaciones técnicas de la NTC 5868 Y NTC 4744</t>
  </si>
  <si>
    <t>Suministro e instalación de cinta en termoplástico preformada de color blanco e= 125 mils. Cumpliendo con las especificaciones técnicas de la NTC 5868 Y NTC 4744</t>
  </si>
  <si>
    <t>Suministro e instalación tachas iluminadas bidireccionales internamente (luz continua o intermitente) con superficie retrorreflectiva de área mínima de 600 mm2,cumpliendo con los coeficientes de intensidad luminosa establecidos en la NTC 4745.</t>
  </si>
  <si>
    <t xml:space="preserve">Anclaje de bordillo no traspasable, en concreto de color amarillo con alta resistencia al impacto o concreto de 4000 PSI con varilla de refuerzo de 1/2"(Tipo piramidal con incrustación al pavimento con cuatro anclajes en varilla de 5/8" de diámetropor 4" de longitud, dimensiones: altura mínima de15 cm, ancho de 20 cm y largo 100 cm). Incluye transporte de elementos, accesorios y materiales para fijación </t>
  </si>
  <si>
    <t>Suministro y aplicación manual (método llana) de pintura de plástico en frio metilmetacrilato pigmentada (multicolor según 3.7.3. Color de las demarcaciones planas para urbanismos tácticos u otras intervenciones tácticas urbanas) con microesferas para marcas viales de espesor seco de 50 mils según norma NTC 4744, incluye pictogramas.</t>
  </si>
  <si>
    <t>Suministro e instalación de delineador tubular simple (figura 5-19 Resolución 20243040045005 de 17 de septiembre de 2024)  construido en material sintético flexible de color amarillo con tres bandas de 7,5 cm en material reflectivoblanco tipo XI , altura mínima 70 cm, diámetro mínimo de 8 cm. Incluye accesorios y materiales para fijación.</t>
  </si>
  <si>
    <t>Suministro e instalación de Boya metálica de color amarillo, con alta resistencia al impacto, con lentes reflectantes (dimensiones máximas: de 7 cm de altura y 24 cm de base según figura 5-3 Resolución 20243040045005 de 17 de septiembre de 2024)</t>
  </si>
  <si>
    <t xml:space="preserve">Suministro e instalación de Boya plástica de color amarillo, con alta resistencia al impacto, con lentes reflectantes (dimensiones máximas: de 7 cm de altura y 24 cm de base según figura 5-3 Resolución 20243040045005 de 17 de septiembre de 2024) </t>
  </si>
  <si>
    <t>Suministro e instalación de delineador de corona (hitos de arista) construido en material sintético flexible de color blanco, franja negra y material retroflectivo tipo XI  (Tipo "A", fijado en concreto, altura mínima de 75 cm y máxima de 120 cm de acuerdo con la figura 5-11 Resolución 20243040045005 de 17 de septiembre de 2024). Incluye accesorios y materiales para fijación. 8 (SEGUN DISEÑO)</t>
  </si>
  <si>
    <t>Suministro e instalación de hito de vértice en resina poliéster de color azul con alta resistencia al impacto y material retrorreflectivo tipo XI en la parte superior (Tipo semicilindrico con incrustación al pavimento, altura máxima de 0,90 m ancho de 1,0 m de acuerdo con la figura 5-26 Resolución 20243040045005 de 17 de septiembre de 2024 ). Incluye accesorios y materiales para fijación.</t>
  </si>
  <si>
    <r>
      <t>Suministro e instalación de resalto trapezoidal o pompeyano, material con alta resistencia al impacto, largo min 2,5 m, 2 rampas de acceso largo 1 m pendiente 15%  máx.  y altura 10 cm, incluye elementos de sujeción</t>
    </r>
    <r>
      <rPr>
        <sz val="10"/>
        <color theme="1"/>
        <rFont val="Franklin Gothic Book"/>
        <family val="2"/>
      </rPr>
      <t xml:space="preserve"> (figura 5-30 Resolución 20243040045005 de 17 de septiembre de 2024 ). (Por metro de ancho vial)</t>
    </r>
  </si>
  <si>
    <r>
      <t xml:space="preserve">Suministro e instalación resalto parabólico y circular, material con alta resistencia al impacto, largo entre 3,7 y 6,7 m y altura máx. 10 cm, incluye elementos de sujeción </t>
    </r>
    <r>
      <rPr>
        <sz val="10"/>
        <color theme="1"/>
        <rFont val="Franklin Gothic Book"/>
        <family val="2"/>
      </rPr>
      <t>(figura 5-31 Resolución 20243040045005 de 17 de septiembre de 2024)</t>
    </r>
    <r>
      <rPr>
        <sz val="10"/>
        <rFont val="Franklin Gothic Book"/>
        <family val="2"/>
      </rPr>
      <t xml:space="preserve"> (por metro de ancho vial)</t>
    </r>
  </si>
  <si>
    <r>
      <t xml:space="preserve">Suministro e instalación islas peatonales ancho min 1,2 m, altura entre 10 y 15 cm, material con alta resistencia al impacto, incluye elementos de sujeción </t>
    </r>
    <r>
      <rPr>
        <sz val="10"/>
        <color theme="1"/>
        <rFont val="Franklin Gothic Book"/>
        <family val="2"/>
      </rPr>
      <t>(figura 6.8 Resolución 20243040045005 de 17 de septiembre de 2024)</t>
    </r>
  </si>
  <si>
    <r>
      <t>Suministro e instalación islas peatonales ancho min 1,5 m, altura entre 10 y 15 cm, material con alta resistencia al impacto, incluye elementos de sujeción</t>
    </r>
    <r>
      <rPr>
        <sz val="10"/>
        <color theme="1"/>
        <rFont val="Franklin Gothic Book"/>
        <family val="2"/>
      </rPr>
      <t xml:space="preserve"> (figura 6.8 Resolución 20243040045005 de 17 de septiembre de 2024)</t>
    </r>
  </si>
  <si>
    <r>
      <t>Suministro e instalación caneca vial de señalización en PVC o similar, color  naranja, cuatro franjas horizontales (2 blancas, 2 naranja de material reflectivo tipo IV o superior), altur</t>
    </r>
    <r>
      <rPr>
        <sz val="10"/>
        <color theme="1"/>
        <rFont val="Franklin Gothic Book"/>
        <family val="2"/>
      </rPr>
      <t>a 140 cm, figura 7-16 Resolución 20243040045005 de 17 de septiembre de 2024</t>
    </r>
  </si>
  <si>
    <t>Tope vehicular vertical, material con alta resistencia al impacto, altura min 60 cm con una banda de 15 cm en papel reflectivo blanco tipo IV o superior, diámetro min 60 mm (figura 5-20 Resolución 20243040045005 de 17 de septiembre de 2024), incluye elementos de sujeción</t>
  </si>
  <si>
    <t>Islas peatonales ancho min 1,8 m, altura entre 10 y 15 cm, material con alta resistencia al impacto, incluye elementos de sujeción (figura 6.8 Resolución 20243040045005 de 17 de septiembre de 2024)</t>
  </si>
  <si>
    <t>Hito luminoso, con sistema de iluminación interno, luz continua, blanco o amarillo, altura de 70 cm, ancho mín. 30 cm (figura 5-27 Resolución 20243040045005 de 17 de septiembre de 2024) provisto de un sistema de energización</t>
  </si>
  <si>
    <t>Suministro e instalación de Baliza iluminada elevada (luz intermitente de color amarillo) dimensiones de acuerdo con la figura  6.4  Resolución 20243040045005 de 17 de septiembre de 2024</t>
  </si>
  <si>
    <t>Suministro y anclaje de resalto portátil de caucho con alta resistencia al impacto con ancho mínimo de 30 cm y altura entre 2 y 8 cm. Incluye accesorios y materiales para fijación. Figura 5.32 Resolución 20243040045005 de 17 de septiembre de 2024</t>
  </si>
  <si>
    <t>Suministro e instalación resalto tipo cojín en caucho con alta resistencia al impacto con largo entre 2 y 3 m, ancho entre 1,6 y 1,8 m y altura entre 6 y 7,5 cm (incluye elementos de sujeción). Figura 5-33 Resolución 20243040045005 de 17 de septiembre de 2024</t>
  </si>
  <si>
    <t>Suministro e instalación resalto tipo cojín en plástico con alta resistencia al impacto con largo entre 2 y 3 m, ancho entre 1,6 y 1,8 m y altura entre 6 y 7,5 cm (incluye elementos de sujeción). Figura 5-33 Resolución 20243040045005 de 17 de septiembre de 2024</t>
  </si>
  <si>
    <t>CAMION INCLUYE CONDUCTOR</t>
  </si>
  <si>
    <t>PESO DE CADA ELEMENTO EN KG</t>
  </si>
  <si>
    <t>TIEMPO TOTAL EN MINUTOS</t>
  </si>
  <si>
    <t>Minutos para una señal</t>
  </si>
  <si>
    <t xml:space="preserve">Baliza destellante de color amarillo, de acuerdo con el numeral 3.18.5 Resolución 20243040045005 de 17 de septiembre de 2024  </t>
  </si>
  <si>
    <t>Suministro y anclaje de bordillo traspasable en resina poliéster de color amarillo con alta resistencia al impacto (Tipo piramidal, largo 40 cm, ancho de 15 cm y altura máxima de 8 cm de acuerdo con la figura 5-6 de la Resolución 20243040045005 de 17 de septiembre de 2024). Incluye accesorios y materiales para fijación.</t>
  </si>
  <si>
    <t>Suministro y anclaje de bordillo traspasable metálico de color amarillo con alta resistencia al impacto (Tipo piramidal, largo 40 cm, ancho de 15 cm y altura máxima de 8 cm de acuerdo con figura 5-6 de la Resolución 20243040045005 de 17 de septiembre de 2024). Incluye accesorios y materiales para fijación.</t>
  </si>
  <si>
    <t>Suministro y anclaje de bordillo no traspasable, en concreto de color amarillo con alta resistencia al impacto o concreto de 4000 PSI con varilla de refuerzo de 1/2"(Tipo piramidal con incrustación al pavimento con cuatro anclajes en varilla de 5/8" de diámetro por 4" de longitud, dimensiones: altura máxima de 15 cm, ancho de 20 cm y largo 100 cm). Incluye accesorios y materiales para fijación.</t>
  </si>
  <si>
    <t>Suministro e instalación de estoperoles plásticos de 10 cm de diámetro y 2 cm de altura (NTC 4745). Figura 5-22 de la Resolución 20243040045005 de 17 de septiembre de 2024</t>
  </si>
  <si>
    <t xml:space="preserve">Suministro y anclaje de estoperoles plásticos con espigo, diámetro mínimo 10 cm y altura máxima 2,0 cm de altura con un espigo de mínimo 5 cm (NTC 4745) Incluye elementos de fijación. Figura 5-22 de la Resolución 20243040045005 de 17 de septiembre de 2024 </t>
  </si>
  <si>
    <t>Suministro y anclaje de estoperoles metálicos con espigo, diámetro mínimo 10 cm y altura máxima 2,0 cm de altura con un espigo de mínimo 5 cm (NTC 4745) Incluye elementos de fijación. Figura 5-22 de la Resolución 20243040045005 de 17 de septiembre de 2024</t>
  </si>
  <si>
    <t>Suministro y Aplicación de pintura Acrílica solvente 15 cm para líneas de demarcación, con microesfera, con antideslizante, espesor seco 9 mils y 51% sólidos por volumen</t>
  </si>
  <si>
    <t>Suministro y Aplicación de pintura Acrílica base solvente 20 cm para líneas de demarcación, con microesfera, con antideslizante, espesor seco 9 mils y 51% de solidos por volumen</t>
  </si>
  <si>
    <t>Suministro y Aplicación de pintura Acrílica base solvente pigmentada (Multicolor según 3.7.3. Color de las demarcaciones planas para urbanismos tácticos u otras intervenciones tácticas urbanas) marcas viales sin microesfera, Incluye antideslizante, espesor seco 9 mils y 51% de solidos por volumen, incluye pictogramas</t>
  </si>
  <si>
    <t>Suministro y Aplicación de pintura Acrílica base agua 15 cm para líneas de demarcación, con microesfera, con antideslizante, espesor seco de 9 mils y 60% de solidos por volumen</t>
  </si>
  <si>
    <t>Suministro y Aplicación de pintura Acrílica base agua 20 cm para líneas de demarcación, con microesfera, con antideslizante, espesor seco de 9 mils y 60% de sólidos por volumen</t>
  </si>
  <si>
    <t>Suministro y Aplicación de pintura Acrílica base agua 10 cm para líneas de demarcación en ciclorruta, sin microesfera, con antideslizante, espesor seco de 9 mils y 60% de sólidos por volumen</t>
  </si>
  <si>
    <t>Suministro e instalación de marcador cilíndrico o hito tubular, color amarillo, material sintético flexible, dos bandas de min 10 cm en material reflectivo blanco tipo IV o superior, altura entre 45 y 80 cm, diámetro entre 9,5 y 21,5 cm (figura 5-23 Resolución 20243040045005 de 17 de septiembre de 2024), incluye elementos de sujeción</t>
  </si>
  <si>
    <t>SEÑALVIAL SAS</t>
  </si>
  <si>
    <t>PLATINA  1/4" x  1" CON ESPESOR DE 6,35 MM</t>
  </si>
  <si>
    <t>EFEXPORT SAS</t>
  </si>
  <si>
    <t xml:space="preserve">DELINEADOR TUBULAR COMPUESTO LASTRADO </t>
  </si>
  <si>
    <t>REFLOMAX</t>
  </si>
  <si>
    <t>BORDILLO TRANSPASABLE EN RESINA POLIÉSTER DE COLOR AMARILLO CON ALTA RESISTENCIA AL IMPACTO  (TIPO PIRAMIDAL, LARGO 40 CM, ANCHO DE 15 CM Y ALTURA MINIMA DE 8 CM )</t>
  </si>
  <si>
    <t xml:space="preserve">BALIZA ILUMINADA ELEVADA (LUZ INTERMITENTE DE COLOR AMARILLO) </t>
  </si>
  <si>
    <t>BARRICADA, ANCHO 2,4 M, 3 LISTONES DE 20 CM DE ANCHO EN MATERIAL REFLECTIVO TIPO IV O SUPERIOR (BLANCO Y NARANJA), ALTURA MIN 1,5M</t>
  </si>
  <si>
    <t xml:space="preserve">BORDILLO NO TRANSPASABLE, EN RESINA POLIÉSTER DE COLOR AMARILLO CON ALTA RESISTENCIA AL IMPACTO (TIPO PIRAMIDAL CON INCRUSTACIÓN AL PAVIMENTO EN CUATRO ANCLAJES, LARGO 100 CM, ANCHO DE 20 CM Y ALTURA MINIMA DE 15 CM </t>
  </si>
  <si>
    <t>BORDILLO TRANSPASABLE METÁLICO DE COLOR AMARILLO CON ALTA RESISTENCIA AL IMPACTO  (TIPO PIRAMIDAL, LARGO 40 CM, ANCHO DE 15 CM Y ALTURA MINIMA DE 8 CM )</t>
  </si>
  <si>
    <t>HITO DE VÉRTICE EN RESINA COLOR AZUL Y MATERIAL RETRORREFLECTIVO SEMICILINDRICO CON INCRUSTACIÓN AL PAVIMENTO, ALTURA 1,20 M A 1,35 M, , ANCHO 1M A 1,2M )</t>
  </si>
  <si>
    <t xml:space="preserve">TACHA REFLECTIVA BIDIRECCIONAL QUE CUMPLA CON LOS COEFICIENTES DE INTENSIDAD LUMINOSA DE LA NTC 4745 (TABLA 1) </t>
  </si>
  <si>
    <t xml:space="preserve">TACHAS REFLECTIVAS BIDIRECCIONALES CON ESPIGO DE MINIMO 5 CM. CUMPLIENDO CON LOS COEFICIENTES DE INTENSIDAD LUMINOSA DE LA NTC 4745 (TABLA 1). </t>
  </si>
  <si>
    <t>TELA VENDAVAL PASACALLE (ANCHO MÍNIMO 1,0 M)</t>
  </si>
  <si>
    <t>MARCADOR CILÍNDRICO O HITO TUBULAR, COLOR AMARILLO, MATERIAL SINTÉTICO FLEXIBLE, DOS BANDAS DE MIN 10 CM EN PAPEL REFLECTIVO BLANCO TIPO IV O SUPERIOR, ALTURA ENTRE 70 Y 80 CM, DIÁMETRO 20 CM. INCLUYE ELEMENTOS DE SUJECIÓN</t>
  </si>
  <si>
    <t>RESALTO TRAPEZOIDAL O POMPEYANO, MATERIAL CON ALTA RESISTENCIA AL IMPACTO, LARGO MIN 2,5 M, 2 RAMPAS DE ACCESO LARGO 1 M PENDIENTE 15% MÁX  Y ALTURA 10 CM, INCLUYE ELEMENTOS DE SUJECIÓN  (POR METRO DE ANCHO VIAL)</t>
  </si>
  <si>
    <t>RESALTO PARABÓLICO Y CIRCULAR, MATERIAL CON ALTA RESISTENCIA AL IMPACTO, LARGO ENTRE 3,7 Y 6,7 M Y ALTURA MAX 10 CM, INCLUYE ELEMENTOS DE SUJECIÓN (POR METRO DE ANCHO VIAL)</t>
  </si>
  <si>
    <t xml:space="preserve">ISLAS PEATONALES ANCHO MIN 1,2 M, ALTURA ENTRE 10 Y 15 CM, MATERIAL CON ALTA RESISTENCIA AL IMPACTO, INCLUYE ELEMENTOS DE SUJECIÓN </t>
  </si>
  <si>
    <t xml:space="preserve">HITO LUMINOSO, CON SISTEMA DE ILUMINACIÓN INTERNO, LUZ CONTINUA, BLANCO O AMARILLO, ALTURA DE 70 CM, ANCHO MÍN 30 CM </t>
  </si>
  <si>
    <t>ISLAS PEATONALES ANCHO MIN 1,5 M, ALTURA ENTRE 10 Y 15 CM, MATERIAL CON ALTA RESISTENCIA AL IMPACTO, INCLUYE ELEMENTOS DE SUJECIÓN</t>
  </si>
  <si>
    <t>ISLAS PEATONALES ANCHO MIN 1,8 M, ALTURA ENTRE 10 Y 15 CM, MATERIAL CON ALTA RESISTENCIA AL IMPACTO, INCLUYE ELEMENTOS DE SUJECIÓN</t>
  </si>
  <si>
    <t>BALIZA DESTELLANTE</t>
  </si>
  <si>
    <t>BOYA PLÁSTICA DE COLOR AMARILLO, CON ALTA RESISTENCIA AL IMPACTO, CON LENTES REFLECTANTES (DIMENSIONES MÁXIMAS: DE 7 CM DE ALTURA Y 24 CM DE BASE)</t>
  </si>
  <si>
    <t>Fabricación y suministro de pedestal sencillo en tubo galvanizado de sección circular con diametro interior de  2" y e=2mm para señales SP-SR-SI (para tableros iguales a 60 cm) cumpliendo normatividad vigente.</t>
  </si>
  <si>
    <t>Fabricación y suministro de pedestal doble en tubo galvanizado de sección circular con diametro interior de  2" y e=2mm para señales tipo dúplex SR/SP - SR/SR - SR/Plaqueta - SP/SP - SP/Plaqueta (para tableros iguales a 60 cm) cumpliendo normatividad vigente.</t>
  </si>
  <si>
    <t>Fabricación, suministro e instalación de señal preventiva, reglamentaría ó informativa de 60 cm, lámina galvanizada C-16 E=1,5mm y material reflectivo Tipo XI, película antigraffiti, poste de tubo galvanizado de sección circular con diámetro interior de 2" y e=2 mm con brazo variable desde 70cm hasta 120 cm, cumpliendo normatividad vigente. (Incluye la cimentación del soporte para la señal).</t>
  </si>
  <si>
    <t>Fabricación, suministro e instalación de Señal doble de 60 cm, material reflectivo Tipo XI , película antigraffiti, en lámina  galvanizada C-16 E=1,5 mm, pedestal en tubo galvanizado de sección circular con diámetro interior de 2" y e=2 mm para SP/SR-SI/SR cumpliendo con normatividad vigente.</t>
  </si>
  <si>
    <t>Fabricación, suministro e instalación de Señal Reglamentaria, Preventiva o informativa de 60 cm, material reflectivo Tipo XI , película antigraffiti, en lámina  galvanizada C-16, E=1,5 mm, pedestal en tubo galvanizado de sección circular con diámetro interior de 2" y e=2 mm para SR - SP cumpliendo con normatividad vigente.</t>
  </si>
  <si>
    <t xml:space="preserve">Fabricación, suministro e instalación de Señal Reglamentaria, Preventiva ó informativa de 75 cm, material reflectivo Tipo XI , película antigraffiti, en lámina  galvanizada C-16 E=1,5mm, pedestal en tubo galvanizado de sección circular con diámetro interior de 2" y e=2 mm cumpliendo con normatividad vigente. </t>
  </si>
  <si>
    <t>Fabricación, suministro e instalación de Señal SP-46 ó SP-46A, material reflectivo Tipo XI amarillo / verde fluorescente, película antigraffiti, en lámina  galvanizada C-16 E=1,5 mm, pedestal en tubo galvanizado de sección circular con diámetro interior de 2" y e=2 mm cumpliendo con normatividad vigente.</t>
  </si>
  <si>
    <t>Fabricación, suministro e instalación de delineador de curva horizontal de 51 x 36 cm  (figura 5-14 Resolución 20243040045005 de 17 de septiembre de 2024), material reflectivo Tipo XI amarillo/verde fluorescente, película antigraffiti, en lámina galvanizada C-16 E=1,5 mm, pedestal en tubo galvanizado 2" cumpliendo normatividad vigente.</t>
  </si>
  <si>
    <t>Fabricación, suministro e instalación de delineador doble de curva horizontal de  51 x 66 cm (figura 5-14 Resolución 20243040045005 de 17 de septiembre de 2024), material reflectivo Tipo XI amarillo / verde fluorescente, película antigraffiti, en lámina galvanizada C-16 E=1,5 mm, pedestal en tubo galvanizado  de sección circular con diámetro interior de 2" y e=2 mm cumpliendo normatividad vigente.</t>
  </si>
  <si>
    <t>Fabricación, suministro e instalación de marcador de obstáculo vertical doble plano (figura 5-23 Resolución 20243040045005 de 17 de septiembre de 2024) 90X45 cm, material reflectivo Tipo XI Amarillo /verde fluorescente, película antigraffiti, en lámina galvanizada C-16 E=1,5 mm, pedestal en tubo galvanizado  de sección circular con diámetro interior de 2" y e=2 mm cumpliendo normatividad vigente.</t>
  </si>
  <si>
    <t>Fabricación, suministro e instalación de marcador de obstáculo vertical sencillo plano (figura 5-23 Resolución 20243040045005 de 17 de septiembre de 2024) 90X30 cm,material reflectivoTipo XI Amarillo /verde fluorescente, película antigraffiti, en lámina galvanizada C-16 E=1,5 mm, pedestal en tubo galvanizado  de sección circular con diámetro interior de 2" y e=2 mm  cumpliendo normatividad vigente.</t>
  </si>
  <si>
    <t>Fabricación, suministro e instalación de Señal SP-46 B, material reflectivo Tipo XI amarillo/verde fluorescente, película antigraffiti, en lámina  galvanizada C-16 E=1,5 mm, pedestal en tubo galvanizado de 2" cumpliendo con normatividad vigente.</t>
  </si>
  <si>
    <t>Fabricación, suministro e instalación de Señal doble SP47 ó SP47A/SR de 60 cm , material reflectivo Tipo Tipo XI amarillo/verde fluorescente, película antigraffiti, en lámina  galvanizada C-16 E=1,5 mm, pedestal en tubo galvanizado de sección circular con diámetro interior de 2" y e=2 mm. cumpliendo con normatividad vigente.</t>
  </si>
  <si>
    <t>Fabricación, suministro e instalación de Señal SP-47 B, material reflectivo Tipo XI amarillo/verde fluorescente, película antigraffiti, en lámina  galvanizada C-16 E=1,5 mm, pedestal  de sección circular con diámetro interior de 2" y e=2 mm. cumpliendo con normatividad vigente.</t>
  </si>
  <si>
    <t xml:space="preserve">Fabricación, suministro e instalación de Señal doble de 75cm, material reflectivo Tipo XI, película antigraffiti, en lámina  galvanizada C-16 E=1.5mm, pedestal en tubo galvanizado  de sección circular con diámetro interior de 2" y e=2 mm para SP/SR - SI/SR cumpliendo normatividad vigente. </t>
  </si>
  <si>
    <t>Fabricación, suministro e instalación de Señal SR-38 o SR-39 de 75 x 25 cm, material reflectivo tipo XI, película antigraffiti, en lámina galvanizada C-16 E=1,5 mm, pedestal en tubo galvanizado  de sección circular con diámetro interior de 2" y e=2 mm cumpliendo normatividad vigente.</t>
  </si>
  <si>
    <t>LÁMINA RETRORREFLECTIVA TIPO IX, NTC 4739, Color Blanco o Amarillo de 92 cm de ancho por 45.7 metros de largo</t>
  </si>
  <si>
    <t>LÁMINA RETRORREFLECTIVA TIPO XI, NTC 4739, Color Amarillo/ verde Fluorescente de 123 cm de ancho por 45.7 metros de largo</t>
  </si>
  <si>
    <t>Suministro y aplicación manual (método llana) de pintura de plástico en frio metilmetacrilato  pigmentada (multicolor según 3.7.3. Color de las demarcaciones planas para urbanismos tácticos u otras intervenciones tácticas urbanas) sin microesferas, con antideslizante,  para marcas viales de espesor seco de 50 mils según norma NTC 4744, incluye pictogramas</t>
  </si>
  <si>
    <t>Barricada, ancho 2,4 m, 3 listones de 20 cm de ancho en material reflectivo tipo iv o superior (blanco y naranja), altura min 1,5m, figura 7-14 Resolución 20243040045005 de 17 de septiembre de 2024</t>
  </si>
  <si>
    <t>Señal pare/siga en papel retroreflectivo tipo IV o superior (30 cm)</t>
  </si>
  <si>
    <t>Valla de apertura tipo A</t>
  </si>
  <si>
    <t>Dispositivos luminosos  tipo flasher para cono</t>
  </si>
  <si>
    <t>Bastón luminoso bicolor</t>
  </si>
  <si>
    <t>Señales temporales SR- SP con  apoyo trípode</t>
  </si>
  <si>
    <t>Dispositivos luminosos  tipo flasher para valla puesto de control</t>
  </si>
  <si>
    <t>Valla rompe tráfico de 0,80 x 1,20 m, construida en tubo cuadrado de 1"  c-18 y  lamina galvanizada c-20 (aplicación y el uso de la marca ciudad)</t>
  </si>
  <si>
    <t>Suministro de banner 1,20 m x 1,20 m con impresión digital full color, en lona vinilica (aplicación y el uso de la marca ciudad) con ojales</t>
  </si>
  <si>
    <t>TARIFA/DIA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</si>
</sst>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_);[Red]\(&quot;$&quot;#,##0\)"/>
    <numFmt numFmtId="165" formatCode="&quot;$&quot;#,##0.00_);[Red]\(&quot;$&quot;#,##0.00\)"/>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quot;$&quot;* #,##0.00_-;\-&quot;$&quot;* #,##0.00_-;_-&quot;$&quot;* &quot;-&quot;??_-;_-@_-"/>
    <numFmt numFmtId="171" formatCode="_(&quot;$&quot;\ * #,##0_);_(&quot;$&quot;\ * \(#,##0\);_(&quot;$&quot;\ * &quot;-&quot;??_);_(@_)"/>
    <numFmt numFmtId="172" formatCode="#,##0;[Red]#,##0"/>
    <numFmt numFmtId="173" formatCode="_(&quot;$&quot;\ * #,##0.00_);_(&quot;$&quot;\ * \(#,##0.00\);_(&quot;$&quot;\ * &quot;-&quot;??_);_(@_)"/>
    <numFmt numFmtId="174" formatCode="&quot;$&quot;\ #,##0"/>
    <numFmt numFmtId="175" formatCode="0.0"/>
    <numFmt numFmtId="176" formatCode="0.000"/>
    <numFmt numFmtId="177" formatCode="0.0%"/>
    <numFmt numFmtId="178" formatCode="0.0000"/>
    <numFmt numFmtId="179" formatCode="&quot;$&quot;\ #,##0.00"/>
    <numFmt numFmtId="180" formatCode="&quot;$&quot;\ #,##0_);[Red]\(&quot;$&quot;\ #,##0\)"/>
    <numFmt numFmtId="181" formatCode="_(&quot;C$&quot;* #,##0.00_);_(&quot;C$&quot;* \(#,##0.00\);_(&quot;C$&quot;* &quot;-&quot;??_);_(@_)"/>
    <numFmt numFmtId="182" formatCode="_([$$-240A]\ * #,##0.00_);_([$$-240A]\ * \(#,##0.00\);_([$$-240A]\ * &quot;-&quot;??_);_(@_)"/>
    <numFmt numFmtId="183" formatCode="#\ &quot;MINIMO&quot;"/>
    <numFmt numFmtId="184" formatCode="#.0\ &quot;MINIMO&quot;"/>
    <numFmt numFmtId="185" formatCode="_(* #,##0.000_);_(* \(#,##0.000\);_(* &quot;-&quot;??_);_(@_)"/>
    <numFmt numFmtId="186" formatCode="_(* #,##0.00000_);_(* \(#,##0.00000\);_(* &quot;-&quot;??_);_(@_)"/>
    <numFmt numFmtId="187" formatCode="_(* #,##0_);_(* \(#,##0\);_(* &quot;-&quot;??_);_(@_)"/>
    <numFmt numFmtId="188" formatCode="#.##\ \K\g"/>
    <numFmt numFmtId="189" formatCode="#,##0.0"/>
    <numFmt numFmtId="190" formatCode="_-* #,##0.00\ &quot;Pts&quot;_-;\-* #,##0.00\ &quot;Pts&quot;_-;_-* &quot;-&quot;??\ &quot;Pts&quot;_-;_-@_-"/>
    <numFmt numFmtId="191" formatCode="0.00000"/>
    <numFmt numFmtId="192" formatCode="0.000000"/>
    <numFmt numFmtId="193" formatCode="&quot;$&quot;#,##0.00"/>
    <numFmt numFmtId="194" formatCode="&quot;$&quot;#,##0"/>
    <numFmt numFmtId="195" formatCode="&quot;$&quot;\ #,##0.00;[Red]&quot;$&quot;\ #,##0.00"/>
    <numFmt numFmtId="196" formatCode="_-* #,##0_-;\-* #,##0_-;_-* &quot;-&quot;??_-;_-@_-"/>
    <numFmt numFmtId="197" formatCode="_-&quot;$&quot;* #,##0_-;\-&quot;$&quot;* #,##0_-;_-&quot;$&quot;* &quot;-&quot;??_-;_-@_-"/>
    <numFmt numFmtId="198" formatCode="&quot;$&quot;\ #,##0.000"/>
    <numFmt numFmtId="199" formatCode="0.00_ ;[Red]\-0.00\ "/>
    <numFmt numFmtId="200" formatCode="&quot;$&quot;\ #,##0.00000"/>
    <numFmt numFmtId="201" formatCode="_-&quot;$&quot;\ * #,##0_-;\-&quot;$&quot;\ * #,##0_-;_-&quot;$&quot;\ * &quot;-&quot;??_-;_-@_-"/>
    <numFmt numFmtId="202" formatCode="&quot;PROMEDIO&quot;"/>
    <numFmt numFmtId="203" formatCode="0.000%"/>
    <numFmt numFmtId="204" formatCode="_-* #,##0.00000_-;\-* #,##0.00000_-;_-* &quot;-&quot;?????_-;_-@_-"/>
    <numFmt numFmtId="205" formatCode="_-* #,##0.0000_-;\-* #,##0.0000_-;_-* &quot;-&quot;??_-;_-@_-"/>
    <numFmt numFmtId="206" formatCode="_-* #,##0.00000_-;\-* #,##0.00000_-;_-* &quot;-&quot;??_-;_-@_-"/>
    <numFmt numFmtId="207" formatCode="_(* #,##0.0000_);_(* \(#,##0.0000\);_(* &quot;-&quot;??_);_(@_)"/>
    <numFmt numFmtId="208" formatCode="_(* #,##0.000000_);_(* \(#,##0.000000\);_(* &quot;-&quot;??_);_(@_)"/>
    <numFmt numFmtId="209" formatCode="[$$-240A]\ #,##0.00"/>
    <numFmt numFmtId="210" formatCode="0.0000000"/>
    <numFmt numFmtId="211" formatCode="0.00000000"/>
  </numFmts>
  <fonts count="141"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name val="Arial"/>
      <family val="2"/>
    </font>
    <font>
      <sz val="10"/>
      <name val="Calibri"/>
      <family val="2"/>
    </font>
    <font>
      <sz val="8"/>
      <color theme="1"/>
      <name val="Arial"/>
      <family val="2"/>
    </font>
    <font>
      <sz val="11"/>
      <color rgb="FF9C0006"/>
      <name val="Calibri"/>
      <family val="2"/>
      <scheme val="minor"/>
    </font>
    <font>
      <b/>
      <sz val="12"/>
      <name val="Arial"/>
      <family val="2"/>
    </font>
    <font>
      <sz val="12"/>
      <name val="Arial"/>
      <family val="2"/>
    </font>
    <font>
      <sz val="8"/>
      <name val="Arial"/>
      <family val="2"/>
    </font>
    <font>
      <b/>
      <sz val="9"/>
      <color theme="0"/>
      <name val="Arial"/>
      <family val="2"/>
    </font>
    <font>
      <sz val="9"/>
      <name val="Arial"/>
      <family val="2"/>
    </font>
    <font>
      <sz val="11"/>
      <color indexed="8"/>
      <name val="Calibri"/>
      <family val="2"/>
    </font>
    <font>
      <sz val="11"/>
      <color indexed="8"/>
      <name val="Arial"/>
      <family val="2"/>
    </font>
    <font>
      <b/>
      <sz val="9"/>
      <name val="Arial"/>
      <family val="2"/>
    </font>
    <font>
      <b/>
      <sz val="11"/>
      <name val="Arial"/>
      <family val="2"/>
    </font>
    <font>
      <sz val="11"/>
      <name val="Arial"/>
      <family val="2"/>
    </font>
    <font>
      <b/>
      <sz val="11"/>
      <color theme="1"/>
      <name val="Arial"/>
      <family val="2"/>
    </font>
    <font>
      <b/>
      <sz val="10"/>
      <color theme="1"/>
      <name val="Arial"/>
      <family val="2"/>
    </font>
    <font>
      <sz val="7"/>
      <color theme="1"/>
      <name val="Arial"/>
      <family val="2"/>
    </font>
    <font>
      <b/>
      <sz val="8"/>
      <color theme="1"/>
      <name val="Arial"/>
      <family val="2"/>
    </font>
    <font>
      <u/>
      <sz val="11"/>
      <color theme="10"/>
      <name val="Calibri"/>
      <family val="2"/>
      <scheme val="minor"/>
    </font>
    <font>
      <sz val="8"/>
      <color rgb="FFFF0000"/>
      <name val="Arial"/>
      <family val="2"/>
    </font>
    <font>
      <sz val="9"/>
      <color rgb="FFFF0000"/>
      <name val="Arial"/>
      <family val="2"/>
    </font>
    <font>
      <sz val="10"/>
      <color rgb="FFFF0000"/>
      <name val="Arial"/>
      <family val="2"/>
    </font>
    <font>
      <sz val="11"/>
      <color rgb="FFFF0000"/>
      <name val="Arial"/>
      <family val="2"/>
    </font>
    <font>
      <sz val="11"/>
      <color theme="1"/>
      <name val="Arial Narrow"/>
      <family val="2"/>
    </font>
    <font>
      <sz val="11"/>
      <name val="Arial Narrow"/>
      <family val="2"/>
    </font>
    <font>
      <sz val="11"/>
      <color rgb="FF9C0006"/>
      <name val="Arial"/>
      <family val="2"/>
    </font>
    <font>
      <sz val="11"/>
      <color rgb="FF006100"/>
      <name val="Calibri"/>
      <family val="2"/>
      <scheme val="minor"/>
    </font>
    <font>
      <sz val="11"/>
      <color rgb="FF9C5700"/>
      <name val="Calibri"/>
      <family val="2"/>
      <scheme val="minor"/>
    </font>
    <font>
      <sz val="8"/>
      <name val="Calibri"/>
      <family val="2"/>
      <scheme val="minor"/>
    </font>
    <font>
      <b/>
      <sz val="11"/>
      <color theme="1"/>
      <name val="Calibri"/>
      <family val="2"/>
      <scheme val="minor"/>
    </font>
    <font>
      <sz val="12"/>
      <color theme="3"/>
      <name val="Maiandra GD"/>
      <family val="2"/>
    </font>
    <font>
      <sz val="10"/>
      <color indexed="81"/>
      <name val="Tahoma"/>
      <family val="2"/>
    </font>
    <font>
      <b/>
      <sz val="10"/>
      <color indexed="81"/>
      <name val="Tahoma"/>
      <family val="2"/>
    </font>
    <font>
      <sz val="10"/>
      <color rgb="FF0070C0"/>
      <name val="Arial"/>
      <family val="2"/>
    </font>
    <font>
      <sz val="11"/>
      <color rgb="FF9C5700"/>
      <name val="Arial"/>
      <family val="2"/>
    </font>
    <font>
      <sz val="11"/>
      <color rgb="FF006100"/>
      <name val="Arial"/>
      <family val="2"/>
    </font>
    <font>
      <sz val="11"/>
      <color rgb="FF0070C0"/>
      <name val="Arial"/>
      <family val="2"/>
    </font>
    <font>
      <sz val="11"/>
      <color rgb="FF0070C0"/>
      <name val="Calibri"/>
      <family val="2"/>
      <scheme val="minor"/>
    </font>
    <font>
      <b/>
      <sz val="8"/>
      <name val="Arial"/>
      <family val="2"/>
    </font>
    <font>
      <sz val="10"/>
      <color rgb="FF00B0F0"/>
      <name val="Arial"/>
      <family val="2"/>
    </font>
    <font>
      <b/>
      <sz val="11"/>
      <color theme="1"/>
      <name val="Franklin Gothic Book"/>
      <family val="2"/>
    </font>
    <font>
      <sz val="11"/>
      <color theme="1"/>
      <name val="Franklin Gothic Book"/>
      <family val="2"/>
    </font>
    <font>
      <sz val="13.5"/>
      <color rgb="FF212529"/>
      <name val="Segoe UI"/>
      <family val="2"/>
    </font>
    <font>
      <b/>
      <sz val="12"/>
      <name val="Times New Roman"/>
      <family val="1"/>
    </font>
    <font>
      <sz val="11"/>
      <name val="Times New Roman"/>
      <family val="1"/>
    </font>
    <font>
      <b/>
      <sz val="11"/>
      <name val="Times New Roman"/>
      <family val="1"/>
    </font>
    <font>
      <sz val="12"/>
      <color rgb="FF006100"/>
      <name val="Calibri"/>
      <family val="2"/>
      <scheme val="minor"/>
    </font>
    <font>
      <sz val="12"/>
      <name val="Calibri"/>
      <family val="2"/>
      <scheme val="minor"/>
    </font>
    <font>
      <sz val="12"/>
      <color rgb="FF222222"/>
      <name val="Arial"/>
      <family val="2"/>
    </font>
    <font>
      <b/>
      <sz val="12"/>
      <color indexed="63"/>
      <name val="Arial"/>
      <family val="2"/>
    </font>
    <font>
      <sz val="12"/>
      <color indexed="63"/>
      <name val="Arial"/>
      <family val="2"/>
    </font>
    <font>
      <b/>
      <sz val="14"/>
      <name val="Times New Roman"/>
      <family val="1"/>
    </font>
    <font>
      <sz val="8"/>
      <name val="Times New Roman"/>
      <family val="1"/>
    </font>
    <font>
      <sz val="12"/>
      <name val="Times New Roman"/>
      <family val="1"/>
    </font>
    <font>
      <b/>
      <sz val="12"/>
      <color theme="0"/>
      <name val="Times New Roman"/>
      <family val="1"/>
    </font>
    <font>
      <i/>
      <sz val="10"/>
      <name val="Arial"/>
      <family val="2"/>
    </font>
    <font>
      <b/>
      <sz val="10"/>
      <name val="Arial"/>
      <family val="2"/>
    </font>
    <font>
      <b/>
      <sz val="11"/>
      <color rgb="FF333333"/>
      <name val="Arial"/>
      <family val="2"/>
    </font>
    <font>
      <sz val="11"/>
      <color rgb="FF333333"/>
      <name val="Arial"/>
      <family val="2"/>
    </font>
    <font>
      <sz val="11"/>
      <color rgb="FF464646"/>
      <name val="Open Sans"/>
      <family val="2"/>
    </font>
    <font>
      <b/>
      <sz val="14"/>
      <name val="Arial"/>
      <family val="2"/>
    </font>
    <font>
      <sz val="8"/>
      <color rgb="FF00B0F0"/>
      <name val="Arial"/>
      <family val="2"/>
    </font>
    <font>
      <sz val="14"/>
      <color theme="1"/>
      <name val="Calibri"/>
      <family val="2"/>
      <scheme val="minor"/>
    </font>
    <font>
      <b/>
      <sz val="14"/>
      <color theme="4" tint="-0.499984740745262"/>
      <name val="Calibri"/>
      <family val="2"/>
      <scheme val="minor"/>
    </font>
    <font>
      <b/>
      <sz val="14"/>
      <color theme="4" tint="-0.499984740745262"/>
      <name val="Calibri"/>
      <family val="2"/>
    </font>
    <font>
      <b/>
      <i/>
      <sz val="11"/>
      <color theme="4" tint="-0.499984740745262"/>
      <name val="Calibri"/>
      <family val="2"/>
    </font>
    <font>
      <sz val="11"/>
      <color rgb="FF000000"/>
      <name val="Calibri"/>
      <family val="2"/>
    </font>
    <font>
      <sz val="9"/>
      <name val="Calibri"/>
      <family val="2"/>
      <scheme val="minor"/>
    </font>
    <font>
      <sz val="10"/>
      <color theme="1"/>
      <name val="Franklin Gothic Book"/>
      <family val="2"/>
    </font>
    <font>
      <b/>
      <sz val="10"/>
      <color theme="1"/>
      <name val="Arial Narrow"/>
      <family val="2"/>
    </font>
    <font>
      <sz val="11"/>
      <color rgb="FF0070C0"/>
      <name val="Arial Narrow"/>
      <family val="2"/>
    </font>
    <font>
      <sz val="11"/>
      <color rgb="FF0070C0"/>
      <name val="Franklin Gothic Book"/>
      <family val="2"/>
    </font>
    <font>
      <sz val="11"/>
      <color rgb="FF3F3F76"/>
      <name val="Calibri"/>
      <family val="2"/>
      <scheme val="minor"/>
    </font>
    <font>
      <sz val="10"/>
      <color theme="1"/>
      <name val="Arial Narrow"/>
      <family val="2"/>
    </font>
    <font>
      <b/>
      <sz val="9"/>
      <color theme="1"/>
      <name val="Arial Narrow"/>
      <family val="2"/>
    </font>
    <font>
      <sz val="12"/>
      <name val="Maiandra GD"/>
      <family val="2"/>
    </font>
    <font>
      <b/>
      <sz val="11"/>
      <color rgb="FF9C5700"/>
      <name val="Arial"/>
      <family val="2"/>
    </font>
    <font>
      <i/>
      <sz val="10"/>
      <color theme="1"/>
      <name val="Arial"/>
      <family val="2"/>
    </font>
    <font>
      <sz val="14"/>
      <name val="Franklin Gothic Book"/>
      <family val="2"/>
    </font>
    <font>
      <sz val="12"/>
      <color rgb="FFFF0000"/>
      <name val="Arial"/>
      <family val="2"/>
    </font>
    <font>
      <sz val="11"/>
      <color rgb="FFFF0000"/>
      <name val="Calibri"/>
      <family val="2"/>
      <scheme val="minor"/>
    </font>
    <font>
      <sz val="9"/>
      <color theme="0" tint="-0.249977111117893"/>
      <name val="Arial"/>
      <family val="2"/>
    </font>
    <font>
      <sz val="11"/>
      <name val="Franklin Gothic Book"/>
      <family val="2"/>
    </font>
    <font>
      <b/>
      <sz val="11"/>
      <name val="Franklin Gothic Book"/>
      <family val="2"/>
    </font>
    <font>
      <sz val="10"/>
      <name val="Franklin Gothic Book"/>
      <family val="2"/>
    </font>
    <font>
      <b/>
      <sz val="10"/>
      <name val="Franklin Gothic Book"/>
      <family val="2"/>
    </font>
    <font>
      <b/>
      <sz val="10"/>
      <color theme="0"/>
      <name val="Franklin Gothic Book"/>
      <family val="2"/>
    </font>
    <font>
      <b/>
      <sz val="11"/>
      <name val="Arial Narrow"/>
      <family val="2"/>
    </font>
    <font>
      <sz val="11"/>
      <color rgb="FF000000"/>
      <name val="Arial Narrow"/>
      <family val="2"/>
    </font>
    <font>
      <b/>
      <sz val="11"/>
      <color rgb="FF000000"/>
      <name val="Arial Narrow"/>
      <family val="2"/>
    </font>
    <font>
      <sz val="9"/>
      <color theme="1"/>
      <name val="Arial Narrow"/>
      <family val="2"/>
    </font>
    <font>
      <b/>
      <sz val="11"/>
      <color theme="1"/>
      <name val="Arial Narrow"/>
      <family val="2"/>
    </font>
    <font>
      <b/>
      <sz val="24"/>
      <color rgb="FF333333"/>
      <name val="Arial"/>
      <family val="2"/>
    </font>
    <font>
      <u/>
      <sz val="11"/>
      <name val="Calibri"/>
      <family val="2"/>
      <scheme val="minor"/>
    </font>
    <font>
      <sz val="11"/>
      <color rgb="FFFF0000"/>
      <name val="Arial Narrow"/>
      <family val="2"/>
    </font>
    <font>
      <sz val="12"/>
      <color rgb="FF000000"/>
      <name val="Calibri"/>
      <family val="2"/>
    </font>
    <font>
      <sz val="11"/>
      <color theme="5" tint="-0.249977111117893"/>
      <name val="Calibri"/>
      <family val="2"/>
      <scheme val="minor"/>
    </font>
    <font>
      <sz val="11"/>
      <color rgb="FF00B050"/>
      <name val="Calibri"/>
      <family val="2"/>
      <scheme val="minor"/>
    </font>
    <font>
      <b/>
      <sz val="11"/>
      <color rgb="FF00B050"/>
      <name val="Franklin Gothic Book"/>
      <family val="2"/>
    </font>
    <font>
      <b/>
      <sz val="12"/>
      <color theme="5" tint="-0.249977111117893"/>
      <name val="Franklin Gothic Book"/>
      <family val="2"/>
    </font>
    <font>
      <b/>
      <sz val="11"/>
      <color theme="5" tint="-0.249977111117893"/>
      <name val="Franklin Gothic Book"/>
      <family val="2"/>
    </font>
    <font>
      <sz val="7"/>
      <name val="Arial"/>
      <family val="2"/>
    </font>
    <font>
      <b/>
      <sz val="10"/>
      <color theme="1"/>
      <name val="Franklin Gothic Book"/>
      <family val="2"/>
    </font>
    <font>
      <sz val="7"/>
      <color theme="1"/>
      <name val="Franklin Gothic Book"/>
      <family val="2"/>
    </font>
    <font>
      <sz val="8"/>
      <color theme="1"/>
      <name val="Franklin Gothic Book"/>
      <family val="2"/>
    </font>
    <font>
      <b/>
      <sz val="8"/>
      <color theme="1"/>
      <name val="Franklin Gothic Book"/>
      <family val="2"/>
    </font>
    <font>
      <sz val="8"/>
      <name val="Franklin Gothic Book"/>
      <family val="2"/>
    </font>
    <font>
      <b/>
      <sz val="16"/>
      <name val="Arial"/>
      <family val="2"/>
    </font>
    <font>
      <b/>
      <sz val="11"/>
      <color rgb="FF3F3F76"/>
      <name val="Calibri"/>
      <family val="2"/>
      <scheme val="minor"/>
    </font>
    <font>
      <b/>
      <sz val="14"/>
      <color indexed="8"/>
      <name val="Arial"/>
      <family val="2"/>
    </font>
    <font>
      <b/>
      <u/>
      <sz val="14"/>
      <color indexed="8"/>
      <name val="Arial"/>
      <family val="2"/>
    </font>
    <font>
      <sz val="10"/>
      <color indexed="8"/>
      <name val="Arial"/>
      <family val="2"/>
    </font>
    <font>
      <sz val="9"/>
      <color indexed="8"/>
      <name val="Arial"/>
      <family val="2"/>
    </font>
    <font>
      <b/>
      <u/>
      <sz val="9"/>
      <color indexed="8"/>
      <name val="Arial"/>
      <family val="2"/>
    </font>
    <font>
      <sz val="9"/>
      <color theme="1"/>
      <name val="Calibri"/>
      <family val="2"/>
      <scheme val="minor"/>
    </font>
    <font>
      <b/>
      <sz val="9"/>
      <color indexed="8"/>
      <name val="Arial"/>
      <family val="2"/>
    </font>
    <font>
      <b/>
      <sz val="9"/>
      <color theme="1"/>
      <name val="Calibri"/>
      <family val="2"/>
      <scheme val="minor"/>
    </font>
    <font>
      <b/>
      <sz val="12"/>
      <color rgb="FF222222"/>
      <name val="Arial"/>
      <family val="2"/>
    </font>
    <font>
      <b/>
      <sz val="11"/>
      <name val="Calibri"/>
      <family val="2"/>
      <scheme val="minor"/>
    </font>
    <font>
      <sz val="10"/>
      <name val="Arial Narrow"/>
      <family val="2"/>
    </font>
    <font>
      <sz val="10"/>
      <color rgb="FF9C0006"/>
      <name val="Arial Narrow"/>
      <family val="2"/>
    </font>
    <font>
      <sz val="10"/>
      <color rgb="FF3F3F76"/>
      <name val="Arial Narrow"/>
      <family val="2"/>
    </font>
    <font>
      <sz val="10"/>
      <color theme="3"/>
      <name val="Arial Narrow"/>
      <family val="2"/>
    </font>
    <font>
      <sz val="10"/>
      <color rgb="FFFF0000"/>
      <name val="Arial Narrow"/>
      <family val="2"/>
    </font>
    <font>
      <sz val="10"/>
      <color rgb="FF0070C0"/>
      <name val="Arial Narrow"/>
      <family val="2"/>
    </font>
    <font>
      <b/>
      <sz val="10"/>
      <color rgb="FF3F3F76"/>
      <name val="Arial Narrow"/>
      <family val="2"/>
    </font>
    <font>
      <u/>
      <sz val="10"/>
      <color theme="10"/>
      <name val="Arial Narrow"/>
      <family val="2"/>
    </font>
    <font>
      <b/>
      <sz val="11"/>
      <color rgb="FFC00000"/>
      <name val="Arial Narrow"/>
      <family val="2"/>
    </font>
    <font>
      <b/>
      <sz val="14"/>
      <name val="Calibri"/>
      <family val="2"/>
      <scheme val="minor"/>
    </font>
    <font>
      <sz val="11"/>
      <color rgb="FF000000"/>
      <name val="Calibri"/>
      <family val="2"/>
      <scheme val="minor"/>
    </font>
    <font>
      <sz val="9"/>
      <color indexed="81"/>
      <name val="Tahoma"/>
      <family val="2"/>
    </font>
    <font>
      <b/>
      <sz val="9"/>
      <color indexed="81"/>
      <name val="Tahoma"/>
      <family val="2"/>
    </font>
    <font>
      <u/>
      <sz val="10"/>
      <color theme="10"/>
      <name val="Franklin Gothic Book"/>
      <family val="2"/>
    </font>
    <font>
      <u/>
      <sz val="10"/>
      <name val="Franklin Gothic Book"/>
      <family val="2"/>
    </font>
    <font>
      <sz val="10"/>
      <color rgb="FF000000"/>
      <name val="Calibri"/>
      <family val="2"/>
      <scheme val="minor"/>
    </font>
    <font>
      <sz val="12"/>
      <color rgb="FF000000"/>
      <name val="Calibri"/>
      <family val="2"/>
      <scheme val="minor"/>
    </font>
    <font>
      <sz val="10"/>
      <color theme="0"/>
      <name val="Franklin Gothic Book"/>
      <family val="2"/>
    </font>
  </fonts>
  <fills count="46">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rgb="FF00FF0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EB9C"/>
      </patternFill>
    </fill>
    <fill>
      <patternFill patternType="solid">
        <fgColor rgb="FF0070C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0000"/>
        <bgColor indexed="64"/>
      </patternFill>
    </fill>
    <fill>
      <patternFill patternType="solid">
        <fgColor rgb="FFFFFFCC"/>
        <bgColor indexed="64"/>
      </patternFill>
    </fill>
    <fill>
      <patternFill patternType="solid">
        <fgColor theme="6" tint="0.79998168889431442"/>
        <bgColor indexed="64"/>
      </patternFill>
    </fill>
    <fill>
      <patternFill patternType="solid">
        <fgColor theme="5" tint="-0.49998474074526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indexed="65"/>
        <bgColor theme="0"/>
      </patternFill>
    </fill>
    <fill>
      <patternFill patternType="solid">
        <fgColor theme="4" tint="0.79998168889431442"/>
        <bgColor theme="0"/>
      </patternFill>
    </fill>
    <fill>
      <patternFill patternType="solid">
        <fgColor theme="0"/>
        <bgColor theme="0"/>
      </patternFill>
    </fill>
    <fill>
      <patternFill patternType="solid">
        <fgColor theme="2" tint="-9.9978637043366805E-2"/>
        <bgColor theme="0"/>
      </patternFill>
    </fill>
    <fill>
      <patternFill patternType="solid">
        <fgColor theme="0" tint="-0.249977111117893"/>
        <bgColor indexed="64"/>
      </patternFill>
    </fill>
    <fill>
      <patternFill patternType="solid">
        <fgColor rgb="FFFFCC99"/>
      </patternFill>
    </fill>
    <fill>
      <patternFill patternType="solid">
        <fgColor theme="0" tint="-4.9989318521683403E-2"/>
        <bgColor indexed="64"/>
      </patternFill>
    </fill>
    <fill>
      <patternFill patternType="solid">
        <fgColor rgb="FFBEBEBE"/>
      </patternFill>
    </fill>
    <fill>
      <patternFill patternType="solid">
        <fgColor rgb="FFF1F1F1"/>
      </patternFill>
    </fill>
    <fill>
      <patternFill patternType="solid">
        <fgColor rgb="FFD9D9D9"/>
      </patternFill>
    </fill>
    <fill>
      <patternFill patternType="solid">
        <fgColor theme="9" tint="0.79998168889431442"/>
        <bgColor indexed="64"/>
      </patternFill>
    </fill>
    <fill>
      <patternFill patternType="solid">
        <fgColor theme="9" tint="0.39997558519241921"/>
        <bgColor theme="0"/>
      </patternFill>
    </fill>
    <fill>
      <patternFill patternType="solid">
        <fgColor theme="4"/>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rgb="FF92D050"/>
        <bgColor indexed="64"/>
      </patternFill>
    </fill>
    <fill>
      <patternFill patternType="solid">
        <fgColor rgb="FF00B050"/>
        <bgColor indexed="64"/>
      </patternFill>
    </fill>
    <fill>
      <patternFill patternType="solid">
        <fgColor rgb="FFFF99FF"/>
        <bgColor indexed="64"/>
      </patternFill>
    </fill>
    <fill>
      <patternFill patternType="solid">
        <fgColor rgb="FFFF9999"/>
        <bgColor indexed="64"/>
      </patternFill>
    </fill>
    <fill>
      <patternFill patternType="solid">
        <fgColor theme="8" tint="-0.249977111117893"/>
        <bgColor indexed="64"/>
      </patternFill>
    </fill>
  </fills>
  <borders count="158">
    <border>
      <left/>
      <right/>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dashed">
        <color indexed="64"/>
      </left>
      <right style="dashed">
        <color indexed="64"/>
      </right>
      <top/>
      <bottom style="dashed">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theme="3"/>
      </left>
      <right style="hair">
        <color theme="3"/>
      </right>
      <top style="hair">
        <color theme="3"/>
      </top>
      <bottom style="hair">
        <color theme="3"/>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right/>
      <top/>
      <bottom style="double">
        <color indexed="64"/>
      </bottom>
      <diagonal/>
    </border>
    <border>
      <left/>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thin">
        <color rgb="FF7F7F7F"/>
      </left>
      <right style="thin">
        <color rgb="FF7F7F7F"/>
      </right>
      <top style="thin">
        <color rgb="FF7F7F7F"/>
      </top>
      <bottom style="thin">
        <color rgb="FF7F7F7F"/>
      </bottom>
      <diagonal/>
    </border>
    <border>
      <left/>
      <right style="double">
        <color indexed="64"/>
      </right>
      <top/>
      <bottom/>
      <diagonal/>
    </border>
    <border>
      <left/>
      <right style="double">
        <color indexed="64"/>
      </right>
      <top style="double">
        <color indexed="64"/>
      </top>
      <bottom/>
      <diagonal/>
    </border>
    <border>
      <left/>
      <right style="double">
        <color indexed="64"/>
      </right>
      <top/>
      <bottom style="double">
        <color indexed="64"/>
      </bottom>
      <diagonal/>
    </border>
    <border>
      <left style="double">
        <color indexed="64"/>
      </left>
      <right/>
      <top style="double">
        <color indexed="64"/>
      </top>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diagonal/>
    </border>
    <border>
      <left style="double">
        <color indexed="64"/>
      </left>
      <right style="thin">
        <color rgb="FF7F7F7F"/>
      </right>
      <top style="thin">
        <color rgb="FF7F7F7F"/>
      </top>
      <bottom style="thin">
        <color rgb="FF7F7F7F"/>
      </bottom>
      <diagonal/>
    </border>
    <border>
      <left style="thin">
        <color rgb="FF7F7F7F"/>
      </left>
      <right style="double">
        <color indexed="64"/>
      </right>
      <top style="thin">
        <color rgb="FF7F7F7F"/>
      </top>
      <bottom style="thin">
        <color rgb="FF7F7F7F"/>
      </bottom>
      <diagonal/>
    </border>
    <border>
      <left style="double">
        <color indexed="64"/>
      </left>
      <right style="thin">
        <color rgb="FF7F7F7F"/>
      </right>
      <top style="thin">
        <color rgb="FF7F7F7F"/>
      </top>
      <bottom style="double">
        <color indexed="64"/>
      </bottom>
      <diagonal/>
    </border>
    <border>
      <left style="thin">
        <color rgb="FF7F7F7F"/>
      </left>
      <right style="thin">
        <color rgb="FF7F7F7F"/>
      </right>
      <top style="thin">
        <color rgb="FF7F7F7F"/>
      </top>
      <bottom style="double">
        <color indexed="64"/>
      </bottom>
      <diagonal/>
    </border>
    <border>
      <left style="thin">
        <color rgb="FF7F7F7F"/>
      </left>
      <right style="double">
        <color indexed="64"/>
      </right>
      <top style="thin">
        <color rgb="FF7F7F7F"/>
      </top>
      <bottom style="double">
        <color indexed="64"/>
      </bottom>
      <diagonal/>
    </border>
    <border>
      <left/>
      <right/>
      <top/>
      <bottom style="dashed">
        <color indexed="64"/>
      </bottom>
      <diagonal/>
    </border>
    <border>
      <left/>
      <right style="thin">
        <color auto="1"/>
      </right>
      <top style="hair">
        <color auto="1"/>
      </top>
      <bottom style="thin">
        <color auto="1"/>
      </bottom>
      <diagonal/>
    </border>
    <border>
      <left style="thin">
        <color auto="1"/>
      </left>
      <right/>
      <top style="hair">
        <color auto="1"/>
      </top>
      <bottom style="thin">
        <color auto="1"/>
      </bottom>
      <diagonal/>
    </border>
    <border>
      <left style="thin">
        <color indexed="64"/>
      </left>
      <right style="thin">
        <color auto="1"/>
      </right>
      <top/>
      <bottom style="hair">
        <color indexed="64"/>
      </bottom>
      <diagonal/>
    </border>
    <border>
      <left/>
      <right style="thin">
        <color auto="1"/>
      </right>
      <top/>
      <bottom style="hair">
        <color auto="1"/>
      </bottom>
      <diagonal/>
    </border>
    <border>
      <left style="thin">
        <color auto="1"/>
      </left>
      <right/>
      <top/>
      <bottom style="hair">
        <color auto="1"/>
      </bottom>
      <diagonal/>
    </border>
    <border>
      <left/>
      <right/>
      <top style="dashed">
        <color indexed="64"/>
      </top>
      <bottom style="dashed">
        <color indexed="64"/>
      </bottom>
      <diagonal/>
    </border>
    <border>
      <left style="dashed">
        <color indexed="64"/>
      </left>
      <right/>
      <top style="dashed">
        <color indexed="64"/>
      </top>
      <bottom style="dashed">
        <color indexed="64"/>
      </bottom>
      <diagonal/>
    </border>
    <border>
      <left style="hair">
        <color theme="4" tint="-0.499984740745262"/>
      </left>
      <right style="hair">
        <color theme="4" tint="-0.499984740745262"/>
      </right>
      <top style="hair">
        <color theme="4" tint="-0.499984740745262"/>
      </top>
      <bottom style="hair">
        <color theme="4" tint="-0.499984740745262"/>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dashed">
        <color indexed="64"/>
      </left>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style="medium">
        <color indexed="64"/>
      </top>
      <bottom style="hair">
        <color indexed="64"/>
      </bottom>
      <diagonal/>
    </border>
    <border>
      <left style="medium">
        <color indexed="64"/>
      </left>
      <right/>
      <top style="medium">
        <color indexed="64"/>
      </top>
      <bottom style="medium">
        <color indexed="64"/>
      </bottom>
      <diagonal/>
    </border>
    <border>
      <left/>
      <right/>
      <top/>
      <bottom style="hair">
        <color auto="1"/>
      </bottom>
      <diagonal/>
    </border>
    <border>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ck">
        <color auto="1"/>
      </left>
      <right style="hair">
        <color auto="1"/>
      </right>
      <top style="hair">
        <color auto="1"/>
      </top>
      <bottom style="hair">
        <color auto="1"/>
      </bottom>
      <diagonal/>
    </border>
    <border>
      <left style="thick">
        <color auto="1"/>
      </left>
      <right style="hair">
        <color auto="1"/>
      </right>
      <top style="hair">
        <color auto="1"/>
      </top>
      <bottom style="thick">
        <color auto="1"/>
      </bottom>
      <diagonal/>
    </border>
    <border>
      <left style="thick">
        <color auto="1"/>
      </left>
      <right style="hair">
        <color auto="1"/>
      </right>
      <top/>
      <bottom style="hair">
        <color auto="1"/>
      </bottom>
      <diagonal/>
    </border>
    <border>
      <left/>
      <right/>
      <top style="medium">
        <color indexed="64"/>
      </top>
      <bottom style="medium">
        <color indexed="64"/>
      </bottom>
      <diagonal/>
    </border>
    <border>
      <left style="dashed">
        <color indexed="64"/>
      </left>
      <right style="medium">
        <color indexed="64"/>
      </right>
      <top/>
      <bottom style="dashed">
        <color indexed="64"/>
      </bottom>
      <diagonal/>
    </border>
    <border>
      <left style="medium">
        <color indexed="64"/>
      </left>
      <right style="thin">
        <color indexed="64"/>
      </right>
      <top style="thin">
        <color indexed="64"/>
      </top>
      <bottom style="medium">
        <color indexed="64"/>
      </bottom>
      <diagonal/>
    </border>
    <border>
      <left style="hair">
        <color auto="1"/>
      </left>
      <right style="hair">
        <color auto="1"/>
      </right>
      <top style="hair">
        <color auto="1"/>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style="hair">
        <color indexed="64"/>
      </top>
      <bottom style="thick">
        <color indexed="64"/>
      </bottom>
      <diagonal/>
    </border>
    <border>
      <left/>
      <right style="dashed">
        <color indexed="64"/>
      </right>
      <top style="dashed">
        <color indexed="64"/>
      </top>
      <bottom style="dashed">
        <color indexed="64"/>
      </bottom>
      <diagonal/>
    </border>
    <border>
      <left style="medium">
        <color indexed="64"/>
      </left>
      <right style="hair">
        <color auto="1"/>
      </right>
      <top style="hair">
        <color auto="1"/>
      </top>
      <bottom/>
      <diagonal/>
    </border>
    <border>
      <left style="thick">
        <color auto="1"/>
      </left>
      <right style="hair">
        <color auto="1"/>
      </right>
      <top/>
      <bottom style="medium">
        <color indexed="64"/>
      </bottom>
      <diagonal/>
    </border>
    <border>
      <left style="hair">
        <color auto="1"/>
      </left>
      <right style="thick">
        <color auto="1"/>
      </right>
      <top/>
      <bottom style="medium">
        <color indexed="64"/>
      </bottom>
      <diagonal/>
    </border>
    <border>
      <left style="thick">
        <color auto="1"/>
      </left>
      <right style="hair">
        <color auto="1"/>
      </right>
      <top style="hair">
        <color auto="1"/>
      </top>
      <bottom/>
      <diagonal/>
    </border>
    <border>
      <left style="thin">
        <color rgb="FF7F7F7F"/>
      </left>
      <right style="thin">
        <color rgb="FF7F7F7F"/>
      </right>
      <top style="thin">
        <color rgb="FF7F7F7F"/>
      </top>
      <bottom/>
      <diagonal/>
    </border>
    <border>
      <left style="hair">
        <color indexed="64"/>
      </left>
      <right style="hair">
        <color indexed="64"/>
      </right>
      <top/>
      <bottom/>
      <diagonal/>
    </border>
    <border>
      <left style="medium">
        <color indexed="64"/>
      </left>
      <right/>
      <top/>
      <bottom style="hair">
        <color indexed="64"/>
      </bottom>
      <diagonal/>
    </border>
    <border>
      <left/>
      <right style="hair">
        <color indexed="64"/>
      </right>
      <top/>
      <bottom style="hair">
        <color indexed="64"/>
      </bottom>
      <diagonal/>
    </border>
    <border>
      <left style="thin">
        <color rgb="FF7F7F7F"/>
      </left>
      <right style="thin">
        <color rgb="FF7F7F7F"/>
      </right>
      <top/>
      <bottom style="thin">
        <color rgb="FF7F7F7F"/>
      </bottom>
      <diagonal/>
    </border>
    <border>
      <left style="thin">
        <color rgb="FF7F7F7F"/>
      </left>
      <right style="thin">
        <color rgb="FF7F7F7F"/>
      </right>
      <top style="medium">
        <color indexed="64"/>
      </top>
      <bottom style="medium">
        <color indexed="64"/>
      </bottom>
      <diagonal/>
    </border>
    <border>
      <left style="dotted">
        <color rgb="FF000000"/>
      </left>
      <right style="dotted">
        <color rgb="FF000000"/>
      </right>
      <top style="medium">
        <color rgb="FF000000"/>
      </top>
      <bottom style="dotted">
        <color rgb="FF000000"/>
      </bottom>
      <diagonal/>
    </border>
    <border>
      <left style="medium">
        <color rgb="FF7F7F7F"/>
      </left>
      <right style="dotted">
        <color rgb="FF000000"/>
      </right>
      <top style="medium">
        <color rgb="FFCCCCCC"/>
      </top>
      <bottom style="dotted">
        <color rgb="FF000000"/>
      </bottom>
      <diagonal/>
    </border>
    <border>
      <left style="dotted">
        <color rgb="FF000000"/>
      </left>
      <right style="dotted">
        <color rgb="FF000000"/>
      </right>
      <top style="medium">
        <color rgb="FFCCCCCC"/>
      </top>
      <bottom style="dotted">
        <color rgb="FF000000"/>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style="hair">
        <color indexed="64"/>
      </left>
      <right/>
      <top/>
      <bottom style="hair">
        <color indexed="64"/>
      </bottom>
      <diagonal/>
    </border>
    <border>
      <left style="hair">
        <color theme="3"/>
      </left>
      <right style="hair">
        <color theme="3"/>
      </right>
      <top/>
      <bottom style="hair">
        <color theme="3"/>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dashed">
        <color indexed="64"/>
      </bottom>
      <diagonal/>
    </border>
    <border>
      <left/>
      <right style="medium">
        <color indexed="64"/>
      </right>
      <top style="dashed">
        <color indexed="64"/>
      </top>
      <bottom style="dashed">
        <color indexed="64"/>
      </bottom>
      <diagonal/>
    </border>
    <border>
      <left style="medium">
        <color indexed="64"/>
      </left>
      <right/>
      <top style="dashed">
        <color indexed="64"/>
      </top>
      <bottom style="dashed">
        <color indexed="64"/>
      </bottom>
      <diagonal/>
    </border>
    <border>
      <left style="dashed">
        <color indexed="64"/>
      </left>
      <right style="medium">
        <color indexed="64"/>
      </right>
      <top/>
      <bottom style="medium">
        <color indexed="64"/>
      </bottom>
      <diagonal/>
    </border>
    <border>
      <left/>
      <right style="thin">
        <color theme="0" tint="-0.24994659260841701"/>
      </right>
      <top style="thin">
        <color theme="0" tint="-0.24994659260841701"/>
      </top>
      <bottom/>
      <diagonal/>
    </border>
    <border>
      <left style="hair">
        <color indexed="64"/>
      </left>
      <right style="medium">
        <color indexed="64"/>
      </right>
      <top/>
      <bottom/>
      <diagonal/>
    </border>
    <border>
      <left style="medium">
        <color indexed="64"/>
      </left>
      <right style="medium">
        <color indexed="64"/>
      </right>
      <top style="dashed">
        <color indexed="64"/>
      </top>
      <bottom style="medium">
        <color indexed="64"/>
      </bottom>
      <diagonal/>
    </border>
  </borders>
  <cellStyleXfs count="41">
    <xf numFmtId="0" fontId="0" fillId="0" borderId="0"/>
    <xf numFmtId="170" fontId="1" fillId="0" borderId="0" applyFont="0" applyFill="0" applyBorder="0" applyAlignment="0" applyProtection="0"/>
    <xf numFmtId="0" fontId="7" fillId="2" borderId="0" applyNumberFormat="0" applyBorder="0" applyAlignment="0" applyProtection="0"/>
    <xf numFmtId="9" fontId="1" fillId="0" borderId="0" applyFont="0" applyFill="0" applyBorder="0" applyAlignment="0" applyProtection="0"/>
    <xf numFmtId="0" fontId="4" fillId="0" borderId="0"/>
    <xf numFmtId="0" fontId="4" fillId="0" borderId="0"/>
    <xf numFmtId="173" fontId="13" fillId="0" borderId="0" applyFont="0" applyFill="0" applyBorder="0" applyAlignment="0" applyProtection="0"/>
    <xf numFmtId="0" fontId="13" fillId="0" borderId="0"/>
    <xf numFmtId="173" fontId="1" fillId="0" borderId="0" applyFont="0" applyFill="0" applyBorder="0" applyAlignment="0" applyProtection="0"/>
    <xf numFmtId="0" fontId="22" fillId="0" borderId="0" applyNumberFormat="0" applyFill="0" applyBorder="0" applyAlignment="0" applyProtection="0"/>
    <xf numFmtId="173" fontId="13" fillId="0" borderId="0" applyFont="0" applyFill="0" applyBorder="0" applyAlignment="0" applyProtection="0"/>
    <xf numFmtId="0" fontId="30" fillId="13" borderId="0" applyNumberFormat="0" applyBorder="0" applyAlignment="0" applyProtection="0"/>
    <xf numFmtId="0" fontId="31" fillId="14" borderId="0" applyNumberFormat="0" applyBorder="0" applyAlignment="0" applyProtection="0"/>
    <xf numFmtId="169" fontId="1" fillId="0" borderId="0" applyFont="0" applyFill="0" applyBorder="0" applyAlignment="0" applyProtection="0"/>
    <xf numFmtId="0" fontId="4" fillId="0" borderId="0"/>
    <xf numFmtId="169" fontId="4" fillId="0" borderId="0" applyFont="0" applyFill="0" applyBorder="0" applyAlignment="0" applyProtection="0"/>
    <xf numFmtId="0" fontId="30" fillId="13" borderId="0" applyNumberFormat="0" applyBorder="0" applyAlignment="0" applyProtection="0"/>
    <xf numFmtId="0" fontId="1" fillId="0" borderId="0"/>
    <xf numFmtId="181" fontId="4" fillId="0" borderId="0" applyFont="0" applyFill="0" applyBorder="0" applyAlignment="0" applyProtection="0"/>
    <xf numFmtId="9" fontId="4" fillId="0" borderId="0" applyFont="0" applyFill="0" applyBorder="0" applyAlignment="0" applyProtection="0"/>
    <xf numFmtId="169" fontId="1" fillId="0" borderId="0" applyFont="0" applyFill="0" applyBorder="0" applyAlignment="0" applyProtection="0"/>
    <xf numFmtId="190" fontId="4"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0" fontId="76" fillId="29" borderId="56" applyNumberFormat="0" applyAlignment="0" applyProtection="0"/>
    <xf numFmtId="17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787">
    <xf numFmtId="0" fontId="0" fillId="0" borderId="0" xfId="0"/>
    <xf numFmtId="0" fontId="2" fillId="0" borderId="0" xfId="0" applyFont="1"/>
    <xf numFmtId="0" fontId="3" fillId="0" borderId="0" xfId="0" applyFont="1"/>
    <xf numFmtId="0" fontId="4" fillId="0" borderId="1" xfId="0" applyFont="1" applyBorder="1" applyAlignment="1">
      <alignment horizontal="center" vertical="center"/>
    </xf>
    <xf numFmtId="0" fontId="2" fillId="0" borderId="0" xfId="0" applyFont="1" applyAlignment="1">
      <alignment horizont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3" xfId="0" applyFont="1" applyBorder="1" applyAlignment="1">
      <alignment vertical="center"/>
    </xf>
    <xf numFmtId="0" fontId="8" fillId="0" borderId="0" xfId="4" applyFont="1" applyAlignment="1">
      <alignment horizontal="centerContinuous" vertical="center" wrapText="1"/>
    </xf>
    <xf numFmtId="0" fontId="9" fillId="0" borderId="0" xfId="4" applyFont="1" applyAlignment="1">
      <alignment horizontal="centerContinuous" vertical="center" wrapText="1"/>
    </xf>
    <xf numFmtId="0" fontId="10" fillId="3" borderId="0" xfId="4" applyFont="1" applyFill="1" applyAlignment="1">
      <alignment horizontal="center" vertical="center" wrapText="1"/>
    </xf>
    <xf numFmtId="0" fontId="9" fillId="0" borderId="6" xfId="4" applyFont="1" applyBorder="1" applyAlignment="1">
      <alignment horizontal="centerContinuous" vertical="center" wrapText="1"/>
    </xf>
    <xf numFmtId="0" fontId="10" fillId="3" borderId="0" xfId="4" applyFont="1" applyFill="1" applyAlignment="1" applyProtection="1">
      <alignment horizontal="center" vertical="center" wrapText="1"/>
      <protection locked="0"/>
    </xf>
    <xf numFmtId="0" fontId="14" fillId="3" borderId="0" xfId="7" applyFont="1" applyFill="1"/>
    <xf numFmtId="0" fontId="12" fillId="0" borderId="0" xfId="4" applyFont="1" applyAlignment="1">
      <alignment horizontal="center" vertical="center" wrapText="1"/>
    </xf>
    <xf numFmtId="0" fontId="12" fillId="0" borderId="0" xfId="4" applyFont="1" applyAlignment="1">
      <alignment horizontal="justify" vertical="justify" wrapText="1"/>
    </xf>
    <xf numFmtId="0" fontId="12" fillId="3" borderId="6" xfId="4" applyFont="1" applyFill="1" applyBorder="1" applyAlignment="1">
      <alignment horizontal="justify" vertical="justify" wrapText="1"/>
    </xf>
    <xf numFmtId="0" fontId="12" fillId="3" borderId="0" xfId="4" applyFont="1" applyFill="1" applyAlignment="1">
      <alignment horizontal="left" vertical="center" wrapText="1"/>
    </xf>
    <xf numFmtId="0" fontId="2" fillId="0" borderId="0" xfId="0" applyFont="1" applyAlignment="1">
      <alignment vertical="center"/>
    </xf>
    <xf numFmtId="0" fontId="6" fillId="0" borderId="0" xfId="0" applyFont="1" applyAlignment="1">
      <alignment vertical="center"/>
    </xf>
    <xf numFmtId="0" fontId="20" fillId="0" borderId="0" xfId="0" applyFont="1" applyAlignment="1">
      <alignment vertical="center" wrapText="1"/>
    </xf>
    <xf numFmtId="1" fontId="21" fillId="0" borderId="9" xfId="0" applyNumberFormat="1" applyFont="1" applyBorder="1" applyAlignment="1">
      <alignment horizontal="center" vertical="center"/>
    </xf>
    <xf numFmtId="0" fontId="6" fillId="0" borderId="10" xfId="0" applyFont="1" applyBorder="1" applyAlignment="1">
      <alignment vertical="center"/>
    </xf>
    <xf numFmtId="0" fontId="2" fillId="0" borderId="10" xfId="0" applyFont="1" applyBorder="1" applyAlignment="1">
      <alignment vertical="center"/>
    </xf>
    <xf numFmtId="0" fontId="6" fillId="0" borderId="11" xfId="0" applyFont="1" applyBorder="1" applyAlignment="1">
      <alignment horizontal="center" vertical="center"/>
    </xf>
    <xf numFmtId="0" fontId="6" fillId="0" borderId="7" xfId="0" applyFont="1" applyBorder="1" applyAlignment="1">
      <alignment horizontal="center" vertical="center"/>
    </xf>
    <xf numFmtId="0" fontId="3" fillId="0" borderId="0" xfId="0" applyFont="1" applyAlignment="1">
      <alignment vertical="center"/>
    </xf>
    <xf numFmtId="0" fontId="21" fillId="0" borderId="5"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173" fontId="6" fillId="0" borderId="5" xfId="6" applyFont="1" applyBorder="1" applyAlignment="1">
      <alignment horizontal="center" vertical="center"/>
    </xf>
    <xf numFmtId="175" fontId="6" fillId="0" borderId="5" xfId="0" applyNumberFormat="1" applyFont="1" applyBorder="1" applyAlignment="1">
      <alignment horizontal="center" vertical="center"/>
    </xf>
    <xf numFmtId="173" fontId="6" fillId="0" borderId="5" xfId="8" applyFont="1" applyBorder="1" applyAlignment="1">
      <alignment horizontal="center" vertical="center"/>
    </xf>
    <xf numFmtId="173" fontId="6" fillId="0" borderId="5" xfId="8" applyFont="1" applyBorder="1" applyAlignment="1">
      <alignment vertical="center"/>
    </xf>
    <xf numFmtId="2" fontId="6" fillId="0" borderId="5" xfId="0" applyNumberFormat="1" applyFont="1" applyBorder="1" applyAlignment="1">
      <alignment horizontal="center" vertical="center"/>
    </xf>
    <xf numFmtId="9" fontId="2" fillId="0" borderId="0" xfId="3" applyFont="1" applyAlignment="1">
      <alignment vertical="center"/>
    </xf>
    <xf numFmtId="176" fontId="6" fillId="0" borderId="5" xfId="0" applyNumberFormat="1" applyFont="1" applyBorder="1" applyAlignment="1">
      <alignment horizontal="center" vertical="center"/>
    </xf>
    <xf numFmtId="0" fontId="21" fillId="0" borderId="4" xfId="0" applyFont="1" applyBorder="1" applyAlignment="1">
      <alignment horizontal="center" vertical="center"/>
    </xf>
    <xf numFmtId="0" fontId="2" fillId="0" borderId="0" xfId="0" applyFont="1" applyAlignment="1">
      <alignment horizontal="center" vertical="center"/>
    </xf>
    <xf numFmtId="173" fontId="6" fillId="0" borderId="4" xfId="6" applyFont="1" applyBorder="1" applyAlignment="1">
      <alignment horizontal="center" vertical="center"/>
    </xf>
    <xf numFmtId="0" fontId="19" fillId="0" borderId="0" xfId="0" applyFont="1" applyAlignment="1">
      <alignment vertical="center"/>
    </xf>
    <xf numFmtId="173" fontId="19" fillId="0" borderId="2" xfId="6" applyFont="1" applyBorder="1" applyAlignment="1">
      <alignment horizontal="center" vertical="center" wrapText="1"/>
    </xf>
    <xf numFmtId="173" fontId="2" fillId="0" borderId="4" xfId="8" applyFont="1" applyBorder="1" applyAlignment="1">
      <alignment vertical="center"/>
    </xf>
    <xf numFmtId="173" fontId="2" fillId="0" borderId="0" xfId="0" applyNumberFormat="1" applyFont="1" applyAlignment="1">
      <alignment vertical="center"/>
    </xf>
    <xf numFmtId="0" fontId="21" fillId="0" borderId="2" xfId="0" applyFont="1" applyBorder="1" applyAlignment="1">
      <alignment horizontal="center" vertical="center"/>
    </xf>
    <xf numFmtId="0" fontId="2" fillId="0" borderId="3" xfId="0" applyFont="1" applyBorder="1" applyAlignment="1">
      <alignment vertical="center"/>
    </xf>
    <xf numFmtId="178" fontId="6" fillId="0" borderId="5"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173" fontId="6" fillId="0" borderId="5" xfId="6" applyFont="1" applyBorder="1" applyAlignment="1">
      <alignment horizontal="center" vertical="center" wrapText="1"/>
    </xf>
    <xf numFmtId="173" fontId="6" fillId="0" borderId="5" xfId="8" applyFont="1" applyBorder="1" applyAlignment="1">
      <alignment horizontal="center" vertical="center" wrapText="1"/>
    </xf>
    <xf numFmtId="0" fontId="6" fillId="0" borderId="0" xfId="0" applyFont="1" applyAlignment="1">
      <alignment vertical="center" wrapText="1"/>
    </xf>
    <xf numFmtId="0" fontId="10" fillId="0" borderId="4" xfId="0" applyFont="1" applyBorder="1" applyAlignment="1">
      <alignment horizontal="center" vertical="center"/>
    </xf>
    <xf numFmtId="2" fontId="10" fillId="0" borderId="5" xfId="0" applyNumberFormat="1" applyFont="1" applyBorder="1" applyAlignment="1">
      <alignment horizontal="center" vertical="center"/>
    </xf>
    <xf numFmtId="173" fontId="10" fillId="0" borderId="5" xfId="8" applyFont="1" applyBorder="1" applyAlignment="1">
      <alignment horizontal="center" vertical="center"/>
    </xf>
    <xf numFmtId="0" fontId="21" fillId="11" borderId="5" xfId="0" applyFont="1" applyFill="1" applyBorder="1" applyAlignment="1">
      <alignment horizontal="center" vertical="center"/>
    </xf>
    <xf numFmtId="171" fontId="2" fillId="0" borderId="2" xfId="0" applyNumberFormat="1" applyFont="1" applyBorder="1" applyAlignment="1">
      <alignment vertical="center"/>
    </xf>
    <xf numFmtId="171" fontId="2" fillId="0" borderId="4" xfId="0" applyNumberFormat="1" applyFont="1" applyBorder="1" applyAlignment="1">
      <alignment vertical="center"/>
    </xf>
    <xf numFmtId="0" fontId="21" fillId="11" borderId="4" xfId="0" applyFont="1" applyFill="1" applyBorder="1" applyAlignment="1">
      <alignment horizontal="center" vertical="center"/>
    </xf>
    <xf numFmtId="173" fontId="2" fillId="0" borderId="0" xfId="6" applyFont="1" applyAlignment="1">
      <alignment vertical="center"/>
    </xf>
    <xf numFmtId="0" fontId="2" fillId="0" borderId="1" xfId="0" applyFont="1" applyBorder="1" applyAlignment="1">
      <alignment horizontal="center"/>
    </xf>
    <xf numFmtId="0" fontId="2" fillId="0" borderId="1" xfId="0" applyFont="1" applyBorder="1"/>
    <xf numFmtId="0" fontId="3" fillId="0" borderId="1" xfId="0" applyFont="1" applyBorder="1"/>
    <xf numFmtId="171" fontId="4" fillId="0" borderId="1" xfId="1" applyNumberFormat="1" applyFont="1" applyFill="1" applyBorder="1" applyAlignment="1" applyProtection="1">
      <alignment horizontal="right" vertical="center" wrapText="1"/>
    </xf>
    <xf numFmtId="0" fontId="4" fillId="0" borderId="1" xfId="0" applyFont="1" applyBorder="1"/>
    <xf numFmtId="0" fontId="4" fillId="0" borderId="1" xfId="0" applyFont="1" applyBorder="1" applyAlignment="1">
      <alignment horizontal="left" vertical="center" wrapText="1"/>
    </xf>
    <xf numFmtId="0" fontId="0" fillId="0" borderId="1" xfId="0" applyBorder="1"/>
    <xf numFmtId="0" fontId="0" fillId="0" borderId="12" xfId="0" applyBorder="1"/>
    <xf numFmtId="0" fontId="0" fillId="0" borderId="14" xfId="0" applyBorder="1"/>
    <xf numFmtId="0" fontId="0" fillId="0" borderId="15" xfId="0" applyBorder="1"/>
    <xf numFmtId="0" fontId="0" fillId="0" borderId="16" xfId="0" applyBorder="1"/>
    <xf numFmtId="0" fontId="33" fillId="0" borderId="17" xfId="0" applyFont="1" applyBorder="1"/>
    <xf numFmtId="0" fontId="33" fillId="0" borderId="18" xfId="0" applyFont="1" applyBorder="1"/>
    <xf numFmtId="9" fontId="6" fillId="0" borderId="5" xfId="3" applyFont="1" applyBorder="1" applyAlignment="1">
      <alignment horizontal="center" vertical="center"/>
    </xf>
    <xf numFmtId="0" fontId="19" fillId="0" borderId="0" xfId="0" applyFont="1" applyAlignment="1">
      <alignment horizontal="center"/>
    </xf>
    <xf numFmtId="173" fontId="23" fillId="0" borderId="5" xfId="6" applyFont="1" applyBorder="1" applyAlignment="1">
      <alignment horizontal="center" vertical="center"/>
    </xf>
    <xf numFmtId="173" fontId="23" fillId="0" borderId="5" xfId="8" applyFont="1" applyBorder="1" applyAlignment="1">
      <alignment horizontal="center" vertical="center"/>
    </xf>
    <xf numFmtId="0" fontId="6" fillId="0" borderId="0" xfId="0" applyFont="1" applyAlignment="1">
      <alignment horizontal="left" vertical="center"/>
    </xf>
    <xf numFmtId="9" fontId="6" fillId="0" borderId="5" xfId="0" applyNumberFormat="1" applyFont="1" applyBorder="1" applyAlignment="1">
      <alignment horizontal="center" vertical="center"/>
    </xf>
    <xf numFmtId="0" fontId="6" fillId="0" borderId="2" xfId="0" applyFont="1" applyBorder="1" applyAlignment="1">
      <alignment vertical="center"/>
    </xf>
    <xf numFmtId="0" fontId="6" fillId="0" borderId="4" xfId="0" applyFont="1" applyBorder="1" applyAlignment="1">
      <alignment vertical="center"/>
    </xf>
    <xf numFmtId="0" fontId="21" fillId="17" borderId="1" xfId="0" applyFont="1" applyFill="1" applyBorder="1" applyAlignment="1">
      <alignment horizontal="center" vertical="center"/>
    </xf>
    <xf numFmtId="0" fontId="2" fillId="17" borderId="1" xfId="0" applyFont="1" applyFill="1" applyBorder="1" applyAlignment="1">
      <alignment horizontal="left" vertical="center"/>
    </xf>
    <xf numFmtId="0" fontId="2" fillId="17" borderId="1" xfId="0" applyFont="1" applyFill="1" applyBorder="1" applyAlignment="1">
      <alignment horizontal="center" vertical="center"/>
    </xf>
    <xf numFmtId="0" fontId="2" fillId="17" borderId="0" xfId="0" applyFont="1" applyFill="1" applyAlignment="1">
      <alignment vertical="center"/>
    </xf>
    <xf numFmtId="0" fontId="6" fillId="0" borderId="21" xfId="0" applyFont="1" applyBorder="1" applyAlignment="1">
      <alignment horizontal="center" vertical="center"/>
    </xf>
    <xf numFmtId="0" fontId="2" fillId="0" borderId="2" xfId="0" applyFont="1" applyBorder="1" applyAlignment="1">
      <alignment vertical="center"/>
    </xf>
    <xf numFmtId="0" fontId="0" fillId="0" borderId="0" xfId="0" applyAlignment="1">
      <alignment horizontal="center"/>
    </xf>
    <xf numFmtId="0" fontId="3" fillId="0" borderId="0" xfId="0" applyFont="1" applyAlignment="1">
      <alignment horizontal="center" vertical="center"/>
    </xf>
    <xf numFmtId="0" fontId="41" fillId="0" borderId="1" xfId="0" applyFont="1" applyBorder="1"/>
    <xf numFmtId="0" fontId="17" fillId="3" borderId="0" xfId="4" applyFont="1" applyFill="1" applyAlignment="1">
      <alignment horizontal="justify" vertical="justify" wrapText="1"/>
    </xf>
    <xf numFmtId="0" fontId="6" fillId="0" borderId="5" xfId="0" applyFont="1" applyBorder="1" applyAlignment="1">
      <alignment vertical="center"/>
    </xf>
    <xf numFmtId="0" fontId="33" fillId="0" borderId="0" xfId="0" applyFont="1" applyAlignment="1">
      <alignment horizontal="center"/>
    </xf>
    <xf numFmtId="0" fontId="44" fillId="0" borderId="0" xfId="0" applyFont="1" applyAlignment="1">
      <alignment horizontal="centerContinuous"/>
    </xf>
    <xf numFmtId="0" fontId="45" fillId="0" borderId="0" xfId="0" applyFont="1"/>
    <xf numFmtId="179" fontId="46" fillId="0" borderId="0" xfId="1" applyNumberFormat="1" applyFont="1" applyAlignment="1">
      <alignment horizontal="center" vertical="center" wrapText="1"/>
    </xf>
    <xf numFmtId="0" fontId="45" fillId="0" borderId="0" xfId="0" applyFont="1" applyAlignment="1">
      <alignment horizontal="center" wrapText="1"/>
    </xf>
    <xf numFmtId="0" fontId="45" fillId="0" borderId="0" xfId="0" applyFont="1" applyAlignment="1">
      <alignment horizontal="center" vertical="center"/>
    </xf>
    <xf numFmtId="10" fontId="45" fillId="0" borderId="0" xfId="0" applyNumberFormat="1" applyFont="1" applyAlignment="1">
      <alignment horizontal="center"/>
    </xf>
    <xf numFmtId="179" fontId="45" fillId="0" borderId="0" xfId="0" applyNumberFormat="1" applyFont="1" applyAlignment="1">
      <alignment horizontal="center"/>
    </xf>
    <xf numFmtId="0" fontId="47" fillId="0" borderId="0" xfId="14" applyFont="1"/>
    <xf numFmtId="0" fontId="4" fillId="0" borderId="0" xfId="14"/>
    <xf numFmtId="0" fontId="49" fillId="0" borderId="0" xfId="14" applyFont="1"/>
    <xf numFmtId="0" fontId="48" fillId="0" borderId="0" xfId="14" applyFont="1"/>
    <xf numFmtId="180" fontId="51" fillId="13" borderId="0" xfId="16" applyNumberFormat="1" applyFont="1" applyAlignment="1">
      <alignment vertical="center"/>
    </xf>
    <xf numFmtId="182" fontId="10" fillId="0" borderId="0" xfId="18" applyNumberFormat="1" applyFont="1"/>
    <xf numFmtId="0" fontId="55" fillId="0" borderId="0" xfId="14" applyFont="1"/>
    <xf numFmtId="169" fontId="48" fillId="0" borderId="0" xfId="14" applyNumberFormat="1" applyFont="1"/>
    <xf numFmtId="0" fontId="49" fillId="9" borderId="2" xfId="14" applyFont="1" applyFill="1" applyBorder="1"/>
    <xf numFmtId="0" fontId="49" fillId="9" borderId="4" xfId="14" applyFont="1" applyFill="1" applyBorder="1"/>
    <xf numFmtId="0" fontId="49" fillId="9" borderId="5" xfId="14" applyFont="1" applyFill="1" applyBorder="1" applyAlignment="1">
      <alignment horizontal="center"/>
    </xf>
    <xf numFmtId="0" fontId="48" fillId="0" borderId="5" xfId="14" applyFont="1" applyBorder="1"/>
    <xf numFmtId="169" fontId="48" fillId="0" borderId="5" xfId="15" applyFont="1" applyBorder="1"/>
    <xf numFmtId="10" fontId="48" fillId="0" borderId="5" xfId="19" applyNumberFormat="1" applyFont="1" applyBorder="1"/>
    <xf numFmtId="9" fontId="48" fillId="0" borderId="5" xfId="14" applyNumberFormat="1" applyFont="1" applyBorder="1"/>
    <xf numFmtId="10" fontId="48" fillId="0" borderId="5" xfId="14" applyNumberFormat="1" applyFont="1" applyBorder="1"/>
    <xf numFmtId="0" fontId="47" fillId="5" borderId="5" xfId="14" applyFont="1" applyFill="1" applyBorder="1"/>
    <xf numFmtId="0" fontId="57" fillId="5" borderId="5" xfId="14" applyFont="1" applyFill="1" applyBorder="1"/>
    <xf numFmtId="0" fontId="59" fillId="0" borderId="0" xfId="14" applyFont="1" applyAlignment="1">
      <alignment vertical="center" wrapText="1"/>
    </xf>
    <xf numFmtId="0" fontId="59" fillId="0" borderId="0" xfId="14" applyFont="1" applyAlignment="1">
      <alignment wrapText="1"/>
    </xf>
    <xf numFmtId="176" fontId="48" fillId="0" borderId="5" xfId="3" applyNumberFormat="1" applyFont="1" applyBorder="1"/>
    <xf numFmtId="0" fontId="48" fillId="9" borderId="5" xfId="14" applyFont="1" applyFill="1" applyBorder="1" applyAlignment="1">
      <alignment horizontal="center"/>
    </xf>
    <xf numFmtId="179" fontId="45" fillId="10" borderId="0" xfId="0" applyNumberFormat="1" applyFont="1" applyFill="1" applyAlignment="1">
      <alignment horizontal="center"/>
    </xf>
    <xf numFmtId="0" fontId="26" fillId="0" borderId="0" xfId="0" applyFont="1" applyAlignment="1">
      <alignment vertical="center"/>
    </xf>
    <xf numFmtId="174" fontId="0" fillId="0" borderId="16" xfId="0" applyNumberFormat="1" applyBorder="1" applyAlignment="1">
      <alignment horizontal="center"/>
    </xf>
    <xf numFmtId="174" fontId="0" fillId="0" borderId="13" xfId="0" applyNumberFormat="1" applyBorder="1" applyAlignment="1">
      <alignment horizontal="center"/>
    </xf>
    <xf numFmtId="174" fontId="0" fillId="0" borderId="0" xfId="0" applyNumberFormat="1" applyAlignment="1">
      <alignment horizontal="center"/>
    </xf>
    <xf numFmtId="174" fontId="33" fillId="0" borderId="19" xfId="0" applyNumberFormat="1" applyFont="1" applyBorder="1" applyAlignment="1">
      <alignment horizontal="center"/>
    </xf>
    <xf numFmtId="168" fontId="6" fillId="0" borderId="5" xfId="0" applyNumberFormat="1" applyFont="1" applyBorder="1" applyAlignment="1">
      <alignment horizontal="center" vertical="center"/>
    </xf>
    <xf numFmtId="168" fontId="6" fillId="0" borderId="0" xfId="0" applyNumberFormat="1" applyFont="1" applyAlignment="1">
      <alignment vertical="center"/>
    </xf>
    <xf numFmtId="177" fontId="6" fillId="0" borderId="5" xfId="3" applyNumberFormat="1" applyFont="1" applyBorder="1" applyAlignment="1">
      <alignment horizontal="center" vertical="center"/>
    </xf>
    <xf numFmtId="9" fontId="21" fillId="0" borderId="5" xfId="3" applyFont="1" applyBorder="1" applyAlignment="1">
      <alignment horizontal="center" vertical="center"/>
    </xf>
    <xf numFmtId="188" fontId="10" fillId="0" borderId="5" xfId="5" applyNumberFormat="1" applyFont="1" applyBorder="1" applyAlignment="1">
      <alignment horizontal="center"/>
    </xf>
    <xf numFmtId="189" fontId="10" fillId="0" borderId="5" xfId="5" applyNumberFormat="1" applyFont="1" applyBorder="1" applyAlignment="1">
      <alignment horizontal="center"/>
    </xf>
    <xf numFmtId="1" fontId="10" fillId="0" borderId="5" xfId="20" applyNumberFormat="1" applyFont="1" applyFill="1" applyBorder="1" applyAlignment="1">
      <alignment horizontal="center"/>
    </xf>
    <xf numFmtId="2" fontId="10" fillId="0" borderId="5" xfId="5" applyNumberFormat="1" applyFont="1" applyBorder="1" applyAlignment="1">
      <alignment horizontal="center"/>
    </xf>
    <xf numFmtId="1" fontId="10" fillId="0" borderId="5" xfId="5" applyNumberFormat="1" applyFont="1" applyBorder="1"/>
    <xf numFmtId="0" fontId="42" fillId="0" borderId="29" xfId="5" applyFont="1" applyBorder="1" applyAlignment="1">
      <alignment horizontal="centerContinuous"/>
    </xf>
    <xf numFmtId="0" fontId="42" fillId="0" borderId="30" xfId="5" applyFont="1" applyBorder="1" applyAlignment="1">
      <alignment horizontal="centerContinuous"/>
    </xf>
    <xf numFmtId="0" fontId="10" fillId="0" borderId="31" xfId="5" applyFont="1" applyBorder="1" applyAlignment="1">
      <alignment horizontal="centerContinuous"/>
    </xf>
    <xf numFmtId="0" fontId="4" fillId="0" borderId="30" xfId="5" applyBorder="1"/>
    <xf numFmtId="1" fontId="4" fillId="0" borderId="30" xfId="20" applyNumberFormat="1" applyFont="1" applyFill="1" applyBorder="1"/>
    <xf numFmtId="2" fontId="4" fillId="0" borderId="30" xfId="5" applyNumberFormat="1" applyBorder="1" applyAlignment="1">
      <alignment horizontal="center"/>
    </xf>
    <xf numFmtId="1" fontId="4" fillId="0" borderId="30" xfId="5" applyNumberFormat="1" applyBorder="1"/>
    <xf numFmtId="0" fontId="4" fillId="0" borderId="31" xfId="5" applyBorder="1"/>
    <xf numFmtId="0" fontId="10" fillId="0" borderId="0" xfId="5" applyFont="1"/>
    <xf numFmtId="1" fontId="60" fillId="0" borderId="0" xfId="20" applyNumberFormat="1" applyFont="1" applyFill="1" applyBorder="1"/>
    <xf numFmtId="2" fontId="10" fillId="0" borderId="0" xfId="5" applyNumberFormat="1" applyFont="1" applyAlignment="1">
      <alignment horizontal="center"/>
    </xf>
    <xf numFmtId="1" fontId="10" fillId="0" borderId="0" xfId="5" applyNumberFormat="1" applyFont="1"/>
    <xf numFmtId="0" fontId="10" fillId="0" borderId="33" xfId="5" applyFont="1" applyBorder="1"/>
    <xf numFmtId="0" fontId="42" fillId="0" borderId="0" xfId="5" quotePrefix="1" applyFont="1" applyAlignment="1">
      <alignment horizontal="left"/>
    </xf>
    <xf numFmtId="1" fontId="10" fillId="0" borderId="0" xfId="20" applyNumberFormat="1" applyFont="1" applyFill="1"/>
    <xf numFmtId="0" fontId="42" fillId="0" borderId="0" xfId="5" applyFont="1"/>
    <xf numFmtId="0" fontId="4" fillId="0" borderId="0" xfId="5"/>
    <xf numFmtId="1" fontId="42" fillId="0" borderId="0" xfId="20" applyNumberFormat="1" applyFont="1" applyFill="1"/>
    <xf numFmtId="2" fontId="4" fillId="0" borderId="0" xfId="5" applyNumberFormat="1" applyAlignment="1">
      <alignment horizontal="center"/>
    </xf>
    <xf numFmtId="1" fontId="4" fillId="0" borderId="0" xfId="5" applyNumberFormat="1"/>
    <xf numFmtId="2" fontId="42" fillId="0" borderId="0" xfId="5" applyNumberFormat="1" applyFont="1" applyAlignment="1">
      <alignment horizontal="center"/>
    </xf>
    <xf numFmtId="1" fontId="42" fillId="0" borderId="0" xfId="5" applyNumberFormat="1" applyFont="1"/>
    <xf numFmtId="0" fontId="10" fillId="0" borderId="39" xfId="5" applyFont="1" applyBorder="1" applyAlignment="1">
      <alignment horizontal="center"/>
    </xf>
    <xf numFmtId="1" fontId="10" fillId="0" borderId="39" xfId="20" quotePrefix="1" applyNumberFormat="1" applyFont="1" applyFill="1" applyBorder="1" applyAlignment="1">
      <alignment horizontal="center"/>
    </xf>
    <xf numFmtId="2" fontId="10" fillId="0" borderId="39" xfId="5" applyNumberFormat="1" applyFont="1" applyBorder="1" applyAlignment="1">
      <alignment horizontal="center"/>
    </xf>
    <xf numFmtId="1" fontId="10" fillId="0" borderId="38" xfId="5" applyNumberFormat="1" applyFont="1" applyBorder="1" applyAlignment="1">
      <alignment horizontal="center"/>
    </xf>
    <xf numFmtId="0" fontId="10" fillId="0" borderId="40" xfId="5" applyFont="1" applyBorder="1"/>
    <xf numFmtId="3" fontId="10" fillId="0" borderId="5" xfId="5" applyNumberFormat="1" applyFont="1" applyBorder="1" applyAlignment="1">
      <alignment horizontal="center"/>
    </xf>
    <xf numFmtId="1" fontId="10" fillId="0" borderId="5" xfId="20" applyNumberFormat="1" applyFont="1" applyFill="1" applyBorder="1"/>
    <xf numFmtId="37" fontId="10" fillId="0" borderId="2" xfId="20" applyNumberFormat="1" applyFont="1" applyFill="1" applyBorder="1"/>
    <xf numFmtId="0" fontId="10" fillId="0" borderId="41" xfId="5" applyFont="1" applyBorder="1"/>
    <xf numFmtId="0" fontId="10" fillId="0" borderId="45" xfId="5" applyFont="1" applyBorder="1"/>
    <xf numFmtId="1" fontId="42" fillId="0" borderId="0" xfId="5" applyNumberFormat="1" applyFont="1" applyAlignment="1">
      <alignment horizontal="center"/>
    </xf>
    <xf numFmtId="4" fontId="10" fillId="0" borderId="46" xfId="5" applyNumberFormat="1" applyFont="1" applyBorder="1"/>
    <xf numFmtId="0" fontId="42" fillId="0" borderId="39" xfId="5" applyFont="1" applyBorder="1" applyAlignment="1">
      <alignment horizontal="center"/>
    </xf>
    <xf numFmtId="1" fontId="42" fillId="0" borderId="39" xfId="20" applyNumberFormat="1" applyFont="1" applyFill="1" applyBorder="1" applyAlignment="1">
      <alignment horizontal="center"/>
    </xf>
    <xf numFmtId="2" fontId="42" fillId="0" borderId="39" xfId="5" applyNumberFormat="1" applyFont="1" applyBorder="1" applyAlignment="1">
      <alignment horizontal="center"/>
    </xf>
    <xf numFmtId="1" fontId="42" fillId="0" borderId="38" xfId="5" applyNumberFormat="1" applyFont="1" applyBorder="1" applyAlignment="1">
      <alignment horizontal="center"/>
    </xf>
    <xf numFmtId="185" fontId="10" fillId="0" borderId="5" xfId="20" applyNumberFormat="1" applyFont="1" applyFill="1" applyBorder="1" applyAlignment="1">
      <alignment horizontal="center"/>
    </xf>
    <xf numFmtId="37" fontId="10" fillId="0" borderId="5" xfId="20" applyNumberFormat="1" applyFont="1" applyFill="1" applyBorder="1" applyAlignment="1">
      <alignment horizontal="center"/>
    </xf>
    <xf numFmtId="187" fontId="10" fillId="0" borderId="5" xfId="20" applyNumberFormat="1" applyFont="1" applyFill="1" applyBorder="1" applyAlignment="1">
      <alignment horizontal="center"/>
    </xf>
    <xf numFmtId="187" fontId="4" fillId="0" borderId="5" xfId="20" applyNumberFormat="1" applyFont="1" applyFill="1" applyBorder="1" applyAlignment="1">
      <alignment horizontal="center"/>
    </xf>
    <xf numFmtId="1" fontId="4" fillId="0" borderId="0" xfId="20" applyNumberFormat="1" applyFont="1" applyFill="1"/>
    <xf numFmtId="0" fontId="42" fillId="0" borderId="35" xfId="5" applyFont="1" applyBorder="1"/>
    <xf numFmtId="0" fontId="10" fillId="0" borderId="35" xfId="5" applyFont="1" applyBorder="1"/>
    <xf numFmtId="0" fontId="10" fillId="0" borderId="47" xfId="5" applyFont="1" applyBorder="1"/>
    <xf numFmtId="0" fontId="10" fillId="0" borderId="6" xfId="5" applyFont="1" applyBorder="1"/>
    <xf numFmtId="0" fontId="10" fillId="0" borderId="48" xfId="5" applyFont="1" applyBorder="1"/>
    <xf numFmtId="1" fontId="10" fillId="0" borderId="39" xfId="20" applyNumberFormat="1" applyFont="1" applyFill="1" applyBorder="1" applyAlignment="1">
      <alignment horizontal="center"/>
    </xf>
    <xf numFmtId="1" fontId="10" fillId="0" borderId="49" xfId="5" applyNumberFormat="1" applyFont="1" applyBorder="1" applyAlignment="1">
      <alignment horizontal="center"/>
    </xf>
    <xf numFmtId="0" fontId="10" fillId="0" borderId="25" xfId="5" applyFont="1" applyBorder="1"/>
    <xf numFmtId="0" fontId="10" fillId="0" borderId="3" xfId="5" applyFont="1" applyBorder="1"/>
    <xf numFmtId="0" fontId="10" fillId="0" borderId="5" xfId="5" applyFont="1" applyBorder="1"/>
    <xf numFmtId="0" fontId="10" fillId="0" borderId="42" xfId="5" applyFont="1" applyBorder="1"/>
    <xf numFmtId="0" fontId="10" fillId="0" borderId="44" xfId="5" applyFont="1" applyBorder="1"/>
    <xf numFmtId="3" fontId="10" fillId="0" borderId="50" xfId="5" applyNumberFormat="1" applyFont="1" applyBorder="1" applyAlignment="1">
      <alignment horizontal="center"/>
    </xf>
    <xf numFmtId="3" fontId="10" fillId="0" borderId="50" xfId="5" applyNumberFormat="1" applyFont="1" applyBorder="1"/>
    <xf numFmtId="1" fontId="10" fillId="0" borderId="50" xfId="20" applyNumberFormat="1" applyFont="1" applyFill="1" applyBorder="1"/>
    <xf numFmtId="2" fontId="10" fillId="0" borderId="51" xfId="5" applyNumberFormat="1" applyFont="1" applyBorder="1" applyAlignment="1">
      <alignment horizontal="center"/>
    </xf>
    <xf numFmtId="1" fontId="10" fillId="0" borderId="50" xfId="5" applyNumberFormat="1" applyFont="1" applyBorder="1" applyAlignment="1">
      <alignment horizontal="center"/>
    </xf>
    <xf numFmtId="0" fontId="10" fillId="0" borderId="5" xfId="5" applyFont="1" applyBorder="1" applyAlignment="1">
      <alignment horizontal="center"/>
    </xf>
    <xf numFmtId="1" fontId="10" fillId="0" borderId="5" xfId="20" quotePrefix="1" applyNumberFormat="1" applyFont="1" applyFill="1" applyBorder="1" applyAlignment="1">
      <alignment horizontal="center"/>
    </xf>
    <xf numFmtId="1" fontId="10" fillId="0" borderId="5" xfId="5" applyNumberFormat="1" applyFont="1" applyBorder="1" applyAlignment="1">
      <alignment horizontal="center"/>
    </xf>
    <xf numFmtId="0" fontId="10" fillId="0" borderId="31" xfId="5" applyFont="1" applyBorder="1"/>
    <xf numFmtId="179" fontId="10" fillId="0" borderId="5" xfId="21" applyNumberFormat="1" applyFont="1" applyFill="1" applyBorder="1"/>
    <xf numFmtId="9" fontId="10" fillId="0" borderId="5" xfId="19" applyFont="1" applyFill="1" applyBorder="1" applyAlignment="1">
      <alignment horizontal="center"/>
    </xf>
    <xf numFmtId="187" fontId="10" fillId="0" borderId="5" xfId="20" applyNumberFormat="1" applyFont="1" applyFill="1" applyBorder="1"/>
    <xf numFmtId="1" fontId="10" fillId="0" borderId="0" xfId="5" applyNumberFormat="1" applyFont="1" applyAlignment="1">
      <alignment horizontal="center"/>
    </xf>
    <xf numFmtId="1" fontId="42" fillId="0" borderId="0" xfId="20" applyNumberFormat="1" applyFont="1" applyFill="1" applyAlignment="1">
      <alignment horizontal="centerContinuous"/>
    </xf>
    <xf numFmtId="1" fontId="10" fillId="0" borderId="0" xfId="5" applyNumberFormat="1" applyFont="1" applyAlignment="1">
      <alignment horizontal="centerContinuous"/>
    </xf>
    <xf numFmtId="4" fontId="42" fillId="0" borderId="46" xfId="5" applyNumberFormat="1" applyFont="1" applyBorder="1"/>
    <xf numFmtId="0" fontId="10" fillId="0" borderId="52" xfId="5" applyFont="1" applyBorder="1" applyAlignment="1">
      <alignment horizontal="centerContinuous"/>
    </xf>
    <xf numFmtId="0" fontId="10" fillId="0" borderId="30" xfId="5" applyFont="1" applyBorder="1" applyAlignment="1">
      <alignment horizontal="centerContinuous"/>
    </xf>
    <xf numFmtId="1" fontId="10" fillId="0" borderId="53" xfId="20" applyNumberFormat="1" applyFont="1" applyFill="1" applyBorder="1" applyAlignment="1">
      <alignment horizontal="centerContinuous"/>
    </xf>
    <xf numFmtId="2" fontId="10" fillId="0" borderId="53" xfId="5" applyNumberFormat="1" applyFont="1" applyBorder="1" applyAlignment="1">
      <alignment horizontal="center"/>
    </xf>
    <xf numFmtId="1" fontId="10" fillId="0" borderId="30" xfId="5" applyNumberFormat="1" applyFont="1" applyBorder="1" applyAlignment="1">
      <alignment horizontal="center"/>
    </xf>
    <xf numFmtId="1" fontId="10" fillId="0" borderId="4" xfId="20" applyNumberFormat="1" applyFont="1" applyFill="1" applyBorder="1"/>
    <xf numFmtId="9" fontId="10" fillId="0" borderId="4" xfId="3" applyFont="1" applyFill="1" applyBorder="1" applyAlignment="1">
      <alignment horizontal="center"/>
    </xf>
    <xf numFmtId="1" fontId="10" fillId="0" borderId="3" xfId="5" applyNumberFormat="1" applyFont="1" applyBorder="1"/>
    <xf numFmtId="0" fontId="10" fillId="0" borderId="54" xfId="5" applyFont="1" applyBorder="1"/>
    <xf numFmtId="0" fontId="10" fillId="0" borderId="34" xfId="5" applyFont="1" applyBorder="1"/>
    <xf numFmtId="1" fontId="10" fillId="0" borderId="55" xfId="20" applyNumberFormat="1" applyFont="1" applyFill="1" applyBorder="1"/>
    <xf numFmtId="9" fontId="10" fillId="0" borderId="50" xfId="3" applyFont="1" applyFill="1" applyBorder="1" applyAlignment="1">
      <alignment horizontal="center"/>
    </xf>
    <xf numFmtId="1" fontId="10" fillId="0" borderId="35" xfId="5" applyNumberFormat="1" applyFont="1" applyBorder="1"/>
    <xf numFmtId="4" fontId="10" fillId="0" borderId="45" xfId="5" applyNumberFormat="1" applyFont="1" applyBorder="1"/>
    <xf numFmtId="0" fontId="42" fillId="0" borderId="0" xfId="5" applyFont="1" applyAlignment="1">
      <alignment horizontal="centerContinuous"/>
    </xf>
    <xf numFmtId="1" fontId="10" fillId="0" borderId="0" xfId="20" applyNumberFormat="1" applyFont="1" applyFill="1" applyAlignment="1">
      <alignment horizontal="centerContinuous"/>
    </xf>
    <xf numFmtId="0" fontId="6" fillId="0" borderId="0" xfId="0" applyFont="1" applyAlignment="1">
      <alignment horizontal="center" vertical="center"/>
    </xf>
    <xf numFmtId="0" fontId="21" fillId="0" borderId="0" xfId="0" applyFont="1" applyAlignment="1">
      <alignment horizontal="center" vertical="center"/>
    </xf>
    <xf numFmtId="0" fontId="22" fillId="0" borderId="0" xfId="9"/>
    <xf numFmtId="16" fontId="2" fillId="0" borderId="0" xfId="0" applyNumberFormat="1" applyFont="1" applyAlignment="1">
      <alignment vertical="center"/>
    </xf>
    <xf numFmtId="0" fontId="30" fillId="13" borderId="56" xfId="11" applyBorder="1" applyAlignment="1">
      <alignment vertical="center"/>
    </xf>
    <xf numFmtId="0" fontId="30" fillId="13" borderId="56" xfId="11" applyBorder="1" applyAlignment="1">
      <alignment horizontal="center" vertical="center"/>
    </xf>
    <xf numFmtId="0" fontId="31" fillId="14" borderId="0" xfId="12" applyAlignment="1">
      <alignment vertical="center"/>
    </xf>
    <xf numFmtId="0" fontId="31" fillId="14" borderId="5" xfId="12" applyBorder="1" applyAlignment="1">
      <alignment horizontal="center" vertical="center"/>
    </xf>
    <xf numFmtId="0" fontId="31" fillId="14" borderId="0" xfId="12" applyAlignment="1">
      <alignment horizontal="center" vertical="center"/>
    </xf>
    <xf numFmtId="0" fontId="31" fillId="10" borderId="0" xfId="12" applyFill="1" applyAlignment="1">
      <alignment vertical="center"/>
    </xf>
    <xf numFmtId="0" fontId="30" fillId="10" borderId="56" xfId="11" applyFill="1" applyBorder="1" applyAlignment="1">
      <alignment vertical="center"/>
    </xf>
    <xf numFmtId="0" fontId="2" fillId="10" borderId="0" xfId="0" applyFont="1" applyFill="1" applyAlignment="1">
      <alignment vertical="center"/>
    </xf>
    <xf numFmtId="0" fontId="2" fillId="0" borderId="27" xfId="0" applyFont="1" applyBorder="1" applyAlignment="1">
      <alignment vertical="center"/>
    </xf>
    <xf numFmtId="0" fontId="6" fillId="0" borderId="26" xfId="0" applyFont="1" applyBorder="1" applyAlignment="1">
      <alignment vertical="center"/>
    </xf>
    <xf numFmtId="0" fontId="2" fillId="0" borderId="26" xfId="0" applyFont="1" applyBorder="1" applyAlignment="1">
      <alignment vertical="center"/>
    </xf>
    <xf numFmtId="16" fontId="2" fillId="10" borderId="0" xfId="0" applyNumberFormat="1" applyFont="1" applyFill="1" applyAlignment="1">
      <alignment horizontal="right" vertical="center"/>
    </xf>
    <xf numFmtId="0" fontId="2" fillId="0" borderId="26" xfId="0" applyFont="1" applyBorder="1" applyAlignment="1">
      <alignment horizontal="center" vertical="center"/>
    </xf>
    <xf numFmtId="0" fontId="2" fillId="0" borderId="57" xfId="0" applyFont="1" applyBorder="1" applyAlignment="1">
      <alignment vertical="center"/>
    </xf>
    <xf numFmtId="0" fontId="2" fillId="0" borderId="58" xfId="0" applyFont="1" applyBorder="1" applyAlignment="1">
      <alignment vertical="center"/>
    </xf>
    <xf numFmtId="0" fontId="2" fillId="10" borderId="57" xfId="0" applyFont="1" applyFill="1" applyBorder="1" applyAlignment="1">
      <alignment horizontal="center" vertical="center"/>
    </xf>
    <xf numFmtId="0" fontId="2" fillId="10" borderId="59" xfId="0" applyFont="1" applyFill="1" applyBorder="1" applyAlignment="1">
      <alignment horizontal="center" vertical="center"/>
    </xf>
    <xf numFmtId="0" fontId="31" fillId="14" borderId="28" xfId="12" applyBorder="1" applyAlignment="1">
      <alignment vertical="center"/>
    </xf>
    <xf numFmtId="0" fontId="31" fillId="14" borderId="0" xfId="12" applyBorder="1" applyAlignment="1">
      <alignment vertical="center"/>
    </xf>
    <xf numFmtId="0" fontId="31" fillId="14" borderId="61" xfId="12" applyBorder="1" applyAlignment="1">
      <alignment horizontal="center" vertical="center"/>
    </xf>
    <xf numFmtId="0" fontId="31" fillId="14" borderId="0" xfId="12" applyBorder="1" applyAlignment="1">
      <alignment horizontal="center" vertical="center"/>
    </xf>
    <xf numFmtId="0" fontId="30" fillId="10" borderId="63" xfId="11" applyFill="1" applyBorder="1" applyAlignment="1">
      <alignment vertical="center"/>
    </xf>
    <xf numFmtId="0" fontId="30" fillId="13" borderId="64" xfId="11" applyBorder="1" applyAlignment="1">
      <alignment vertical="center"/>
    </xf>
    <xf numFmtId="0" fontId="30" fillId="13" borderId="63" xfId="11" applyBorder="1" applyAlignment="1">
      <alignment vertical="center"/>
    </xf>
    <xf numFmtId="0" fontId="30" fillId="13" borderId="64" xfId="11" applyBorder="1" applyAlignment="1">
      <alignment horizontal="center" vertical="center"/>
    </xf>
    <xf numFmtId="0" fontId="30" fillId="13" borderId="66" xfId="11" applyBorder="1" applyAlignment="1">
      <alignment vertical="center"/>
    </xf>
    <xf numFmtId="0" fontId="31" fillId="10" borderId="60" xfId="12" applyFill="1" applyBorder="1" applyAlignment="1">
      <alignment vertical="center"/>
    </xf>
    <xf numFmtId="0" fontId="31" fillId="10" borderId="27" xfId="12" applyFill="1" applyBorder="1" applyAlignment="1">
      <alignment vertical="center"/>
    </xf>
    <xf numFmtId="0" fontId="31" fillId="14" borderId="58" xfId="12" applyBorder="1" applyAlignment="1">
      <alignment vertical="center"/>
    </xf>
    <xf numFmtId="0" fontId="61" fillId="0" borderId="0" xfId="0" applyFont="1"/>
    <xf numFmtId="0" fontId="0" fillId="0" borderId="10" xfId="0" applyBorder="1"/>
    <xf numFmtId="0" fontId="0" fillId="0" borderId="5" xfId="0" applyBorder="1"/>
    <xf numFmtId="0" fontId="0" fillId="20" borderId="0" xfId="0" applyFill="1"/>
    <xf numFmtId="0" fontId="0" fillId="22" borderId="0" xfId="0" applyFill="1"/>
    <xf numFmtId="0" fontId="0" fillId="7" borderId="0" xfId="0" applyFill="1"/>
    <xf numFmtId="0" fontId="0" fillId="16" borderId="0" xfId="0" applyFill="1"/>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2" fontId="0" fillId="0" borderId="0" xfId="0" applyNumberFormat="1" applyAlignment="1">
      <alignment horizontal="center" vertical="center"/>
    </xf>
    <xf numFmtId="0" fontId="0" fillId="0" borderId="5" xfId="0" applyBorder="1" applyAlignment="1">
      <alignment horizontal="center" vertical="center"/>
    </xf>
    <xf numFmtId="0" fontId="4" fillId="0" borderId="0" xfId="14" applyAlignment="1">
      <alignment horizontal="center" vertical="center"/>
    </xf>
    <xf numFmtId="169" fontId="48" fillId="0" borderId="0" xfId="15" applyFont="1" applyAlignment="1">
      <alignment horizontal="center" vertical="center"/>
    </xf>
    <xf numFmtId="180" fontId="50" fillId="13" borderId="0" xfId="16" applyNumberFormat="1" applyFont="1" applyAlignment="1">
      <alignment horizontal="center" vertical="center"/>
    </xf>
    <xf numFmtId="0" fontId="54" fillId="0" borderId="0" xfId="14" applyFont="1" applyAlignment="1">
      <alignment horizontal="center" vertical="center"/>
    </xf>
    <xf numFmtId="180" fontId="1" fillId="0" borderId="0" xfId="17" applyNumberFormat="1" applyAlignment="1">
      <alignment horizontal="center" vertical="center"/>
    </xf>
    <xf numFmtId="0" fontId="52" fillId="0" borderId="0" xfId="14" applyFont="1" applyAlignment="1">
      <alignment horizontal="center" vertical="center"/>
    </xf>
    <xf numFmtId="169" fontId="4" fillId="0" borderId="0" xfId="14" applyNumberFormat="1" applyAlignment="1">
      <alignment horizontal="center" vertical="center"/>
    </xf>
    <xf numFmtId="0" fontId="49" fillId="9" borderId="5" xfId="14" applyFont="1" applyFill="1" applyBorder="1" applyAlignment="1">
      <alignment horizontal="center" vertical="center"/>
    </xf>
    <xf numFmtId="0" fontId="48" fillId="9" borderId="5" xfId="14" applyFont="1" applyFill="1" applyBorder="1" applyAlignment="1">
      <alignment horizontal="center" vertical="center"/>
    </xf>
    <xf numFmtId="179" fontId="48" fillId="19" borderId="5" xfId="15" applyNumberFormat="1" applyFont="1" applyFill="1" applyBorder="1" applyAlignment="1">
      <alignment horizontal="center" vertical="center"/>
    </xf>
    <xf numFmtId="0" fontId="48" fillId="20" borderId="5" xfId="14" applyFont="1" applyFill="1" applyBorder="1" applyAlignment="1">
      <alignment horizontal="center" vertical="center"/>
    </xf>
    <xf numFmtId="9" fontId="48" fillId="20" borderId="5" xfId="14" applyNumberFormat="1" applyFont="1" applyFill="1" applyBorder="1" applyAlignment="1">
      <alignment horizontal="center" vertical="center"/>
    </xf>
    <xf numFmtId="179" fontId="49" fillId="19" borderId="5" xfId="15" applyNumberFormat="1" applyFont="1" applyFill="1" applyBorder="1" applyAlignment="1">
      <alignment horizontal="center" vertical="center"/>
    </xf>
    <xf numFmtId="169" fontId="48" fillId="0" borderId="5" xfId="14" applyNumberFormat="1" applyFont="1" applyBorder="1" applyAlignment="1">
      <alignment horizontal="center" vertical="center"/>
    </xf>
    <xf numFmtId="0" fontId="48" fillId="0" borderId="5" xfId="14" applyFont="1" applyBorder="1" applyAlignment="1">
      <alignment horizontal="center" vertical="center"/>
    </xf>
    <xf numFmtId="170" fontId="48" fillId="0" borderId="5" xfId="1" applyFont="1" applyBorder="1" applyAlignment="1">
      <alignment horizontal="center" vertical="center"/>
    </xf>
    <xf numFmtId="10" fontId="48" fillId="20" borderId="5" xfId="19" applyNumberFormat="1" applyFont="1" applyFill="1" applyBorder="1" applyAlignment="1">
      <alignment horizontal="center" vertical="center"/>
    </xf>
    <xf numFmtId="169" fontId="48" fillId="19" borderId="5" xfId="15" applyFont="1" applyFill="1" applyBorder="1" applyAlignment="1">
      <alignment horizontal="center" vertical="center"/>
    </xf>
    <xf numFmtId="169" fontId="49" fillId="19" borderId="5" xfId="15" applyFont="1" applyFill="1" applyBorder="1" applyAlignment="1">
      <alignment horizontal="center" vertical="center"/>
    </xf>
    <xf numFmtId="170" fontId="49" fillId="9" borderId="5" xfId="1" applyFont="1" applyFill="1" applyBorder="1" applyAlignment="1">
      <alignment horizontal="center" vertical="center"/>
    </xf>
    <xf numFmtId="179" fontId="0" fillId="0" borderId="0" xfId="0" applyNumberFormat="1" applyAlignment="1">
      <alignment horizontal="center" vertical="center"/>
    </xf>
    <xf numFmtId="186" fontId="48" fillId="19" borderId="5" xfId="15" applyNumberFormat="1" applyFont="1" applyFill="1" applyBorder="1" applyAlignment="1">
      <alignment horizontal="center" vertical="center"/>
    </xf>
    <xf numFmtId="169" fontId="47" fillId="5" borderId="5" xfId="14" applyNumberFormat="1" applyFont="1" applyFill="1" applyBorder="1" applyAlignment="1">
      <alignment horizontal="center" vertical="center"/>
    </xf>
    <xf numFmtId="9" fontId="47" fillId="5" borderId="5" xfId="14" applyNumberFormat="1" applyFont="1" applyFill="1" applyBorder="1" applyAlignment="1">
      <alignment horizontal="center" vertical="center"/>
    </xf>
    <xf numFmtId="169" fontId="0" fillId="0" borderId="0" xfId="0" applyNumberFormat="1" applyAlignment="1">
      <alignment horizontal="center" vertical="center"/>
    </xf>
    <xf numFmtId="185" fontId="48" fillId="0" borderId="0" xfId="15" applyNumberFormat="1" applyFont="1" applyAlignment="1">
      <alignment horizontal="center" vertical="center"/>
    </xf>
    <xf numFmtId="10" fontId="4" fillId="0" borderId="0" xfId="3" applyNumberFormat="1" applyFont="1" applyAlignment="1">
      <alignment horizontal="center" vertical="center"/>
    </xf>
    <xf numFmtId="169" fontId="4" fillId="0" borderId="0" xfId="13" applyFont="1" applyAlignment="1">
      <alignment horizontal="center" vertical="center"/>
    </xf>
    <xf numFmtId="11" fontId="6" fillId="0" borderId="0" xfId="0" applyNumberFormat="1" applyFont="1" applyAlignment="1">
      <alignment vertical="center"/>
    </xf>
    <xf numFmtId="173" fontId="6" fillId="0" borderId="5" xfId="0" applyNumberFormat="1" applyFont="1" applyBorder="1" applyAlignment="1">
      <alignment horizontal="center" vertical="center"/>
    </xf>
    <xf numFmtId="0" fontId="3" fillId="0" borderId="1" xfId="0" applyFont="1" applyBorder="1" applyAlignment="1">
      <alignment horizontal="center" vertical="center"/>
    </xf>
    <xf numFmtId="0" fontId="25" fillId="0" borderId="1" xfId="0" applyFont="1" applyBorder="1"/>
    <xf numFmtId="0" fontId="25" fillId="0" borderId="1" xfId="0" applyFont="1" applyBorder="1" applyAlignment="1">
      <alignment horizontal="center" vertical="center"/>
    </xf>
    <xf numFmtId="0" fontId="3" fillId="0" borderId="1" xfId="0" applyFont="1" applyBorder="1" applyAlignment="1">
      <alignment vertical="center"/>
    </xf>
    <xf numFmtId="0" fontId="43" fillId="0" borderId="1" xfId="0" applyFont="1" applyBorder="1" applyAlignment="1">
      <alignment vertical="center"/>
    </xf>
    <xf numFmtId="0" fontId="6" fillId="10" borderId="7" xfId="0" applyFont="1" applyFill="1" applyBorder="1" applyAlignment="1">
      <alignment horizontal="center" vertical="center"/>
    </xf>
    <xf numFmtId="0" fontId="12" fillId="3" borderId="0" xfId="4" applyFont="1" applyFill="1" applyAlignment="1">
      <alignment horizontal="center" vertical="center" wrapText="1"/>
    </xf>
    <xf numFmtId="0" fontId="12" fillId="3" borderId="0" xfId="4" applyFont="1" applyFill="1" applyAlignment="1">
      <alignment horizontal="justify" vertical="justify" wrapText="1"/>
    </xf>
    <xf numFmtId="0" fontId="16" fillId="3" borderId="0" xfId="4" applyFont="1" applyFill="1" applyAlignment="1">
      <alignment horizontal="justify" vertical="justify" wrapText="1"/>
    </xf>
    <xf numFmtId="0" fontId="10" fillId="0" borderId="0" xfId="4" applyFont="1" applyAlignment="1">
      <alignment vertical="justify" wrapText="1"/>
    </xf>
    <xf numFmtId="10" fontId="12" fillId="0" borderId="0" xfId="3" applyNumberFormat="1" applyFont="1" applyFill="1" applyBorder="1" applyAlignment="1">
      <alignment horizontal="center" wrapText="1"/>
    </xf>
    <xf numFmtId="0" fontId="12" fillId="3" borderId="0" xfId="4" applyFont="1" applyFill="1" applyAlignment="1">
      <alignment horizontal="centerContinuous" vertical="center" wrapText="1"/>
    </xf>
    <xf numFmtId="0" fontId="12" fillId="11" borderId="69" xfId="4" applyFont="1" applyFill="1" applyBorder="1" applyAlignment="1">
      <alignment horizontal="centerContinuous" vertical="center" wrapText="1"/>
    </xf>
    <xf numFmtId="0" fontId="64" fillId="11" borderId="70" xfId="4" applyFont="1" applyFill="1" applyBorder="1" applyAlignment="1">
      <alignment horizontal="centerContinuous" vertical="center" wrapText="1"/>
    </xf>
    <xf numFmtId="0" fontId="9" fillId="3" borderId="71" xfId="4" applyFont="1" applyFill="1" applyBorder="1" applyAlignment="1">
      <alignment horizontal="center" vertical="center" wrapText="1"/>
    </xf>
    <xf numFmtId="0" fontId="12" fillId="3" borderId="72" xfId="4" applyFont="1" applyFill="1" applyBorder="1" applyAlignment="1">
      <alignment horizontal="centerContinuous" vertical="center" wrapText="1"/>
    </xf>
    <xf numFmtId="0" fontId="9" fillId="3" borderId="73" xfId="4" applyFont="1" applyFill="1" applyBorder="1" applyAlignment="1">
      <alignment horizontal="centerContinuous" vertical="center" wrapText="1"/>
    </xf>
    <xf numFmtId="0" fontId="12" fillId="0" borderId="71" xfId="4" applyFont="1" applyBorder="1" applyAlignment="1">
      <alignment horizontal="center" vertical="center" wrapText="1"/>
    </xf>
    <xf numFmtId="0" fontId="11" fillId="4" borderId="5" xfId="4" applyFont="1" applyFill="1" applyBorder="1" applyAlignment="1">
      <alignment horizontal="center" vertical="center" wrapText="1"/>
    </xf>
    <xf numFmtId="0" fontId="11" fillId="4" borderId="5" xfId="4" applyFont="1" applyFill="1" applyBorder="1" applyAlignment="1">
      <alignment horizontal="centerContinuous" vertical="center" wrapText="1"/>
    </xf>
    <xf numFmtId="0" fontId="11" fillId="0" borderId="0" xfId="4" applyFont="1" applyAlignment="1">
      <alignment horizontal="centerContinuous" vertical="center" wrapText="1"/>
    </xf>
    <xf numFmtId="179" fontId="0" fillId="0" borderId="0" xfId="0" applyNumberFormat="1"/>
    <xf numFmtId="179" fontId="15" fillId="3" borderId="0" xfId="6" applyNumberFormat="1" applyFont="1" applyFill="1" applyBorder="1" applyAlignment="1">
      <alignment horizontal="right" vertical="center" wrapText="1"/>
    </xf>
    <xf numFmtId="0" fontId="15" fillId="3" borderId="0" xfId="4" applyFont="1" applyFill="1" applyAlignment="1">
      <alignment horizontal="center" vertical="center" wrapText="1"/>
    </xf>
    <xf numFmtId="174" fontId="12" fillId="3" borderId="74" xfId="6" applyNumberFormat="1" applyFont="1" applyFill="1" applyBorder="1" applyAlignment="1">
      <alignment horizontal="right" vertical="center" wrapText="1"/>
    </xf>
    <xf numFmtId="0" fontId="45" fillId="0" borderId="0" xfId="0" applyFont="1" applyAlignment="1">
      <alignment horizontal="center"/>
    </xf>
    <xf numFmtId="179" fontId="2" fillId="0" borderId="0" xfId="0" applyNumberFormat="1" applyFont="1" applyAlignment="1">
      <alignment horizontal="center"/>
    </xf>
    <xf numFmtId="179" fontId="4" fillId="0" borderId="1" xfId="0" applyNumberFormat="1" applyFont="1" applyBorder="1"/>
    <xf numFmtId="179" fontId="3" fillId="0" borderId="1" xfId="0" applyNumberFormat="1" applyFont="1" applyBorder="1"/>
    <xf numFmtId="179" fontId="4" fillId="0" borderId="1" xfId="1" applyNumberFormat="1" applyFont="1" applyFill="1" applyBorder="1" applyAlignment="1" applyProtection="1">
      <alignment horizontal="right" vertical="center" wrapText="1"/>
    </xf>
    <xf numFmtId="179" fontId="3" fillId="0" borderId="1" xfId="0" applyNumberFormat="1" applyFont="1" applyBorder="1" applyAlignment="1">
      <alignment horizontal="center" vertical="center"/>
    </xf>
    <xf numFmtId="179" fontId="25" fillId="0" borderId="1" xfId="0" applyNumberFormat="1" applyFont="1" applyBorder="1"/>
    <xf numFmtId="179" fontId="3" fillId="0" borderId="0" xfId="0" applyNumberFormat="1" applyFont="1"/>
    <xf numFmtId="179" fontId="4" fillId="0" borderId="1" xfId="0" applyNumberFormat="1" applyFont="1" applyBorder="1" applyAlignment="1">
      <alignment horizontal="center" vertical="center"/>
    </xf>
    <xf numFmtId="179" fontId="0" fillId="0" borderId="0" xfId="0" applyNumberFormat="1" applyAlignment="1">
      <alignment horizontal="center"/>
    </xf>
    <xf numFmtId="179" fontId="33" fillId="0" borderId="18" xfId="0" applyNumberFormat="1" applyFont="1" applyBorder="1" applyAlignment="1">
      <alignment horizontal="center"/>
    </xf>
    <xf numFmtId="179" fontId="0" fillId="0" borderId="16" xfId="0" applyNumberFormat="1" applyBorder="1" applyAlignment="1">
      <alignment horizontal="center"/>
    </xf>
    <xf numFmtId="168" fontId="2" fillId="0" borderId="0" xfId="0" applyNumberFormat="1" applyFont="1" applyAlignment="1">
      <alignment vertical="center"/>
    </xf>
    <xf numFmtId="0" fontId="6" fillId="0" borderId="5" xfId="0" applyFont="1" applyBorder="1" applyAlignment="1" applyProtection="1">
      <alignment vertical="center" wrapText="1"/>
      <protection hidden="1"/>
    </xf>
    <xf numFmtId="179" fontId="7" fillId="2" borderId="1" xfId="2" applyNumberFormat="1" applyBorder="1" applyAlignment="1">
      <alignment horizontal="center" vertical="center"/>
    </xf>
    <xf numFmtId="0" fontId="68" fillId="25" borderId="76" xfId="0" applyFont="1" applyFill="1" applyBorder="1" applyAlignment="1">
      <alignment horizontal="center" vertical="center" wrapText="1"/>
    </xf>
    <xf numFmtId="1" fontId="68" fillId="25" borderId="76" xfId="0" applyNumberFormat="1" applyFont="1" applyFill="1" applyBorder="1" applyAlignment="1">
      <alignment horizontal="center" vertical="center" wrapText="1"/>
    </xf>
    <xf numFmtId="0" fontId="68" fillId="26" borderId="76" xfId="0" applyFont="1" applyFill="1" applyBorder="1" applyAlignment="1">
      <alignment horizontal="center" vertical="center" wrapText="1" readingOrder="1"/>
    </xf>
    <xf numFmtId="175" fontId="1" fillId="24" borderId="76" xfId="0" applyNumberFormat="1" applyFont="1" applyFill="1" applyBorder="1" applyAlignment="1">
      <alignment horizontal="center" vertical="center"/>
    </xf>
    <xf numFmtId="0" fontId="1" fillId="24" borderId="76" xfId="0" applyFont="1" applyFill="1" applyBorder="1" applyAlignment="1">
      <alignment horizontal="center" vertical="center"/>
    </xf>
    <xf numFmtId="175" fontId="1" fillId="27" borderId="76" xfId="0" applyNumberFormat="1" applyFont="1" applyFill="1" applyBorder="1" applyAlignment="1">
      <alignment vertical="center"/>
    </xf>
    <xf numFmtId="175" fontId="70" fillId="27" borderId="76" xfId="0" applyNumberFormat="1" applyFont="1" applyFill="1" applyBorder="1" applyAlignment="1">
      <alignment vertical="center" wrapText="1" readingOrder="1"/>
    </xf>
    <xf numFmtId="0" fontId="1" fillId="27" borderId="76" xfId="0" applyFont="1" applyFill="1" applyBorder="1" applyAlignment="1">
      <alignment vertical="center"/>
    </xf>
    <xf numFmtId="175" fontId="68" fillId="26" borderId="76" xfId="0" applyNumberFormat="1" applyFont="1" applyFill="1" applyBorder="1" applyAlignment="1">
      <alignment horizontal="center" vertical="center" wrapText="1" readingOrder="1"/>
    </xf>
    <xf numFmtId="167" fontId="70" fillId="26" borderId="76" xfId="22" applyFont="1" applyFill="1" applyBorder="1" applyAlignment="1">
      <alignment vertical="center" wrapText="1" readingOrder="1"/>
    </xf>
    <xf numFmtId="179" fontId="3" fillId="0" borderId="0" xfId="0" applyNumberFormat="1" applyFont="1" applyAlignment="1">
      <alignment horizontal="center" vertical="center"/>
    </xf>
    <xf numFmtId="0" fontId="3" fillId="0" borderId="1" xfId="0" applyFont="1" applyBorder="1" applyAlignment="1">
      <alignment vertical="center" wrapText="1"/>
    </xf>
    <xf numFmtId="179" fontId="2" fillId="0" borderId="1" xfId="0" applyNumberFormat="1" applyFont="1" applyBorder="1" applyAlignment="1">
      <alignment horizontal="center"/>
    </xf>
    <xf numFmtId="0" fontId="3" fillId="9" borderId="1" xfId="0" applyFont="1" applyFill="1" applyBorder="1" applyAlignment="1">
      <alignment horizontal="center" vertical="center"/>
    </xf>
    <xf numFmtId="179" fontId="7" fillId="9" borderId="1" xfId="2" applyNumberFormat="1" applyFill="1" applyBorder="1"/>
    <xf numFmtId="0" fontId="28" fillId="0" borderId="1" xfId="0" applyFont="1" applyBorder="1" applyAlignment="1">
      <alignment vertical="center" wrapText="1"/>
    </xf>
    <xf numFmtId="179" fontId="25" fillId="0" borderId="1" xfId="0" applyNumberFormat="1" applyFont="1" applyBorder="1" applyAlignment="1">
      <alignment horizontal="center" vertical="center"/>
    </xf>
    <xf numFmtId="179" fontId="4" fillId="0" borderId="1" xfId="1" applyNumberFormat="1" applyFont="1" applyFill="1" applyBorder="1" applyAlignment="1" applyProtection="1">
      <alignment horizontal="center" vertical="center" wrapText="1"/>
    </xf>
    <xf numFmtId="179" fontId="7" fillId="2" borderId="1" xfId="2" applyNumberFormat="1" applyBorder="1" applyAlignment="1" applyProtection="1">
      <alignment horizontal="center" vertical="center" wrapText="1"/>
    </xf>
    <xf numFmtId="179" fontId="7" fillId="9" borderId="1" xfId="2" applyNumberFormat="1" applyFill="1" applyBorder="1" applyAlignment="1">
      <alignment horizontal="center" vertical="center"/>
    </xf>
    <xf numFmtId="179" fontId="7" fillId="22" borderId="1" xfId="2" applyNumberFormat="1" applyFill="1" applyBorder="1" applyAlignment="1">
      <alignment horizontal="center" vertical="center"/>
    </xf>
    <xf numFmtId="179" fontId="3" fillId="22" borderId="1" xfId="0" applyNumberFormat="1" applyFont="1" applyFill="1" applyBorder="1" applyAlignment="1">
      <alignment horizontal="center" vertical="center"/>
    </xf>
    <xf numFmtId="179" fontId="7" fillId="2" borderId="79" xfId="2" applyNumberFormat="1" applyBorder="1" applyAlignment="1">
      <alignment horizontal="center"/>
    </xf>
    <xf numFmtId="179" fontId="7" fillId="2" borderId="81" xfId="2" applyNumberFormat="1" applyBorder="1" applyAlignment="1">
      <alignment horizontal="center"/>
    </xf>
    <xf numFmtId="179" fontId="27" fillId="0" borderId="1" xfId="0" applyNumberFormat="1" applyFont="1" applyBorder="1" applyAlignment="1">
      <alignment horizontal="center" vertical="center"/>
    </xf>
    <xf numFmtId="193" fontId="27" fillId="0" borderId="1" xfId="0" applyNumberFormat="1" applyFont="1" applyBorder="1" applyAlignment="1">
      <alignment horizontal="center" vertical="center"/>
    </xf>
    <xf numFmtId="0" fontId="23" fillId="0" borderId="0" xfId="0" applyFont="1" applyAlignment="1">
      <alignment vertical="center"/>
    </xf>
    <xf numFmtId="0" fontId="25" fillId="0" borderId="0" xfId="0" applyFont="1" applyAlignment="1">
      <alignment vertical="center"/>
    </xf>
    <xf numFmtId="0" fontId="26" fillId="0" borderId="0" xfId="0" applyFont="1" applyAlignment="1">
      <alignment horizontal="center" vertical="center"/>
    </xf>
    <xf numFmtId="0" fontId="17" fillId="0" borderId="1" xfId="4" applyFont="1" applyBorder="1" applyAlignment="1">
      <alignment horizontal="center" vertical="center" wrapText="1"/>
    </xf>
    <xf numFmtId="171" fontId="34" fillId="0" borderId="1" xfId="8" applyNumberFormat="1" applyFont="1" applyFill="1" applyBorder="1" applyAlignment="1" applyProtection="1">
      <alignment horizontal="right" vertical="center" wrapText="1"/>
    </xf>
    <xf numFmtId="0" fontId="74" fillId="0" borderId="1" xfId="0" applyFont="1" applyBorder="1" applyAlignment="1">
      <alignment horizontal="center" vertical="center"/>
    </xf>
    <xf numFmtId="179" fontId="37" fillId="22" borderId="1" xfId="0" applyNumberFormat="1" applyFont="1" applyFill="1" applyBorder="1" applyAlignment="1">
      <alignment horizontal="center" vertical="center"/>
    </xf>
    <xf numFmtId="166" fontId="74" fillId="0" borderId="1" xfId="23" applyFont="1" applyBorder="1" applyAlignment="1">
      <alignment horizontal="center" vertical="center"/>
    </xf>
    <xf numFmtId="0" fontId="75" fillId="0" borderId="1" xfId="0" applyFont="1" applyBorder="1" applyAlignment="1">
      <alignment horizontal="center" vertical="center"/>
    </xf>
    <xf numFmtId="0" fontId="75" fillId="22" borderId="1" xfId="0" applyFont="1" applyFill="1" applyBorder="1" applyAlignment="1">
      <alignment horizontal="center" vertical="center"/>
    </xf>
    <xf numFmtId="194" fontId="75" fillId="0" borderId="1" xfId="23" applyNumberFormat="1" applyFont="1" applyBorder="1" applyAlignment="1">
      <alignment horizontal="center" vertical="center"/>
    </xf>
    <xf numFmtId="193" fontId="27" fillId="0" borderId="5" xfId="0" applyNumberFormat="1" applyFont="1" applyBorder="1" applyAlignment="1">
      <alignment vertical="center"/>
    </xf>
    <xf numFmtId="0" fontId="3" fillId="0" borderId="1" xfId="0" applyFont="1" applyBorder="1" applyAlignment="1">
      <alignment horizontal="center" vertical="center" wrapText="1"/>
    </xf>
    <xf numFmtId="0" fontId="81" fillId="0" borderId="1" xfId="0" applyFont="1" applyBorder="1" applyAlignment="1">
      <alignment horizontal="center" vertical="center" wrapText="1"/>
    </xf>
    <xf numFmtId="179" fontId="76" fillId="29" borderId="1" xfId="24" applyNumberFormat="1" applyBorder="1" applyAlignment="1">
      <alignment horizontal="center"/>
    </xf>
    <xf numFmtId="179" fontId="2" fillId="0" borderId="1" xfId="0" applyNumberFormat="1" applyFont="1" applyBorder="1"/>
    <xf numFmtId="170" fontId="2" fillId="0" borderId="1" xfId="1" applyFont="1" applyBorder="1"/>
    <xf numFmtId="0" fontId="0" fillId="0" borderId="84" xfId="0" applyBorder="1"/>
    <xf numFmtId="193" fontId="0" fillId="0" borderId="5" xfId="0" applyNumberFormat="1" applyBorder="1" applyAlignment="1">
      <alignment vertical="center"/>
    </xf>
    <xf numFmtId="0" fontId="0" fillId="0" borderId="82" xfId="0" applyBorder="1"/>
    <xf numFmtId="0" fontId="0" fillId="0" borderId="85" xfId="0" applyBorder="1"/>
    <xf numFmtId="174" fontId="33" fillId="0" borderId="18" xfId="0" applyNumberFormat="1" applyFont="1" applyBorder="1" applyAlignment="1">
      <alignment horizontal="center"/>
    </xf>
    <xf numFmtId="173" fontId="19" fillId="0" borderId="23" xfId="6" applyFont="1" applyBorder="1" applyAlignment="1">
      <alignment horizontal="center" vertical="center" wrapText="1"/>
    </xf>
    <xf numFmtId="179" fontId="3" fillId="0" borderId="1" xfId="0" applyNumberFormat="1" applyFont="1" applyBorder="1" applyAlignment="1">
      <alignment vertical="center"/>
    </xf>
    <xf numFmtId="0" fontId="4" fillId="0" borderId="0" xfId="0" applyFont="1" applyAlignment="1">
      <alignment vertical="center"/>
    </xf>
    <xf numFmtId="0" fontId="9" fillId="0" borderId="0" xfId="4" applyFont="1" applyAlignment="1">
      <alignment horizontal="center" vertical="center" wrapText="1"/>
    </xf>
    <xf numFmtId="0" fontId="9" fillId="0" borderId="6" xfId="4" applyFont="1" applyBorder="1" applyAlignment="1">
      <alignment horizontal="center" vertical="center" wrapText="1"/>
    </xf>
    <xf numFmtId="171" fontId="9" fillId="0" borderId="71" xfId="6" applyNumberFormat="1" applyFont="1" applyFill="1" applyBorder="1" applyAlignment="1">
      <alignment horizontal="center" vertical="center" wrapText="1"/>
    </xf>
    <xf numFmtId="0" fontId="10" fillId="0" borderId="0" xfId="4" applyFont="1" applyAlignment="1">
      <alignment horizontal="center" vertical="justify" wrapText="1"/>
    </xf>
    <xf numFmtId="0" fontId="11" fillId="4" borderId="87" xfId="4" applyFont="1" applyFill="1" applyBorder="1" applyAlignment="1">
      <alignment horizontal="center" vertical="center" wrapText="1"/>
    </xf>
    <xf numFmtId="0" fontId="11" fillId="4" borderId="88" xfId="4" applyFont="1" applyFill="1" applyBorder="1" applyAlignment="1">
      <alignment horizontal="center" vertical="center" wrapText="1"/>
    </xf>
    <xf numFmtId="172" fontId="11" fillId="4" borderId="89" xfId="5" applyNumberFormat="1" applyFont="1" applyFill="1" applyBorder="1" applyAlignment="1">
      <alignment horizontal="center" vertical="center" wrapText="1"/>
    </xf>
    <xf numFmtId="1" fontId="22" fillId="0" borderId="77" xfId="9" quotePrefix="1" applyNumberFormat="1" applyBorder="1" applyAlignment="1" applyProtection="1">
      <alignment horizontal="center" vertical="center" wrapText="1"/>
      <protection locked="0"/>
    </xf>
    <xf numFmtId="0" fontId="17" fillId="0" borderId="78" xfId="4" applyFont="1" applyBorder="1" applyAlignment="1">
      <alignment horizontal="center" vertical="center" wrapText="1"/>
    </xf>
    <xf numFmtId="1" fontId="22" fillId="0" borderId="79" xfId="9" quotePrefix="1" applyNumberFormat="1" applyBorder="1" applyAlignment="1" applyProtection="1">
      <alignment horizontal="center" vertical="center" wrapText="1"/>
      <protection locked="0"/>
    </xf>
    <xf numFmtId="1" fontId="17" fillId="0" borderId="1" xfId="6" applyNumberFormat="1" applyFont="1" applyFill="1" applyBorder="1" applyAlignment="1">
      <alignment horizontal="center" vertical="center" wrapText="1"/>
    </xf>
    <xf numFmtId="171" fontId="12" fillId="0" borderId="1" xfId="6" applyNumberFormat="1" applyFont="1" applyFill="1" applyBorder="1" applyAlignment="1">
      <alignment horizontal="center" vertical="center" wrapText="1"/>
    </xf>
    <xf numFmtId="171" fontId="12" fillId="0" borderId="80" xfId="6" applyNumberFormat="1" applyFont="1" applyFill="1" applyBorder="1" applyAlignment="1">
      <alignment horizontal="center" vertical="center" wrapText="1"/>
    </xf>
    <xf numFmtId="1" fontId="22" fillId="0" borderId="81" xfId="9" quotePrefix="1" applyNumberFormat="1" applyBorder="1" applyAlignment="1" applyProtection="1">
      <alignment horizontal="center" vertical="center" wrapText="1"/>
      <protection locked="0"/>
    </xf>
    <xf numFmtId="0" fontId="17" fillId="0" borderId="82" xfId="4" applyFont="1" applyBorder="1" applyAlignment="1">
      <alignment horizontal="center" vertical="center" wrapText="1"/>
    </xf>
    <xf numFmtId="0" fontId="17" fillId="0" borderId="82" xfId="4" applyFont="1" applyBorder="1" applyAlignment="1">
      <alignment horizontal="justify" vertical="center" wrapText="1"/>
    </xf>
    <xf numFmtId="1" fontId="17" fillId="0" borderId="82" xfId="6" applyNumberFormat="1" applyFont="1" applyFill="1" applyBorder="1" applyAlignment="1">
      <alignment horizontal="center" vertical="center" wrapText="1"/>
    </xf>
    <xf numFmtId="171" fontId="12" fillId="0" borderId="82" xfId="6" applyNumberFormat="1" applyFont="1" applyFill="1" applyBorder="1" applyAlignment="1">
      <alignment horizontal="center" vertical="center" wrapText="1"/>
    </xf>
    <xf numFmtId="171" fontId="12" fillId="0" borderId="83" xfId="6" applyNumberFormat="1" applyFont="1" applyFill="1" applyBorder="1" applyAlignment="1">
      <alignment horizontal="center" vertical="center" wrapText="1"/>
    </xf>
    <xf numFmtId="0" fontId="4" fillId="0" borderId="1" xfId="4" applyBorder="1" applyAlignment="1">
      <alignment horizontal="justify" vertical="center" wrapText="1"/>
    </xf>
    <xf numFmtId="174" fontId="8" fillId="11" borderId="8" xfId="6" applyNumberFormat="1" applyFont="1" applyFill="1" applyBorder="1" applyAlignment="1">
      <alignment horizontal="right" vertical="center" wrapText="1"/>
    </xf>
    <xf numFmtId="174" fontId="12" fillId="11" borderId="5" xfId="4" applyNumberFormat="1" applyFont="1" applyFill="1" applyBorder="1" applyAlignment="1">
      <alignment horizontal="center" vertical="center" wrapText="1"/>
    </xf>
    <xf numFmtId="179" fontId="10" fillId="3" borderId="0" xfId="4" applyNumberFormat="1" applyFont="1" applyFill="1" applyAlignment="1">
      <alignment horizontal="center" vertical="center" wrapText="1"/>
    </xf>
    <xf numFmtId="179" fontId="83" fillId="0" borderId="0" xfId="4" applyNumberFormat="1" applyFont="1" applyAlignment="1">
      <alignment horizontal="centerContinuous" vertical="center" wrapText="1"/>
    </xf>
    <xf numFmtId="179" fontId="4" fillId="3" borderId="0" xfId="4" applyNumberFormat="1" applyFill="1" applyAlignment="1">
      <alignment horizontal="center" vertical="center" wrapText="1"/>
    </xf>
    <xf numFmtId="179" fontId="82" fillId="10" borderId="0" xfId="3" applyNumberFormat="1" applyFont="1" applyFill="1" applyBorder="1" applyAlignment="1">
      <alignment horizontal="center" vertical="center" wrapText="1"/>
    </xf>
    <xf numFmtId="174" fontId="12" fillId="0" borderId="0" xfId="3" applyNumberFormat="1" applyFont="1" applyFill="1" applyBorder="1" applyAlignment="1">
      <alignment horizontal="center" vertical="center" wrapText="1"/>
    </xf>
    <xf numFmtId="174" fontId="14" fillId="3" borderId="0" xfId="7" applyNumberFormat="1" applyFont="1" applyFill="1"/>
    <xf numFmtId="171" fontId="24" fillId="0" borderId="0" xfId="6" applyNumberFormat="1" applyFont="1" applyFill="1" applyBorder="1" applyAlignment="1">
      <alignment horizontal="center" vertical="center" wrapText="1"/>
    </xf>
    <xf numFmtId="0" fontId="14" fillId="3" borderId="79" xfId="7" applyFont="1" applyFill="1" applyBorder="1"/>
    <xf numFmtId="0" fontId="14" fillId="3" borderId="81" xfId="7" applyFont="1" applyFill="1" applyBorder="1"/>
    <xf numFmtId="0" fontId="14" fillId="3" borderId="80" xfId="7" applyFont="1" applyFill="1" applyBorder="1" applyAlignment="1">
      <alignment horizontal="center"/>
    </xf>
    <xf numFmtId="0" fontId="14" fillId="3" borderId="83" xfId="7" applyFont="1" applyFill="1" applyBorder="1" applyAlignment="1">
      <alignment horizontal="center"/>
    </xf>
    <xf numFmtId="0" fontId="10" fillId="0" borderId="0" xfId="4" applyFont="1" applyAlignment="1">
      <alignment horizontal="centerContinuous" vertical="center" wrapText="1"/>
    </xf>
    <xf numFmtId="174" fontId="10" fillId="3" borderId="0" xfId="4" applyNumberFormat="1" applyFont="1" applyFill="1" applyAlignment="1">
      <alignment horizontal="center" vertical="center" wrapText="1"/>
    </xf>
    <xf numFmtId="174" fontId="42" fillId="3" borderId="0" xfId="4" applyNumberFormat="1" applyFont="1" applyFill="1" applyAlignment="1">
      <alignment horizontal="center" vertical="center" wrapText="1"/>
    </xf>
    <xf numFmtId="0" fontId="10" fillId="9" borderId="19" xfId="4" applyFont="1" applyFill="1" applyBorder="1" applyAlignment="1">
      <alignment horizontal="centerContinuous" vertical="center" wrapText="1"/>
    </xf>
    <xf numFmtId="0" fontId="15" fillId="16" borderId="17" xfId="4" applyFont="1" applyFill="1" applyBorder="1" applyAlignment="1">
      <alignment horizontal="centerContinuous" vertical="center" wrapText="1"/>
    </xf>
    <xf numFmtId="0" fontId="10" fillId="16" borderId="19" xfId="4" applyFont="1" applyFill="1" applyBorder="1" applyAlignment="1">
      <alignment horizontal="centerContinuous" vertical="center" wrapText="1"/>
    </xf>
    <xf numFmtId="174" fontId="14" fillId="3" borderId="96" xfId="7" applyNumberFormat="1" applyFont="1" applyFill="1" applyBorder="1" applyAlignment="1">
      <alignment horizontal="center" vertical="center"/>
    </xf>
    <xf numFmtId="174" fontId="14" fillId="3" borderId="80" xfId="7" applyNumberFormat="1" applyFont="1" applyFill="1" applyBorder="1" applyAlignment="1">
      <alignment horizontal="center" vertical="center"/>
    </xf>
    <xf numFmtId="0" fontId="42" fillId="9" borderId="17" xfId="4" applyFont="1" applyFill="1" applyBorder="1" applyAlignment="1">
      <alignment horizontal="centerContinuous" vertical="center" wrapText="1"/>
    </xf>
    <xf numFmtId="0" fontId="14" fillId="17" borderId="95" xfId="7" applyFont="1" applyFill="1" applyBorder="1" applyAlignment="1">
      <alignment horizontal="center" vertical="center"/>
    </xf>
    <xf numFmtId="174" fontId="14" fillId="17" borderId="96" xfId="7" applyNumberFormat="1" applyFont="1" applyFill="1" applyBorder="1" applyAlignment="1">
      <alignment vertical="center"/>
    </xf>
    <xf numFmtId="0" fontId="14" fillId="17" borderId="79" xfId="7" applyFont="1" applyFill="1" applyBorder="1" applyAlignment="1">
      <alignment horizontal="center" vertical="center"/>
    </xf>
    <xf numFmtId="174" fontId="14" fillId="17" borderId="80" xfId="7" applyNumberFormat="1" applyFont="1" applyFill="1" applyBorder="1" applyAlignment="1">
      <alignment vertical="center"/>
    </xf>
    <xf numFmtId="0" fontId="14" fillId="17" borderId="80" xfId="7" applyFont="1" applyFill="1" applyBorder="1"/>
    <xf numFmtId="0" fontId="14" fillId="17" borderId="81" xfId="7" applyFont="1" applyFill="1" applyBorder="1" applyAlignment="1">
      <alignment horizontal="center" vertical="center"/>
    </xf>
    <xf numFmtId="0" fontId="14" fillId="17" borderId="83" xfId="7" applyFont="1" applyFill="1" applyBorder="1"/>
    <xf numFmtId="174" fontId="12" fillId="17" borderId="0" xfId="3" applyNumberFormat="1" applyFont="1" applyFill="1" applyBorder="1" applyAlignment="1">
      <alignment horizontal="center" vertical="center" wrapText="1"/>
    </xf>
    <xf numFmtId="174" fontId="42" fillId="17" borderId="0" xfId="4" applyNumberFormat="1" applyFont="1" applyFill="1" applyAlignment="1">
      <alignment horizontal="center" vertical="center" wrapText="1"/>
    </xf>
    <xf numFmtId="171" fontId="85" fillId="3" borderId="0" xfId="4" applyNumberFormat="1" applyFont="1" applyFill="1" applyAlignment="1">
      <alignment horizontal="center" vertical="center" wrapText="1"/>
    </xf>
    <xf numFmtId="174" fontId="87" fillId="10" borderId="0" xfId="4" applyNumberFormat="1" applyFont="1" applyFill="1" applyAlignment="1">
      <alignment horizontal="center" vertical="center" wrapText="1"/>
    </xf>
    <xf numFmtId="0" fontId="87" fillId="3" borderId="0" xfId="4" applyFont="1" applyFill="1" applyAlignment="1">
      <alignment horizontal="center" vertical="center" wrapText="1"/>
    </xf>
    <xf numFmtId="3" fontId="88" fillId="3" borderId="0" xfId="4" applyNumberFormat="1" applyFont="1" applyFill="1" applyAlignment="1">
      <alignment horizontal="center" vertical="center" wrapText="1"/>
    </xf>
    <xf numFmtId="0" fontId="89" fillId="0" borderId="0" xfId="4" applyFont="1" applyAlignment="1">
      <alignment horizontal="center" vertical="center" wrapText="1"/>
    </xf>
    <xf numFmtId="0" fontId="88" fillId="3" borderId="0" xfId="4" applyFont="1" applyFill="1" applyAlignment="1">
      <alignment horizontal="center" vertical="center" wrapText="1"/>
    </xf>
    <xf numFmtId="0" fontId="88" fillId="0" borderId="0" xfId="4" applyFont="1" applyAlignment="1">
      <alignment horizontal="center" vertical="center" wrapText="1"/>
    </xf>
    <xf numFmtId="0" fontId="88" fillId="0" borderId="0" xfId="4" applyFont="1" applyAlignment="1" applyProtection="1">
      <alignment horizontal="center" vertical="center" wrapText="1"/>
      <protection locked="0"/>
    </xf>
    <xf numFmtId="174" fontId="88" fillId="0" borderId="0" xfId="4" applyNumberFormat="1" applyFont="1" applyAlignment="1">
      <alignment horizontal="center" vertical="center" wrapText="1"/>
    </xf>
    <xf numFmtId="179" fontId="88" fillId="3" borderId="0" xfId="4" applyNumberFormat="1" applyFont="1" applyFill="1" applyAlignment="1">
      <alignment horizontal="center" vertical="center" wrapText="1"/>
    </xf>
    <xf numFmtId="0" fontId="27" fillId="0" borderId="0" xfId="0" applyFont="1"/>
    <xf numFmtId="0" fontId="91" fillId="31" borderId="113" xfId="0" applyFont="1" applyFill="1" applyBorder="1" applyAlignment="1">
      <alignment horizontal="center" vertical="center" wrapText="1"/>
    </xf>
    <xf numFmtId="193" fontId="91" fillId="31" borderId="113" xfId="0" applyNumberFormat="1" applyFont="1" applyFill="1" applyBorder="1" applyAlignment="1">
      <alignment horizontal="center" vertical="center" wrapText="1"/>
    </xf>
    <xf numFmtId="0" fontId="27" fillId="0" borderId="0" xfId="0" applyFont="1" applyAlignment="1">
      <alignment horizontal="center" vertical="center"/>
    </xf>
    <xf numFmtId="0" fontId="28" fillId="0" borderId="113" xfId="0" applyFont="1" applyBorder="1" applyAlignment="1">
      <alignment horizontal="left" vertical="top" wrapText="1"/>
    </xf>
    <xf numFmtId="1" fontId="92" fillId="0" borderId="113" xfId="0" applyNumberFormat="1" applyFont="1" applyBorder="1" applyAlignment="1">
      <alignment horizontal="center" vertical="top" shrinkToFit="1"/>
    </xf>
    <xf numFmtId="9" fontId="92" fillId="0" borderId="113" xfId="0" applyNumberFormat="1" applyFont="1" applyBorder="1" applyAlignment="1">
      <alignment horizontal="center" vertical="top" shrinkToFit="1"/>
    </xf>
    <xf numFmtId="193" fontId="92" fillId="0" borderId="113" xfId="0" applyNumberFormat="1" applyFont="1" applyBorder="1" applyAlignment="1">
      <alignment horizontal="right" vertical="top" shrinkToFit="1"/>
    </xf>
    <xf numFmtId="175" fontId="92" fillId="0" borderId="113" xfId="0" applyNumberFormat="1" applyFont="1" applyBorder="1" applyAlignment="1">
      <alignment horizontal="center" vertical="top" shrinkToFit="1"/>
    </xf>
    <xf numFmtId="193" fontId="92" fillId="0" borderId="113" xfId="0" applyNumberFormat="1" applyFont="1" applyBorder="1" applyAlignment="1">
      <alignment horizontal="right" vertical="center" shrinkToFit="1"/>
    </xf>
    <xf numFmtId="1" fontId="92" fillId="0" borderId="113" xfId="0" applyNumberFormat="1" applyFont="1" applyBorder="1" applyAlignment="1">
      <alignment horizontal="center" vertical="center" shrinkToFit="1"/>
    </xf>
    <xf numFmtId="9" fontId="92" fillId="0" borderId="113" xfId="0" applyNumberFormat="1" applyFont="1" applyBorder="1" applyAlignment="1">
      <alignment horizontal="center" vertical="center" shrinkToFit="1"/>
    </xf>
    <xf numFmtId="10" fontId="92" fillId="0" borderId="113" xfId="3" applyNumberFormat="1" applyFont="1" applyFill="1" applyBorder="1" applyAlignment="1">
      <alignment horizontal="center" vertical="center" shrinkToFit="1"/>
    </xf>
    <xf numFmtId="193" fontId="93" fillId="0" borderId="113" xfId="0" applyNumberFormat="1" applyFont="1" applyBorder="1" applyAlignment="1">
      <alignment horizontal="right" vertical="center" shrinkToFit="1"/>
    </xf>
    <xf numFmtId="0" fontId="91" fillId="32" borderId="113" xfId="0" applyFont="1" applyFill="1" applyBorder="1" applyAlignment="1">
      <alignment horizontal="left" vertical="top" wrapText="1"/>
    </xf>
    <xf numFmtId="0" fontId="27" fillId="0" borderId="113" xfId="0" applyFont="1" applyBorder="1" applyAlignment="1">
      <alignment horizontal="left" wrapText="1"/>
    </xf>
    <xf numFmtId="193" fontId="27" fillId="0" borderId="113" xfId="0" applyNumberFormat="1" applyFont="1" applyBorder="1" applyAlignment="1">
      <alignment horizontal="left" wrapText="1"/>
    </xf>
    <xf numFmtId="193" fontId="27" fillId="0" borderId="113" xfId="0" applyNumberFormat="1" applyFont="1" applyBorder="1" applyAlignment="1">
      <alignment horizontal="left" vertical="center" wrapText="1"/>
    </xf>
    <xf numFmtId="0" fontId="28" fillId="0" borderId="113" xfId="0" applyFont="1" applyBorder="1" applyAlignment="1">
      <alignment horizontal="center" vertical="top" wrapText="1"/>
    </xf>
    <xf numFmtId="0" fontId="28" fillId="0" borderId="113" xfId="0" applyFont="1" applyBorder="1" applyAlignment="1">
      <alignment horizontal="center" vertical="center" wrapText="1"/>
    </xf>
    <xf numFmtId="0" fontId="27" fillId="0" borderId="113" xfId="0" applyFont="1" applyBorder="1" applyAlignment="1">
      <alignment horizontal="left" vertical="center" wrapText="1"/>
    </xf>
    <xf numFmtId="175" fontId="92" fillId="0" borderId="113" xfId="0" applyNumberFormat="1" applyFont="1" applyBorder="1" applyAlignment="1">
      <alignment horizontal="center" vertical="center" shrinkToFit="1"/>
    </xf>
    <xf numFmtId="0" fontId="27" fillId="0" borderId="113" xfId="0" applyFont="1" applyBorder="1" applyAlignment="1">
      <alignment horizontal="left" vertical="top" wrapText="1"/>
    </xf>
    <xf numFmtId="10" fontId="27" fillId="0" borderId="5" xfId="0" applyNumberFormat="1" applyFont="1" applyBorder="1" applyAlignment="1">
      <alignment horizontal="center"/>
    </xf>
    <xf numFmtId="0" fontId="27" fillId="0" borderId="113" xfId="0" applyFont="1" applyBorder="1" applyAlignment="1">
      <alignment horizontal="center" wrapText="1"/>
    </xf>
    <xf numFmtId="10" fontId="27" fillId="0" borderId="5" xfId="0" applyNumberFormat="1" applyFont="1" applyBorder="1"/>
    <xf numFmtId="193" fontId="27" fillId="0" borderId="113" xfId="0" applyNumberFormat="1" applyFont="1" applyBorder="1" applyAlignment="1">
      <alignment horizontal="right" vertical="center" wrapText="1"/>
    </xf>
    <xf numFmtId="10" fontId="92" fillId="0" borderId="113" xfId="0" applyNumberFormat="1" applyFont="1" applyBorder="1" applyAlignment="1">
      <alignment horizontal="center" vertical="center" shrinkToFit="1"/>
    </xf>
    <xf numFmtId="0" fontId="27" fillId="0" borderId="113" xfId="0" applyFont="1" applyBorder="1" applyAlignment="1">
      <alignment horizontal="center" vertical="center" wrapText="1"/>
    </xf>
    <xf numFmtId="10" fontId="92" fillId="0" borderId="117" xfId="0" applyNumberFormat="1" applyFont="1" applyBorder="1" applyAlignment="1">
      <alignment horizontal="center" vertical="center" shrinkToFit="1"/>
    </xf>
    <xf numFmtId="0" fontId="27" fillId="0" borderId="117" xfId="0" applyFont="1" applyBorder="1" applyAlignment="1">
      <alignment horizontal="center" vertical="center" wrapText="1"/>
    </xf>
    <xf numFmtId="193" fontId="27" fillId="0" borderId="117" xfId="0" applyNumberFormat="1" applyFont="1" applyBorder="1" applyAlignment="1">
      <alignment horizontal="left" wrapText="1"/>
    </xf>
    <xf numFmtId="0" fontId="27" fillId="0" borderId="117" xfId="0" applyFont="1" applyBorder="1" applyAlignment="1">
      <alignment horizontal="left" wrapText="1"/>
    </xf>
    <xf numFmtId="0" fontId="94" fillId="0" borderId="5" xfId="0" applyFont="1" applyBorder="1"/>
    <xf numFmtId="10" fontId="92" fillId="0" borderId="5" xfId="0" applyNumberFormat="1" applyFont="1" applyBorder="1" applyAlignment="1">
      <alignment horizontal="center" vertical="center" shrinkToFit="1"/>
    </xf>
    <xf numFmtId="0" fontId="27" fillId="0" borderId="5" xfId="0" applyFont="1" applyBorder="1" applyAlignment="1">
      <alignment horizontal="center" vertical="center" wrapText="1"/>
    </xf>
    <xf numFmtId="193" fontId="27" fillId="0" borderId="5" xfId="0" applyNumberFormat="1" applyFont="1" applyBorder="1" applyAlignment="1">
      <alignment horizontal="left" wrapText="1"/>
    </xf>
    <xf numFmtId="0" fontId="27" fillId="0" borderId="5" xfId="0" applyFont="1" applyBorder="1" applyAlignment="1">
      <alignment horizontal="left" wrapText="1"/>
    </xf>
    <xf numFmtId="193" fontId="95" fillId="0" borderId="5" xfId="0" applyNumberFormat="1" applyFont="1" applyBorder="1" applyAlignment="1">
      <alignment horizontal="right" vertical="center" wrapText="1"/>
    </xf>
    <xf numFmtId="0" fontId="91" fillId="32" borderId="118" xfId="0" applyFont="1" applyFill="1" applyBorder="1" applyAlignment="1">
      <alignment horizontal="left" vertical="top" wrapText="1"/>
    </xf>
    <xf numFmtId="0" fontId="27" fillId="0" borderId="118" xfId="0" applyFont="1" applyBorder="1" applyAlignment="1">
      <alignment horizontal="left" wrapText="1"/>
    </xf>
    <xf numFmtId="193" fontId="27" fillId="0" borderId="118" xfId="0" applyNumberFormat="1" applyFont="1" applyBorder="1" applyAlignment="1">
      <alignment horizontal="left" wrapText="1"/>
    </xf>
    <xf numFmtId="193" fontId="27" fillId="0" borderId="118" xfId="0" applyNumberFormat="1" applyFont="1" applyBorder="1" applyAlignment="1">
      <alignment horizontal="left" vertical="center" wrapText="1"/>
    </xf>
    <xf numFmtId="193" fontId="92" fillId="0" borderId="118" xfId="0" applyNumberFormat="1" applyFont="1" applyBorder="1" applyAlignment="1">
      <alignment horizontal="right" vertical="center" shrinkToFit="1"/>
    </xf>
    <xf numFmtId="10" fontId="27" fillId="0" borderId="113" xfId="0" applyNumberFormat="1" applyFont="1" applyBorder="1" applyAlignment="1">
      <alignment horizontal="center" wrapText="1"/>
    </xf>
    <xf numFmtId="0" fontId="91" fillId="33" borderId="113" xfId="0" applyFont="1" applyFill="1" applyBorder="1" applyAlignment="1">
      <alignment horizontal="left" vertical="top" wrapText="1"/>
    </xf>
    <xf numFmtId="0" fontId="91" fillId="0" borderId="113" xfId="0" applyFont="1" applyBorder="1" applyAlignment="1">
      <alignment horizontal="left" vertical="top" wrapText="1"/>
    </xf>
    <xf numFmtId="10" fontId="92" fillId="0" borderId="113" xfId="0" applyNumberFormat="1" applyFont="1" applyBorder="1" applyAlignment="1">
      <alignment horizontal="center" vertical="top" shrinkToFit="1"/>
    </xf>
    <xf numFmtId="193" fontId="93" fillId="0" borderId="5" xfId="0" applyNumberFormat="1" applyFont="1" applyBorder="1" applyAlignment="1">
      <alignment horizontal="right" vertical="center" shrinkToFit="1"/>
    </xf>
    <xf numFmtId="193" fontId="93" fillId="0" borderId="115" xfId="0" applyNumberFormat="1" applyFont="1" applyBorder="1" applyAlignment="1">
      <alignment horizontal="right" vertical="center" shrinkToFit="1"/>
    </xf>
    <xf numFmtId="0" fontId="28" fillId="0" borderId="117" xfId="0" applyFont="1" applyBorder="1" applyAlignment="1">
      <alignment horizontal="left" vertical="top" wrapText="1"/>
    </xf>
    <xf numFmtId="10" fontId="92" fillId="0" borderId="117" xfId="0" applyNumberFormat="1" applyFont="1" applyBorder="1" applyAlignment="1">
      <alignment horizontal="center" vertical="top" shrinkToFit="1"/>
    </xf>
    <xf numFmtId="193" fontId="93" fillId="0" borderId="120" xfId="0" applyNumberFormat="1" applyFont="1" applyBorder="1" applyAlignment="1">
      <alignment horizontal="right" vertical="center" shrinkToFit="1"/>
    </xf>
    <xf numFmtId="193" fontId="93" fillId="0" borderId="117" xfId="0" applyNumberFormat="1" applyFont="1" applyBorder="1" applyAlignment="1">
      <alignment horizontal="right" vertical="center" shrinkToFit="1"/>
    </xf>
    <xf numFmtId="0" fontId="28" fillId="0" borderId="5" xfId="0" applyFont="1" applyBorder="1" applyAlignment="1">
      <alignment horizontal="left" vertical="top" wrapText="1"/>
    </xf>
    <xf numFmtId="10" fontId="92" fillId="0" borderId="5" xfId="0" applyNumberFormat="1" applyFont="1" applyBorder="1" applyAlignment="1">
      <alignment horizontal="center" vertical="top" shrinkToFit="1"/>
    </xf>
    <xf numFmtId="10" fontId="92" fillId="0" borderId="2" xfId="0" applyNumberFormat="1" applyFont="1" applyBorder="1" applyAlignment="1">
      <alignment horizontal="center" vertical="top" shrinkToFit="1"/>
    </xf>
    <xf numFmtId="193" fontId="93" fillId="0" borderId="4" xfId="0" applyNumberFormat="1" applyFont="1" applyBorder="1" applyAlignment="1">
      <alignment horizontal="right" vertical="center" shrinkToFit="1"/>
    </xf>
    <xf numFmtId="0" fontId="28" fillId="0" borderId="0" xfId="0" applyFont="1" applyAlignment="1">
      <alignment horizontal="left" vertical="top" wrapText="1"/>
    </xf>
    <xf numFmtId="0" fontId="27" fillId="0" borderId="0" xfId="0" applyFont="1" applyAlignment="1">
      <alignment horizontal="left" wrapText="1"/>
    </xf>
    <xf numFmtId="0" fontId="95" fillId="0" borderId="0" xfId="0" applyFont="1" applyAlignment="1">
      <alignment horizontal="left" wrapText="1"/>
    </xf>
    <xf numFmtId="10" fontId="93" fillId="0" borderId="0" xfId="0" applyNumberFormat="1" applyFont="1" applyAlignment="1">
      <alignment horizontal="center" vertical="top" shrinkToFit="1"/>
    </xf>
    <xf numFmtId="193" fontId="93" fillId="0" borderId="0" xfId="0" applyNumberFormat="1" applyFont="1" applyAlignment="1">
      <alignment horizontal="right" vertical="center" shrinkToFit="1"/>
    </xf>
    <xf numFmtId="193" fontId="27" fillId="0" borderId="0" xfId="0" applyNumberFormat="1" applyFont="1"/>
    <xf numFmtId="0" fontId="95" fillId="0" borderId="0" xfId="0" applyFont="1" applyAlignment="1">
      <alignment horizontal="center"/>
    </xf>
    <xf numFmtId="193" fontId="95" fillId="0" borderId="0" xfId="0" applyNumberFormat="1" applyFont="1" applyAlignment="1">
      <alignment horizontal="center" vertical="center"/>
    </xf>
    <xf numFmtId="0" fontId="95" fillId="0" borderId="0" xfId="0" applyFont="1"/>
    <xf numFmtId="193" fontId="92" fillId="0" borderId="114" xfId="0" applyNumberFormat="1" applyFont="1" applyBorder="1" applyAlignment="1">
      <alignment horizontal="right" vertical="center" shrinkToFit="1"/>
    </xf>
    <xf numFmtId="193" fontId="27" fillId="0" borderId="0" xfId="0" applyNumberFormat="1" applyFont="1" applyAlignment="1">
      <alignment vertical="center"/>
    </xf>
    <xf numFmtId="0" fontId="96" fillId="0" borderId="0" xfId="0" applyFont="1" applyAlignment="1">
      <alignment vertical="center" wrapText="1"/>
    </xf>
    <xf numFmtId="179" fontId="88" fillId="0" borderId="93" xfId="4" applyNumberFormat="1" applyFont="1" applyBorder="1" applyAlignment="1" applyProtection="1">
      <alignment horizontal="center" vertical="center" wrapText="1"/>
      <protection locked="0"/>
    </xf>
    <xf numFmtId="174" fontId="89" fillId="0" borderId="0" xfId="4" applyNumberFormat="1" applyFont="1" applyAlignment="1">
      <alignment vertical="center" wrapText="1"/>
    </xf>
    <xf numFmtId="1" fontId="97" fillId="0" borderId="79" xfId="9" quotePrefix="1" applyNumberFormat="1" applyFont="1" applyBorder="1" applyAlignment="1" applyProtection="1">
      <alignment horizontal="center" vertical="center" wrapText="1"/>
      <protection locked="0"/>
    </xf>
    <xf numFmtId="0" fontId="4" fillId="0" borderId="100" xfId="0" applyFont="1" applyBorder="1" applyAlignment="1">
      <alignment horizontal="center" vertical="center"/>
    </xf>
    <xf numFmtId="179" fontId="77" fillId="0" borderId="1" xfId="0" applyNumberFormat="1" applyFont="1" applyBorder="1" applyAlignment="1">
      <alignment horizontal="center" vertical="center"/>
    </xf>
    <xf numFmtId="0" fontId="3" fillId="0" borderId="100" xfId="0" applyFont="1" applyBorder="1" applyAlignment="1">
      <alignment horizontal="center" vertical="center"/>
    </xf>
    <xf numFmtId="0" fontId="23" fillId="0" borderId="1" xfId="0" applyFont="1" applyBorder="1" applyAlignment="1">
      <alignment vertical="center" wrapText="1"/>
    </xf>
    <xf numFmtId="0" fontId="6" fillId="0" borderId="1" xfId="0" applyFont="1" applyBorder="1" applyAlignment="1">
      <alignment vertical="center" wrapText="1"/>
    </xf>
    <xf numFmtId="170" fontId="6" fillId="0" borderId="1" xfId="1" applyFont="1" applyBorder="1" applyAlignment="1">
      <alignment vertical="center" wrapText="1"/>
    </xf>
    <xf numFmtId="0" fontId="3" fillId="0" borderId="101" xfId="0" applyFont="1" applyBorder="1" applyAlignment="1">
      <alignment horizontal="center" vertical="center"/>
    </xf>
    <xf numFmtId="0" fontId="22" fillId="0" borderId="124" xfId="9" applyBorder="1"/>
    <xf numFmtId="0" fontId="3" fillId="0" borderId="124" xfId="0" applyFont="1" applyBorder="1" applyAlignment="1">
      <alignment horizontal="center" vertical="center"/>
    </xf>
    <xf numFmtId="179" fontId="3" fillId="0" borderId="124" xfId="0" applyNumberFormat="1" applyFont="1" applyBorder="1" applyAlignment="1">
      <alignment horizontal="center" vertical="center"/>
    </xf>
    <xf numFmtId="0" fontId="3" fillId="0" borderId="124" xfId="0" applyFont="1" applyBorder="1"/>
    <xf numFmtId="179" fontId="3" fillId="0" borderId="124" xfId="0" applyNumberFormat="1" applyFont="1" applyBorder="1"/>
    <xf numFmtId="0" fontId="4" fillId="0" borderId="102" xfId="0" applyFont="1" applyBorder="1" applyAlignment="1">
      <alignment horizontal="center" vertical="center"/>
    </xf>
    <xf numFmtId="0" fontId="4" fillId="0" borderId="16" xfId="0" applyFont="1" applyBorder="1" applyAlignment="1">
      <alignment horizontal="center" vertical="center"/>
    </xf>
    <xf numFmtId="179" fontId="7" fillId="2" borderId="16" xfId="2" applyNumberFormat="1" applyBorder="1" applyAlignment="1">
      <alignment horizontal="center" vertical="center"/>
    </xf>
    <xf numFmtId="179" fontId="4" fillId="0" borderId="16" xfId="0" applyNumberFormat="1" applyFont="1" applyBorder="1" applyAlignment="1">
      <alignment horizontal="center" vertical="center"/>
    </xf>
    <xf numFmtId="0" fontId="4" fillId="0" borderId="16" xfId="0" applyFont="1" applyBorder="1" applyAlignment="1">
      <alignment horizontal="center"/>
    </xf>
    <xf numFmtId="179" fontId="4" fillId="0" borderId="16" xfId="0" applyNumberFormat="1" applyFont="1" applyBorder="1" applyAlignment="1">
      <alignment horizontal="center"/>
    </xf>
    <xf numFmtId="0" fontId="19" fillId="11" borderId="97" xfId="0" applyFont="1" applyFill="1" applyBorder="1" applyAlignment="1">
      <alignment horizontal="center" vertical="center"/>
    </xf>
    <xf numFmtId="0" fontId="19" fillId="11" borderId="98" xfId="0" applyFont="1" applyFill="1" applyBorder="1" applyAlignment="1">
      <alignment horizontal="center" vertical="center"/>
    </xf>
    <xf numFmtId="179" fontId="19" fillId="11" borderId="98" xfId="0" applyNumberFormat="1" applyFont="1" applyFill="1" applyBorder="1" applyAlignment="1">
      <alignment horizontal="center" vertical="center"/>
    </xf>
    <xf numFmtId="179" fontId="19" fillId="10" borderId="98" xfId="0" applyNumberFormat="1" applyFont="1" applyFill="1" applyBorder="1" applyAlignment="1">
      <alignment horizontal="center" vertical="center" wrapText="1"/>
    </xf>
    <xf numFmtId="179" fontId="19" fillId="11" borderId="99" xfId="0" applyNumberFormat="1" applyFont="1" applyFill="1" applyBorder="1" applyAlignment="1">
      <alignment horizontal="center" vertical="center"/>
    </xf>
    <xf numFmtId="0" fontId="2" fillId="0" borderId="100" xfId="0" applyFont="1" applyBorder="1" applyAlignment="1">
      <alignment horizontal="center"/>
    </xf>
    <xf numFmtId="193" fontId="27" fillId="0" borderId="1" xfId="0" applyNumberFormat="1" applyFont="1" applyBorder="1"/>
    <xf numFmtId="0" fontId="2" fillId="0" borderId="102" xfId="0" applyFont="1" applyBorder="1" applyAlignment="1">
      <alignment horizontal="center"/>
    </xf>
    <xf numFmtId="0" fontId="2" fillId="0" borderId="16" xfId="0" applyFont="1" applyBorder="1" applyAlignment="1">
      <alignment horizontal="center"/>
    </xf>
    <xf numFmtId="179" fontId="2" fillId="0" borderId="16" xfId="0" applyNumberFormat="1" applyFont="1" applyBorder="1" applyAlignment="1">
      <alignment horizontal="center"/>
    </xf>
    <xf numFmtId="193" fontId="27" fillId="0" borderId="16" xfId="0" applyNumberFormat="1" applyFont="1" applyBorder="1"/>
    <xf numFmtId="0" fontId="2" fillId="0" borderId="16" xfId="0" applyFont="1" applyBorder="1"/>
    <xf numFmtId="0" fontId="17" fillId="0" borderId="97" xfId="0" applyFont="1" applyBorder="1" applyAlignment="1">
      <alignment horizontal="center" vertical="center"/>
    </xf>
    <xf numFmtId="0" fontId="17" fillId="0" borderId="98" xfId="0" applyFont="1" applyBorder="1" applyAlignment="1">
      <alignment horizontal="center" vertical="center"/>
    </xf>
    <xf numFmtId="179" fontId="80" fillId="10" borderId="98" xfId="12" applyNumberFormat="1" applyFont="1" applyFill="1" applyBorder="1" applyAlignment="1">
      <alignment horizontal="center" vertical="center" wrapText="1"/>
    </xf>
    <xf numFmtId="179" fontId="38" fillId="10" borderId="98" xfId="12" applyNumberFormat="1" applyFont="1" applyFill="1" applyBorder="1" applyAlignment="1">
      <alignment horizontal="center" vertical="center" wrapText="1"/>
    </xf>
    <xf numFmtId="0" fontId="38" fillId="10" borderId="98" xfId="12" applyFont="1" applyFill="1" applyBorder="1" applyAlignment="1">
      <alignment horizontal="center" vertical="center"/>
    </xf>
    <xf numFmtId="179" fontId="76" fillId="29" borderId="98" xfId="24" applyNumberFormat="1" applyBorder="1" applyAlignment="1">
      <alignment horizontal="center" vertical="center"/>
    </xf>
    <xf numFmtId="0" fontId="39" fillId="13" borderId="98" xfId="11" applyFont="1" applyBorder="1" applyAlignment="1">
      <alignment horizontal="center" vertical="center"/>
    </xf>
    <xf numFmtId="0" fontId="2" fillId="0" borderId="98" xfId="0" applyFont="1" applyBorder="1" applyAlignment="1">
      <alignment vertical="center" wrapText="1"/>
    </xf>
    <xf numFmtId="0" fontId="4" fillId="0" borderId="16" xfId="0" applyFont="1" applyBorder="1" applyAlignment="1">
      <alignment vertical="center"/>
    </xf>
    <xf numFmtId="0" fontId="4" fillId="0" borderId="1" xfId="0" applyFont="1" applyBorder="1" applyAlignment="1">
      <alignment vertical="center"/>
    </xf>
    <xf numFmtId="1" fontId="4" fillId="0" borderId="1" xfId="0" applyNumberFormat="1"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horizontal="left" vertical="center"/>
    </xf>
    <xf numFmtId="0" fontId="17" fillId="0" borderId="1" xfId="0" applyFont="1" applyBorder="1" applyAlignment="1">
      <alignment horizontal="left" vertical="center"/>
    </xf>
    <xf numFmtId="0" fontId="28" fillId="0" borderId="1" xfId="0" applyFont="1" applyBorder="1" applyAlignment="1">
      <alignment vertical="center"/>
    </xf>
    <xf numFmtId="0" fontId="10" fillId="0" borderId="1" xfId="0" applyFont="1" applyBorder="1" applyAlignment="1">
      <alignment vertical="center" wrapText="1"/>
    </xf>
    <xf numFmtId="0" fontId="86" fillId="0" borderId="1" xfId="0" applyFont="1" applyBorder="1" applyAlignment="1">
      <alignment vertical="center" wrapText="1"/>
    </xf>
    <xf numFmtId="0" fontId="4" fillId="0" borderId="1" xfId="0" applyFont="1" applyBorder="1" applyAlignment="1">
      <alignment vertical="top" wrapText="1"/>
    </xf>
    <xf numFmtId="175" fontId="99" fillId="26" borderId="76" xfId="20" applyNumberFormat="1" applyFont="1" applyFill="1" applyBorder="1" applyAlignment="1">
      <alignment horizontal="center" vertical="center" wrapText="1" readingOrder="1"/>
    </xf>
    <xf numFmtId="175" fontId="0" fillId="24" borderId="76" xfId="0" applyNumberFormat="1" applyFill="1" applyBorder="1" applyAlignment="1">
      <alignment horizontal="center" vertical="center"/>
    </xf>
    <xf numFmtId="175" fontId="99" fillId="26" borderId="76" xfId="0" applyNumberFormat="1" applyFont="1" applyFill="1" applyBorder="1" applyAlignment="1">
      <alignment horizontal="center" vertical="center" wrapText="1" readingOrder="1"/>
    </xf>
    <xf numFmtId="175" fontId="70" fillId="26" borderId="76" xfId="0" applyNumberFormat="1" applyFont="1" applyFill="1" applyBorder="1" applyAlignment="1">
      <alignment horizontal="center" vertical="center" wrapText="1" readingOrder="1"/>
    </xf>
    <xf numFmtId="167" fontId="99" fillId="26" borderId="76" xfId="22" applyFont="1" applyFill="1" applyBorder="1" applyAlignment="1">
      <alignment horizontal="center" vertical="center" wrapText="1" readingOrder="1"/>
    </xf>
    <xf numFmtId="199" fontId="0" fillId="0" borderId="0" xfId="0" applyNumberFormat="1"/>
    <xf numFmtId="199" fontId="0" fillId="0" borderId="0" xfId="0" applyNumberFormat="1" applyAlignment="1">
      <alignment horizontal="center"/>
    </xf>
    <xf numFmtId="177" fontId="100" fillId="0" borderId="0" xfId="3" applyNumberFormat="1" applyFont="1"/>
    <xf numFmtId="0" fontId="101" fillId="0" borderId="0" xfId="0" applyFont="1" applyAlignment="1">
      <alignment horizontal="center"/>
    </xf>
    <xf numFmtId="9" fontId="101" fillId="0" borderId="0" xfId="3" applyFont="1" applyAlignment="1">
      <alignment horizontal="center"/>
    </xf>
    <xf numFmtId="17" fontId="44" fillId="0" borderId="76" xfId="0" applyNumberFormat="1" applyFont="1" applyBorder="1" applyAlignment="1">
      <alignment horizontal="center"/>
    </xf>
    <xf numFmtId="0" fontId="44" fillId="0" borderId="76" xfId="0" applyFont="1" applyBorder="1"/>
    <xf numFmtId="167" fontId="102" fillId="26" borderId="76" xfId="22" applyFont="1" applyFill="1" applyBorder="1" applyAlignment="1">
      <alignment vertical="center" wrapText="1" readingOrder="1"/>
    </xf>
    <xf numFmtId="167" fontId="103" fillId="26" borderId="76" xfId="22" applyFont="1" applyFill="1" applyBorder="1" applyAlignment="1">
      <alignment vertical="center" wrapText="1" readingOrder="1"/>
    </xf>
    <xf numFmtId="0" fontId="104" fillId="0" borderId="0" xfId="0" applyFont="1"/>
    <xf numFmtId="2" fontId="88" fillId="3" borderId="0" xfId="4" applyNumberFormat="1" applyFont="1" applyFill="1" applyAlignment="1">
      <alignment horizontal="center" vertical="center" wrapText="1"/>
    </xf>
    <xf numFmtId="1" fontId="22" fillId="3" borderId="79" xfId="9" quotePrefix="1" applyNumberFormat="1" applyFill="1" applyBorder="1" applyAlignment="1" applyProtection="1">
      <alignment horizontal="center" vertical="center" wrapText="1"/>
      <protection locked="0"/>
    </xf>
    <xf numFmtId="174" fontId="88" fillId="0" borderId="0" xfId="4" applyNumberFormat="1" applyFont="1" applyAlignment="1" applyProtection="1">
      <alignment horizontal="center" vertical="center" wrapText="1"/>
      <protection locked="0"/>
    </xf>
    <xf numFmtId="174" fontId="2" fillId="0" borderId="0" xfId="0" applyNumberFormat="1" applyFont="1" applyAlignment="1">
      <alignment vertical="center"/>
    </xf>
    <xf numFmtId="0" fontId="17" fillId="0" borderId="0" xfId="0" applyFont="1" applyAlignment="1">
      <alignment vertical="center"/>
    </xf>
    <xf numFmtId="0" fontId="10" fillId="0" borderId="0" xfId="0" applyFont="1" applyAlignment="1">
      <alignment vertical="center"/>
    </xf>
    <xf numFmtId="0" fontId="105" fillId="0" borderId="0" xfId="0" applyFont="1" applyAlignment="1">
      <alignment vertical="center" wrapText="1"/>
    </xf>
    <xf numFmtId="1" fontId="42" fillId="0" borderId="9" xfId="0" applyNumberFormat="1" applyFont="1" applyBorder="1" applyAlignment="1">
      <alignment horizontal="center" vertical="center"/>
    </xf>
    <xf numFmtId="0" fontId="10" fillId="0" borderId="10" xfId="0" applyFont="1" applyBorder="1" applyAlignment="1">
      <alignment vertical="center"/>
    </xf>
    <xf numFmtId="0" fontId="17" fillId="0" borderId="10" xfId="0" applyFont="1" applyBorder="1" applyAlignment="1">
      <alignment vertical="center"/>
    </xf>
    <xf numFmtId="0" fontId="10" fillId="0" borderId="11" xfId="0" applyFont="1" applyBorder="1" applyAlignment="1">
      <alignment horizontal="center" vertical="center"/>
    </xf>
    <xf numFmtId="0" fontId="10" fillId="0" borderId="7" xfId="0" applyFont="1" applyBorder="1" applyAlignment="1">
      <alignment horizontal="center" vertical="center"/>
    </xf>
    <xf numFmtId="0" fontId="42" fillId="0" borderId="5" xfId="0" applyFont="1" applyBorder="1" applyAlignment="1">
      <alignment horizontal="center" vertical="center"/>
    </xf>
    <xf numFmtId="0" fontId="10" fillId="0" borderId="5" xfId="0" applyFont="1" applyBorder="1" applyAlignment="1">
      <alignment horizontal="center" vertical="center"/>
    </xf>
    <xf numFmtId="173" fontId="10" fillId="0" borderId="5" xfId="6" applyFont="1" applyBorder="1" applyAlignment="1">
      <alignment horizontal="center" vertical="center"/>
    </xf>
    <xf numFmtId="9" fontId="10" fillId="0" borderId="5" xfId="3" applyFont="1" applyBorder="1" applyAlignment="1">
      <alignment horizontal="center" vertical="center"/>
    </xf>
    <xf numFmtId="173" fontId="10" fillId="0" borderId="5" xfId="0" applyNumberFormat="1" applyFont="1" applyBorder="1" applyAlignment="1">
      <alignment horizontal="center" vertical="center"/>
    </xf>
    <xf numFmtId="173" fontId="10" fillId="0" borderId="5" xfId="8" applyFont="1" applyBorder="1" applyAlignment="1">
      <alignment vertical="center"/>
    </xf>
    <xf numFmtId="176" fontId="10" fillId="0" borderId="5" xfId="0" applyNumberFormat="1" applyFont="1" applyBorder="1" applyAlignment="1">
      <alignment horizontal="center" vertical="center"/>
    </xf>
    <xf numFmtId="0" fontId="42" fillId="0" borderId="4" xfId="0" applyFont="1" applyBorder="1" applyAlignment="1">
      <alignment horizontal="center" vertical="center"/>
    </xf>
    <xf numFmtId="0" fontId="17" fillId="0" borderId="0" xfId="0" applyFont="1" applyAlignment="1">
      <alignment horizontal="center" vertical="center"/>
    </xf>
    <xf numFmtId="173" fontId="10" fillId="0" borderId="4" xfId="6" applyFont="1" applyBorder="1" applyAlignment="1">
      <alignment horizontal="center" vertical="center"/>
    </xf>
    <xf numFmtId="0" fontId="60" fillId="0" borderId="0" xfId="0" applyFont="1" applyAlignment="1">
      <alignment vertical="center"/>
    </xf>
    <xf numFmtId="173" fontId="60" fillId="0" borderId="2" xfId="6" applyFont="1" applyBorder="1" applyAlignment="1">
      <alignment horizontal="center" vertical="center" wrapText="1"/>
    </xf>
    <xf numFmtId="173" fontId="17" fillId="0" borderId="4" xfId="8" applyFont="1" applyBorder="1" applyAlignment="1">
      <alignment vertical="center"/>
    </xf>
    <xf numFmtId="179" fontId="17" fillId="0" borderId="0" xfId="0" applyNumberFormat="1" applyFont="1" applyAlignment="1">
      <alignment vertical="center"/>
    </xf>
    <xf numFmtId="179" fontId="10" fillId="0" borderId="5" xfId="8" applyNumberFormat="1" applyFont="1" applyBorder="1" applyAlignment="1">
      <alignment horizontal="center" vertical="center"/>
    </xf>
    <xf numFmtId="171" fontId="10" fillId="0" borderId="5" xfId="8" applyNumberFormat="1" applyFont="1" applyBorder="1" applyAlignment="1">
      <alignment horizontal="center" vertical="center"/>
    </xf>
    <xf numFmtId="178" fontId="10" fillId="0" borderId="5" xfId="0" applyNumberFormat="1" applyFont="1" applyBorder="1" applyAlignment="1">
      <alignment horizontal="center" vertical="center"/>
    </xf>
    <xf numFmtId="172" fontId="89" fillId="0" borderId="0" xfId="5" applyNumberFormat="1" applyFont="1" applyAlignment="1">
      <alignment horizontal="center" vertical="center" wrapText="1"/>
    </xf>
    <xf numFmtId="3" fontId="89" fillId="11" borderId="97" xfId="4" applyNumberFormat="1" applyFont="1" applyFill="1" applyBorder="1" applyAlignment="1">
      <alignment horizontal="center" vertical="center" wrapText="1"/>
    </xf>
    <xf numFmtId="0" fontId="89" fillId="11" borderId="98" xfId="4" applyFont="1" applyFill="1" applyBorder="1" applyAlignment="1">
      <alignment horizontal="center" vertical="center" wrapText="1"/>
    </xf>
    <xf numFmtId="172" fontId="89" fillId="11" borderId="99" xfId="5" applyNumberFormat="1" applyFont="1" applyFill="1" applyBorder="1" applyAlignment="1">
      <alignment horizontal="center" vertical="center" wrapText="1"/>
    </xf>
    <xf numFmtId="0" fontId="89" fillId="10" borderId="87" xfId="4" applyFont="1" applyFill="1" applyBorder="1" applyAlignment="1">
      <alignment vertical="center" wrapText="1"/>
    </xf>
    <xf numFmtId="0" fontId="0" fillId="35" borderId="0" xfId="0" applyFill="1" applyAlignment="1">
      <alignment horizontal="center" vertical="center"/>
    </xf>
    <xf numFmtId="0" fontId="0" fillId="35" borderId="0" xfId="0" applyFill="1" applyAlignment="1">
      <alignment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4" xfId="0" applyFont="1" applyBorder="1" applyAlignment="1">
      <alignment horizontal="left" vertical="center"/>
    </xf>
    <xf numFmtId="0" fontId="10" fillId="0" borderId="2" xfId="0" applyFont="1" applyBorder="1" applyAlignment="1">
      <alignment vertical="center"/>
    </xf>
    <xf numFmtId="0" fontId="2" fillId="10" borderId="0" xfId="0" applyFont="1" applyFill="1" applyAlignment="1">
      <alignment horizontal="centerContinuous" vertical="center"/>
    </xf>
    <xf numFmtId="0" fontId="45" fillId="0" borderId="0" xfId="0" applyFont="1" applyAlignment="1">
      <alignment vertical="center"/>
    </xf>
    <xf numFmtId="0" fontId="108" fillId="0" borderId="0" xfId="0" applyFont="1" applyAlignment="1">
      <alignment vertical="center"/>
    </xf>
    <xf numFmtId="0" fontId="107" fillId="0" borderId="0" xfId="0" applyFont="1" applyAlignment="1">
      <alignment vertical="center" wrapText="1"/>
    </xf>
    <xf numFmtId="1" fontId="109" fillId="0" borderId="9" xfId="0" applyNumberFormat="1" applyFont="1" applyBorder="1" applyAlignment="1">
      <alignment horizontal="center" vertical="center"/>
    </xf>
    <xf numFmtId="0" fontId="108" fillId="0" borderId="10" xfId="0" applyFont="1" applyBorder="1" applyAlignment="1">
      <alignment vertical="center"/>
    </xf>
    <xf numFmtId="0" fontId="45" fillId="0" borderId="10" xfId="0" applyFont="1" applyBorder="1" applyAlignment="1">
      <alignment vertical="center"/>
    </xf>
    <xf numFmtId="0" fontId="108" fillId="0" borderId="11" xfId="0" applyFont="1" applyBorder="1" applyAlignment="1">
      <alignment horizontal="center" vertical="center"/>
    </xf>
    <xf numFmtId="0" fontId="108" fillId="0" borderId="7" xfId="0" applyFont="1" applyBorder="1" applyAlignment="1">
      <alignment horizontal="center" vertical="center"/>
    </xf>
    <xf numFmtId="0" fontId="72" fillId="0" borderId="0" xfId="0" applyFont="1" applyAlignment="1">
      <alignment vertical="center"/>
    </xf>
    <xf numFmtId="0" fontId="109" fillId="0" borderId="5" xfId="0" applyFont="1" applyBorder="1" applyAlignment="1">
      <alignment horizontal="center" vertical="center"/>
    </xf>
    <xf numFmtId="0" fontId="108" fillId="0" borderId="4" xfId="0" applyFont="1" applyBorder="1" applyAlignment="1">
      <alignment horizontal="center" vertical="center"/>
    </xf>
    <xf numFmtId="0" fontId="108" fillId="0" borderId="5" xfId="0" applyFont="1" applyBorder="1" applyAlignment="1">
      <alignment horizontal="center" vertical="center"/>
    </xf>
    <xf numFmtId="173" fontId="108" fillId="0" borderId="5" xfId="6" applyFont="1" applyBorder="1" applyAlignment="1">
      <alignment horizontal="center" vertical="center"/>
    </xf>
    <xf numFmtId="173" fontId="108" fillId="0" borderId="5" xfId="8" applyFont="1" applyBorder="1" applyAlignment="1">
      <alignment horizontal="center" vertical="center"/>
    </xf>
    <xf numFmtId="9" fontId="108" fillId="0" borderId="5" xfId="3" applyFont="1" applyBorder="1" applyAlignment="1">
      <alignment horizontal="center" vertical="center"/>
    </xf>
    <xf numFmtId="173" fontId="108" fillId="0" borderId="5" xfId="0" applyNumberFormat="1" applyFont="1" applyBorder="1" applyAlignment="1">
      <alignment horizontal="center" vertical="center"/>
    </xf>
    <xf numFmtId="173" fontId="108" fillId="0" borderId="5" xfId="8" applyFont="1" applyBorder="1" applyAlignment="1">
      <alignment vertical="center"/>
    </xf>
    <xf numFmtId="2" fontId="108" fillId="0" borderId="5" xfId="0" applyNumberFormat="1" applyFont="1" applyBorder="1" applyAlignment="1">
      <alignment horizontal="center" vertical="center"/>
    </xf>
    <xf numFmtId="2" fontId="110" fillId="0" borderId="5" xfId="0" applyNumberFormat="1" applyFont="1" applyBorder="1" applyAlignment="1">
      <alignment horizontal="center" vertical="center"/>
    </xf>
    <xf numFmtId="176" fontId="108" fillId="0" borderId="5" xfId="0" applyNumberFormat="1" applyFont="1" applyBorder="1" applyAlignment="1">
      <alignment horizontal="center" vertical="center"/>
    </xf>
    <xf numFmtId="0" fontId="109" fillId="0" borderId="4" xfId="0" applyFont="1" applyBorder="1" applyAlignment="1">
      <alignment horizontal="center" vertical="center"/>
    </xf>
    <xf numFmtId="173" fontId="108" fillId="0" borderId="4" xfId="6" applyFont="1" applyBorder="1" applyAlignment="1">
      <alignment horizontal="center" vertical="center"/>
    </xf>
    <xf numFmtId="0" fontId="106" fillId="0" borderId="0" xfId="0" applyFont="1" applyAlignment="1">
      <alignment vertical="center"/>
    </xf>
    <xf numFmtId="173" fontId="106" fillId="0" borderId="2" xfId="6" applyFont="1" applyBorder="1" applyAlignment="1">
      <alignment horizontal="center" vertical="center" wrapText="1"/>
    </xf>
    <xf numFmtId="173" fontId="45" fillId="0" borderId="4" xfId="8" applyFont="1" applyBorder="1" applyAlignment="1">
      <alignment vertical="center"/>
    </xf>
    <xf numFmtId="49" fontId="45" fillId="0" borderId="0" xfId="0" applyNumberFormat="1" applyFont="1" applyAlignment="1">
      <alignment vertical="center"/>
    </xf>
    <xf numFmtId="9" fontId="10" fillId="0" borderId="5" xfId="0" applyNumberFormat="1" applyFont="1" applyBorder="1" applyAlignment="1">
      <alignment horizontal="center" vertical="center"/>
    </xf>
    <xf numFmtId="9" fontId="17" fillId="0" borderId="0" xfId="3" applyFont="1" applyAlignment="1">
      <alignment vertical="center"/>
    </xf>
    <xf numFmtId="10" fontId="10" fillId="0" borderId="5" xfId="6" applyNumberFormat="1" applyFont="1" applyBorder="1" applyAlignment="1">
      <alignment horizontal="center" vertical="center"/>
    </xf>
    <xf numFmtId="168" fontId="17" fillId="0" borderId="0" xfId="0" applyNumberFormat="1" applyFont="1" applyAlignment="1">
      <alignment vertical="center"/>
    </xf>
    <xf numFmtId="192" fontId="10" fillId="0" borderId="4" xfId="0" applyNumberFormat="1" applyFont="1" applyBorder="1" applyAlignment="1">
      <alignment horizontal="center" vertical="center"/>
    </xf>
    <xf numFmtId="175" fontId="10" fillId="0" borderId="5" xfId="0" applyNumberFormat="1" applyFont="1" applyBorder="1" applyAlignment="1">
      <alignment horizontal="center" vertical="center"/>
    </xf>
    <xf numFmtId="0" fontId="0" fillId="0" borderId="0" xfId="0" applyAlignment="1">
      <alignment horizontal="center" wrapText="1"/>
    </xf>
    <xf numFmtId="0" fontId="19" fillId="0" borderId="0" xfId="0" applyFont="1" applyAlignment="1">
      <alignment horizontal="center" vertical="center" wrapText="1"/>
    </xf>
    <xf numFmtId="179" fontId="4" fillId="0" borderId="0" xfId="1" applyNumberFormat="1" applyFont="1" applyFill="1" applyBorder="1" applyAlignment="1" applyProtection="1">
      <alignment horizontal="right" vertical="center" wrapText="1"/>
    </xf>
    <xf numFmtId="179" fontId="4" fillId="0" borderId="0" xfId="0" applyNumberFormat="1" applyFont="1"/>
    <xf numFmtId="179" fontId="3" fillId="0" borderId="0" xfId="0" applyNumberFormat="1" applyFont="1" applyAlignment="1">
      <alignment vertical="center"/>
    </xf>
    <xf numFmtId="179" fontId="76" fillId="29" borderId="56" xfId="24" applyNumberFormat="1"/>
    <xf numFmtId="194" fontId="79" fillId="0" borderId="20" xfId="8" applyNumberFormat="1" applyFont="1" applyFill="1" applyBorder="1" applyAlignment="1" applyProtection="1">
      <alignment horizontal="center" vertical="center" wrapText="1"/>
    </xf>
    <xf numFmtId="2" fontId="3" fillId="0" borderId="1" xfId="0" applyNumberFormat="1" applyFont="1" applyBorder="1" applyAlignment="1">
      <alignment horizontal="center" vertical="center"/>
    </xf>
    <xf numFmtId="179" fontId="76" fillId="29" borderId="56" xfId="24" applyNumberFormat="1" applyAlignment="1">
      <alignment horizontal="center" vertical="center" wrapText="1"/>
    </xf>
    <xf numFmtId="179" fontId="76" fillId="29" borderId="56" xfId="24" applyNumberFormat="1" applyAlignment="1">
      <alignment horizontal="center"/>
    </xf>
    <xf numFmtId="174" fontId="3" fillId="0" borderId="1" xfId="0" applyNumberFormat="1" applyFont="1" applyBorder="1" applyAlignment="1">
      <alignment vertical="center"/>
    </xf>
    <xf numFmtId="0" fontId="42" fillId="0" borderId="2" xfId="0" applyFont="1" applyBorder="1" applyAlignment="1">
      <alignment horizontal="center" vertical="center"/>
    </xf>
    <xf numFmtId="0" fontId="10" fillId="0" borderId="3" xfId="0" applyFont="1" applyBorder="1" applyAlignment="1">
      <alignment vertical="center"/>
    </xf>
    <xf numFmtId="174" fontId="4" fillId="0" borderId="16" xfId="0" applyNumberFormat="1" applyFont="1" applyBorder="1" applyAlignment="1">
      <alignment horizontal="center"/>
    </xf>
    <xf numFmtId="174" fontId="4" fillId="0" borderId="1" xfId="0" applyNumberFormat="1" applyFont="1" applyBorder="1"/>
    <xf numFmtId="174" fontId="3" fillId="0" borderId="1" xfId="0" applyNumberFormat="1" applyFont="1" applyBorder="1"/>
    <xf numFmtId="174" fontId="3" fillId="0" borderId="0" xfId="0" applyNumberFormat="1" applyFont="1"/>
    <xf numFmtId="0" fontId="19" fillId="0" borderId="22" xfId="0" applyFont="1" applyBorder="1" applyAlignment="1">
      <alignment horizontal="center" vertical="center" wrapText="1"/>
    </xf>
    <xf numFmtId="0" fontId="3" fillId="0" borderId="22" xfId="0" applyFont="1" applyBorder="1"/>
    <xf numFmtId="179" fontId="4" fillId="0" borderId="0" xfId="0" applyNumberFormat="1" applyFont="1" applyAlignment="1">
      <alignment horizontal="center" vertical="center"/>
    </xf>
    <xf numFmtId="0" fontId="3" fillId="0" borderId="22" xfId="0" applyFont="1" applyBorder="1" applyAlignment="1">
      <alignment vertical="center"/>
    </xf>
    <xf numFmtId="0" fontId="3" fillId="0" borderId="22" xfId="0" applyFont="1" applyBorder="1" applyAlignment="1">
      <alignment horizontal="center" vertical="center"/>
    </xf>
    <xf numFmtId="0" fontId="65" fillId="9" borderId="1" xfId="0" applyFont="1" applyFill="1" applyBorder="1" applyAlignment="1">
      <alignment horizontal="center" vertical="center" wrapText="1"/>
    </xf>
    <xf numFmtId="0" fontId="27" fillId="0" borderId="1" xfId="0" applyFont="1" applyBorder="1" applyAlignment="1">
      <alignment horizontal="center" vertical="center"/>
    </xf>
    <xf numFmtId="0" fontId="6" fillId="0" borderId="1" xfId="0" applyFont="1" applyBorder="1" applyAlignment="1">
      <alignment horizontal="center" vertical="center" wrapText="1"/>
    </xf>
    <xf numFmtId="198" fontId="3" fillId="0" borderId="0" xfId="0" applyNumberFormat="1" applyFont="1"/>
    <xf numFmtId="10" fontId="33" fillId="10" borderId="0" xfId="0" applyNumberFormat="1" applyFont="1" applyFill="1" applyAlignment="1">
      <alignment horizontal="center" vertical="center"/>
    </xf>
    <xf numFmtId="0" fontId="17" fillId="0" borderId="3" xfId="0" applyFont="1" applyBorder="1" applyAlignment="1">
      <alignment vertical="center"/>
    </xf>
    <xf numFmtId="0" fontId="10" fillId="0" borderId="0" xfId="0" applyFont="1" applyAlignment="1">
      <alignment horizontal="left" vertical="center"/>
    </xf>
    <xf numFmtId="2" fontId="92" fillId="0" borderId="113" xfId="3" applyNumberFormat="1" applyFont="1" applyFill="1" applyBorder="1" applyAlignment="1">
      <alignment horizontal="center" vertical="top" shrinkToFit="1"/>
    </xf>
    <xf numFmtId="2" fontId="92" fillId="0" borderId="113" xfId="3" applyNumberFormat="1" applyFont="1" applyFill="1" applyBorder="1" applyAlignment="1">
      <alignment horizontal="center" vertical="center" shrinkToFit="1"/>
    </xf>
    <xf numFmtId="193" fontId="92" fillId="0" borderId="113" xfId="0" applyNumberFormat="1" applyFont="1" applyBorder="1" applyAlignment="1">
      <alignment horizontal="center" vertical="center" shrinkToFit="1"/>
    </xf>
    <xf numFmtId="0" fontId="27" fillId="0" borderId="118" xfId="0" applyFont="1" applyBorder="1" applyAlignment="1">
      <alignment horizontal="center" vertical="center" wrapText="1"/>
    </xf>
    <xf numFmtId="10" fontId="93" fillId="0" borderId="0" xfId="0" applyNumberFormat="1" applyFont="1" applyAlignment="1">
      <alignment horizontal="center" vertical="center" shrinkToFit="1"/>
    </xf>
    <xf numFmtId="0" fontId="95" fillId="0" borderId="0" xfId="0" applyFont="1" applyAlignment="1">
      <alignment horizontal="center" vertical="center"/>
    </xf>
    <xf numFmtId="0" fontId="113" fillId="0" borderId="24" xfId="0" applyFont="1" applyBorder="1" applyAlignment="1">
      <alignment horizontal="center"/>
    </xf>
    <xf numFmtId="0" fontId="113" fillId="0" borderId="0" xfId="0" applyFont="1" applyAlignment="1">
      <alignment horizontal="center"/>
    </xf>
    <xf numFmtId="0" fontId="113" fillId="0" borderId="22" xfId="0" applyFont="1" applyBorder="1" applyAlignment="1">
      <alignment horizontal="center"/>
    </xf>
    <xf numFmtId="0" fontId="115" fillId="0" borderId="6" xfId="0" applyFont="1" applyBorder="1" applyAlignment="1">
      <alignment horizontal="center"/>
    </xf>
    <xf numFmtId="0" fontId="116" fillId="0" borderId="5" xfId="0" applyFont="1" applyBorder="1"/>
    <xf numFmtId="0" fontId="117" fillId="0" borderId="3" xfId="0" applyFont="1" applyBorder="1" applyAlignment="1">
      <alignment horizontal="left"/>
    </xf>
    <xf numFmtId="0" fontId="118" fillId="0" borderId="0" xfId="0" applyFont="1"/>
    <xf numFmtId="0" fontId="119" fillId="0" borderId="3" xfId="0" applyFont="1" applyBorder="1"/>
    <xf numFmtId="0" fontId="119" fillId="0" borderId="4" xfId="0" applyFont="1" applyBorder="1"/>
    <xf numFmtId="0" fontId="117" fillId="0" borderId="5" xfId="0" applyFont="1" applyBorder="1" applyAlignment="1">
      <alignment horizontal="right"/>
    </xf>
    <xf numFmtId="0" fontId="119" fillId="0" borderId="5" xfId="0" applyFont="1" applyBorder="1" applyAlignment="1">
      <alignment horizontal="left"/>
    </xf>
    <xf numFmtId="0" fontId="116" fillId="0" borderId="23" xfId="0" applyFont="1" applyBorder="1"/>
    <xf numFmtId="0" fontId="116" fillId="0" borderId="6" xfId="0" applyFont="1" applyBorder="1"/>
    <xf numFmtId="10" fontId="116" fillId="0" borderId="6" xfId="0" applyNumberFormat="1" applyFont="1" applyBorder="1"/>
    <xf numFmtId="10" fontId="116" fillId="0" borderId="21" xfId="0" applyNumberFormat="1" applyFont="1" applyBorder="1"/>
    <xf numFmtId="0" fontId="116" fillId="0" borderId="5" xfId="0" applyFont="1" applyBorder="1" applyAlignment="1">
      <alignment horizontal="left"/>
    </xf>
    <xf numFmtId="10" fontId="116" fillId="0" borderId="5" xfId="0" applyNumberFormat="1" applyFont="1" applyBorder="1"/>
    <xf numFmtId="9" fontId="1" fillId="0" borderId="0" xfId="3" applyFont="1"/>
    <xf numFmtId="2" fontId="116" fillId="0" borderId="5" xfId="0" applyNumberFormat="1" applyFont="1" applyBorder="1" applyAlignment="1">
      <alignment horizontal="left"/>
    </xf>
    <xf numFmtId="0" fontId="116" fillId="0" borderId="2" xfId="0" applyFont="1" applyBorder="1"/>
    <xf numFmtId="0" fontId="116" fillId="0" borderId="3" xfId="0" applyFont="1" applyBorder="1"/>
    <xf numFmtId="10" fontId="119" fillId="0" borderId="5" xfId="0" applyNumberFormat="1" applyFont="1" applyBorder="1"/>
    <xf numFmtId="10" fontId="116" fillId="0" borderId="3" xfId="0" applyNumberFormat="1" applyFont="1" applyBorder="1"/>
    <xf numFmtId="10" fontId="116" fillId="0" borderId="4" xfId="0" applyNumberFormat="1" applyFont="1" applyBorder="1"/>
    <xf numFmtId="0" fontId="118" fillId="0" borderId="4" xfId="0" applyFont="1" applyBorder="1" applyAlignment="1">
      <alignment wrapText="1"/>
    </xf>
    <xf numFmtId="170" fontId="2" fillId="0" borderId="0" xfId="1" applyFont="1" applyAlignment="1">
      <alignment vertical="center"/>
    </xf>
    <xf numFmtId="0" fontId="27" fillId="0" borderId="114" xfId="0" applyFont="1" applyBorder="1" applyAlignment="1">
      <alignment horizontal="center" vertical="center" wrapText="1"/>
    </xf>
    <xf numFmtId="10" fontId="92" fillId="0" borderId="114" xfId="0" applyNumberFormat="1" applyFont="1" applyBorder="1" applyAlignment="1">
      <alignment horizontal="center" vertical="center" shrinkToFit="1"/>
    </xf>
    <xf numFmtId="10" fontId="92" fillId="0" borderId="119" xfId="0" applyNumberFormat="1" applyFont="1" applyBorder="1" applyAlignment="1">
      <alignment horizontal="center" vertical="center" shrinkToFit="1"/>
    </xf>
    <xf numFmtId="193" fontId="92" fillId="0" borderId="120" xfId="0" applyNumberFormat="1" applyFont="1" applyBorder="1" applyAlignment="1">
      <alignment horizontal="right" vertical="center" shrinkToFit="1"/>
    </xf>
    <xf numFmtId="10" fontId="93" fillId="0" borderId="5" xfId="0" applyNumberFormat="1" applyFont="1" applyBorder="1" applyAlignment="1">
      <alignment horizontal="center" vertical="top" shrinkToFit="1"/>
    </xf>
    <xf numFmtId="0" fontId="14" fillId="3" borderId="0" xfId="7" applyFont="1" applyFill="1" applyProtection="1">
      <protection locked="0"/>
    </xf>
    <xf numFmtId="0" fontId="14" fillId="0" borderId="0" xfId="7" applyFont="1" applyProtection="1">
      <protection locked="0"/>
    </xf>
    <xf numFmtId="1" fontId="17" fillId="3" borderId="0" xfId="4" applyNumberFormat="1" applyFont="1" applyFill="1" applyAlignment="1" applyProtection="1">
      <alignment horizontal="left" vertical="center" wrapText="1"/>
      <protection locked="0"/>
    </xf>
    <xf numFmtId="0" fontId="17" fillId="3" borderId="0" xfId="4" applyFont="1" applyFill="1" applyAlignment="1" applyProtection="1">
      <alignment horizontal="justify" vertical="justify" wrapText="1"/>
      <protection locked="0"/>
    </xf>
    <xf numFmtId="1" fontId="9" fillId="0" borderId="0" xfId="4" applyNumberFormat="1" applyFont="1" applyAlignment="1" applyProtection="1">
      <alignment horizontal="centerContinuous" vertical="center" wrapText="1"/>
      <protection hidden="1"/>
    </xf>
    <xf numFmtId="0" fontId="10" fillId="3" borderId="0" xfId="4" applyFont="1" applyFill="1" applyAlignment="1" applyProtection="1">
      <alignment horizontal="center" vertical="center" wrapText="1"/>
      <protection hidden="1"/>
    </xf>
    <xf numFmtId="1" fontId="31" fillId="0" borderId="0" xfId="12" applyNumberFormat="1" applyFill="1" applyBorder="1" applyAlignment="1" applyProtection="1">
      <alignment horizontal="center" vertical="center" wrapText="1"/>
      <protection hidden="1"/>
    </xf>
    <xf numFmtId="0" fontId="14" fillId="3" borderId="0" xfId="7" applyFont="1" applyFill="1" applyProtection="1">
      <protection hidden="1"/>
    </xf>
    <xf numFmtId="196" fontId="31" fillId="0" borderId="0" xfId="13" applyNumberFormat="1" applyFont="1" applyFill="1" applyBorder="1" applyAlignment="1" applyProtection="1">
      <alignment horizontal="center" vertical="center" wrapText="1"/>
      <protection hidden="1"/>
    </xf>
    <xf numFmtId="1" fontId="31" fillId="0" borderId="0" xfId="12" applyNumberFormat="1" applyFill="1" applyAlignment="1" applyProtection="1">
      <alignment horizontal="center" vertical="center" wrapText="1"/>
      <protection hidden="1"/>
    </xf>
    <xf numFmtId="1" fontId="12" fillId="0" borderId="0" xfId="3" applyNumberFormat="1" applyFont="1" applyFill="1" applyAlignment="1" applyProtection="1">
      <alignment horizontal="center" wrapText="1"/>
      <protection hidden="1"/>
    </xf>
    <xf numFmtId="1" fontId="12" fillId="0" borderId="0" xfId="4" applyNumberFormat="1" applyFont="1" applyAlignment="1" applyProtection="1">
      <alignment horizontal="center" vertical="center" wrapText="1"/>
      <protection hidden="1"/>
    </xf>
    <xf numFmtId="0" fontId="22" fillId="0" borderId="0" xfId="9" applyAlignment="1">
      <alignment vertical="center" wrapText="1"/>
    </xf>
    <xf numFmtId="179" fontId="3" fillId="0" borderId="1" xfId="0" applyNumberFormat="1" applyFont="1" applyBorder="1" applyAlignment="1">
      <alignment horizontal="center" vertical="center" wrapText="1"/>
    </xf>
    <xf numFmtId="0" fontId="3" fillId="0" borderId="1" xfId="0" applyFont="1" applyBorder="1" applyAlignment="1">
      <alignment wrapText="1"/>
    </xf>
    <xf numFmtId="179" fontId="3" fillId="0" borderId="1" xfId="0" applyNumberFormat="1" applyFont="1" applyBorder="1" applyAlignment="1">
      <alignment wrapText="1"/>
    </xf>
    <xf numFmtId="0" fontId="4" fillId="0" borderId="129" xfId="0" applyFont="1" applyBorder="1" applyAlignment="1">
      <alignment horizontal="center" vertical="center"/>
    </xf>
    <xf numFmtId="0" fontId="4" fillId="12" borderId="106" xfId="0" applyFont="1" applyFill="1" applyBorder="1" applyAlignment="1">
      <alignment vertical="center"/>
    </xf>
    <xf numFmtId="0" fontId="3" fillId="0" borderId="106" xfId="0" applyFont="1" applyBorder="1" applyAlignment="1">
      <alignment horizontal="center" vertical="center"/>
    </xf>
    <xf numFmtId="179" fontId="3" fillId="0" borderId="106" xfId="0" applyNumberFormat="1" applyFont="1" applyBorder="1" applyAlignment="1">
      <alignment horizontal="center" vertical="center"/>
    </xf>
    <xf numFmtId="0" fontId="3" fillId="0" borderId="106" xfId="0" applyFont="1" applyBorder="1"/>
    <xf numFmtId="179" fontId="3" fillId="0" borderId="106" xfId="0" applyNumberFormat="1" applyFont="1" applyBorder="1"/>
    <xf numFmtId="179" fontId="76" fillId="29" borderId="130" xfId="24" applyNumberFormat="1" applyBorder="1"/>
    <xf numFmtId="0" fontId="3" fillId="0" borderId="102" xfId="0" applyFont="1" applyBorder="1" applyAlignment="1">
      <alignment horizontal="center" vertical="center"/>
    </xf>
    <xf numFmtId="0" fontId="3" fillId="0" borderId="16" xfId="0" applyFont="1" applyBorder="1" applyAlignment="1">
      <alignment vertical="center"/>
    </xf>
    <xf numFmtId="179" fontId="3" fillId="0" borderId="16" xfId="0" applyNumberFormat="1" applyFont="1" applyBorder="1" applyAlignment="1">
      <alignment horizontal="center" vertical="center"/>
    </xf>
    <xf numFmtId="0" fontId="3" fillId="0" borderId="16" xfId="0" applyFont="1" applyBorder="1"/>
    <xf numFmtId="179" fontId="3" fillId="0" borderId="16" xfId="0" applyNumberFormat="1" applyFont="1" applyBorder="1"/>
    <xf numFmtId="0" fontId="3" fillId="0" borderId="1" xfId="0" applyFont="1" applyBorder="1" applyAlignment="1" applyProtection="1">
      <alignment vertical="center" wrapText="1"/>
      <protection hidden="1"/>
    </xf>
    <xf numFmtId="0" fontId="6" fillId="0" borderId="1" xfId="0" applyFont="1" applyBorder="1" applyAlignment="1" applyProtection="1">
      <alignment vertical="center" wrapText="1"/>
      <protection hidden="1"/>
    </xf>
    <xf numFmtId="177" fontId="2" fillId="0" borderId="0" xfId="3" applyNumberFormat="1" applyFont="1" applyAlignment="1">
      <alignment vertical="center"/>
    </xf>
    <xf numFmtId="10" fontId="2" fillId="0" borderId="0" xfId="3" applyNumberFormat="1" applyFont="1" applyAlignment="1">
      <alignment vertical="center"/>
    </xf>
    <xf numFmtId="10" fontId="3" fillId="0" borderId="0" xfId="3" applyNumberFormat="1" applyFont="1"/>
    <xf numFmtId="10" fontId="17" fillId="0" borderId="0" xfId="3" applyNumberFormat="1" applyFont="1" applyAlignment="1">
      <alignment vertical="center"/>
    </xf>
    <xf numFmtId="10" fontId="2" fillId="0" borderId="0" xfId="0" applyNumberFormat="1" applyFont="1" applyAlignment="1">
      <alignment vertical="center"/>
    </xf>
    <xf numFmtId="10" fontId="6" fillId="0" borderId="0" xfId="3" applyNumberFormat="1" applyFont="1" applyAlignment="1">
      <alignment vertical="center"/>
    </xf>
    <xf numFmtId="10" fontId="6" fillId="0" borderId="0" xfId="0" applyNumberFormat="1" applyFont="1" applyAlignment="1">
      <alignment vertical="center"/>
    </xf>
    <xf numFmtId="10" fontId="17" fillId="0" borderId="0" xfId="0" applyNumberFormat="1" applyFont="1" applyAlignment="1">
      <alignment vertical="center"/>
    </xf>
    <xf numFmtId="179" fontId="76" fillId="3" borderId="56" xfId="24" applyNumberFormat="1" applyFill="1"/>
    <xf numFmtId="0" fontId="73" fillId="36" borderId="98" xfId="0" applyFont="1" applyFill="1" applyBorder="1" applyAlignment="1">
      <alignment horizontal="center" vertical="center"/>
    </xf>
    <xf numFmtId="174" fontId="1" fillId="36" borderId="56" xfId="24" applyNumberFormat="1" applyFont="1" applyFill="1" applyAlignment="1">
      <alignment horizontal="center" vertical="center" wrapText="1"/>
    </xf>
    <xf numFmtId="174" fontId="0" fillId="36" borderId="56" xfId="24" applyNumberFormat="1" applyFont="1" applyFill="1" applyAlignment="1">
      <alignment horizontal="center" vertical="center" wrapText="1"/>
    </xf>
    <xf numFmtId="0" fontId="95" fillId="0" borderId="4" xfId="0" applyFont="1" applyBorder="1" applyAlignment="1">
      <alignment horizontal="right" wrapText="1"/>
    </xf>
    <xf numFmtId="0" fontId="95" fillId="0" borderId="115" xfId="0" applyFont="1" applyBorder="1" applyAlignment="1">
      <alignment horizontal="right" wrapText="1"/>
    </xf>
    <xf numFmtId="175" fontId="93" fillId="0" borderId="115" xfId="0" applyNumberFormat="1" applyFont="1" applyBorder="1" applyAlignment="1">
      <alignment horizontal="right" vertical="top" shrinkToFit="1"/>
    </xf>
    <xf numFmtId="175" fontId="93" fillId="0" borderId="115" xfId="0" applyNumberFormat="1" applyFont="1" applyBorder="1" applyAlignment="1">
      <alignment horizontal="right" vertical="center" shrinkToFit="1"/>
    </xf>
    <xf numFmtId="179" fontId="22" fillId="0" borderId="1" xfId="9" applyNumberFormat="1" applyBorder="1"/>
    <xf numFmtId="0" fontId="122" fillId="36" borderId="56" xfId="24" applyFont="1" applyFill="1" applyAlignment="1">
      <alignment horizontal="center" vertical="center" wrapText="1"/>
    </xf>
    <xf numFmtId="179" fontId="122" fillId="36" borderId="56" xfId="24" applyNumberFormat="1" applyFont="1" applyFill="1" applyAlignment="1">
      <alignment horizontal="center" vertical="center" wrapText="1"/>
    </xf>
    <xf numFmtId="179" fontId="80" fillId="36" borderId="98" xfId="12" applyNumberFormat="1" applyFont="1" applyFill="1" applyBorder="1" applyAlignment="1">
      <alignment horizontal="center" vertical="center" wrapText="1"/>
    </xf>
    <xf numFmtId="179" fontId="2" fillId="37" borderId="1" xfId="0" applyNumberFormat="1" applyFont="1" applyFill="1" applyBorder="1" applyAlignment="1">
      <alignment horizontal="center"/>
    </xf>
    <xf numFmtId="174" fontId="0" fillId="37" borderId="0" xfId="0" applyNumberFormat="1" applyFill="1" applyAlignment="1">
      <alignment horizontal="center"/>
    </xf>
    <xf numFmtId="194" fontId="79" fillId="0" borderId="0" xfId="8" applyNumberFormat="1" applyFont="1" applyFill="1" applyBorder="1" applyAlignment="1" applyProtection="1">
      <alignment horizontal="center" vertical="center" wrapText="1"/>
    </xf>
    <xf numFmtId="174" fontId="0" fillId="39" borderId="0" xfId="0" applyNumberFormat="1" applyFill="1" applyAlignment="1">
      <alignment horizontal="center"/>
    </xf>
    <xf numFmtId="193" fontId="92" fillId="3" borderId="113" xfId="0" applyNumberFormat="1" applyFont="1" applyFill="1" applyBorder="1" applyAlignment="1">
      <alignment horizontal="right" vertical="top" shrinkToFit="1"/>
    </xf>
    <xf numFmtId="179" fontId="19" fillId="36" borderId="98" xfId="0" applyNumberFormat="1" applyFont="1" applyFill="1" applyBorder="1" applyAlignment="1">
      <alignment horizontal="center" vertical="center" wrapText="1"/>
    </xf>
    <xf numFmtId="179" fontId="3" fillId="3" borderId="1" xfId="0" applyNumberFormat="1" applyFont="1" applyFill="1" applyBorder="1"/>
    <xf numFmtId="179" fontId="112" fillId="36" borderId="56" xfId="24" applyNumberFormat="1" applyFont="1" applyFill="1" applyAlignment="1">
      <alignment horizontal="center" vertical="center" wrapText="1"/>
    </xf>
    <xf numFmtId="179" fontId="3" fillId="3" borderId="0" xfId="0" applyNumberFormat="1" applyFont="1" applyFill="1"/>
    <xf numFmtId="179" fontId="22" fillId="3" borderId="56" xfId="9" applyNumberFormat="1" applyFill="1" applyBorder="1"/>
    <xf numFmtId="179" fontId="22" fillId="0" borderId="1" xfId="9" applyNumberFormat="1" applyBorder="1" applyAlignment="1">
      <alignment wrapText="1"/>
    </xf>
    <xf numFmtId="179" fontId="22" fillId="3" borderId="56" xfId="9" applyNumberFormat="1" applyFill="1" applyBorder="1" applyAlignment="1">
      <alignment wrapText="1"/>
    </xf>
    <xf numFmtId="179" fontId="22" fillId="3" borderId="1" xfId="9" applyNumberFormat="1" applyFill="1" applyBorder="1" applyAlignment="1">
      <alignment wrapText="1"/>
    </xf>
    <xf numFmtId="0" fontId="22" fillId="0" borderId="1" xfId="9" applyBorder="1" applyAlignment="1">
      <alignment wrapText="1"/>
    </xf>
    <xf numFmtId="179" fontId="19" fillId="36" borderId="0" xfId="0" applyNumberFormat="1" applyFont="1" applyFill="1" applyAlignment="1">
      <alignment horizontal="center" vertical="center" wrapText="1"/>
    </xf>
    <xf numFmtId="179" fontId="4" fillId="0" borderId="0" xfId="0" applyNumberFormat="1" applyFont="1" applyAlignment="1">
      <alignment horizontal="center"/>
    </xf>
    <xf numFmtId="179" fontId="4" fillId="0" borderId="1" xfId="0" applyNumberFormat="1" applyFont="1" applyBorder="1" applyAlignment="1">
      <alignment wrapText="1"/>
    </xf>
    <xf numFmtId="0" fontId="22" fillId="0" borderId="0" xfId="9" applyAlignment="1">
      <alignment wrapText="1"/>
    </xf>
    <xf numFmtId="179" fontId="3" fillId="3" borderId="0" xfId="0" applyNumberFormat="1" applyFont="1" applyFill="1" applyAlignment="1">
      <alignment wrapText="1"/>
    </xf>
    <xf numFmtId="179" fontId="22" fillId="3" borderId="56" xfId="9" applyNumberFormat="1" applyFill="1" applyBorder="1" applyAlignment="1">
      <alignment horizontal="center" wrapText="1"/>
    </xf>
    <xf numFmtId="0" fontId="4" fillId="0" borderId="1" xfId="0" applyFont="1" applyBorder="1" applyAlignment="1">
      <alignment wrapText="1"/>
    </xf>
    <xf numFmtId="179" fontId="22" fillId="0" borderId="1" xfId="9" applyNumberFormat="1" applyBorder="1" applyAlignment="1">
      <alignment horizontal="center" wrapText="1"/>
    </xf>
    <xf numFmtId="179" fontId="76" fillId="3" borderId="56" xfId="24" applyNumberFormat="1" applyFill="1" applyAlignment="1">
      <alignment wrapText="1"/>
    </xf>
    <xf numFmtId="171" fontId="34" fillId="0" borderId="0" xfId="8" applyNumberFormat="1" applyFont="1" applyFill="1" applyBorder="1" applyAlignment="1" applyProtection="1">
      <alignment horizontal="right" vertical="center" wrapText="1"/>
    </xf>
    <xf numFmtId="179" fontId="77" fillId="0" borderId="0" xfId="0" applyNumberFormat="1" applyFont="1" applyAlignment="1">
      <alignment horizontal="center" vertical="center"/>
    </xf>
    <xf numFmtId="179" fontId="25" fillId="0" borderId="0" xfId="0" applyNumberFormat="1" applyFont="1"/>
    <xf numFmtId="179" fontId="4" fillId="0" borderId="0" xfId="0" applyNumberFormat="1" applyFont="1" applyAlignment="1">
      <alignment wrapText="1"/>
    </xf>
    <xf numFmtId="179" fontId="3" fillId="0" borderId="0" xfId="0" applyNumberFormat="1" applyFont="1" applyAlignment="1">
      <alignment horizontal="center" vertical="center" wrapText="1"/>
    </xf>
    <xf numFmtId="179" fontId="22" fillId="0" borderId="0" xfId="9" applyNumberFormat="1" applyBorder="1" applyAlignment="1">
      <alignment wrapText="1"/>
    </xf>
    <xf numFmtId="202" fontId="19" fillId="11" borderId="98" xfId="13" applyNumberFormat="1" applyFont="1" applyFill="1" applyBorder="1" applyAlignment="1">
      <alignment horizontal="center" vertical="center"/>
    </xf>
    <xf numFmtId="174" fontId="3" fillId="0" borderId="94" xfId="0" applyNumberFormat="1" applyFont="1" applyBorder="1"/>
    <xf numFmtId="0" fontId="123" fillId="0" borderId="79" xfId="0" applyFont="1" applyBorder="1" applyAlignment="1">
      <alignment horizontal="center" vertical="center"/>
    </xf>
    <xf numFmtId="0" fontId="123" fillId="0" borderId="1" xfId="0" applyFont="1" applyBorder="1" applyAlignment="1">
      <alignment horizontal="center" vertical="center"/>
    </xf>
    <xf numFmtId="179" fontId="124" fillId="2" borderId="1" xfId="2" applyNumberFormat="1" applyFont="1" applyBorder="1" applyAlignment="1">
      <alignment horizontal="center" vertical="center"/>
    </xf>
    <xf numFmtId="179" fontId="123" fillId="0" borderId="1" xfId="0" applyNumberFormat="1" applyFont="1" applyBorder="1" applyAlignment="1">
      <alignment horizontal="center" vertical="center"/>
    </xf>
    <xf numFmtId="0" fontId="123" fillId="0" borderId="1" xfId="0" applyFont="1" applyBorder="1"/>
    <xf numFmtId="179" fontId="123" fillId="0" borderId="1" xfId="0" applyNumberFormat="1" applyFont="1" applyBorder="1"/>
    <xf numFmtId="179" fontId="123" fillId="0" borderId="0" xfId="0" applyNumberFormat="1" applyFont="1"/>
    <xf numFmtId="179" fontId="77" fillId="37" borderId="56" xfId="24" applyNumberFormat="1" applyFont="1" applyFill="1"/>
    <xf numFmtId="179" fontId="123" fillId="37" borderId="56" xfId="24" applyNumberFormat="1" applyFont="1" applyFill="1"/>
    <xf numFmtId="179" fontId="123" fillId="3" borderId="1" xfId="0" applyNumberFormat="1" applyFont="1" applyFill="1" applyBorder="1"/>
    <xf numFmtId="0" fontId="123" fillId="0" borderId="1" xfId="0" applyFont="1" applyBorder="1" applyAlignment="1">
      <alignment horizontal="center"/>
    </xf>
    <xf numFmtId="174" fontId="123" fillId="0" borderId="1" xfId="0" applyNumberFormat="1" applyFont="1" applyBorder="1"/>
    <xf numFmtId="174" fontId="123" fillId="0" borderId="16" xfId="0" applyNumberFormat="1" applyFont="1" applyBorder="1"/>
    <xf numFmtId="171" fontId="123" fillId="0" borderId="0" xfId="1" applyNumberFormat="1" applyFont="1" applyFill="1" applyBorder="1" applyAlignment="1" applyProtection="1">
      <alignment horizontal="right" vertical="center" wrapText="1"/>
    </xf>
    <xf numFmtId="179" fontId="123" fillId="0" borderId="0" xfId="0" applyNumberFormat="1" applyFont="1" applyAlignment="1">
      <alignment horizontal="center" vertical="center"/>
    </xf>
    <xf numFmtId="0" fontId="77" fillId="0" borderId="0" xfId="0" applyFont="1" applyAlignment="1">
      <alignment horizontal="center"/>
    </xf>
    <xf numFmtId="179" fontId="77" fillId="0" borderId="0" xfId="0" applyNumberFormat="1" applyFont="1" applyAlignment="1">
      <alignment horizontal="center"/>
    </xf>
    <xf numFmtId="179" fontId="77" fillId="0" borderId="0" xfId="0" applyNumberFormat="1" applyFont="1"/>
    <xf numFmtId="0" fontId="77" fillId="0" borderId="0" xfId="0" applyFont="1"/>
    <xf numFmtId="0" fontId="123" fillId="0" borderId="16" xfId="0" applyFont="1" applyBorder="1" applyAlignment="1">
      <alignment horizontal="center" vertical="center"/>
    </xf>
    <xf numFmtId="179" fontId="123" fillId="0" borderId="16" xfId="0" applyNumberFormat="1" applyFont="1" applyBorder="1" applyAlignment="1">
      <alignment horizontal="center" vertical="center"/>
    </xf>
    <xf numFmtId="179" fontId="123" fillId="0" borderId="96" xfId="0" applyNumberFormat="1" applyFont="1" applyBorder="1" applyAlignment="1">
      <alignment horizontal="center" vertical="center"/>
    </xf>
    <xf numFmtId="0" fontId="77" fillId="0" borderId="1" xfId="0" applyFont="1" applyBorder="1" applyAlignment="1">
      <alignment horizontal="center" vertical="center"/>
    </xf>
    <xf numFmtId="0" fontId="77" fillId="0" borderId="1" xfId="0" applyFont="1" applyBorder="1"/>
    <xf numFmtId="179" fontId="77" fillId="0" borderId="1" xfId="0" applyNumberFormat="1" applyFont="1" applyBorder="1"/>
    <xf numFmtId="179" fontId="125" fillId="3" borderId="56" xfId="24" applyNumberFormat="1" applyFont="1" applyFill="1"/>
    <xf numFmtId="179" fontId="77" fillId="3" borderId="1" xfId="0" applyNumberFormat="1" applyFont="1" applyFill="1" applyBorder="1"/>
    <xf numFmtId="174" fontId="77" fillId="0" borderId="1" xfId="0" applyNumberFormat="1" applyFont="1" applyBorder="1"/>
    <xf numFmtId="174" fontId="77" fillId="0" borderId="16" xfId="0" applyNumberFormat="1" applyFont="1" applyBorder="1"/>
    <xf numFmtId="179" fontId="123" fillId="0" borderId="0" xfId="1" applyNumberFormat="1" applyFont="1" applyFill="1" applyBorder="1" applyAlignment="1" applyProtection="1">
      <alignment horizontal="center" vertical="center" wrapText="1"/>
    </xf>
    <xf numFmtId="179" fontId="123" fillId="37" borderId="1" xfId="0" applyNumberFormat="1" applyFont="1" applyFill="1" applyBorder="1"/>
    <xf numFmtId="179" fontId="123" fillId="3" borderId="0" xfId="0" applyNumberFormat="1" applyFont="1" applyFill="1"/>
    <xf numFmtId="179" fontId="123" fillId="37" borderId="0" xfId="0" applyNumberFormat="1" applyFont="1" applyFill="1"/>
    <xf numFmtId="179" fontId="125" fillId="37" borderId="56" xfId="24" applyNumberFormat="1" applyFont="1" applyFill="1"/>
    <xf numFmtId="200" fontId="123" fillId="0" borderId="0" xfId="1" applyNumberFormat="1" applyFont="1" applyFill="1" applyBorder="1" applyAlignment="1" applyProtection="1">
      <alignment horizontal="center" vertical="center" wrapText="1"/>
    </xf>
    <xf numFmtId="179" fontId="123" fillId="0" borderId="0" xfId="1" applyNumberFormat="1" applyFont="1" applyFill="1" applyBorder="1" applyAlignment="1" applyProtection="1">
      <alignment horizontal="right" vertical="center" wrapText="1"/>
    </xf>
    <xf numFmtId="171" fontId="126" fillId="0" borderId="1" xfId="8" applyNumberFormat="1" applyFont="1" applyFill="1" applyBorder="1" applyAlignment="1" applyProtection="1">
      <alignment horizontal="right" vertical="center" wrapText="1"/>
    </xf>
    <xf numFmtId="171" fontId="126" fillId="0" borderId="0" xfId="8" applyNumberFormat="1" applyFont="1" applyFill="1" applyBorder="1" applyAlignment="1" applyProtection="1">
      <alignment horizontal="right" vertical="center" wrapText="1"/>
    </xf>
    <xf numFmtId="179" fontId="123" fillId="37" borderId="1" xfId="0" applyNumberFormat="1" applyFont="1" applyFill="1" applyBorder="1" applyAlignment="1">
      <alignment horizontal="center"/>
    </xf>
    <xf numFmtId="0" fontId="123" fillId="0" borderId="0" xfId="0" applyFont="1"/>
    <xf numFmtId="179" fontId="123" fillId="0" borderId="0" xfId="0" applyNumberFormat="1" applyFont="1" applyAlignment="1">
      <alignment vertical="center"/>
    </xf>
    <xf numFmtId="0" fontId="77" fillId="0" borderId="1" xfId="0" applyFont="1" applyBorder="1" applyAlignment="1">
      <alignment vertical="center"/>
    </xf>
    <xf numFmtId="179" fontId="77" fillId="0" borderId="1" xfId="0" applyNumberFormat="1" applyFont="1" applyBorder="1" applyAlignment="1">
      <alignment vertical="center"/>
    </xf>
    <xf numFmtId="179" fontId="77" fillId="0" borderId="0" xfId="0" applyNumberFormat="1" applyFont="1" applyAlignment="1">
      <alignment vertical="center"/>
    </xf>
    <xf numFmtId="179" fontId="77" fillId="37" borderId="56" xfId="24" applyNumberFormat="1" applyFont="1" applyFill="1" applyAlignment="1">
      <alignment vertical="center"/>
    </xf>
    <xf numFmtId="179" fontId="77" fillId="3" borderId="1" xfId="0" applyNumberFormat="1" applyFont="1" applyFill="1" applyBorder="1" applyAlignment="1">
      <alignment vertical="center"/>
    </xf>
    <xf numFmtId="174" fontId="77" fillId="0" borderId="1" xfId="0" applyNumberFormat="1" applyFont="1" applyBorder="1" applyAlignment="1">
      <alignment vertical="center"/>
    </xf>
    <xf numFmtId="174" fontId="77" fillId="0" borderId="16" xfId="0" applyNumberFormat="1" applyFont="1" applyBorder="1" applyAlignment="1">
      <alignment vertical="center"/>
    </xf>
    <xf numFmtId="0" fontId="123" fillId="0" borderId="0" xfId="0" applyFont="1" applyAlignment="1">
      <alignment vertical="center"/>
    </xf>
    <xf numFmtId="0" fontId="77" fillId="0" borderId="0" xfId="0" applyFont="1" applyAlignment="1">
      <alignment vertical="center"/>
    </xf>
    <xf numFmtId="179" fontId="77" fillId="37" borderId="1" xfId="0" applyNumberFormat="1" applyFont="1" applyFill="1" applyBorder="1"/>
    <xf numFmtId="193" fontId="77" fillId="0" borderId="1" xfId="0" applyNumberFormat="1" applyFont="1" applyBorder="1" applyAlignment="1">
      <alignment vertical="center"/>
    </xf>
    <xf numFmtId="179" fontId="125" fillId="37" borderId="56" xfId="24" applyNumberFormat="1" applyFont="1" applyFill="1" applyAlignment="1">
      <alignment horizontal="center"/>
    </xf>
    <xf numFmtId="193" fontId="77" fillId="37" borderId="1" xfId="0" applyNumberFormat="1" applyFont="1" applyFill="1" applyBorder="1" applyAlignment="1">
      <alignment vertical="center"/>
    </xf>
    <xf numFmtId="179" fontId="77" fillId="37" borderId="56" xfId="24" applyNumberFormat="1" applyFont="1" applyFill="1" applyAlignment="1">
      <alignment horizontal="right"/>
    </xf>
    <xf numFmtId="0" fontId="125" fillId="3" borderId="56" xfId="24" applyFont="1" applyFill="1" applyAlignment="1">
      <alignment horizontal="center"/>
    </xf>
    <xf numFmtId="179" fontId="124" fillId="2" borderId="1" xfId="2" applyNumberFormat="1" applyFont="1" applyBorder="1" applyAlignment="1" applyProtection="1">
      <alignment horizontal="center" vertical="center" wrapText="1"/>
    </xf>
    <xf numFmtId="179" fontId="123" fillId="0" borderId="1" xfId="1" applyNumberFormat="1" applyFont="1" applyFill="1" applyBorder="1" applyAlignment="1" applyProtection="1">
      <alignment horizontal="center" vertical="center" wrapText="1"/>
    </xf>
    <xf numFmtId="171" fontId="123" fillId="0" borderId="1" xfId="1" applyNumberFormat="1" applyFont="1" applyFill="1" applyBorder="1" applyAlignment="1" applyProtection="1">
      <alignment horizontal="right" vertical="center" wrapText="1"/>
    </xf>
    <xf numFmtId="179" fontId="123" fillId="0" borderId="1" xfId="1" applyNumberFormat="1" applyFont="1" applyFill="1" applyBorder="1" applyAlignment="1" applyProtection="1">
      <alignment horizontal="right" vertical="center" wrapText="1"/>
    </xf>
    <xf numFmtId="179" fontId="123" fillId="37" borderId="0" xfId="1" applyNumberFormat="1" applyFont="1" applyFill="1" applyBorder="1" applyAlignment="1" applyProtection="1">
      <alignment horizontal="right" vertical="center" wrapText="1"/>
    </xf>
    <xf numFmtId="179" fontId="123" fillId="3" borderId="1" xfId="1" applyNumberFormat="1" applyFont="1" applyFill="1" applyBorder="1" applyAlignment="1" applyProtection="1">
      <alignment horizontal="right" vertical="center" wrapText="1"/>
    </xf>
    <xf numFmtId="174" fontId="123" fillId="0" borderId="1" xfId="1" applyNumberFormat="1" applyFont="1" applyFill="1" applyBorder="1" applyAlignment="1" applyProtection="1">
      <alignment horizontal="right" vertical="center" wrapText="1"/>
    </xf>
    <xf numFmtId="174" fontId="123" fillId="0" borderId="16" xfId="1" applyNumberFormat="1" applyFont="1" applyFill="1" applyBorder="1" applyAlignment="1" applyProtection="1">
      <alignment horizontal="right" vertical="center" wrapText="1"/>
    </xf>
    <xf numFmtId="179" fontId="77" fillId="37" borderId="0" xfId="0" applyNumberFormat="1" applyFont="1" applyFill="1"/>
    <xf numFmtId="179" fontId="77" fillId="37" borderId="1" xfId="0" applyNumberFormat="1" applyFont="1" applyFill="1" applyBorder="1" applyAlignment="1">
      <alignment horizontal="center" vertical="center"/>
    </xf>
    <xf numFmtId="169" fontId="125" fillId="3" borderId="56" xfId="24" applyNumberFormat="1" applyFont="1" applyFill="1" applyAlignment="1">
      <alignment horizontal="center"/>
    </xf>
    <xf numFmtId="193" fontId="77" fillId="0" borderId="1" xfId="0" applyNumberFormat="1" applyFont="1" applyBorder="1" applyAlignment="1">
      <alignment horizontal="center" vertical="center"/>
    </xf>
    <xf numFmtId="179" fontId="123" fillId="3" borderId="56" xfId="24" applyNumberFormat="1" applyFont="1" applyFill="1"/>
    <xf numFmtId="174" fontId="123" fillId="37" borderId="1" xfId="0" applyNumberFormat="1" applyFont="1" applyFill="1" applyBorder="1"/>
    <xf numFmtId="174" fontId="123" fillId="37" borderId="16" xfId="0" applyNumberFormat="1" applyFont="1" applyFill="1" applyBorder="1"/>
    <xf numFmtId="174" fontId="123" fillId="3" borderId="1" xfId="0" applyNumberFormat="1" applyFont="1" applyFill="1" applyBorder="1"/>
    <xf numFmtId="179" fontId="125" fillId="3" borderId="56" xfId="24" applyNumberFormat="1" applyFont="1" applyFill="1" applyAlignment="1">
      <alignment horizontal="center" vertical="center"/>
    </xf>
    <xf numFmtId="179" fontId="123" fillId="3" borderId="1" xfId="0" applyNumberFormat="1" applyFont="1" applyFill="1" applyBorder="1" applyAlignment="1">
      <alignment horizontal="center"/>
    </xf>
    <xf numFmtId="179" fontId="125" fillId="6" borderId="56" xfId="24" applyNumberFormat="1" applyFont="1" applyFill="1"/>
    <xf numFmtId="170" fontId="125" fillId="3" borderId="56" xfId="1" applyFont="1" applyFill="1" applyBorder="1" applyAlignment="1">
      <alignment horizontal="center" vertical="center" wrapText="1"/>
    </xf>
    <xf numFmtId="179" fontId="125" fillId="37" borderId="56" xfId="24" applyNumberFormat="1" applyFont="1" applyFill="1" applyAlignment="1">
      <alignment horizontal="center" vertical="center"/>
    </xf>
    <xf numFmtId="174" fontId="77" fillId="37" borderId="1" xfId="0" applyNumberFormat="1" applyFont="1" applyFill="1" applyBorder="1"/>
    <xf numFmtId="174" fontId="77" fillId="37" borderId="16" xfId="0" applyNumberFormat="1" applyFont="1" applyFill="1" applyBorder="1"/>
    <xf numFmtId="179" fontId="77" fillId="3" borderId="1" xfId="0" applyNumberFormat="1" applyFont="1" applyFill="1" applyBorder="1" applyAlignment="1">
      <alignment horizontal="center" vertical="center"/>
    </xf>
    <xf numFmtId="174" fontId="77" fillId="0" borderId="1" xfId="0" applyNumberFormat="1" applyFont="1" applyBorder="1" applyAlignment="1">
      <alignment horizontal="center" vertical="center"/>
    </xf>
    <xf numFmtId="174" fontId="77" fillId="0" borderId="16" xfId="0" applyNumberFormat="1" applyFont="1" applyBorder="1" applyAlignment="1">
      <alignment horizontal="center" vertical="center"/>
    </xf>
    <xf numFmtId="0" fontId="77" fillId="0" borderId="0" xfId="0" applyFont="1" applyAlignment="1">
      <alignment horizontal="center" vertical="center"/>
    </xf>
    <xf numFmtId="174" fontId="125" fillId="37" borderId="56" xfId="24" applyNumberFormat="1" applyFont="1" applyFill="1" applyAlignment="1">
      <alignment horizontal="center" vertical="center"/>
    </xf>
    <xf numFmtId="179" fontId="77" fillId="3" borderId="56" xfId="24" applyNumberFormat="1" applyFont="1" applyFill="1"/>
    <xf numFmtId="179" fontId="125" fillId="38" borderId="56" xfId="24" applyNumberFormat="1" applyFont="1" applyFill="1"/>
    <xf numFmtId="170" fontId="125" fillId="37" borderId="56" xfId="24" applyNumberFormat="1" applyFont="1" applyFill="1" applyAlignment="1">
      <alignment horizontal="center"/>
    </xf>
    <xf numFmtId="179" fontId="124" fillId="9" borderId="1" xfId="2" applyNumberFormat="1" applyFont="1" applyFill="1" applyBorder="1" applyAlignment="1">
      <alignment horizontal="center" vertical="center"/>
    </xf>
    <xf numFmtId="179" fontId="124" fillId="22" borderId="1" xfId="2" applyNumberFormat="1" applyFont="1" applyFill="1" applyBorder="1" applyAlignment="1">
      <alignment horizontal="center" vertical="center"/>
    </xf>
    <xf numFmtId="170" fontId="125" fillId="3" borderId="56" xfId="1" applyFont="1" applyFill="1" applyBorder="1" applyAlignment="1">
      <alignment horizontal="center"/>
    </xf>
    <xf numFmtId="179" fontId="77" fillId="22" borderId="1" xfId="0" applyNumberFormat="1" applyFont="1" applyFill="1" applyBorder="1" applyAlignment="1">
      <alignment horizontal="center" vertical="center"/>
    </xf>
    <xf numFmtId="174" fontId="77" fillId="37" borderId="1" xfId="0" applyNumberFormat="1" applyFont="1" applyFill="1" applyBorder="1" applyAlignment="1">
      <alignment vertical="center"/>
    </xf>
    <xf numFmtId="174" fontId="123" fillId="0" borderId="1" xfId="0" applyNumberFormat="1" applyFont="1" applyBorder="1" applyAlignment="1">
      <alignment horizontal="center" vertical="center"/>
    </xf>
    <xf numFmtId="174" fontId="123" fillId="0" borderId="16" xfId="0" applyNumberFormat="1" applyFont="1" applyBorder="1" applyAlignment="1">
      <alignment horizontal="center" vertical="center"/>
    </xf>
    <xf numFmtId="195" fontId="77" fillId="0" borderId="1" xfId="0" applyNumberFormat="1" applyFont="1" applyBorder="1"/>
    <xf numFmtId="0" fontId="128" fillId="22" borderId="1" xfId="0" applyFont="1" applyFill="1" applyBorder="1" applyAlignment="1">
      <alignment horizontal="center" vertical="center"/>
    </xf>
    <xf numFmtId="179" fontId="128" fillId="0" borderId="1" xfId="0" applyNumberFormat="1" applyFont="1" applyBorder="1" applyAlignment="1">
      <alignment horizontal="center" vertical="center"/>
    </xf>
    <xf numFmtId="0" fontId="127" fillId="0" borderId="1" xfId="0" applyFont="1" applyBorder="1" applyAlignment="1">
      <alignment vertical="center" wrapText="1"/>
    </xf>
    <xf numFmtId="0" fontId="77" fillId="0" borderId="1" xfId="0" applyFont="1" applyBorder="1" applyAlignment="1">
      <alignment vertical="center" wrapText="1"/>
    </xf>
    <xf numFmtId="170" fontId="77" fillId="0" borderId="1" xfId="1" applyFont="1" applyBorder="1" applyAlignment="1">
      <alignment vertical="center" wrapText="1"/>
    </xf>
    <xf numFmtId="0" fontId="77" fillId="0" borderId="106" xfId="0" applyFont="1" applyBorder="1" applyAlignment="1">
      <alignment horizontal="center" vertical="center"/>
    </xf>
    <xf numFmtId="179" fontId="77" fillId="0" borderId="106" xfId="0" applyNumberFormat="1" applyFont="1" applyBorder="1" applyAlignment="1">
      <alignment horizontal="center" vertical="center"/>
    </xf>
    <xf numFmtId="0" fontId="77" fillId="0" borderId="106" xfId="0" applyFont="1" applyBorder="1"/>
    <xf numFmtId="179" fontId="77" fillId="0" borderId="106" xfId="0" applyNumberFormat="1" applyFont="1" applyBorder="1"/>
    <xf numFmtId="179" fontId="77" fillId="3" borderId="106" xfId="0" applyNumberFormat="1" applyFont="1" applyFill="1" applyBorder="1"/>
    <xf numFmtId="174" fontId="77" fillId="0" borderId="106" xfId="0" applyNumberFormat="1" applyFont="1" applyBorder="1"/>
    <xf numFmtId="174" fontId="77" fillId="0" borderId="131" xfId="0" applyNumberFormat="1" applyFont="1" applyBorder="1"/>
    <xf numFmtId="179" fontId="77" fillId="0" borderId="1" xfId="0" applyNumberFormat="1" applyFont="1" applyBorder="1" applyAlignment="1">
      <alignment horizontal="center" vertical="center" wrapText="1"/>
    </xf>
    <xf numFmtId="0" fontId="77" fillId="0" borderId="1" xfId="0" applyFont="1" applyBorder="1" applyAlignment="1">
      <alignment wrapText="1"/>
    </xf>
    <xf numFmtId="179" fontId="77" fillId="0" borderId="1" xfId="0" applyNumberFormat="1" applyFont="1" applyBorder="1" applyAlignment="1">
      <alignment wrapText="1"/>
    </xf>
    <xf numFmtId="0" fontId="77" fillId="0" borderId="1" xfId="0" applyFont="1" applyBorder="1" applyAlignment="1" applyProtection="1">
      <alignment vertical="center" wrapText="1"/>
      <protection hidden="1"/>
    </xf>
    <xf numFmtId="0" fontId="77" fillId="0" borderId="16" xfId="0" applyFont="1" applyBorder="1" applyAlignment="1">
      <alignment vertical="center"/>
    </xf>
    <xf numFmtId="179" fontId="77" fillId="0" borderId="16" xfId="0" applyNumberFormat="1" applyFont="1" applyBorder="1" applyAlignment="1">
      <alignment horizontal="center" vertical="center"/>
    </xf>
    <xf numFmtId="0" fontId="77" fillId="0" borderId="16" xfId="0" applyFont="1" applyBorder="1"/>
    <xf numFmtId="179" fontId="77" fillId="0" borderId="16" xfId="0" applyNumberFormat="1" applyFont="1" applyBorder="1"/>
    <xf numFmtId="179" fontId="77" fillId="3" borderId="16" xfId="0" applyNumberFormat="1" applyFont="1" applyFill="1" applyBorder="1"/>
    <xf numFmtId="0" fontId="77" fillId="0" borderId="79" xfId="0" applyFont="1" applyBorder="1" applyAlignment="1">
      <alignment horizontal="center" vertical="center"/>
    </xf>
    <xf numFmtId="0" fontId="77" fillId="0" borderId="81" xfId="0" applyFont="1" applyBorder="1" applyAlignment="1">
      <alignment horizontal="center" vertical="center"/>
    </xf>
    <xf numFmtId="0" fontId="77" fillId="0" borderId="82" xfId="0" applyFont="1" applyBorder="1" applyAlignment="1">
      <alignment horizontal="center" vertical="center"/>
    </xf>
    <xf numFmtId="179" fontId="77" fillId="0" borderId="82" xfId="0" applyNumberFormat="1" applyFont="1" applyBorder="1" applyAlignment="1">
      <alignment horizontal="center" vertical="center"/>
    </xf>
    <xf numFmtId="0" fontId="77" fillId="0" borderId="82" xfId="0" applyFont="1" applyBorder="1"/>
    <xf numFmtId="179" fontId="77" fillId="0" borderId="82" xfId="0" applyNumberFormat="1" applyFont="1" applyBorder="1"/>
    <xf numFmtId="179" fontId="77" fillId="3" borderId="82" xfId="0" applyNumberFormat="1" applyFont="1" applyFill="1" applyBorder="1"/>
    <xf numFmtId="179" fontId="77" fillId="0" borderId="35" xfId="0" applyNumberFormat="1" applyFont="1" applyBorder="1" applyAlignment="1">
      <alignment horizontal="center" vertical="center"/>
    </xf>
    <xf numFmtId="179" fontId="77" fillId="0" borderId="35" xfId="0" applyNumberFormat="1" applyFont="1" applyBorder="1"/>
    <xf numFmtId="179" fontId="77" fillId="0" borderId="82" xfId="0" applyNumberFormat="1" applyFont="1" applyBorder="1" applyAlignment="1">
      <alignment vertical="center"/>
    </xf>
    <xf numFmtId="174" fontId="77" fillId="0" borderId="82" xfId="0" applyNumberFormat="1" applyFont="1" applyBorder="1"/>
    <xf numFmtId="174" fontId="77" fillId="0" borderId="108" xfId="0" applyNumberFormat="1" applyFont="1" applyBorder="1"/>
    <xf numFmtId="0" fontId="77" fillId="0" borderId="35" xfId="0" applyFont="1" applyBorder="1"/>
    <xf numFmtId="179" fontId="77" fillId="0" borderId="35" xfId="0" applyNumberFormat="1" applyFont="1" applyBorder="1" applyAlignment="1">
      <alignment vertical="center"/>
    </xf>
    <xf numFmtId="179" fontId="123" fillId="0" borderId="35" xfId="0" applyNumberFormat="1" applyFont="1" applyBorder="1"/>
    <xf numFmtId="0" fontId="123" fillId="0" borderId="108" xfId="0" applyFont="1" applyBorder="1" applyAlignment="1">
      <alignment horizontal="center" vertical="center"/>
    </xf>
    <xf numFmtId="179" fontId="123" fillId="0" borderId="108" xfId="0" applyNumberFormat="1" applyFont="1" applyBorder="1" applyAlignment="1">
      <alignment horizontal="center" vertical="center"/>
    </xf>
    <xf numFmtId="179" fontId="123" fillId="0" borderId="109" xfId="0" applyNumberFormat="1" applyFont="1" applyBorder="1" applyAlignment="1">
      <alignment horizontal="center" vertical="center"/>
    </xf>
    <xf numFmtId="0" fontId="123" fillId="0" borderId="132" xfId="0" applyFont="1" applyBorder="1" applyAlignment="1">
      <alignment horizontal="center" vertical="center"/>
    </xf>
    <xf numFmtId="0" fontId="123" fillId="0" borderId="133" xfId="0" applyFont="1" applyBorder="1" applyAlignment="1">
      <alignment horizontal="center" vertical="center"/>
    </xf>
    <xf numFmtId="179" fontId="124" fillId="2" borderId="16" xfId="2" applyNumberFormat="1" applyFont="1" applyBorder="1" applyAlignment="1">
      <alignment horizontal="center" vertical="center"/>
    </xf>
    <xf numFmtId="0" fontId="123" fillId="0" borderId="16" xfId="0" applyFont="1" applyBorder="1" applyAlignment="1">
      <alignment horizontal="center"/>
    </xf>
    <xf numFmtId="179" fontId="123" fillId="0" borderId="16" xfId="0" applyNumberFormat="1" applyFont="1" applyBorder="1" applyAlignment="1">
      <alignment horizontal="center"/>
    </xf>
    <xf numFmtId="179" fontId="123" fillId="0" borderId="0" xfId="0" applyNumberFormat="1" applyFont="1" applyAlignment="1">
      <alignment horizontal="center"/>
    </xf>
    <xf numFmtId="179" fontId="123" fillId="37" borderId="134" xfId="24" applyNumberFormat="1" applyFont="1" applyFill="1" applyBorder="1"/>
    <xf numFmtId="179" fontId="123" fillId="3" borderId="16" xfId="0" applyNumberFormat="1" applyFont="1" applyFill="1" applyBorder="1" applyAlignment="1">
      <alignment horizontal="center"/>
    </xf>
    <xf numFmtId="174" fontId="123" fillId="0" borderId="16" xfId="0" applyNumberFormat="1" applyFont="1" applyBorder="1" applyAlignment="1">
      <alignment horizontal="center"/>
    </xf>
    <xf numFmtId="0" fontId="123" fillId="0" borderId="0" xfId="0" applyFont="1" applyAlignment="1">
      <alignment horizontal="center" vertical="center"/>
    </xf>
    <xf numFmtId="0" fontId="22" fillId="0" borderId="103" xfId="9" applyBorder="1" applyAlignment="1">
      <alignment vertical="center" wrapText="1"/>
    </xf>
    <xf numFmtId="179" fontId="112" fillId="29" borderId="135" xfId="24" applyNumberFormat="1" applyFont="1" applyBorder="1" applyAlignment="1">
      <alignment horizontal="center" vertical="center" wrapText="1"/>
    </xf>
    <xf numFmtId="179" fontId="122" fillId="15" borderId="135" xfId="24" applyNumberFormat="1" applyFont="1" applyFill="1" applyBorder="1" applyAlignment="1">
      <alignment horizontal="center" vertical="center" wrapText="1"/>
    </xf>
    <xf numFmtId="0" fontId="122" fillId="36" borderId="135" xfId="24" applyFont="1" applyFill="1" applyBorder="1" applyAlignment="1">
      <alignment horizontal="center" vertical="center" wrapText="1"/>
    </xf>
    <xf numFmtId="179" fontId="19" fillId="36" borderId="103" xfId="0" applyNumberFormat="1" applyFont="1" applyFill="1" applyBorder="1" applyAlignment="1">
      <alignment horizontal="center" vertical="center" wrapText="1"/>
    </xf>
    <xf numFmtId="179" fontId="122" fillId="36" borderId="135" xfId="24" applyNumberFormat="1" applyFont="1" applyFill="1" applyBorder="1" applyAlignment="1">
      <alignment horizontal="center" vertical="center" wrapText="1"/>
    </xf>
    <xf numFmtId="174" fontId="1" fillId="36" borderId="135" xfId="24" applyNumberFormat="1" applyFont="1" applyFill="1" applyBorder="1" applyAlignment="1">
      <alignment horizontal="center" vertical="center" wrapText="1"/>
    </xf>
    <xf numFmtId="174" fontId="0" fillId="36" borderId="135" xfId="24" applyNumberFormat="1" applyFont="1" applyFill="1" applyBorder="1" applyAlignment="1">
      <alignment horizontal="center" vertical="center" wrapText="1"/>
    </xf>
    <xf numFmtId="0" fontId="19" fillId="0" borderId="103" xfId="0" applyFont="1" applyBorder="1" applyAlignment="1">
      <alignment horizontal="center" vertical="center" wrapText="1"/>
    </xf>
    <xf numFmtId="179" fontId="33" fillId="36" borderId="135" xfId="24" applyNumberFormat="1" applyFont="1" applyFill="1" applyBorder="1" applyAlignment="1">
      <alignment horizontal="center" vertical="center" wrapText="1"/>
    </xf>
    <xf numFmtId="179" fontId="33" fillId="36" borderId="56" xfId="24" applyNumberFormat="1" applyFont="1" applyFill="1" applyAlignment="1">
      <alignment horizontal="center" vertical="center" wrapText="1"/>
    </xf>
    <xf numFmtId="179" fontId="125" fillId="3" borderId="130" xfId="24" applyNumberFormat="1" applyFont="1" applyFill="1" applyBorder="1"/>
    <xf numFmtId="179" fontId="76" fillId="37" borderId="56" xfId="24" applyNumberFormat="1" applyFill="1" applyAlignment="1">
      <alignment horizontal="center"/>
    </xf>
    <xf numFmtId="179" fontId="77" fillId="3" borderId="0" xfId="0" applyNumberFormat="1" applyFont="1" applyFill="1"/>
    <xf numFmtId="0" fontId="123" fillId="3" borderId="1" xfId="0" applyFont="1" applyFill="1" applyBorder="1" applyAlignment="1">
      <alignment horizontal="center"/>
    </xf>
    <xf numFmtId="174" fontId="123" fillId="3" borderId="16" xfId="0" applyNumberFormat="1" applyFont="1" applyFill="1" applyBorder="1"/>
    <xf numFmtId="173" fontId="6" fillId="0" borderId="4" xfId="8" applyFont="1" applyBorder="1" applyAlignment="1">
      <alignment horizontal="center" vertical="center"/>
    </xf>
    <xf numFmtId="0" fontId="6" fillId="0" borderId="48" xfId="0" applyFont="1" applyBorder="1" applyAlignment="1">
      <alignment horizontal="center" vertical="center"/>
    </xf>
    <xf numFmtId="173" fontId="6" fillId="0" borderId="48" xfId="8" applyFont="1" applyBorder="1" applyAlignment="1">
      <alignment vertical="center"/>
    </xf>
    <xf numFmtId="173" fontId="6" fillId="0" borderId="3" xfId="6" applyFont="1" applyBorder="1" applyAlignment="1">
      <alignment horizontal="center" vertical="center"/>
    </xf>
    <xf numFmtId="179" fontId="22" fillId="0" borderId="16" xfId="9" applyNumberFormat="1" applyBorder="1" applyAlignment="1">
      <alignment wrapText="1"/>
    </xf>
    <xf numFmtId="0" fontId="22" fillId="0" borderId="98" xfId="9" applyBorder="1" applyAlignment="1">
      <alignment vertical="center" wrapText="1"/>
    </xf>
    <xf numFmtId="0" fontId="2" fillId="37" borderId="1" xfId="0" applyFont="1" applyFill="1" applyBorder="1"/>
    <xf numFmtId="0" fontId="2" fillId="3" borderId="16" xfId="0" applyFont="1" applyFill="1" applyBorder="1"/>
    <xf numFmtId="0" fontId="2" fillId="3" borderId="1" xfId="0" applyFont="1" applyFill="1" applyBorder="1" applyAlignment="1">
      <alignment vertical="center"/>
    </xf>
    <xf numFmtId="0" fontId="2" fillId="3" borderId="1" xfId="0" applyFont="1" applyFill="1" applyBorder="1"/>
    <xf numFmtId="0" fontId="17" fillId="3" borderId="1" xfId="0" applyFont="1" applyFill="1" applyBorder="1" applyAlignment="1">
      <alignment horizontal="left" vertical="center"/>
    </xf>
    <xf numFmtId="0" fontId="29" fillId="3" borderId="1" xfId="2" applyFont="1" applyFill="1" applyBorder="1" applyAlignment="1">
      <alignment vertical="center"/>
    </xf>
    <xf numFmtId="0" fontId="39" fillId="3" borderId="1" xfId="11" applyFont="1" applyFill="1" applyBorder="1"/>
    <xf numFmtId="0" fontId="26" fillId="3" borderId="1" xfId="0" applyFont="1" applyFill="1" applyBorder="1"/>
    <xf numFmtId="0" fontId="40" fillId="3" borderId="1" xfId="0" applyFont="1" applyFill="1" applyBorder="1" applyAlignment="1">
      <alignment horizontal="left" vertical="center"/>
    </xf>
    <xf numFmtId="193" fontId="76" fillId="3" borderId="56" xfId="24" applyNumberFormat="1" applyFill="1"/>
    <xf numFmtId="179" fontId="2" fillId="3" borderId="1" xfId="0" applyNumberFormat="1" applyFont="1" applyFill="1" applyBorder="1" applyAlignment="1">
      <alignment horizontal="center"/>
    </xf>
    <xf numFmtId="179" fontId="76" fillId="3" borderId="56" xfId="24" applyNumberFormat="1" applyFill="1" applyAlignment="1">
      <alignment horizontal="center"/>
    </xf>
    <xf numFmtId="179" fontId="88" fillId="0" borderId="0" xfId="4" applyNumberFormat="1" applyFont="1" applyAlignment="1" applyProtection="1">
      <alignment horizontal="center" vertical="center" wrapText="1"/>
      <protection locked="0"/>
    </xf>
    <xf numFmtId="3" fontId="89" fillId="11" borderId="141" xfId="4" applyNumberFormat="1" applyFont="1" applyFill="1" applyBorder="1" applyAlignment="1">
      <alignment horizontal="center" vertical="center" wrapText="1"/>
    </xf>
    <xf numFmtId="172" fontId="89" fillId="11" borderId="140" xfId="5" applyNumberFormat="1" applyFont="1" applyFill="1" applyBorder="1" applyAlignment="1">
      <alignment horizontal="center" vertical="center" wrapText="1"/>
    </xf>
    <xf numFmtId="179" fontId="22" fillId="0" borderId="0" xfId="9" applyNumberFormat="1"/>
    <xf numFmtId="179" fontId="125" fillId="3" borderId="134" xfId="24" applyNumberFormat="1" applyFont="1" applyFill="1" applyBorder="1"/>
    <xf numFmtId="179" fontId="125" fillId="3" borderId="134" xfId="24" applyNumberFormat="1" applyFont="1" applyFill="1" applyBorder="1" applyAlignment="1">
      <alignment horizontal="center"/>
    </xf>
    <xf numFmtId="179" fontId="125" fillId="3" borderId="56" xfId="24" applyNumberFormat="1" applyFont="1" applyFill="1" applyAlignment="1">
      <alignment horizontal="center"/>
    </xf>
    <xf numFmtId="0" fontId="77" fillId="3" borderId="1" xfId="0" applyFont="1" applyFill="1" applyBorder="1" applyAlignment="1">
      <alignment horizontal="center" vertical="center"/>
    </xf>
    <xf numFmtId="166" fontId="125" fillId="3" borderId="56" xfId="24" applyNumberFormat="1" applyFont="1" applyFill="1" applyAlignment="1">
      <alignment horizontal="center" vertical="center"/>
    </xf>
    <xf numFmtId="0" fontId="125" fillId="3" borderId="56" xfId="24" applyFont="1" applyFill="1" applyAlignment="1">
      <alignment vertical="center" wrapText="1"/>
    </xf>
    <xf numFmtId="179" fontId="129" fillId="3" borderId="56" xfId="24" applyNumberFormat="1" applyFont="1" applyFill="1" applyAlignment="1">
      <alignment horizontal="center" vertical="center"/>
    </xf>
    <xf numFmtId="0" fontId="77" fillId="3" borderId="1" xfId="0" applyFont="1" applyFill="1" applyBorder="1" applyAlignment="1">
      <alignment vertical="center" wrapText="1"/>
    </xf>
    <xf numFmtId="179" fontId="129" fillId="3" borderId="130" xfId="24" applyNumberFormat="1" applyFont="1" applyFill="1" applyBorder="1" applyAlignment="1">
      <alignment horizontal="center" vertical="center"/>
    </xf>
    <xf numFmtId="179" fontId="77" fillId="3" borderId="1" xfId="0" applyNumberFormat="1" applyFont="1" applyFill="1" applyBorder="1" applyAlignment="1">
      <alignment horizontal="center" vertical="center" wrapText="1"/>
    </xf>
    <xf numFmtId="1" fontId="92" fillId="3" borderId="113" xfId="0" applyNumberFormat="1" applyFont="1" applyFill="1" applyBorder="1" applyAlignment="1">
      <alignment horizontal="center" vertical="top" shrinkToFit="1"/>
    </xf>
    <xf numFmtId="9" fontId="92" fillId="3" borderId="113" xfId="0" applyNumberFormat="1" applyFont="1" applyFill="1" applyBorder="1" applyAlignment="1">
      <alignment horizontal="center" vertical="top" shrinkToFit="1"/>
    </xf>
    <xf numFmtId="174" fontId="33" fillId="36" borderId="135" xfId="24" applyNumberFormat="1" applyFont="1" applyFill="1" applyBorder="1" applyAlignment="1">
      <alignment horizontal="center" vertical="center" wrapText="1"/>
    </xf>
    <xf numFmtId="2" fontId="77" fillId="3" borderId="1" xfId="0" applyNumberFormat="1" applyFont="1" applyFill="1" applyBorder="1" applyAlignment="1">
      <alignment horizontal="center" vertical="center"/>
    </xf>
    <xf numFmtId="173" fontId="10" fillId="3" borderId="5" xfId="8" applyFont="1" applyFill="1" applyBorder="1" applyAlignment="1">
      <alignment horizontal="center" vertical="center"/>
    </xf>
    <xf numFmtId="173" fontId="6" fillId="3" borderId="5" xfId="8" applyFont="1" applyFill="1" applyBorder="1" applyAlignment="1">
      <alignment horizontal="center" vertical="center"/>
    </xf>
    <xf numFmtId="0" fontId="2" fillId="37" borderId="16" xfId="0" applyFont="1" applyFill="1" applyBorder="1"/>
    <xf numFmtId="174" fontId="77" fillId="3" borderId="16" xfId="0" applyNumberFormat="1" applyFont="1" applyFill="1" applyBorder="1"/>
    <xf numFmtId="1" fontId="132" fillId="11" borderId="143" xfId="0" applyNumberFormat="1" applyFont="1" applyFill="1" applyBorder="1" applyAlignment="1">
      <alignment horizontal="center" vertical="center" wrapText="1"/>
    </xf>
    <xf numFmtId="0" fontId="132" fillId="11" borderId="143" xfId="0" applyFont="1" applyFill="1" applyBorder="1" applyAlignment="1">
      <alignment horizontal="center" vertical="center" wrapText="1"/>
    </xf>
    <xf numFmtId="174" fontId="132" fillId="11" borderId="143" xfId="0" applyNumberFormat="1" applyFont="1" applyFill="1" applyBorder="1" applyAlignment="1">
      <alignment horizontal="center" vertical="center" wrapText="1"/>
    </xf>
    <xf numFmtId="201" fontId="132" fillId="11" borderId="143" xfId="25" applyNumberFormat="1" applyFont="1" applyFill="1" applyBorder="1" applyAlignment="1">
      <alignment horizontal="center" vertical="center" wrapText="1"/>
    </xf>
    <xf numFmtId="179" fontId="132" fillId="11" borderId="144" xfId="0" applyNumberFormat="1" applyFont="1" applyFill="1" applyBorder="1" applyAlignment="1">
      <alignment horizontal="center" vertical="center" wrapText="1"/>
    </xf>
    <xf numFmtId="0" fontId="0" fillId="0" borderId="1" xfId="0" applyBorder="1" applyAlignment="1">
      <alignment horizontal="left"/>
    </xf>
    <xf numFmtId="0" fontId="0" fillId="0" borderId="1" xfId="0" applyBorder="1" applyAlignment="1">
      <alignment horizontal="center"/>
    </xf>
    <xf numFmtId="201" fontId="0" fillId="0" borderId="1" xfId="25" applyNumberFormat="1" applyFont="1" applyFill="1" applyBorder="1" applyAlignment="1">
      <alignment horizontal="left"/>
    </xf>
    <xf numFmtId="0" fontId="133" fillId="0" borderId="1" xfId="0" applyFont="1" applyBorder="1" applyAlignment="1">
      <alignment horizontal="left"/>
    </xf>
    <xf numFmtId="0" fontId="0" fillId="0" borderId="106" xfId="0" applyBorder="1" applyAlignment="1">
      <alignment horizontal="left"/>
    </xf>
    <xf numFmtId="0" fontId="0" fillId="0" borderId="106" xfId="0" applyBorder="1" applyAlignment="1">
      <alignment horizontal="center"/>
    </xf>
    <xf numFmtId="201" fontId="0" fillId="0" borderId="106" xfId="25" applyNumberFormat="1" applyFont="1" applyFill="1" applyBorder="1" applyAlignment="1">
      <alignment horizontal="left"/>
    </xf>
    <xf numFmtId="0" fontId="133" fillId="0" borderId="106" xfId="0" applyFont="1" applyBorder="1" applyAlignment="1">
      <alignment horizontal="left"/>
    </xf>
    <xf numFmtId="179" fontId="0" fillId="36" borderId="135" xfId="24" applyNumberFormat="1" applyFont="1" applyFill="1" applyBorder="1" applyAlignment="1">
      <alignment horizontal="center" vertical="center" wrapText="1"/>
    </xf>
    <xf numFmtId="0" fontId="28" fillId="3" borderId="113" xfId="0" applyFont="1" applyFill="1" applyBorder="1" applyAlignment="1">
      <alignment horizontal="left" vertical="top" wrapText="1"/>
    </xf>
    <xf numFmtId="193" fontId="92" fillId="3" borderId="113" xfId="0" applyNumberFormat="1" applyFont="1" applyFill="1" applyBorder="1" applyAlignment="1">
      <alignment horizontal="right" vertical="center" shrinkToFit="1"/>
    </xf>
    <xf numFmtId="10" fontId="93" fillId="3" borderId="0" xfId="0" applyNumberFormat="1" applyFont="1" applyFill="1" applyAlignment="1">
      <alignment horizontal="center" vertical="top" shrinkToFit="1"/>
    </xf>
    <xf numFmtId="170" fontId="27" fillId="3" borderId="0" xfId="1" applyFont="1" applyFill="1" applyAlignment="1">
      <alignment horizontal="center" vertical="center"/>
    </xf>
    <xf numFmtId="170" fontId="27" fillId="3" borderId="0" xfId="1" applyFont="1" applyFill="1"/>
    <xf numFmtId="193" fontId="92" fillId="3" borderId="114" xfId="0" applyNumberFormat="1" applyFont="1" applyFill="1" applyBorder="1" applyAlignment="1">
      <alignment horizontal="right" vertical="center" shrinkToFit="1"/>
    </xf>
    <xf numFmtId="193" fontId="27" fillId="3" borderId="5" xfId="0" applyNumberFormat="1" applyFont="1" applyFill="1" applyBorder="1" applyAlignment="1">
      <alignment vertical="center"/>
    </xf>
    <xf numFmtId="179" fontId="98" fillId="3" borderId="0" xfId="0" applyNumberFormat="1" applyFont="1" applyFill="1" applyAlignment="1">
      <alignment horizontal="center" vertical="center"/>
    </xf>
    <xf numFmtId="0" fontId="2" fillId="3" borderId="16" xfId="0" applyFont="1" applyFill="1" applyBorder="1" applyAlignment="1">
      <alignment horizontal="center"/>
    </xf>
    <xf numFmtId="165" fontId="76" fillId="3" borderId="136" xfId="0" applyNumberFormat="1" applyFont="1" applyFill="1" applyBorder="1" applyAlignment="1">
      <alignment horizontal="center" wrapText="1"/>
    </xf>
    <xf numFmtId="0" fontId="2" fillId="3" borderId="1" xfId="0" applyFont="1" applyFill="1" applyBorder="1" applyAlignment="1">
      <alignment horizontal="center"/>
    </xf>
    <xf numFmtId="165" fontId="76" fillId="3" borderId="137" xfId="0" applyNumberFormat="1" applyFont="1" applyFill="1" applyBorder="1" applyAlignment="1">
      <alignment horizontal="center" wrapText="1"/>
    </xf>
    <xf numFmtId="165" fontId="76" fillId="3" borderId="138" xfId="0" applyNumberFormat="1" applyFont="1" applyFill="1" applyBorder="1" applyAlignment="1">
      <alignment horizontal="center" wrapText="1"/>
    </xf>
    <xf numFmtId="0" fontId="17" fillId="3" borderId="1" xfId="0" applyFont="1" applyFill="1" applyBorder="1" applyAlignment="1">
      <alignment horizontal="center" vertical="center"/>
    </xf>
    <xf numFmtId="0" fontId="29" fillId="3" borderId="1" xfId="2" applyFont="1" applyFill="1" applyBorder="1"/>
    <xf numFmtId="179" fontId="4" fillId="3" borderId="0" xfId="0" applyNumberFormat="1" applyFont="1" applyFill="1"/>
    <xf numFmtId="179" fontId="76" fillId="3" borderId="56" xfId="24" applyNumberFormat="1" applyFill="1" applyAlignment="1">
      <alignment vertical="center"/>
    </xf>
    <xf numFmtId="179" fontId="3" fillId="3" borderId="1" xfId="0" applyNumberFormat="1" applyFont="1" applyFill="1" applyBorder="1" applyAlignment="1">
      <alignment vertical="center"/>
    </xf>
    <xf numFmtId="193" fontId="27" fillId="3" borderId="1" xfId="0" applyNumberFormat="1" applyFont="1" applyFill="1" applyBorder="1" applyAlignment="1">
      <alignment vertical="center"/>
    </xf>
    <xf numFmtId="179" fontId="4" fillId="3" borderId="1" xfId="0" applyNumberFormat="1" applyFont="1" applyFill="1" applyBorder="1"/>
    <xf numFmtId="179" fontId="4" fillId="3" borderId="1" xfId="1" applyNumberFormat="1" applyFont="1" applyFill="1" applyBorder="1" applyAlignment="1" applyProtection="1">
      <alignment horizontal="right" vertical="center" wrapText="1"/>
    </xf>
    <xf numFmtId="179" fontId="3" fillId="3" borderId="1" xfId="0" applyNumberFormat="1" applyFont="1" applyFill="1" applyBorder="1" applyAlignment="1">
      <alignment horizontal="center" vertical="center"/>
    </xf>
    <xf numFmtId="179" fontId="4" fillId="3" borderId="1" xfId="0" applyNumberFormat="1" applyFont="1" applyFill="1" applyBorder="1" applyAlignment="1">
      <alignment wrapText="1"/>
    </xf>
    <xf numFmtId="193" fontId="27" fillId="3" borderId="1" xfId="0" applyNumberFormat="1" applyFont="1" applyFill="1" applyBorder="1" applyAlignment="1">
      <alignment vertical="center" wrapText="1"/>
    </xf>
    <xf numFmtId="179" fontId="25" fillId="3" borderId="1" xfId="0" applyNumberFormat="1" applyFont="1" applyFill="1" applyBorder="1"/>
    <xf numFmtId="179" fontId="3" fillId="3" borderId="106" xfId="0" applyNumberFormat="1" applyFont="1" applyFill="1" applyBorder="1" applyAlignment="1">
      <alignment horizontal="center" vertical="center"/>
    </xf>
    <xf numFmtId="179" fontId="3" fillId="3" borderId="16" xfId="0" applyNumberFormat="1" applyFont="1" applyFill="1" applyBorder="1" applyAlignment="1">
      <alignment horizontal="center" vertical="center"/>
    </xf>
    <xf numFmtId="179" fontId="3" fillId="3" borderId="124" xfId="0" applyNumberFormat="1" applyFont="1" applyFill="1" applyBorder="1" applyAlignment="1">
      <alignment horizontal="center" vertical="center"/>
    </xf>
    <xf numFmtId="179" fontId="112" fillId="3" borderId="56" xfId="24" applyNumberFormat="1" applyFont="1" applyFill="1" applyAlignment="1">
      <alignment horizontal="center" vertical="center" wrapText="1"/>
    </xf>
    <xf numFmtId="179" fontId="4" fillId="3" borderId="16" xfId="0" applyNumberFormat="1" applyFont="1" applyFill="1" applyBorder="1" applyAlignment="1">
      <alignment horizontal="center" vertical="center"/>
    </xf>
    <xf numFmtId="179" fontId="4" fillId="3" borderId="1" xfId="0" applyNumberFormat="1" applyFont="1" applyFill="1" applyBorder="1" applyAlignment="1">
      <alignment horizontal="center" vertical="center"/>
    </xf>
    <xf numFmtId="179" fontId="76" fillId="3" borderId="56" xfId="24" applyNumberFormat="1" applyFill="1" applyAlignment="1">
      <alignment horizontal="center" vertical="center"/>
    </xf>
    <xf numFmtId="179" fontId="4" fillId="3" borderId="1" xfId="1" applyNumberFormat="1" applyFont="1" applyFill="1" applyBorder="1" applyAlignment="1" applyProtection="1">
      <alignment horizontal="center" vertical="center" wrapText="1"/>
    </xf>
    <xf numFmtId="179" fontId="25" fillId="3" borderId="1" xfId="0" applyNumberFormat="1" applyFont="1" applyFill="1" applyBorder="1" applyAlignment="1">
      <alignment horizontal="center" vertical="center"/>
    </xf>
    <xf numFmtId="166" fontId="76" fillId="3" borderId="56" xfId="24" applyNumberFormat="1" applyFill="1" applyAlignment="1">
      <alignment horizontal="center" vertical="center"/>
    </xf>
    <xf numFmtId="193" fontId="76" fillId="3" borderId="56" xfId="24" applyNumberFormat="1" applyFill="1" applyAlignment="1">
      <alignment horizontal="center" vertical="center"/>
    </xf>
    <xf numFmtId="179" fontId="37" fillId="3" borderId="1" xfId="0" applyNumberFormat="1" applyFont="1" applyFill="1" applyBorder="1" applyAlignment="1">
      <alignment horizontal="center" vertical="center"/>
    </xf>
    <xf numFmtId="179" fontId="31" fillId="3" borderId="1" xfId="12" applyNumberFormat="1" applyFill="1" applyBorder="1" applyAlignment="1">
      <alignment horizontal="center" vertical="center"/>
    </xf>
    <xf numFmtId="0" fontId="3" fillId="3" borderId="1" xfId="0" applyFont="1" applyFill="1" applyBorder="1" applyAlignment="1">
      <alignment horizontal="center" vertical="center"/>
    </xf>
    <xf numFmtId="0" fontId="76" fillId="3" borderId="56" xfId="24" applyFill="1" applyAlignment="1">
      <alignment vertical="center" wrapText="1"/>
    </xf>
    <xf numFmtId="179" fontId="112" fillId="3" borderId="56" xfId="24" applyNumberFormat="1" applyFont="1" applyFill="1" applyAlignment="1">
      <alignment horizontal="center" vertical="center"/>
    </xf>
    <xf numFmtId="0" fontId="6" fillId="3" borderId="1" xfId="0" applyFont="1" applyFill="1" applyBorder="1" applyAlignment="1">
      <alignment vertical="center" wrapText="1"/>
    </xf>
    <xf numFmtId="179" fontId="112" fillId="3" borderId="130" xfId="24" applyNumberFormat="1" applyFont="1" applyFill="1" applyBorder="1" applyAlignment="1">
      <alignment horizontal="center" vertical="center"/>
    </xf>
    <xf numFmtId="179" fontId="3" fillId="3" borderId="1" xfId="0" applyNumberFormat="1" applyFont="1" applyFill="1" applyBorder="1" applyAlignment="1">
      <alignment horizontal="center" vertical="center" wrapText="1"/>
    </xf>
    <xf numFmtId="0" fontId="6" fillId="3" borderId="1" xfId="0" applyFont="1" applyFill="1" applyBorder="1" applyAlignment="1" applyProtection="1">
      <alignment vertical="center" wrapText="1"/>
      <protection hidden="1"/>
    </xf>
    <xf numFmtId="179" fontId="3" fillId="3" borderId="0" xfId="0" applyNumberFormat="1" applyFont="1" applyFill="1" applyAlignment="1">
      <alignment vertical="center"/>
    </xf>
    <xf numFmtId="179" fontId="3" fillId="3" borderId="0" xfId="0" applyNumberFormat="1" applyFont="1" applyFill="1" applyAlignment="1">
      <alignment horizontal="center" vertical="center"/>
    </xf>
    <xf numFmtId="179" fontId="4" fillId="3" borderId="16" xfId="0" applyNumberFormat="1" applyFont="1" applyFill="1" applyBorder="1" applyAlignment="1">
      <alignment horizontal="center"/>
    </xf>
    <xf numFmtId="0" fontId="4" fillId="3" borderId="16" xfId="0" applyFont="1" applyFill="1" applyBorder="1" applyAlignment="1">
      <alignment horizontal="center"/>
    </xf>
    <xf numFmtId="0" fontId="4" fillId="3" borderId="1" xfId="0" applyFont="1" applyFill="1" applyBorder="1" applyAlignment="1">
      <alignment horizontal="center"/>
    </xf>
    <xf numFmtId="179" fontId="3" fillId="3" borderId="1" xfId="0" applyNumberFormat="1" applyFont="1" applyFill="1" applyBorder="1" applyAlignment="1">
      <alignment wrapText="1"/>
    </xf>
    <xf numFmtId="179" fontId="4" fillId="3" borderId="1" xfId="0" applyNumberFormat="1" applyFont="1" applyFill="1" applyBorder="1" applyAlignment="1">
      <alignment horizontal="center"/>
    </xf>
    <xf numFmtId="0" fontId="76" fillId="3" borderId="56" xfId="24" applyFill="1" applyAlignment="1">
      <alignment horizontal="center" vertical="center"/>
    </xf>
    <xf numFmtId="0" fontId="76" fillId="3" borderId="56" xfId="24" applyFill="1" applyAlignment="1">
      <alignment horizontal="center"/>
    </xf>
    <xf numFmtId="0" fontId="3" fillId="3" borderId="1" xfId="0" applyFont="1" applyFill="1" applyBorder="1"/>
    <xf numFmtId="174" fontId="88" fillId="3" borderId="78" xfId="4" applyNumberFormat="1" applyFont="1" applyFill="1" applyBorder="1" applyAlignment="1" applyProtection="1">
      <alignment horizontal="center" vertical="center" wrapText="1"/>
      <protection locked="0"/>
    </xf>
    <xf numFmtId="174" fontId="88" fillId="3" borderId="1" xfId="4" applyNumberFormat="1" applyFont="1" applyFill="1" applyBorder="1" applyAlignment="1" applyProtection="1">
      <alignment horizontal="center" vertical="center" wrapText="1"/>
      <protection locked="0"/>
    </xf>
    <xf numFmtId="172" fontId="89" fillId="3" borderId="0" xfId="5" applyNumberFormat="1" applyFont="1" applyFill="1" applyAlignment="1">
      <alignment horizontal="center" vertical="center" wrapText="1"/>
    </xf>
    <xf numFmtId="0" fontId="88" fillId="3" borderId="0" xfId="4" applyFont="1" applyFill="1" applyAlignment="1" applyProtection="1">
      <alignment horizontal="center" vertical="center" wrapText="1"/>
      <protection locked="0"/>
    </xf>
    <xf numFmtId="2" fontId="10" fillId="3" borderId="5" xfId="0" applyNumberFormat="1" applyFont="1" applyFill="1" applyBorder="1" applyAlignment="1">
      <alignment horizontal="center" vertical="center"/>
    </xf>
    <xf numFmtId="1" fontId="14" fillId="3" borderId="95" xfId="7" applyNumberFormat="1" applyFont="1" applyFill="1" applyBorder="1" applyAlignment="1">
      <alignment horizontal="center" vertical="center"/>
    </xf>
    <xf numFmtId="0" fontId="12" fillId="3" borderId="0" xfId="4" applyFont="1" applyFill="1" applyAlignment="1" applyProtection="1">
      <alignment horizontal="center" vertical="center" wrapText="1"/>
      <protection locked="0"/>
    </xf>
    <xf numFmtId="179" fontId="38" fillId="14" borderId="98" xfId="12" applyNumberFormat="1" applyFont="1" applyBorder="1" applyAlignment="1">
      <alignment horizontal="center" vertical="center" wrapText="1"/>
    </xf>
    <xf numFmtId="179" fontId="27" fillId="0" borderId="0" xfId="0" applyNumberFormat="1" applyFont="1"/>
    <xf numFmtId="174" fontId="123" fillId="38" borderId="1" xfId="0" applyNumberFormat="1" applyFont="1" applyFill="1" applyBorder="1"/>
    <xf numFmtId="174" fontId="123" fillId="38" borderId="16" xfId="0" applyNumberFormat="1" applyFont="1" applyFill="1" applyBorder="1"/>
    <xf numFmtId="174" fontId="0" fillId="42" borderId="0" xfId="0" applyNumberFormat="1" applyFill="1" applyAlignment="1">
      <alignment horizontal="center"/>
    </xf>
    <xf numFmtId="174" fontId="0" fillId="0" borderId="0" xfId="0" applyNumberFormat="1"/>
    <xf numFmtId="0" fontId="0" fillId="40" borderId="0" xfId="0" applyFill="1"/>
    <xf numFmtId="170" fontId="0" fillId="37" borderId="84" xfId="1" applyFont="1" applyFill="1" applyBorder="1"/>
    <xf numFmtId="0" fontId="0" fillId="28" borderId="141" xfId="0" applyFill="1" applyBorder="1" applyAlignment="1">
      <alignment horizontal="center"/>
    </xf>
    <xf numFmtId="193" fontId="78" fillId="0" borderId="7" xfId="0" applyNumberFormat="1" applyFont="1" applyBorder="1" applyAlignment="1">
      <alignment horizontal="center" vertical="center" wrapText="1"/>
    </xf>
    <xf numFmtId="179" fontId="7" fillId="2" borderId="95" xfId="2" applyNumberFormat="1" applyBorder="1" applyAlignment="1">
      <alignment horizontal="center"/>
    </xf>
    <xf numFmtId="194" fontId="79" fillId="0" borderId="146" xfId="8" applyNumberFormat="1" applyFont="1" applyFill="1" applyBorder="1" applyAlignment="1" applyProtection="1">
      <alignment horizontal="center" vertical="center" wrapText="1"/>
    </xf>
    <xf numFmtId="179" fontId="84" fillId="0" borderId="5" xfId="2" applyNumberFormat="1" applyFont="1" applyFill="1" applyBorder="1" applyAlignment="1">
      <alignment horizontal="center"/>
    </xf>
    <xf numFmtId="179" fontId="7" fillId="0" borderId="5" xfId="2" applyNumberFormat="1" applyFill="1" applyBorder="1" applyAlignment="1">
      <alignment horizontal="center"/>
    </xf>
    <xf numFmtId="0" fontId="0" fillId="0" borderId="2" xfId="0" applyBorder="1"/>
    <xf numFmtId="193" fontId="0" fillId="0" borderId="2" xfId="0" applyNumberFormat="1" applyBorder="1" applyAlignment="1">
      <alignment vertical="center"/>
    </xf>
    <xf numFmtId="0" fontId="0" fillId="0" borderId="145" xfId="0" applyBorder="1"/>
    <xf numFmtId="168" fontId="0" fillId="34" borderId="5" xfId="0" applyNumberFormat="1" applyFill="1" applyBorder="1"/>
    <xf numFmtId="170" fontId="0" fillId="34" borderId="5" xfId="1" applyFont="1" applyFill="1" applyBorder="1" applyAlignment="1">
      <alignment horizontal="center"/>
    </xf>
    <xf numFmtId="194" fontId="79" fillId="34" borderId="5" xfId="8" applyNumberFormat="1" applyFont="1" applyFill="1" applyBorder="1" applyAlignment="1" applyProtection="1">
      <alignment horizontal="center" vertical="center" wrapText="1"/>
    </xf>
    <xf numFmtId="179" fontId="33" fillId="10" borderId="5" xfId="0" applyNumberFormat="1" applyFont="1" applyFill="1" applyBorder="1" applyAlignment="1">
      <alignment horizontal="center" vertical="center"/>
    </xf>
    <xf numFmtId="193" fontId="78" fillId="12" borderId="5" xfId="0" applyNumberFormat="1" applyFont="1" applyFill="1" applyBorder="1" applyAlignment="1">
      <alignment horizontal="center" vertical="center" wrapText="1"/>
    </xf>
    <xf numFmtId="197" fontId="0" fillId="37" borderId="84" xfId="1" applyNumberFormat="1" applyFont="1" applyFill="1" applyBorder="1"/>
    <xf numFmtId="174" fontId="0" fillId="12" borderId="0" xfId="0" applyNumberFormat="1" applyFill="1" applyAlignment="1">
      <alignment horizontal="center"/>
    </xf>
    <xf numFmtId="197" fontId="0" fillId="12" borderId="84" xfId="1" applyNumberFormat="1" applyFont="1" applyFill="1" applyBorder="1"/>
    <xf numFmtId="170" fontId="27" fillId="0" borderId="0" xfId="1" applyFont="1"/>
    <xf numFmtId="168" fontId="27" fillId="0" borderId="0" xfId="0" applyNumberFormat="1" applyFont="1"/>
    <xf numFmtId="10" fontId="27" fillId="0" borderId="0" xfId="3" applyNumberFormat="1" applyFont="1"/>
    <xf numFmtId="0" fontId="123" fillId="3" borderId="5" xfId="0" applyFont="1" applyFill="1" applyBorder="1" applyAlignment="1">
      <alignment vertical="center" wrapText="1"/>
    </xf>
    <xf numFmtId="179" fontId="77" fillId="37" borderId="56" xfId="24" applyNumberFormat="1" applyFont="1" applyFill="1" applyAlignment="1">
      <alignment horizontal="center" vertical="center"/>
    </xf>
    <xf numFmtId="170" fontId="3" fillId="0" borderId="0" xfId="1" applyFont="1"/>
    <xf numFmtId="179" fontId="125" fillId="37" borderId="56" xfId="24" applyNumberFormat="1" applyFont="1" applyFill="1" applyAlignment="1">
      <alignment vertical="center"/>
    </xf>
    <xf numFmtId="179" fontId="77" fillId="37" borderId="1" xfId="0" applyNumberFormat="1" applyFont="1" applyFill="1" applyBorder="1" applyAlignment="1">
      <alignment vertical="center"/>
    </xf>
    <xf numFmtId="170" fontId="125" fillId="3" borderId="56" xfId="24" applyNumberFormat="1" applyFont="1" applyFill="1" applyAlignment="1">
      <alignment horizontal="center"/>
    </xf>
    <xf numFmtId="174" fontId="125" fillId="3" borderId="56" xfId="24" applyNumberFormat="1" applyFont="1" applyFill="1" applyAlignment="1">
      <alignment horizontal="center" vertical="center"/>
    </xf>
    <xf numFmtId="179" fontId="77" fillId="37" borderId="1" xfId="0" applyNumberFormat="1" applyFont="1" applyFill="1" applyBorder="1" applyAlignment="1">
      <alignment horizontal="right" vertical="center"/>
    </xf>
    <xf numFmtId="0" fontId="77" fillId="3" borderId="1" xfId="0" applyFont="1" applyFill="1" applyBorder="1" applyAlignment="1">
      <alignment horizontal="right"/>
    </xf>
    <xf numFmtId="179" fontId="125" fillId="37" borderId="56" xfId="24" applyNumberFormat="1" applyFont="1" applyFill="1" applyAlignment="1">
      <alignment horizontal="right"/>
    </xf>
    <xf numFmtId="0" fontId="123" fillId="0" borderId="1" xfId="0" applyFont="1" applyBorder="1" applyAlignment="1">
      <alignment horizontal="right"/>
    </xf>
    <xf numFmtId="179" fontId="22" fillId="0" borderId="1" xfId="9" applyNumberFormat="1" applyBorder="1" applyAlignment="1">
      <alignment vertical="center" wrapText="1"/>
    </xf>
    <xf numFmtId="203" fontId="92" fillId="0" borderId="113" xfId="3" applyNumberFormat="1" applyFont="1" applyFill="1" applyBorder="1" applyAlignment="1">
      <alignment horizontal="center" vertical="center" shrinkToFit="1"/>
    </xf>
    <xf numFmtId="1" fontId="90" fillId="4" borderId="77" xfId="4" applyNumberFormat="1" applyFont="1" applyFill="1" applyBorder="1" applyAlignment="1" applyProtection="1">
      <alignment horizontal="center" vertical="center" wrapText="1"/>
      <protection locked="0"/>
    </xf>
    <xf numFmtId="1" fontId="90" fillId="4" borderId="78" xfId="4" applyNumberFormat="1" applyFont="1" applyFill="1" applyBorder="1" applyAlignment="1" applyProtection="1">
      <alignment horizontal="center" vertical="center" wrapText="1"/>
      <protection locked="0"/>
    </xf>
    <xf numFmtId="0" fontId="90" fillId="4" borderId="78" xfId="4" applyFont="1" applyFill="1" applyBorder="1" applyAlignment="1" applyProtection="1">
      <alignment horizontal="center" vertical="center" wrapText="1"/>
      <protection locked="0"/>
    </xf>
    <xf numFmtId="172" fontId="90" fillId="4" borderId="91" xfId="5" applyNumberFormat="1" applyFont="1" applyFill="1" applyBorder="1" applyAlignment="1" applyProtection="1">
      <alignment horizontal="center" vertical="center" wrapText="1"/>
      <protection locked="0"/>
    </xf>
    <xf numFmtId="1" fontId="136" fillId="3" borderId="79" xfId="9" quotePrefix="1" applyNumberFormat="1" applyFont="1" applyFill="1" applyBorder="1" applyAlignment="1" applyProtection="1">
      <alignment horizontal="center" vertical="center" wrapText="1"/>
      <protection locked="0"/>
    </xf>
    <xf numFmtId="0" fontId="88" fillId="3" borderId="1" xfId="2" applyFont="1" applyFill="1" applyBorder="1" applyAlignment="1" applyProtection="1">
      <alignment horizontal="justify" vertical="center" wrapText="1"/>
      <protection locked="0"/>
    </xf>
    <xf numFmtId="0" fontId="88" fillId="3" borderId="1" xfId="4" applyFont="1" applyFill="1" applyBorder="1" applyAlignment="1" applyProtection="1">
      <alignment horizontal="center" vertical="center" wrapText="1"/>
      <protection locked="0"/>
    </xf>
    <xf numFmtId="3" fontId="88" fillId="0" borderId="1" xfId="6" applyNumberFormat="1" applyFont="1" applyBorder="1" applyAlignment="1" applyProtection="1">
      <alignment horizontal="center" vertical="center" wrapText="1"/>
      <protection locked="0"/>
    </xf>
    <xf numFmtId="174" fontId="88" fillId="3" borderId="1" xfId="6" applyNumberFormat="1" applyFont="1" applyFill="1" applyBorder="1" applyAlignment="1" applyProtection="1">
      <alignment horizontal="right" vertical="center" wrapText="1"/>
      <protection locked="0"/>
    </xf>
    <xf numFmtId="164" fontId="88" fillId="0" borderId="80" xfId="6" applyNumberFormat="1" applyFont="1" applyFill="1" applyBorder="1" applyAlignment="1" applyProtection="1">
      <alignment horizontal="right" vertical="center" wrapText="1"/>
      <protection locked="0"/>
    </xf>
    <xf numFmtId="174" fontId="88" fillId="3" borderId="1" xfId="2" applyNumberFormat="1" applyFont="1" applyFill="1" applyBorder="1" applyAlignment="1" applyProtection="1">
      <alignment horizontal="right" vertical="center" wrapText="1"/>
      <protection locked="0"/>
    </xf>
    <xf numFmtId="0" fontId="88" fillId="3" borderId="1" xfId="0" applyFont="1" applyFill="1" applyBorder="1" applyAlignment="1" applyProtection="1">
      <alignment horizontal="center" vertical="center" wrapText="1"/>
      <protection locked="0"/>
    </xf>
    <xf numFmtId="1" fontId="136" fillId="3" borderId="81" xfId="9" quotePrefix="1" applyNumberFormat="1" applyFont="1" applyFill="1" applyBorder="1" applyAlignment="1" applyProtection="1">
      <alignment horizontal="center" vertical="center" wrapText="1"/>
      <protection locked="0"/>
    </xf>
    <xf numFmtId="3" fontId="88" fillId="0" borderId="82" xfId="6" applyNumberFormat="1" applyFont="1" applyBorder="1" applyAlignment="1" applyProtection="1">
      <alignment horizontal="center" vertical="center" wrapText="1"/>
      <protection locked="0"/>
    </xf>
    <xf numFmtId="164" fontId="88" fillId="0" borderId="83" xfId="6" applyNumberFormat="1" applyFont="1" applyFill="1" applyBorder="1" applyAlignment="1" applyProtection="1">
      <alignment horizontal="right" vertical="center" wrapText="1"/>
      <protection locked="0"/>
    </xf>
    <xf numFmtId="179" fontId="88" fillId="3" borderId="1" xfId="6" applyNumberFormat="1" applyFont="1" applyFill="1" applyBorder="1" applyAlignment="1" applyProtection="1">
      <alignment horizontal="right" vertical="center" wrapText="1"/>
      <protection locked="0"/>
    </xf>
    <xf numFmtId="0" fontId="88" fillId="3" borderId="16" xfId="4" applyFont="1" applyFill="1" applyBorder="1" applyAlignment="1" applyProtection="1">
      <alignment horizontal="center" vertical="center" wrapText="1"/>
      <protection locked="0"/>
    </xf>
    <xf numFmtId="179" fontId="88" fillId="3" borderId="84" xfId="6" applyNumberFormat="1" applyFont="1" applyFill="1" applyBorder="1" applyAlignment="1" applyProtection="1">
      <alignment horizontal="right" vertical="center" wrapText="1"/>
      <protection locked="0"/>
    </xf>
    <xf numFmtId="1" fontId="136" fillId="3" borderId="32" xfId="9" quotePrefix="1" applyNumberFormat="1" applyFont="1" applyFill="1" applyBorder="1" applyAlignment="1" applyProtection="1">
      <alignment horizontal="center" vertical="center" wrapText="1"/>
      <protection locked="0"/>
    </xf>
    <xf numFmtId="0" fontId="88" fillId="3" borderId="85" xfId="4" applyFont="1" applyFill="1" applyBorder="1" applyAlignment="1" applyProtection="1">
      <alignment horizontal="center" vertical="center" wrapText="1"/>
      <protection locked="0"/>
    </xf>
    <xf numFmtId="179" fontId="88" fillId="3" borderId="82" xfId="6" applyNumberFormat="1" applyFont="1" applyFill="1" applyBorder="1" applyAlignment="1" applyProtection="1">
      <alignment horizontal="right" vertical="center" wrapText="1"/>
      <protection locked="0"/>
    </xf>
    <xf numFmtId="0" fontId="88" fillId="3" borderId="0" xfId="4" applyFont="1" applyFill="1" applyAlignment="1" applyProtection="1">
      <alignment horizontal="center" vertical="center" wrapText="1"/>
      <protection hidden="1"/>
    </xf>
    <xf numFmtId="10" fontId="88" fillId="0" borderId="33" xfId="3" applyNumberFormat="1" applyFont="1" applyBorder="1" applyAlignment="1" applyProtection="1">
      <alignment horizontal="right" vertical="center" wrapText="1"/>
      <protection locked="0"/>
    </xf>
    <xf numFmtId="174" fontId="89" fillId="11" borderId="33" xfId="4" applyNumberFormat="1" applyFont="1" applyFill="1" applyBorder="1" applyAlignment="1">
      <alignment vertical="center" wrapText="1"/>
    </xf>
    <xf numFmtId="0" fontId="89" fillId="0" borderId="34" xfId="4" applyFont="1" applyBorder="1" applyAlignment="1" applyProtection="1">
      <alignment horizontal="right" vertical="center" wrapText="1"/>
      <protection locked="0"/>
    </xf>
    <xf numFmtId="10" fontId="88" fillId="10" borderId="36" xfId="3" applyNumberFormat="1" applyFont="1" applyFill="1" applyBorder="1" applyAlignment="1" applyProtection="1">
      <alignment horizontal="right" vertical="center" wrapText="1"/>
      <protection locked="0"/>
    </xf>
    <xf numFmtId="0" fontId="88" fillId="0" borderId="32" xfId="4" applyFont="1" applyBorder="1" applyAlignment="1" applyProtection="1">
      <alignment horizontal="right" vertical="center" wrapText="1"/>
      <protection locked="0"/>
    </xf>
    <xf numFmtId="0" fontId="89" fillId="11" borderId="32" xfId="4" applyFont="1" applyFill="1" applyBorder="1" applyAlignment="1" applyProtection="1">
      <alignment horizontal="right" vertical="center" wrapText="1"/>
      <protection locked="0"/>
    </xf>
    <xf numFmtId="174" fontId="88" fillId="23" borderId="79" xfId="4" applyNumberFormat="1" applyFont="1" applyFill="1" applyBorder="1" applyAlignment="1">
      <alignment horizontal="center" vertical="center" wrapText="1"/>
    </xf>
    <xf numFmtId="174" fontId="88" fillId="23" borderId="1" xfId="4" applyNumberFormat="1" applyFont="1" applyFill="1" applyBorder="1" applyAlignment="1" applyProtection="1">
      <alignment horizontal="center" vertical="center" wrapText="1"/>
      <protection locked="0"/>
    </xf>
    <xf numFmtId="174" fontId="88" fillId="23" borderId="79" xfId="4" applyNumberFormat="1" applyFont="1" applyFill="1" applyBorder="1" applyAlignment="1" applyProtection="1">
      <alignment horizontal="center" vertical="center" wrapText="1"/>
      <protection locked="0"/>
    </xf>
    <xf numFmtId="174" fontId="88" fillId="23" borderId="126" xfId="4" applyNumberFormat="1" applyFont="1" applyFill="1" applyBorder="1" applyAlignment="1">
      <alignment horizontal="center" vertical="center" wrapText="1"/>
    </xf>
    <xf numFmtId="174" fontId="88" fillId="23" borderId="106" xfId="4" applyNumberFormat="1" applyFont="1" applyFill="1" applyBorder="1" applyAlignment="1" applyProtection="1">
      <alignment horizontal="center" vertical="center" wrapText="1"/>
      <protection locked="0"/>
    </xf>
    <xf numFmtId="174" fontId="88" fillId="23" borderId="106" xfId="4" applyNumberFormat="1" applyFont="1" applyFill="1" applyBorder="1" applyAlignment="1">
      <alignment horizontal="center" vertical="center" wrapText="1"/>
    </xf>
    <xf numFmtId="0" fontId="88" fillId="0" borderId="0" xfId="4" applyFont="1" applyAlignment="1">
      <alignment horizontal="centerContinuous" vertical="center" wrapText="1"/>
    </xf>
    <xf numFmtId="0" fontId="89" fillId="3" borderId="97" xfId="4" applyFont="1" applyFill="1" applyBorder="1" applyAlignment="1">
      <alignment horizontal="center" vertical="center" wrapText="1"/>
    </xf>
    <xf numFmtId="0" fontId="89" fillId="11" borderId="99" xfId="4" applyFont="1" applyFill="1" applyBorder="1" applyAlignment="1">
      <alignment horizontal="center" vertical="center" wrapText="1"/>
    </xf>
    <xf numFmtId="0" fontId="88" fillId="3" borderId="16" xfId="2" applyFont="1" applyFill="1" applyBorder="1" applyAlignment="1">
      <alignment horizontal="justify" vertical="center" wrapText="1"/>
    </xf>
    <xf numFmtId="0" fontId="88" fillId="3" borderId="96" xfId="12" applyFont="1" applyFill="1" applyBorder="1" applyAlignment="1">
      <alignment horizontal="center" vertical="center" wrapText="1"/>
    </xf>
    <xf numFmtId="0" fontId="88" fillId="3" borderId="77" xfId="4" applyFont="1" applyFill="1" applyBorder="1" applyAlignment="1">
      <alignment horizontal="center" vertical="center" wrapText="1"/>
    </xf>
    <xf numFmtId="174" fontId="88" fillId="23" borderId="80" xfId="6" applyNumberFormat="1" applyFont="1" applyFill="1" applyBorder="1" applyAlignment="1">
      <alignment horizontal="center" vertical="center" wrapText="1"/>
    </xf>
    <xf numFmtId="0" fontId="88" fillId="3" borderId="79" xfId="4" applyFont="1" applyFill="1" applyBorder="1" applyAlignment="1">
      <alignment horizontal="center" vertical="center" wrapText="1"/>
    </xf>
    <xf numFmtId="0" fontId="88" fillId="3" borderId="0" xfId="7" applyFont="1" applyFill="1"/>
    <xf numFmtId="0" fontId="88" fillId="0" borderId="0" xfId="7" applyFont="1"/>
    <xf numFmtId="0" fontId="88" fillId="22" borderId="0" xfId="7" applyFont="1" applyFill="1"/>
    <xf numFmtId="0" fontId="88" fillId="0" borderId="0" xfId="4" applyFont="1" applyAlignment="1">
      <alignment horizontal="justify" vertical="justify" wrapText="1"/>
    </xf>
    <xf numFmtId="10" fontId="88" fillId="0" borderId="0" xfId="3" applyNumberFormat="1" applyFont="1" applyFill="1" applyBorder="1" applyAlignment="1">
      <alignment horizontal="center" wrapText="1"/>
    </xf>
    <xf numFmtId="0" fontId="88" fillId="3" borderId="0" xfId="4" applyFont="1" applyFill="1" applyAlignment="1">
      <alignment horizontal="left" vertical="center" wrapText="1"/>
    </xf>
    <xf numFmtId="1" fontId="88" fillId="3" borderId="0" xfId="4" applyNumberFormat="1" applyFont="1" applyFill="1" applyAlignment="1">
      <alignment horizontal="left" vertical="center" wrapText="1"/>
    </xf>
    <xf numFmtId="174" fontId="88" fillId="3" borderId="0" xfId="4" applyNumberFormat="1" applyFont="1" applyFill="1" applyAlignment="1">
      <alignment horizontal="center" vertical="center" wrapText="1"/>
    </xf>
    <xf numFmtId="0" fontId="88" fillId="3" borderId="0" xfId="4" applyFont="1" applyFill="1" applyAlignment="1">
      <alignment horizontal="justify" vertical="justify" wrapText="1"/>
    </xf>
    <xf numFmtId="0" fontId="88" fillId="0" borderId="0" xfId="4" applyFont="1" applyAlignment="1">
      <alignment horizontal="right" vertical="center" wrapText="1"/>
    </xf>
    <xf numFmtId="174" fontId="88" fillId="0" borderId="0" xfId="4" applyNumberFormat="1" applyFont="1" applyAlignment="1">
      <alignment horizontal="right" vertical="center" wrapText="1"/>
    </xf>
    <xf numFmtId="1" fontId="88" fillId="3" borderId="0" xfId="4" applyNumberFormat="1" applyFont="1" applyFill="1" applyAlignment="1">
      <alignment horizontal="center" vertical="center" wrapText="1"/>
    </xf>
    <xf numFmtId="174" fontId="89" fillId="0" borderId="0" xfId="4" applyNumberFormat="1" applyFont="1" applyAlignment="1">
      <alignment horizontal="center" vertical="center" wrapText="1"/>
    </xf>
    <xf numFmtId="0" fontId="88" fillId="0" borderId="1" xfId="4" applyFont="1" applyBorder="1" applyAlignment="1">
      <alignment horizontal="center" vertical="center" wrapText="1"/>
    </xf>
    <xf numFmtId="10" fontId="88" fillId="0" borderId="1" xfId="4" applyNumberFormat="1" applyFont="1" applyBorder="1" applyAlignment="1">
      <alignment horizontal="center" vertical="center" wrapText="1"/>
    </xf>
    <xf numFmtId="0" fontId="89" fillId="3" borderId="29" xfId="4" applyFont="1" applyFill="1" applyBorder="1" applyAlignment="1">
      <alignment horizontal="centerContinuous" vertical="center" wrapText="1"/>
    </xf>
    <xf numFmtId="0" fontId="88" fillId="0" borderId="30" xfId="4" applyFont="1" applyBorder="1" applyAlignment="1">
      <alignment horizontal="centerContinuous" vertical="center" wrapText="1"/>
    </xf>
    <xf numFmtId="1" fontId="88" fillId="0" borderId="30" xfId="4" applyNumberFormat="1" applyFont="1" applyBorder="1" applyAlignment="1">
      <alignment horizontal="centerContinuous" vertical="center" wrapText="1"/>
    </xf>
    <xf numFmtId="0" fontId="88" fillId="0" borderId="31" xfId="4" applyFont="1" applyBorder="1" applyAlignment="1">
      <alignment horizontal="centerContinuous" vertical="center" wrapText="1"/>
    </xf>
    <xf numFmtId="0" fontId="89" fillId="3" borderId="92" xfId="4" applyFont="1" applyFill="1" applyBorder="1" applyAlignment="1">
      <alignment horizontal="centerContinuous" vertical="center" wrapText="1"/>
    </xf>
    <xf numFmtId="0" fontId="88" fillId="0" borderId="103" xfId="4" applyFont="1" applyBorder="1" applyAlignment="1">
      <alignment horizontal="centerContinuous" vertical="center" wrapText="1"/>
    </xf>
    <xf numFmtId="174" fontId="88" fillId="3" borderId="82" xfId="3" applyNumberFormat="1" applyFont="1" applyFill="1" applyBorder="1" applyAlignment="1" applyProtection="1">
      <alignment horizontal="center" vertical="center" wrapText="1"/>
      <protection locked="0"/>
    </xf>
    <xf numFmtId="169" fontId="88" fillId="3" borderId="0" xfId="13" applyFont="1" applyFill="1" applyAlignment="1" applyProtection="1">
      <alignment horizontal="center" vertical="center" wrapText="1"/>
      <protection locked="0"/>
    </xf>
    <xf numFmtId="0" fontId="88" fillId="0" borderId="0" xfId="4" applyFont="1" applyAlignment="1">
      <alignment horizontal="center" vertical="justify" wrapText="1"/>
    </xf>
    <xf numFmtId="174" fontId="88" fillId="3" borderId="1" xfId="3" applyNumberFormat="1" applyFont="1" applyFill="1" applyBorder="1" applyAlignment="1" applyProtection="1">
      <alignment horizontal="center" vertical="center" wrapText="1"/>
      <protection locked="0"/>
    </xf>
    <xf numFmtId="0" fontId="89" fillId="11" borderId="139" xfId="4" applyFont="1" applyFill="1" applyBorder="1" applyAlignment="1">
      <alignment horizontal="center" vertical="center" wrapText="1"/>
    </xf>
    <xf numFmtId="0" fontId="88" fillId="3" borderId="79" xfId="4" applyFont="1" applyFill="1" applyBorder="1" applyAlignment="1" applyProtection="1">
      <alignment horizontal="center" vertical="center" wrapText="1"/>
      <protection locked="0"/>
    </xf>
    <xf numFmtId="0" fontId="88" fillId="3" borderId="142" xfId="4" applyFont="1" applyFill="1" applyBorder="1" applyAlignment="1" applyProtection="1">
      <alignment horizontal="center" vertical="center" wrapText="1"/>
      <protection locked="0"/>
    </xf>
    <xf numFmtId="174" fontId="88" fillId="3" borderId="131" xfId="4" applyNumberFormat="1" applyFont="1" applyFill="1" applyBorder="1" applyAlignment="1" applyProtection="1">
      <alignment horizontal="center" vertical="center" wrapText="1"/>
      <protection locked="0"/>
    </xf>
    <xf numFmtId="0" fontId="88" fillId="3" borderId="126" xfId="4" applyFont="1" applyFill="1" applyBorder="1" applyAlignment="1" applyProtection="1">
      <alignment horizontal="center" vertical="center" wrapText="1"/>
      <protection locked="0"/>
    </xf>
    <xf numFmtId="174" fontId="88" fillId="3" borderId="106" xfId="4" applyNumberFormat="1" applyFont="1" applyFill="1" applyBorder="1" applyAlignment="1" applyProtection="1">
      <alignment horizontal="center" vertical="center" wrapText="1"/>
      <protection locked="0"/>
    </xf>
    <xf numFmtId="174" fontId="88" fillId="3" borderId="16" xfId="4" applyNumberFormat="1" applyFont="1" applyFill="1" applyBorder="1" applyAlignment="1" applyProtection="1">
      <alignment horizontal="center" vertical="center" wrapText="1"/>
      <protection locked="0"/>
    </xf>
    <xf numFmtId="0" fontId="88" fillId="3" borderId="81" xfId="4" applyFont="1" applyFill="1" applyBorder="1" applyAlignment="1" applyProtection="1">
      <alignment horizontal="center" vertical="center" wrapText="1"/>
      <protection locked="0"/>
    </xf>
    <xf numFmtId="0" fontId="88" fillId="3" borderId="77" xfId="4" applyFont="1" applyFill="1" applyBorder="1" applyAlignment="1" applyProtection="1">
      <alignment horizontal="center" vertical="center" wrapText="1"/>
      <protection locked="0"/>
    </xf>
    <xf numFmtId="174" fontId="88" fillId="3" borderId="106" xfId="4" applyNumberFormat="1" applyFont="1" applyFill="1" applyBorder="1" applyAlignment="1">
      <alignment horizontal="center" vertical="center" wrapText="1"/>
    </xf>
    <xf numFmtId="174" fontId="88" fillId="3" borderId="1" xfId="4" applyNumberFormat="1" applyFont="1" applyFill="1" applyBorder="1" applyAlignment="1">
      <alignment horizontal="center" vertical="center" wrapText="1"/>
    </xf>
    <xf numFmtId="174" fontId="88" fillId="3" borderId="131" xfId="4" applyNumberFormat="1" applyFont="1" applyFill="1" applyBorder="1" applyAlignment="1">
      <alignment horizontal="center" vertical="center" wrapText="1"/>
    </xf>
    <xf numFmtId="3" fontId="88" fillId="3" borderId="5" xfId="4" applyNumberFormat="1" applyFont="1" applyFill="1" applyBorder="1" applyAlignment="1">
      <alignment horizontal="center" vertical="center" wrapText="1"/>
    </xf>
    <xf numFmtId="10" fontId="88" fillId="0" borderId="5" xfId="4" applyNumberFormat="1" applyFont="1" applyBorder="1" applyAlignment="1">
      <alignment horizontal="center" vertical="center" wrapText="1"/>
    </xf>
    <xf numFmtId="174" fontId="88" fillId="0" borderId="5" xfId="4" applyNumberFormat="1" applyFont="1" applyBorder="1" applyAlignment="1">
      <alignment horizontal="center" vertical="center" wrapText="1"/>
    </xf>
    <xf numFmtId="0" fontId="88" fillId="3" borderId="81" xfId="4" applyFont="1" applyFill="1" applyBorder="1" applyAlignment="1">
      <alignment horizontal="center" vertical="center" wrapText="1"/>
    </xf>
    <xf numFmtId="1" fontId="89" fillId="30" borderId="52" xfId="4" applyNumberFormat="1" applyFont="1" applyFill="1" applyBorder="1" applyAlignment="1">
      <alignment horizontal="center" vertical="center" wrapText="1"/>
    </xf>
    <xf numFmtId="0" fontId="89" fillId="30" borderId="147" xfId="4" applyFont="1" applyFill="1" applyBorder="1" applyAlignment="1">
      <alignment horizontal="center" vertical="center" wrapText="1"/>
    </xf>
    <xf numFmtId="3" fontId="89" fillId="30" borderId="147" xfId="4" applyNumberFormat="1" applyFont="1" applyFill="1" applyBorder="1" applyAlignment="1">
      <alignment horizontal="center" vertical="center" wrapText="1"/>
    </xf>
    <xf numFmtId="1" fontId="89" fillId="30" borderId="148" xfId="4" applyNumberFormat="1" applyFont="1" applyFill="1" applyBorder="1" applyAlignment="1">
      <alignment horizontal="center" vertical="center" wrapText="1"/>
    </xf>
    <xf numFmtId="174" fontId="89" fillId="12" borderId="149" xfId="4" applyNumberFormat="1" applyFont="1" applyFill="1" applyBorder="1" applyAlignment="1">
      <alignment horizontal="center" vertical="center" wrapText="1"/>
    </xf>
    <xf numFmtId="10" fontId="88" fillId="3" borderId="33" xfId="4" applyNumberFormat="1" applyFont="1" applyFill="1" applyBorder="1" applyAlignment="1">
      <alignment horizontal="center" vertical="center" wrapText="1"/>
    </xf>
    <xf numFmtId="174" fontId="88" fillId="3" borderId="33" xfId="4" applyNumberFormat="1" applyFont="1" applyFill="1" applyBorder="1" applyAlignment="1">
      <alignment horizontal="center" vertical="center" wrapText="1"/>
    </xf>
    <xf numFmtId="1" fontId="89" fillId="30" borderId="105" xfId="4" applyNumberFormat="1" applyFont="1" applyFill="1" applyBorder="1" applyAlignment="1">
      <alignment horizontal="center" vertical="center" wrapText="1"/>
    </xf>
    <xf numFmtId="174" fontId="88" fillId="3" borderId="82" xfId="4" applyNumberFormat="1" applyFont="1" applyFill="1" applyBorder="1" applyAlignment="1">
      <alignment horizontal="center" vertical="center" wrapText="1"/>
    </xf>
    <xf numFmtId="174" fontId="88" fillId="3" borderId="82" xfId="4" applyNumberFormat="1" applyFont="1" applyFill="1" applyBorder="1" applyAlignment="1" applyProtection="1">
      <alignment horizontal="center" vertical="center" wrapText="1"/>
      <protection locked="0"/>
    </xf>
    <xf numFmtId="0" fontId="89" fillId="34" borderId="97" xfId="4" applyFont="1" applyFill="1" applyBorder="1" applyAlignment="1">
      <alignment horizontal="center" vertical="center" wrapText="1"/>
    </xf>
    <xf numFmtId="0" fontId="89" fillId="34" borderId="98" xfId="4" applyFont="1" applyFill="1" applyBorder="1" applyAlignment="1">
      <alignment horizontal="center" vertical="center" wrapText="1"/>
    </xf>
    <xf numFmtId="0" fontId="89" fillId="34" borderId="99" xfId="4" applyFont="1" applyFill="1" applyBorder="1" applyAlignment="1">
      <alignment horizontal="center" vertical="center" wrapText="1"/>
    </xf>
    <xf numFmtId="174" fontId="88" fillId="23" borderId="81" xfId="4" applyNumberFormat="1" applyFont="1" applyFill="1" applyBorder="1" applyAlignment="1">
      <alignment horizontal="center" vertical="center" wrapText="1"/>
    </xf>
    <xf numFmtId="174" fontId="88" fillId="23" borderId="82" xfId="4" applyNumberFormat="1" applyFont="1" applyFill="1" applyBorder="1" applyAlignment="1">
      <alignment horizontal="center" vertical="center" wrapText="1"/>
    </xf>
    <xf numFmtId="174" fontId="89" fillId="12" borderId="150" xfId="4" applyNumberFormat="1" applyFont="1" applyFill="1" applyBorder="1" applyAlignment="1">
      <alignment horizontal="center" vertical="center" wrapText="1"/>
    </xf>
    <xf numFmtId="10" fontId="89" fillId="3" borderId="31" xfId="4" applyNumberFormat="1" applyFont="1" applyFill="1" applyBorder="1" applyAlignment="1">
      <alignment horizontal="center" vertical="center" wrapText="1"/>
    </xf>
    <xf numFmtId="0" fontId="88" fillId="0" borderId="1" xfId="0" applyFont="1" applyBorder="1" applyAlignment="1">
      <alignment vertical="center" wrapText="1"/>
    </xf>
    <xf numFmtId="0" fontId="88" fillId="0" borderId="1" xfId="0" applyFont="1" applyBorder="1" applyAlignment="1">
      <alignment vertical="center"/>
    </xf>
    <xf numFmtId="0" fontId="89" fillId="0" borderId="0" xfId="4" applyFont="1" applyAlignment="1">
      <alignment horizontal="centerContinuous" vertical="center" wrapText="1"/>
    </xf>
    <xf numFmtId="0" fontId="89" fillId="0" borderId="77" xfId="4" applyFont="1" applyBorder="1" applyAlignment="1">
      <alignment horizontal="center" vertical="center" wrapText="1"/>
    </xf>
    <xf numFmtId="0" fontId="89" fillId="0" borderId="78" xfId="4" applyFont="1" applyBorder="1" applyAlignment="1">
      <alignment horizontal="center" vertical="center" wrapText="1"/>
    </xf>
    <xf numFmtId="0" fontId="88" fillId="3" borderId="91" xfId="4" applyFont="1" applyFill="1" applyBorder="1" applyAlignment="1">
      <alignment horizontal="center" vertical="center" wrapText="1"/>
    </xf>
    <xf numFmtId="0" fontId="89" fillId="4" borderId="87" xfId="4" applyFont="1" applyFill="1" applyBorder="1" applyAlignment="1">
      <alignment horizontal="center" vertical="center" wrapText="1"/>
    </xf>
    <xf numFmtId="0" fontId="89" fillId="4" borderId="88" xfId="4" applyFont="1" applyFill="1" applyBorder="1" applyAlignment="1">
      <alignment horizontal="center" vertical="center" wrapText="1"/>
    </xf>
    <xf numFmtId="1" fontId="89" fillId="4" borderId="98" xfId="4" applyNumberFormat="1" applyFont="1" applyFill="1" applyBorder="1" applyAlignment="1">
      <alignment horizontal="center" vertical="center" wrapText="1"/>
    </xf>
    <xf numFmtId="0" fontId="89" fillId="4" borderId="98" xfId="4" applyFont="1" applyFill="1" applyBorder="1" applyAlignment="1">
      <alignment horizontal="center" vertical="center" wrapText="1"/>
    </xf>
    <xf numFmtId="172" fontId="89" fillId="4" borderId="99" xfId="5" applyNumberFormat="1" applyFont="1" applyFill="1" applyBorder="1" applyAlignment="1">
      <alignment horizontal="center" vertical="center" wrapText="1"/>
    </xf>
    <xf numFmtId="1" fontId="89" fillId="4" borderId="97" xfId="4" applyNumberFormat="1" applyFont="1" applyFill="1" applyBorder="1" applyAlignment="1">
      <alignment horizontal="center" vertical="center" wrapText="1"/>
    </xf>
    <xf numFmtId="1" fontId="137" fillId="0" borderId="95" xfId="9" quotePrefix="1" applyNumberFormat="1" applyFont="1" applyBorder="1" applyAlignment="1" applyProtection="1">
      <alignment horizontal="center" vertical="center" wrapText="1"/>
      <protection locked="0"/>
    </xf>
    <xf numFmtId="0" fontId="88" fillId="0" borderId="16" xfId="4" applyFont="1" applyBorder="1" applyAlignment="1">
      <alignment horizontal="center" vertical="center" wrapText="1"/>
    </xf>
    <xf numFmtId="0" fontId="88" fillId="0" borderId="16" xfId="4" applyFont="1" applyBorder="1" applyAlignment="1">
      <alignment horizontal="justify" vertical="center" wrapText="1"/>
    </xf>
    <xf numFmtId="1" fontId="88" fillId="0" borderId="16" xfId="7" applyNumberFormat="1" applyFont="1" applyBorder="1" applyAlignment="1">
      <alignment horizontal="center" vertical="center"/>
    </xf>
    <xf numFmtId="174" fontId="88" fillId="0" borderId="16" xfId="7" applyNumberFormat="1" applyFont="1" applyBorder="1" applyAlignment="1">
      <alignment horizontal="center" vertical="center"/>
    </xf>
    <xf numFmtId="174" fontId="88" fillId="0" borderId="0" xfId="7" applyNumberFormat="1" applyFont="1" applyAlignment="1">
      <alignment horizontal="center" vertical="center"/>
    </xf>
    <xf numFmtId="1" fontId="88" fillId="0" borderId="0" xfId="7" applyNumberFormat="1" applyFont="1" applyAlignment="1">
      <alignment horizontal="center" vertical="center"/>
    </xf>
    <xf numFmtId="2" fontId="88" fillId="0" borderId="0" xfId="7" applyNumberFormat="1" applyFont="1" applyAlignment="1">
      <alignment vertical="center"/>
    </xf>
    <xf numFmtId="174" fontId="88" fillId="0" borderId="79" xfId="7" applyNumberFormat="1" applyFont="1" applyBorder="1" applyAlignment="1">
      <alignment horizontal="center" vertical="center"/>
    </xf>
    <xf numFmtId="174" fontId="88" fillId="0" borderId="1" xfId="7" applyNumberFormat="1" applyFont="1" applyBorder="1" applyAlignment="1">
      <alignment horizontal="center" vertical="center"/>
    </xf>
    <xf numFmtId="174" fontId="88" fillId="0" borderId="80" xfId="7" applyNumberFormat="1" applyFont="1" applyBorder="1" applyAlignment="1">
      <alignment horizontal="center" vertical="center"/>
    </xf>
    <xf numFmtId="174" fontId="88" fillId="0" borderId="0" xfId="7" applyNumberFormat="1" applyFont="1" applyAlignment="1">
      <alignment vertical="center"/>
    </xf>
    <xf numFmtId="1" fontId="137" fillId="0" borderId="79" xfId="9" quotePrefix="1" applyNumberFormat="1" applyFont="1" applyBorder="1" applyAlignment="1" applyProtection="1">
      <alignment horizontal="center" vertical="center" wrapText="1"/>
      <protection locked="0"/>
    </xf>
    <xf numFmtId="0" fontId="88" fillId="0" borderId="1" xfId="4" applyFont="1" applyBorder="1" applyAlignment="1">
      <alignment horizontal="justify" vertical="center" wrapText="1"/>
    </xf>
    <xf numFmtId="1" fontId="88" fillId="0" borderId="1" xfId="7" applyNumberFormat="1" applyFont="1" applyBorder="1" applyAlignment="1">
      <alignment horizontal="center" vertical="center"/>
    </xf>
    <xf numFmtId="0" fontId="88" fillId="9" borderId="1" xfId="0" applyFont="1" applyFill="1" applyBorder="1" applyAlignment="1">
      <alignment vertical="center" wrapText="1"/>
    </xf>
    <xf numFmtId="0" fontId="88" fillId="0" borderId="1" xfId="7" applyFont="1" applyBorder="1" applyAlignment="1">
      <alignment horizontal="center" vertical="center"/>
    </xf>
    <xf numFmtId="0" fontId="88" fillId="0" borderId="0" xfId="7" applyFont="1" applyAlignment="1">
      <alignment horizontal="center" vertical="center"/>
    </xf>
    <xf numFmtId="0" fontId="88" fillId="0" borderId="0" xfId="7" applyFont="1" applyAlignment="1">
      <alignment vertical="center"/>
    </xf>
    <xf numFmtId="0" fontId="88" fillId="3" borderId="0" xfId="7" applyFont="1" applyFill="1" applyAlignment="1">
      <alignment horizontal="center" vertical="center"/>
    </xf>
    <xf numFmtId="0" fontId="88" fillId="0" borderId="1" xfId="7" applyFont="1" applyBorder="1" applyAlignment="1">
      <alignment horizontal="center"/>
    </xf>
    <xf numFmtId="0" fontId="88" fillId="0" borderId="0" xfId="7" applyFont="1" applyAlignment="1">
      <alignment horizontal="center"/>
    </xf>
    <xf numFmtId="174" fontId="88" fillId="0" borderId="81" xfId="7" applyNumberFormat="1" applyFont="1" applyBorder="1" applyAlignment="1">
      <alignment horizontal="center" vertical="center"/>
    </xf>
    <xf numFmtId="174" fontId="88" fillId="0" borderId="82" xfId="7" applyNumberFormat="1" applyFont="1" applyBorder="1" applyAlignment="1">
      <alignment horizontal="center" vertical="center"/>
    </xf>
    <xf numFmtId="174" fontId="88" fillId="0" borderId="83" xfId="7" applyNumberFormat="1" applyFont="1" applyBorder="1" applyAlignment="1">
      <alignment horizontal="center" vertical="center"/>
    </xf>
    <xf numFmtId="1" fontId="137" fillId="0" borderId="81" xfId="9" quotePrefix="1" applyNumberFormat="1" applyFont="1" applyBorder="1" applyAlignment="1" applyProtection="1">
      <alignment horizontal="center" vertical="center" wrapText="1"/>
      <protection locked="0"/>
    </xf>
    <xf numFmtId="0" fontId="88" fillId="0" borderId="82" xfId="4" applyFont="1" applyBorder="1" applyAlignment="1">
      <alignment horizontal="center" vertical="center" wrapText="1"/>
    </xf>
    <xf numFmtId="0" fontId="88" fillId="0" borderId="82" xfId="4" applyFont="1" applyBorder="1" applyAlignment="1">
      <alignment horizontal="justify" vertical="center" wrapText="1"/>
    </xf>
    <xf numFmtId="174" fontId="89" fillId="11" borderId="8" xfId="6" applyNumberFormat="1" applyFont="1" applyFill="1" applyBorder="1" applyAlignment="1">
      <alignment horizontal="right" vertical="center" wrapText="1"/>
    </xf>
    <xf numFmtId="170" fontId="88" fillId="3" borderId="0" xfId="1" applyFont="1" applyFill="1" applyAlignment="1">
      <alignment horizontal="center" vertical="center" wrapText="1"/>
    </xf>
    <xf numFmtId="0" fontId="89" fillId="3" borderId="0" xfId="4" applyFont="1" applyFill="1" applyAlignment="1">
      <alignment horizontal="center" vertical="center" wrapText="1"/>
    </xf>
    <xf numFmtId="174" fontId="88" fillId="3" borderId="74" xfId="6" applyNumberFormat="1" applyFont="1" applyFill="1" applyBorder="1" applyAlignment="1">
      <alignment horizontal="right" vertical="center" wrapText="1"/>
    </xf>
    <xf numFmtId="179" fontId="88" fillId="0" borderId="0" xfId="4" applyNumberFormat="1" applyFont="1" applyAlignment="1">
      <alignment horizontal="centerContinuous" vertical="center" wrapText="1"/>
    </xf>
    <xf numFmtId="0" fontId="88" fillId="0" borderId="6" xfId="4" applyFont="1" applyBorder="1" applyAlignment="1">
      <alignment horizontal="centerContinuous" vertical="center" wrapText="1"/>
    </xf>
    <xf numFmtId="0" fontId="88" fillId="0" borderId="6" xfId="4" applyFont="1" applyBorder="1" applyAlignment="1">
      <alignment horizontal="center" vertical="center" wrapText="1"/>
    </xf>
    <xf numFmtId="1" fontId="88" fillId="28" borderId="1" xfId="4" applyNumberFormat="1" applyFont="1" applyFill="1" applyBorder="1" applyAlignment="1">
      <alignment horizontal="center" vertical="center" wrapText="1"/>
    </xf>
    <xf numFmtId="174" fontId="88" fillId="28" borderId="1" xfId="4" applyNumberFormat="1" applyFont="1" applyFill="1" applyBorder="1" applyAlignment="1">
      <alignment horizontal="center" vertical="center" wrapText="1"/>
    </xf>
    <xf numFmtId="0" fontId="88" fillId="28" borderId="1" xfId="4" applyFont="1" applyFill="1" applyBorder="1" applyAlignment="1">
      <alignment horizontal="center" vertical="center" wrapText="1"/>
    </xf>
    <xf numFmtId="0" fontId="88" fillId="28" borderId="84" xfId="4" applyFont="1" applyFill="1" applyBorder="1" applyAlignment="1">
      <alignment horizontal="center" vertical="center" wrapText="1"/>
    </xf>
    <xf numFmtId="0" fontId="88" fillId="0" borderId="0" xfId="0" applyFont="1"/>
    <xf numFmtId="0" fontId="88" fillId="0" borderId="71" xfId="4" applyFont="1" applyBorder="1" applyAlignment="1">
      <alignment horizontal="center" vertical="center" wrapText="1"/>
    </xf>
    <xf numFmtId="0" fontId="88" fillId="3" borderId="73" xfId="4" applyFont="1" applyFill="1" applyBorder="1" applyAlignment="1">
      <alignment horizontal="centerContinuous" vertical="center" wrapText="1"/>
    </xf>
    <xf numFmtId="0" fontId="88" fillId="3" borderId="72" xfId="4" applyFont="1" applyFill="1" applyBorder="1" applyAlignment="1">
      <alignment horizontal="centerContinuous" vertical="center" wrapText="1"/>
    </xf>
    <xf numFmtId="171" fontId="88" fillId="0" borderId="71" xfId="6" applyNumberFormat="1" applyFont="1" applyFill="1" applyBorder="1" applyAlignment="1">
      <alignment horizontal="center" vertical="center" wrapText="1"/>
    </xf>
    <xf numFmtId="0" fontId="88" fillId="3" borderId="71" xfId="4" applyFont="1" applyFill="1" applyBorder="1" applyAlignment="1">
      <alignment horizontal="center" vertical="center" wrapText="1"/>
    </xf>
    <xf numFmtId="10" fontId="88" fillId="0" borderId="84" xfId="4" applyNumberFormat="1" applyFont="1" applyBorder="1" applyAlignment="1">
      <alignment horizontal="center" vertical="center" wrapText="1"/>
    </xf>
    <xf numFmtId="0" fontId="89" fillId="11" borderId="70" xfId="4" applyFont="1" applyFill="1" applyBorder="1" applyAlignment="1">
      <alignment horizontal="centerContinuous" vertical="center" wrapText="1"/>
    </xf>
    <xf numFmtId="0" fontId="88" fillId="11" borderId="69" xfId="4" applyFont="1" applyFill="1" applyBorder="1" applyAlignment="1">
      <alignment horizontal="centerContinuous" vertical="center" wrapText="1"/>
    </xf>
    <xf numFmtId="174" fontId="88" fillId="11" borderId="5" xfId="4" applyNumberFormat="1" applyFont="1" applyFill="1" applyBorder="1" applyAlignment="1">
      <alignment horizontal="center" vertical="center" wrapText="1"/>
    </xf>
    <xf numFmtId="0" fontId="88" fillId="3" borderId="0" xfId="4" applyFont="1" applyFill="1" applyAlignment="1">
      <alignment horizontal="centerContinuous" vertical="center" wrapText="1"/>
    </xf>
    <xf numFmtId="171" fontId="88" fillId="0" borderId="0" xfId="6" applyNumberFormat="1" applyFont="1" applyFill="1" applyBorder="1" applyAlignment="1">
      <alignment horizontal="center" vertical="center" wrapText="1"/>
    </xf>
    <xf numFmtId="171" fontId="88" fillId="3" borderId="0" xfId="4" applyNumberFormat="1" applyFont="1" applyFill="1" applyAlignment="1">
      <alignment horizontal="center" vertical="center" wrapText="1"/>
    </xf>
    <xf numFmtId="0" fontId="88" fillId="0" borderId="0" xfId="4" applyFont="1" applyAlignment="1">
      <alignment vertical="justify" wrapText="1"/>
    </xf>
    <xf numFmtId="0" fontId="88" fillId="3" borderId="6" xfId="4" applyFont="1" applyFill="1" applyBorder="1" applyAlignment="1">
      <alignment horizontal="justify" vertical="justify" wrapText="1"/>
    </xf>
    <xf numFmtId="0" fontId="89" fillId="3" borderId="0" xfId="4" applyFont="1" applyFill="1" applyAlignment="1">
      <alignment horizontal="justify" vertical="justify" wrapText="1"/>
    </xf>
    <xf numFmtId="174" fontId="88" fillId="0" borderId="30" xfId="4" applyNumberFormat="1" applyFont="1" applyBorder="1" applyAlignment="1">
      <alignment vertical="center" wrapText="1"/>
    </xf>
    <xf numFmtId="1" fontId="88" fillId="0" borderId="95" xfId="7" applyNumberFormat="1" applyFont="1" applyBorder="1" applyAlignment="1">
      <alignment horizontal="center" vertical="center"/>
    </xf>
    <xf numFmtId="179" fontId="88" fillId="0" borderId="96" xfId="7" applyNumberFormat="1" applyFont="1" applyBorder="1" applyAlignment="1">
      <alignment horizontal="center" vertical="center"/>
    </xf>
    <xf numFmtId="1" fontId="88" fillId="0" borderId="79" xfId="7" applyNumberFormat="1" applyFont="1" applyBorder="1" applyAlignment="1">
      <alignment horizontal="center" vertical="center"/>
    </xf>
    <xf numFmtId="0" fontId="88" fillId="0" borderId="80" xfId="7" applyFont="1" applyBorder="1" applyAlignment="1">
      <alignment horizontal="center"/>
    </xf>
    <xf numFmtId="0" fontId="88" fillId="0" borderId="79" xfId="7" applyFont="1" applyBorder="1" applyAlignment="1">
      <alignment horizontal="center"/>
    </xf>
    <xf numFmtId="179" fontId="89" fillId="41" borderId="104" xfId="6" applyNumberFormat="1" applyFont="1" applyFill="1" applyBorder="1" applyAlignment="1">
      <alignment horizontal="right" vertical="center" wrapText="1"/>
    </xf>
    <xf numFmtId="0" fontId="89" fillId="3" borderId="32" xfId="4" applyFont="1" applyFill="1" applyBorder="1" applyAlignment="1">
      <alignment horizontal="center" vertical="center" wrapText="1"/>
    </xf>
    <xf numFmtId="174" fontId="88" fillId="3" borderId="152" xfId="6" applyNumberFormat="1" applyFont="1" applyFill="1" applyBorder="1" applyAlignment="1">
      <alignment horizontal="right" vertical="center" wrapText="1"/>
    </xf>
    <xf numFmtId="174" fontId="89" fillId="11" borderId="104" xfId="6" applyNumberFormat="1" applyFont="1" applyFill="1" applyBorder="1" applyAlignment="1">
      <alignment horizontal="right" vertical="center" wrapText="1"/>
    </xf>
    <xf numFmtId="174" fontId="88" fillId="3" borderId="32" xfId="4" applyNumberFormat="1" applyFont="1" applyFill="1" applyBorder="1" applyAlignment="1">
      <alignment horizontal="center" vertical="center" wrapText="1"/>
    </xf>
    <xf numFmtId="0" fontId="88" fillId="3" borderId="34" xfId="4" applyFont="1" applyFill="1" applyBorder="1" applyAlignment="1">
      <alignment horizontal="center" vertical="center" wrapText="1"/>
    </xf>
    <xf numFmtId="0" fontId="88" fillId="3" borderId="35" xfId="4" applyFont="1" applyFill="1" applyBorder="1" applyAlignment="1">
      <alignment horizontal="center" vertical="center" wrapText="1"/>
    </xf>
    <xf numFmtId="0" fontId="88" fillId="0" borderId="16" xfId="0" applyFont="1" applyBorder="1" applyAlignment="1">
      <alignment vertical="center"/>
    </xf>
    <xf numFmtId="1" fontId="137" fillId="0" borderId="77" xfId="9" quotePrefix="1" applyNumberFormat="1" applyFont="1" applyBorder="1" applyAlignment="1" applyProtection="1">
      <alignment horizontal="center" vertical="center" wrapText="1"/>
      <protection locked="0"/>
    </xf>
    <xf numFmtId="0" fontId="88" fillId="0" borderId="78" xfId="4" applyFont="1" applyBorder="1" applyAlignment="1">
      <alignment horizontal="center" vertical="center" wrapText="1"/>
    </xf>
    <xf numFmtId="0" fontId="88" fillId="0" borderId="91" xfId="4" applyFont="1" applyBorder="1" applyAlignment="1">
      <alignment horizontal="justify" vertical="center" wrapText="1"/>
    </xf>
    <xf numFmtId="0" fontId="88" fillId="0" borderId="80" xfId="4" applyFont="1" applyBorder="1" applyAlignment="1">
      <alignment horizontal="justify" vertical="center" wrapText="1"/>
    </xf>
    <xf numFmtId="0" fontId="88" fillId="3" borderId="80" xfId="0" applyFont="1" applyFill="1" applyBorder="1" applyAlignment="1">
      <alignment vertical="center" wrapText="1"/>
    </xf>
    <xf numFmtId="0" fontId="88" fillId="0" borderId="80" xfId="0" applyFont="1" applyBorder="1" applyAlignment="1">
      <alignment vertical="center" wrapText="1"/>
    </xf>
    <xf numFmtId="0" fontId="88" fillId="0" borderId="80" xfId="0" applyFont="1" applyBorder="1" applyAlignment="1">
      <alignment vertical="center"/>
    </xf>
    <xf numFmtId="0" fontId="88" fillId="0" borderId="30" xfId="4" applyFont="1" applyBorder="1" applyAlignment="1">
      <alignment vertical="center" wrapText="1"/>
    </xf>
    <xf numFmtId="0" fontId="88" fillId="0" borderId="31" xfId="4" applyFont="1" applyBorder="1" applyAlignment="1">
      <alignment vertical="center" wrapText="1"/>
    </xf>
    <xf numFmtId="0" fontId="88" fillId="0" borderId="0" xfId="4" applyFont="1" applyAlignment="1">
      <alignment vertical="center" wrapText="1"/>
    </xf>
    <xf numFmtId="0" fontId="88" fillId="0" borderId="33" xfId="4" applyFont="1" applyBorder="1" applyAlignment="1">
      <alignment vertical="center" wrapText="1"/>
    </xf>
    <xf numFmtId="0" fontId="88" fillId="0" borderId="35" xfId="4" applyFont="1" applyBorder="1" applyAlignment="1">
      <alignment vertical="center" wrapText="1"/>
    </xf>
    <xf numFmtId="0" fontId="88" fillId="0" borderId="36" xfId="4" applyFont="1" applyBorder="1" applyAlignment="1">
      <alignment vertical="center" wrapText="1"/>
    </xf>
    <xf numFmtId="0" fontId="89" fillId="10" borderId="32" xfId="4" applyFont="1" applyFill="1" applyBorder="1" applyAlignment="1" applyProtection="1">
      <alignment horizontal="right" vertical="center" wrapText="1"/>
      <protection locked="0"/>
    </xf>
    <xf numFmtId="174" fontId="89" fillId="10" borderId="33" xfId="4" applyNumberFormat="1" applyFont="1" applyFill="1" applyBorder="1" applyAlignment="1" applyProtection="1">
      <alignment vertical="center" wrapText="1"/>
      <protection locked="0"/>
    </xf>
    <xf numFmtId="170" fontId="6" fillId="0" borderId="5" xfId="1" applyFont="1" applyBorder="1" applyAlignment="1">
      <alignment horizontal="center" vertical="center"/>
    </xf>
    <xf numFmtId="169" fontId="6" fillId="0" borderId="5" xfId="13" applyFont="1" applyBorder="1" applyAlignment="1">
      <alignment horizontal="center" vertical="center"/>
    </xf>
    <xf numFmtId="191" fontId="10" fillId="0" borderId="0" xfId="0" applyNumberFormat="1" applyFont="1" applyAlignment="1">
      <alignment vertical="center"/>
    </xf>
    <xf numFmtId="0" fontId="2" fillId="0" borderId="78" xfId="4" applyFont="1" applyBorder="1" applyAlignment="1">
      <alignment horizontal="justify" vertical="center" wrapText="1"/>
    </xf>
    <xf numFmtId="1" fontId="2" fillId="0" borderId="78" xfId="6" applyNumberFormat="1" applyFont="1" applyFill="1" applyBorder="1" applyAlignment="1">
      <alignment horizontal="center" vertical="center" wrapText="1"/>
    </xf>
    <xf numFmtId="0" fontId="2" fillId="0" borderId="1" xfId="4" applyFont="1" applyBorder="1" applyAlignment="1">
      <alignment horizontal="justify" vertical="center" wrapText="1"/>
    </xf>
    <xf numFmtId="1" fontId="2" fillId="0" borderId="1" xfId="6" applyNumberFormat="1" applyFont="1" applyFill="1" applyBorder="1" applyAlignment="1">
      <alignment horizontal="center" vertical="center" wrapText="1"/>
    </xf>
    <xf numFmtId="0" fontId="27" fillId="3" borderId="1" xfId="0" applyFont="1" applyFill="1" applyBorder="1" applyAlignment="1">
      <alignment vertical="center" wrapText="1"/>
    </xf>
    <xf numFmtId="174" fontId="2" fillId="0" borderId="78" xfId="6" applyNumberFormat="1" applyFont="1" applyFill="1" applyBorder="1" applyAlignment="1">
      <alignment horizontal="center" vertical="center" wrapText="1"/>
    </xf>
    <xf numFmtId="174" fontId="2" fillId="0" borderId="91" xfId="6" applyNumberFormat="1" applyFont="1" applyFill="1" applyBorder="1" applyAlignment="1">
      <alignment horizontal="center" vertical="center" wrapText="1"/>
    </xf>
    <xf numFmtId="174" fontId="2" fillId="0" borderId="1" xfId="6" applyNumberFormat="1" applyFont="1" applyFill="1" applyBorder="1" applyAlignment="1">
      <alignment horizontal="center" vertical="center" wrapText="1"/>
    </xf>
    <xf numFmtId="174" fontId="2" fillId="0" borderId="80" xfId="6" applyNumberFormat="1"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vertical="center"/>
    </xf>
    <xf numFmtId="179" fontId="77" fillId="3" borderId="1" xfId="0" applyNumberFormat="1" applyFont="1" applyFill="1" applyBorder="1" applyAlignment="1">
      <alignment horizontal="right" vertical="center"/>
    </xf>
    <xf numFmtId="179" fontId="3" fillId="37" borderId="0" xfId="0" applyNumberFormat="1" applyFont="1" applyFill="1" applyAlignment="1">
      <alignment vertical="center"/>
    </xf>
    <xf numFmtId="179" fontId="123" fillId="3" borderId="1" xfId="0" applyNumberFormat="1" applyFont="1" applyFill="1" applyBorder="1" applyAlignment="1">
      <alignment horizontal="right"/>
    </xf>
    <xf numFmtId="1" fontId="2" fillId="0" borderId="95" xfId="7" applyNumberFormat="1" applyFont="1" applyBorder="1" applyAlignment="1" applyProtection="1">
      <alignment horizontal="center" vertical="center"/>
      <protection hidden="1"/>
    </xf>
    <xf numFmtId="179" fontId="89" fillId="11" borderId="151" xfId="4" applyNumberFormat="1" applyFont="1" applyFill="1" applyBorder="1" applyAlignment="1">
      <alignment vertical="center" wrapText="1"/>
    </xf>
    <xf numFmtId="179" fontId="88" fillId="0" borderId="5" xfId="4" applyNumberFormat="1" applyFont="1" applyBorder="1" applyAlignment="1">
      <alignment horizontal="center" vertical="center" wrapText="1"/>
    </xf>
    <xf numFmtId="179" fontId="77" fillId="9" borderId="56" xfId="24" applyNumberFormat="1" applyFont="1" applyFill="1"/>
    <xf numFmtId="179" fontId="125" fillId="9" borderId="56" xfId="24" applyNumberFormat="1" applyFont="1" applyFill="1"/>
    <xf numFmtId="179" fontId="77" fillId="9" borderId="1" xfId="0" applyNumberFormat="1" applyFont="1" applyFill="1" applyBorder="1"/>
    <xf numFmtId="179" fontId="123" fillId="9" borderId="1" xfId="0" applyNumberFormat="1" applyFont="1" applyFill="1" applyBorder="1"/>
    <xf numFmtId="179" fontId="123" fillId="9" borderId="1" xfId="1" applyNumberFormat="1" applyFont="1" applyFill="1" applyBorder="1" applyAlignment="1" applyProtection="1">
      <alignment horizontal="right" vertical="center" wrapText="1"/>
    </xf>
    <xf numFmtId="170" fontId="76" fillId="3" borderId="56" xfId="1" applyFont="1" applyFill="1" applyBorder="1" applyAlignment="1">
      <alignment horizontal="center" vertical="center" wrapText="1"/>
    </xf>
    <xf numFmtId="179" fontId="125" fillId="9" borderId="56" xfId="24" applyNumberFormat="1" applyFont="1" applyFill="1" applyAlignment="1">
      <alignment horizontal="center" vertical="center"/>
    </xf>
    <xf numFmtId="0" fontId="22" fillId="0" borderId="0" xfId="9" applyAlignment="1">
      <alignment horizontal="center" vertical="center" wrapText="1"/>
    </xf>
    <xf numFmtId="179" fontId="22" fillId="0" borderId="1" xfId="9" applyNumberFormat="1" applyBorder="1" applyAlignment="1">
      <alignment horizontal="center" vertical="center" wrapText="1"/>
    </xf>
    <xf numFmtId="179" fontId="123" fillId="9" borderId="56" xfId="24" applyNumberFormat="1" applyFont="1" applyFill="1"/>
    <xf numFmtId="179" fontId="77" fillId="22" borderId="1" xfId="0" applyNumberFormat="1" applyFont="1" applyFill="1" applyBorder="1" applyAlignment="1">
      <alignment vertical="center"/>
    </xf>
    <xf numFmtId="179" fontId="123" fillId="22" borderId="1" xfId="0" applyNumberFormat="1" applyFont="1" applyFill="1" applyBorder="1"/>
    <xf numFmtId="179" fontId="123" fillId="22" borderId="1" xfId="0" applyNumberFormat="1" applyFont="1" applyFill="1" applyBorder="1" applyAlignment="1">
      <alignment horizontal="right"/>
    </xf>
    <xf numFmtId="179" fontId="77" fillId="22" borderId="1" xfId="0" applyNumberFormat="1" applyFont="1" applyFill="1" applyBorder="1"/>
    <xf numFmtId="1" fontId="132" fillId="11" borderId="143" xfId="0" applyNumberFormat="1" applyFont="1" applyFill="1" applyBorder="1" applyAlignment="1">
      <alignment horizontal="center" vertical="center"/>
    </xf>
    <xf numFmtId="0" fontId="132" fillId="11" borderId="143" xfId="0" applyFont="1" applyFill="1" applyBorder="1" applyAlignment="1">
      <alignment horizontal="center" vertical="center"/>
    </xf>
    <xf numFmtId="174" fontId="132" fillId="11" borderId="143" xfId="0" applyNumberFormat="1" applyFont="1" applyFill="1" applyBorder="1" applyAlignment="1">
      <alignment horizontal="center" vertical="center"/>
    </xf>
    <xf numFmtId="0" fontId="133" fillId="0" borderId="1" xfId="0" applyFont="1" applyBorder="1"/>
    <xf numFmtId="0" fontId="133" fillId="0" borderId="1" xfId="0" applyFont="1" applyBorder="1" applyAlignment="1">
      <alignment horizontal="left" vertical="center"/>
    </xf>
    <xf numFmtId="0" fontId="133" fillId="0" borderId="1" xfId="0" applyFont="1" applyBorder="1" applyAlignment="1">
      <alignment horizontal="center" vertical="center"/>
    </xf>
    <xf numFmtId="0" fontId="133" fillId="0" borderId="94" xfId="0" applyFont="1" applyBorder="1" applyAlignment="1">
      <alignment horizontal="left" vertical="center"/>
    </xf>
    <xf numFmtId="171" fontId="133" fillId="0" borderId="1" xfId="25" applyNumberFormat="1" applyFont="1" applyFill="1" applyBorder="1" applyAlignment="1">
      <alignment horizontal="right" vertical="center"/>
    </xf>
    <xf numFmtId="0" fontId="138" fillId="0" borderId="94" xfId="0" applyFont="1" applyBorder="1" applyAlignment="1">
      <alignment horizontal="left" vertical="center"/>
    </xf>
    <xf numFmtId="1" fontId="132" fillId="11" borderId="155" xfId="0" applyNumberFormat="1" applyFont="1" applyFill="1" applyBorder="1" applyAlignment="1">
      <alignment horizontal="center" vertical="center" wrapText="1"/>
    </xf>
    <xf numFmtId="0" fontId="139" fillId="0" borderId="1" xfId="0" applyFont="1" applyBorder="1" applyAlignment="1">
      <alignment horizontal="left"/>
    </xf>
    <xf numFmtId="0" fontId="139" fillId="0" borderId="106" xfId="0" applyFont="1" applyBorder="1" applyAlignment="1">
      <alignment horizontal="left"/>
    </xf>
    <xf numFmtId="179" fontId="19" fillId="45" borderId="103" xfId="0" applyNumberFormat="1" applyFont="1" applyFill="1" applyBorder="1" applyAlignment="1">
      <alignment horizontal="center" vertical="center" wrapText="1"/>
    </xf>
    <xf numFmtId="179" fontId="77" fillId="37" borderId="0" xfId="0" applyNumberFormat="1" applyFont="1" applyFill="1" applyAlignment="1">
      <alignment vertical="center"/>
    </xf>
    <xf numFmtId="0" fontId="19" fillId="36" borderId="103" xfId="0" applyFont="1" applyFill="1" applyBorder="1" applyAlignment="1">
      <alignment horizontal="center" vertical="center" wrapText="1"/>
    </xf>
    <xf numFmtId="173" fontId="6" fillId="3" borderId="4" xfId="6" applyFont="1" applyFill="1" applyBorder="1" applyAlignment="1">
      <alignment horizontal="center" vertical="center"/>
    </xf>
    <xf numFmtId="0" fontId="6" fillId="3" borderId="5" xfId="0" applyFont="1" applyFill="1" applyBorder="1" applyAlignment="1">
      <alignment horizontal="center" vertical="center"/>
    </xf>
    <xf numFmtId="44" fontId="6" fillId="0" borderId="5" xfId="8" applyNumberFormat="1" applyFont="1" applyBorder="1" applyAlignment="1">
      <alignment horizontal="center" vertical="center"/>
    </xf>
    <xf numFmtId="2" fontId="6" fillId="43" borderId="5" xfId="0" applyNumberFormat="1" applyFont="1" applyFill="1" applyBorder="1" applyAlignment="1">
      <alignment horizontal="center" vertical="center"/>
    </xf>
    <xf numFmtId="186" fontId="10" fillId="0" borderId="0" xfId="13" applyNumberFormat="1" applyFont="1" applyAlignment="1">
      <alignment vertical="center"/>
    </xf>
    <xf numFmtId="186" fontId="10" fillId="0" borderId="2" xfId="13" applyNumberFormat="1" applyFont="1" applyBorder="1" applyAlignment="1">
      <alignment vertical="center"/>
    </xf>
    <xf numFmtId="186" fontId="17" fillId="0" borderId="0" xfId="0" applyNumberFormat="1" applyFont="1" applyAlignment="1">
      <alignment vertical="center"/>
    </xf>
    <xf numFmtId="204" fontId="10" fillId="0" borderId="4" xfId="0" applyNumberFormat="1" applyFont="1" applyBorder="1" applyAlignment="1">
      <alignment horizontal="center" vertical="center"/>
    </xf>
    <xf numFmtId="0" fontId="12" fillId="0" borderId="0" xfId="0" applyFont="1" applyAlignment="1">
      <alignment vertical="center"/>
    </xf>
    <xf numFmtId="169" fontId="12" fillId="0" borderId="0" xfId="13" applyFont="1" applyAlignment="1">
      <alignment vertical="center"/>
    </xf>
    <xf numFmtId="44" fontId="17" fillId="0" borderId="0" xfId="0" applyNumberFormat="1" applyFont="1" applyAlignment="1">
      <alignment vertical="center"/>
    </xf>
    <xf numFmtId="0" fontId="42" fillId="34" borderId="0" xfId="0" applyFont="1" applyFill="1" applyAlignment="1">
      <alignment vertical="center"/>
    </xf>
    <xf numFmtId="0" fontId="77" fillId="0" borderId="126" xfId="0" applyFont="1" applyBorder="1" applyAlignment="1">
      <alignment horizontal="center" vertical="center"/>
    </xf>
    <xf numFmtId="179" fontId="77" fillId="0" borderId="106" xfId="0" applyNumberFormat="1" applyFont="1" applyBorder="1" applyAlignment="1">
      <alignment vertical="center"/>
    </xf>
    <xf numFmtId="0" fontId="123" fillId="0" borderId="131" xfId="0" applyFont="1" applyBorder="1" applyAlignment="1">
      <alignment horizontal="center" vertical="center"/>
    </xf>
    <xf numFmtId="179" fontId="123" fillId="0" borderId="131" xfId="0" applyNumberFormat="1" applyFont="1" applyBorder="1" applyAlignment="1">
      <alignment horizontal="center" vertical="center"/>
    </xf>
    <xf numFmtId="179" fontId="123" fillId="0" borderId="156" xfId="0" applyNumberFormat="1" applyFont="1" applyBorder="1" applyAlignment="1">
      <alignment horizontal="center" vertical="center"/>
    </xf>
    <xf numFmtId="0" fontId="6" fillId="18" borderId="7" xfId="0" applyFont="1" applyFill="1" applyBorder="1" applyAlignment="1">
      <alignment horizontal="center" vertical="center"/>
    </xf>
    <xf numFmtId="0" fontId="10" fillId="12" borderId="0" xfId="0" applyFont="1" applyFill="1" applyAlignment="1">
      <alignment vertical="center"/>
    </xf>
    <xf numFmtId="0" fontId="6" fillId="3" borderId="4" xfId="0" applyFont="1" applyFill="1" applyBorder="1" applyAlignment="1">
      <alignment horizontal="center" vertical="center"/>
    </xf>
    <xf numFmtId="2" fontId="6" fillId="3" borderId="5" xfId="0" applyNumberFormat="1" applyFont="1" applyFill="1" applyBorder="1" applyAlignment="1">
      <alignment horizontal="center" vertical="center"/>
    </xf>
    <xf numFmtId="0" fontId="10" fillId="3" borderId="4" xfId="0" applyFont="1" applyFill="1" applyBorder="1" applyAlignment="1">
      <alignment horizontal="center" vertical="center"/>
    </xf>
    <xf numFmtId="176" fontId="6" fillId="3" borderId="5" xfId="0" applyNumberFormat="1" applyFont="1" applyFill="1" applyBorder="1" applyAlignment="1">
      <alignment horizontal="center" vertical="center"/>
    </xf>
    <xf numFmtId="176" fontId="10" fillId="3" borderId="5" xfId="0" applyNumberFormat="1" applyFont="1" applyFill="1" applyBorder="1" applyAlignment="1">
      <alignment horizontal="center" vertical="center"/>
    </xf>
    <xf numFmtId="191" fontId="10" fillId="3" borderId="5" xfId="0" applyNumberFormat="1" applyFont="1" applyFill="1" applyBorder="1" applyAlignment="1">
      <alignment horizontal="center" vertical="center"/>
    </xf>
    <xf numFmtId="205" fontId="10" fillId="0" borderId="0" xfId="0" applyNumberFormat="1" applyFont="1" applyAlignment="1">
      <alignment vertical="center"/>
    </xf>
    <xf numFmtId="43" fontId="10" fillId="0" borderId="4" xfId="0" applyNumberFormat="1" applyFont="1" applyBorder="1" applyAlignment="1">
      <alignment horizontal="center" vertical="center"/>
    </xf>
    <xf numFmtId="173" fontId="6" fillId="0" borderId="5" xfId="8" applyFont="1" applyFill="1" applyBorder="1" applyAlignment="1">
      <alignment horizontal="center" vertical="center"/>
    </xf>
    <xf numFmtId="173" fontId="10" fillId="0" borderId="5" xfId="8" applyFont="1" applyFill="1" applyBorder="1" applyAlignment="1">
      <alignment horizontal="center" vertical="center"/>
    </xf>
    <xf numFmtId="2" fontId="10" fillId="0" borderId="5" xfId="3" applyNumberFormat="1" applyFont="1" applyFill="1" applyBorder="1" applyAlignment="1">
      <alignment horizontal="center" vertical="center"/>
    </xf>
    <xf numFmtId="9" fontId="10" fillId="0" borderId="5" xfId="3" applyFont="1" applyFill="1" applyBorder="1" applyAlignment="1">
      <alignment horizontal="center" vertical="center"/>
    </xf>
    <xf numFmtId="186" fontId="2" fillId="0" borderId="0" xfId="0" applyNumberFormat="1" applyFont="1" applyAlignment="1">
      <alignment vertical="center"/>
    </xf>
    <xf numFmtId="205" fontId="10" fillId="0" borderId="4" xfId="0" applyNumberFormat="1" applyFont="1" applyBorder="1" applyAlignment="1">
      <alignment horizontal="center" vertical="center"/>
    </xf>
    <xf numFmtId="43" fontId="6" fillId="0" borderId="4" xfId="0" applyNumberFormat="1" applyFont="1" applyBorder="1" applyAlignment="1">
      <alignment horizontal="center" vertical="center"/>
    </xf>
    <xf numFmtId="43" fontId="2" fillId="0" borderId="0" xfId="0" applyNumberFormat="1" applyFont="1" applyAlignment="1">
      <alignment vertical="center"/>
    </xf>
    <xf numFmtId="186" fontId="10" fillId="3" borderId="0" xfId="13" applyNumberFormat="1" applyFont="1" applyFill="1" applyBorder="1" applyAlignment="1">
      <alignment vertical="center"/>
    </xf>
    <xf numFmtId="0" fontId="10" fillId="3" borderId="0" xfId="0" applyFont="1" applyFill="1" applyAlignment="1">
      <alignment vertical="center"/>
    </xf>
    <xf numFmtId="206" fontId="6" fillId="0" borderId="4" xfId="0" applyNumberFormat="1" applyFont="1" applyBorder="1" applyAlignment="1">
      <alignment horizontal="center" vertical="center"/>
    </xf>
    <xf numFmtId="191" fontId="10" fillId="0" borderId="5" xfId="0" applyNumberFormat="1" applyFont="1" applyBorder="1" applyAlignment="1">
      <alignment horizontal="center" vertical="center"/>
    </xf>
    <xf numFmtId="179" fontId="123" fillId="10" borderId="16" xfId="0" applyNumberFormat="1" applyFont="1" applyFill="1" applyBorder="1" applyAlignment="1">
      <alignment horizontal="center" vertical="center"/>
    </xf>
    <xf numFmtId="9" fontId="6" fillId="0" borderId="5" xfId="3" applyFont="1" applyFill="1" applyBorder="1" applyAlignment="1">
      <alignment horizontal="center" vertical="center"/>
    </xf>
    <xf numFmtId="173" fontId="19" fillId="0" borderId="2" xfId="6" applyFont="1" applyFill="1" applyBorder="1" applyAlignment="1">
      <alignment horizontal="center" vertical="center" wrapText="1"/>
    </xf>
    <xf numFmtId="173" fontId="10" fillId="0" borderId="4" xfId="6" applyFont="1" applyFill="1" applyBorder="1" applyAlignment="1">
      <alignment horizontal="center" vertical="center"/>
    </xf>
    <xf numFmtId="178" fontId="10" fillId="0" borderId="0" xfId="0" applyNumberFormat="1" applyFont="1" applyAlignment="1">
      <alignment vertical="center"/>
    </xf>
    <xf numFmtId="0" fontId="88" fillId="0" borderId="1" xfId="2" applyFont="1" applyFill="1" applyBorder="1" applyAlignment="1" applyProtection="1">
      <alignment horizontal="justify" vertical="center" wrapText="1"/>
      <protection locked="0"/>
    </xf>
    <xf numFmtId="173" fontId="10" fillId="3" borderId="4" xfId="6" applyFont="1" applyFill="1" applyBorder="1" applyAlignment="1">
      <alignment horizontal="center" vertical="center"/>
    </xf>
    <xf numFmtId="0" fontId="10" fillId="3" borderId="5" xfId="0" applyFont="1" applyFill="1" applyBorder="1" applyAlignment="1">
      <alignment horizontal="center" vertical="center"/>
    </xf>
    <xf numFmtId="0" fontId="72" fillId="3" borderId="1" xfId="2" applyFont="1" applyFill="1" applyBorder="1" applyAlignment="1" applyProtection="1">
      <alignment horizontal="justify" vertical="center" wrapText="1"/>
      <protection locked="0"/>
    </xf>
    <xf numFmtId="179" fontId="60" fillId="36" borderId="103" xfId="0" applyNumberFormat="1" applyFont="1" applyFill="1" applyBorder="1" applyAlignment="1">
      <alignment horizontal="center" vertical="center" wrapText="1"/>
    </xf>
    <xf numFmtId="0" fontId="77" fillId="3" borderId="1" xfId="0" applyFont="1" applyFill="1" applyBorder="1"/>
    <xf numFmtId="0" fontId="88" fillId="3" borderId="82" xfId="2" applyFont="1" applyFill="1" applyBorder="1" applyAlignment="1" applyProtection="1">
      <alignment horizontal="justify" vertical="center" wrapText="1"/>
      <protection locked="0"/>
    </xf>
    <xf numFmtId="44" fontId="2" fillId="0" borderId="0" xfId="0" applyNumberFormat="1" applyFont="1" applyAlignment="1">
      <alignment vertical="center"/>
    </xf>
    <xf numFmtId="173" fontId="6" fillId="0" borderId="4" xfId="6" applyFont="1" applyFill="1" applyBorder="1" applyAlignment="1">
      <alignment horizontal="center" vertical="center"/>
    </xf>
    <xf numFmtId="0" fontId="6" fillId="0" borderId="2" xfId="0" applyFont="1" applyBorder="1" applyAlignment="1">
      <alignment vertical="center" wrapText="1"/>
    </xf>
    <xf numFmtId="0" fontId="140" fillId="3" borderId="0" xfId="4" applyFont="1" applyFill="1" applyAlignment="1">
      <alignment horizontal="center" vertical="center" wrapText="1"/>
    </xf>
    <xf numFmtId="0" fontId="140" fillId="3" borderId="0" xfId="2" applyFont="1" applyFill="1" applyBorder="1" applyAlignment="1">
      <alignment horizontal="justify" vertical="center"/>
    </xf>
    <xf numFmtId="0" fontId="88" fillId="3" borderId="108" xfId="2" applyFont="1" applyFill="1" applyBorder="1" applyAlignment="1">
      <alignment horizontal="justify" vertical="center" wrapText="1"/>
    </xf>
    <xf numFmtId="0" fontId="88" fillId="3" borderId="109" xfId="12" applyFont="1" applyFill="1" applyBorder="1" applyAlignment="1">
      <alignment horizontal="center" vertical="center" wrapText="1"/>
    </xf>
    <xf numFmtId="0" fontId="3" fillId="0" borderId="0" xfId="0" applyFont="1" applyAlignment="1">
      <alignment vertical="center" wrapText="1"/>
    </xf>
    <xf numFmtId="0" fontId="19" fillId="11" borderId="98" xfId="0" applyFont="1" applyFill="1" applyBorder="1" applyAlignment="1">
      <alignment horizontal="center" vertical="center" wrapText="1"/>
    </xf>
    <xf numFmtId="0" fontId="123" fillId="3" borderId="48" xfId="0" applyFont="1" applyFill="1" applyBorder="1" applyAlignment="1">
      <alignment vertical="center" wrapText="1"/>
    </xf>
    <xf numFmtId="0" fontId="123" fillId="18" borderId="5" xfId="0" applyFont="1" applyFill="1" applyBorder="1" applyAlignment="1">
      <alignment vertical="center" wrapText="1"/>
    </xf>
    <xf numFmtId="0" fontId="77" fillId="0" borderId="106" xfId="0" applyFont="1" applyBorder="1" applyAlignment="1">
      <alignment vertical="center" wrapText="1"/>
    </xf>
    <xf numFmtId="0" fontId="130" fillId="0" borderId="82" xfId="9" applyFont="1" applyBorder="1" applyAlignment="1">
      <alignment wrapText="1"/>
    </xf>
    <xf numFmtId="0" fontId="63" fillId="0" borderId="0" xfId="0" applyFont="1" applyAlignment="1">
      <alignment horizontal="center" vertical="center" wrapText="1"/>
    </xf>
    <xf numFmtId="0" fontId="22" fillId="0" borderId="0" xfId="9" applyAlignment="1">
      <alignment vertical="top" wrapText="1"/>
    </xf>
    <xf numFmtId="4" fontId="88" fillId="0" borderId="1" xfId="6" applyNumberFormat="1" applyFont="1" applyBorder="1" applyAlignment="1" applyProtection="1">
      <alignment horizontal="center" vertical="center" wrapText="1"/>
      <protection locked="0"/>
    </xf>
    <xf numFmtId="179" fontId="89" fillId="11" borderId="153" xfId="4" applyNumberFormat="1" applyFont="1" applyFill="1" applyBorder="1" applyAlignment="1">
      <alignment vertical="center" wrapText="1"/>
    </xf>
    <xf numFmtId="192" fontId="6" fillId="0" borderId="5" xfId="0" applyNumberFormat="1" applyFont="1" applyBorder="1" applyAlignment="1">
      <alignment horizontal="center" vertical="center"/>
    </xf>
    <xf numFmtId="174" fontId="88" fillId="3" borderId="0" xfId="4" applyNumberFormat="1" applyFont="1" applyFill="1" applyAlignment="1" applyProtection="1">
      <alignment horizontal="center" vertical="center" wrapText="1"/>
      <protection locked="0"/>
    </xf>
    <xf numFmtId="179" fontId="88" fillId="3" borderId="93" xfId="4" applyNumberFormat="1" applyFont="1" applyFill="1" applyBorder="1" applyAlignment="1" applyProtection="1">
      <alignment horizontal="center" vertical="center" wrapText="1"/>
      <protection locked="0"/>
    </xf>
    <xf numFmtId="198" fontId="89" fillId="41" borderId="104" xfId="6" applyNumberFormat="1" applyFont="1" applyFill="1" applyBorder="1" applyAlignment="1">
      <alignment horizontal="right" vertical="center" wrapText="1"/>
    </xf>
    <xf numFmtId="179" fontId="89" fillId="10" borderId="128" xfId="4" applyNumberFormat="1" applyFont="1" applyFill="1" applyBorder="1" applyAlignment="1">
      <alignment horizontal="right" vertical="center" wrapText="1" indent="1"/>
    </xf>
    <xf numFmtId="169" fontId="89" fillId="10" borderId="99" xfId="13" applyFont="1" applyFill="1" applyBorder="1" applyAlignment="1">
      <alignment horizontal="left" vertical="center" wrapText="1" indent="1"/>
    </xf>
    <xf numFmtId="179" fontId="89" fillId="10" borderId="99" xfId="4" applyNumberFormat="1" applyFont="1" applyFill="1" applyBorder="1" applyAlignment="1">
      <alignment horizontal="right" vertical="center" wrapText="1" indent="1"/>
    </xf>
    <xf numFmtId="169" fontId="88" fillId="44" borderId="5" xfId="13" applyFont="1" applyFill="1" applyBorder="1" applyAlignment="1">
      <alignment horizontal="center" vertical="center" wrapText="1"/>
    </xf>
    <xf numFmtId="169" fontId="88" fillId="3" borderId="5" xfId="13" applyFont="1" applyFill="1" applyBorder="1" applyAlignment="1">
      <alignment horizontal="center" vertical="center" wrapText="1"/>
    </xf>
    <xf numFmtId="169" fontId="88" fillId="0" borderId="5" xfId="13" applyFont="1" applyBorder="1" applyAlignment="1">
      <alignment horizontal="center" vertical="center" wrapText="1"/>
    </xf>
    <xf numFmtId="169" fontId="88" fillId="0" borderId="5" xfId="13" applyFont="1" applyFill="1" applyBorder="1" applyAlignment="1">
      <alignment horizontal="center" vertical="center" wrapText="1"/>
    </xf>
    <xf numFmtId="169" fontId="88" fillId="0" borderId="50" xfId="13" applyFont="1" applyBorder="1" applyAlignment="1">
      <alignment horizontal="center" vertical="center" wrapText="1"/>
    </xf>
    <xf numFmtId="169" fontId="88" fillId="3" borderId="50" xfId="13" applyFont="1" applyFill="1" applyBorder="1" applyAlignment="1">
      <alignment horizontal="center" vertical="center" wrapText="1"/>
    </xf>
    <xf numFmtId="169" fontId="88" fillId="43" borderId="5" xfId="13" applyFont="1" applyFill="1" applyBorder="1" applyAlignment="1">
      <alignment horizontal="center" vertical="center" wrapText="1"/>
    </xf>
    <xf numFmtId="179" fontId="88" fillId="3" borderId="5" xfId="4" applyNumberFormat="1" applyFont="1" applyFill="1" applyBorder="1" applyAlignment="1">
      <alignment horizontal="center" vertical="center" wrapText="1"/>
    </xf>
    <xf numFmtId="207" fontId="88" fillId="3" borderId="0" xfId="13" applyNumberFormat="1" applyFont="1" applyFill="1" applyAlignment="1">
      <alignment horizontal="center" vertical="center" wrapText="1"/>
    </xf>
    <xf numFmtId="208" fontId="88" fillId="3" borderId="0" xfId="13" applyNumberFormat="1" applyFont="1" applyFill="1" applyAlignment="1">
      <alignment horizontal="center" vertical="center" wrapText="1"/>
    </xf>
    <xf numFmtId="1" fontId="88" fillId="3" borderId="79" xfId="4" applyNumberFormat="1" applyFont="1" applyFill="1" applyBorder="1" applyAlignment="1">
      <alignment horizontal="center" vertical="center" wrapText="1"/>
    </xf>
    <xf numFmtId="1" fontId="88" fillId="3" borderId="79" xfId="4" applyNumberFormat="1" applyFont="1" applyFill="1" applyBorder="1" applyAlignment="1" applyProtection="1">
      <alignment horizontal="center" vertical="center" wrapText="1"/>
      <protection locked="0"/>
    </xf>
    <xf numFmtId="1" fontId="88" fillId="3" borderId="142" xfId="4" applyNumberFormat="1" applyFont="1" applyFill="1" applyBorder="1" applyAlignment="1" applyProtection="1">
      <alignment horizontal="center" vertical="center" wrapText="1"/>
      <protection locked="0"/>
    </xf>
    <xf numFmtId="1" fontId="88" fillId="3" borderId="126" xfId="4" applyNumberFormat="1" applyFont="1" applyFill="1" applyBorder="1" applyAlignment="1" applyProtection="1">
      <alignment horizontal="center" vertical="center" wrapText="1"/>
      <protection locked="0"/>
    </xf>
    <xf numFmtId="1" fontId="88" fillId="3" borderId="81" xfId="4" applyNumberFormat="1" applyFont="1" applyFill="1" applyBorder="1" applyAlignment="1" applyProtection="1">
      <alignment horizontal="center" vertical="center" wrapText="1"/>
      <protection locked="0"/>
    </xf>
    <xf numFmtId="179" fontId="89" fillId="11" borderId="157" xfId="4" applyNumberFormat="1" applyFont="1" applyFill="1" applyBorder="1" applyAlignment="1">
      <alignment vertical="center" wrapText="1"/>
    </xf>
    <xf numFmtId="1" fontId="137" fillId="3" borderId="133" xfId="9" quotePrefix="1" applyNumberFormat="1" applyFont="1" applyFill="1" applyBorder="1" applyAlignment="1" applyProtection="1">
      <alignment horizontal="center" vertical="center" wrapText="1"/>
      <protection locked="0"/>
    </xf>
    <xf numFmtId="0" fontId="88" fillId="0" borderId="1" xfId="4" applyFont="1" applyBorder="1" applyAlignment="1" applyProtection="1">
      <alignment horizontal="center" vertical="center" wrapText="1"/>
      <protection locked="0"/>
    </xf>
    <xf numFmtId="3" fontId="88" fillId="0" borderId="1" xfId="6" applyNumberFormat="1" applyFont="1" applyFill="1" applyBorder="1" applyAlignment="1" applyProtection="1">
      <alignment horizontal="center" vertical="center" wrapText="1"/>
      <protection locked="0"/>
    </xf>
    <xf numFmtId="174" fontId="88" fillId="0" borderId="1" xfId="6" applyNumberFormat="1" applyFont="1" applyFill="1" applyBorder="1" applyAlignment="1" applyProtection="1">
      <alignment horizontal="right" vertical="center" wrapText="1"/>
      <protection locked="0"/>
    </xf>
    <xf numFmtId="0" fontId="10" fillId="0" borderId="0" xfId="4" applyFont="1" applyAlignment="1" applyProtection="1">
      <alignment horizontal="center" vertical="center" wrapText="1"/>
      <protection hidden="1"/>
    </xf>
    <xf numFmtId="0" fontId="10" fillId="0" borderId="0" xfId="4" applyFont="1" applyAlignment="1" applyProtection="1">
      <alignment horizontal="center" vertical="center" wrapText="1"/>
      <protection locked="0"/>
    </xf>
    <xf numFmtId="1" fontId="22" fillId="0" borderId="79" xfId="9" quotePrefix="1" applyNumberFormat="1" applyFill="1" applyBorder="1" applyAlignment="1" applyProtection="1">
      <alignment horizontal="center" vertical="center" wrapText="1"/>
      <protection locked="0"/>
    </xf>
    <xf numFmtId="1" fontId="22" fillId="3" borderId="81" xfId="9" quotePrefix="1" applyNumberFormat="1" applyFill="1" applyBorder="1" applyAlignment="1" applyProtection="1">
      <alignment horizontal="center" vertical="center" wrapText="1"/>
      <protection locked="0"/>
    </xf>
    <xf numFmtId="179" fontId="125" fillId="6" borderId="56" xfId="24" applyNumberFormat="1" applyFont="1" applyFill="1" applyAlignment="1">
      <alignment vertical="center"/>
    </xf>
    <xf numFmtId="169" fontId="12" fillId="0" borderId="0" xfId="13" applyFont="1" applyBorder="1" applyAlignment="1">
      <alignment vertical="center"/>
    </xf>
    <xf numFmtId="209" fontId="88" fillId="3" borderId="91" xfId="4" applyNumberFormat="1" applyFont="1" applyFill="1" applyBorder="1" applyAlignment="1" applyProtection="1">
      <alignment vertical="center" wrapText="1"/>
      <protection locked="0"/>
    </xf>
    <xf numFmtId="209" fontId="88" fillId="3" borderId="80" xfId="4" applyNumberFormat="1" applyFont="1" applyFill="1" applyBorder="1" applyAlignment="1" applyProtection="1">
      <alignment vertical="center" wrapText="1"/>
      <protection locked="0"/>
    </xf>
    <xf numFmtId="209" fontId="88" fillId="3" borderId="83" xfId="4" applyNumberFormat="1" applyFont="1" applyFill="1" applyBorder="1" applyAlignment="1" applyProtection="1">
      <alignment vertical="center" wrapText="1"/>
      <protection locked="0"/>
    </xf>
    <xf numFmtId="209" fontId="88" fillId="0" borderId="96" xfId="7" applyNumberFormat="1" applyFont="1" applyBorder="1" applyAlignment="1">
      <alignment horizontal="right" vertical="center"/>
    </xf>
    <xf numFmtId="209" fontId="88" fillId="3" borderId="152" xfId="6" applyNumberFormat="1" applyFont="1" applyFill="1" applyBorder="1" applyAlignment="1">
      <alignment horizontal="right" vertical="center" wrapText="1"/>
    </xf>
    <xf numFmtId="179" fontId="89" fillId="11" borderId="104" xfId="6" applyNumberFormat="1" applyFont="1" applyFill="1" applyBorder="1" applyAlignment="1">
      <alignment horizontal="right" vertical="center" wrapText="1"/>
    </xf>
    <xf numFmtId="179" fontId="89" fillId="11" borderId="154" xfId="6" applyNumberFormat="1" applyFont="1" applyFill="1" applyBorder="1" applyAlignment="1">
      <alignment horizontal="right" vertical="center" wrapText="1"/>
    </xf>
    <xf numFmtId="0" fontId="88" fillId="0" borderId="79" xfId="4" applyFont="1" applyBorder="1" applyAlignment="1">
      <alignment horizontal="center" vertical="center" wrapText="1"/>
    </xf>
    <xf numFmtId="176" fontId="88" fillId="3" borderId="79" xfId="4" applyNumberFormat="1" applyFont="1" applyFill="1" applyBorder="1" applyAlignment="1">
      <alignment horizontal="center" vertical="center" wrapText="1"/>
    </xf>
    <xf numFmtId="176" fontId="88" fillId="3" borderId="79" xfId="4" applyNumberFormat="1" applyFont="1" applyFill="1" applyBorder="1" applyAlignment="1" applyProtection="1">
      <alignment horizontal="center" vertical="center" wrapText="1"/>
      <protection locked="0"/>
    </xf>
    <xf numFmtId="191" fontId="6" fillId="0" borderId="4" xfId="0" applyNumberFormat="1" applyFont="1" applyBorder="1" applyAlignment="1">
      <alignment horizontal="center" vertical="center"/>
    </xf>
    <xf numFmtId="191" fontId="10" fillId="0" borderId="4" xfId="0" applyNumberFormat="1" applyFont="1" applyBorder="1" applyAlignment="1">
      <alignment horizontal="center" vertical="center"/>
    </xf>
    <xf numFmtId="192" fontId="6" fillId="0" borderId="4" xfId="0" applyNumberFormat="1" applyFont="1" applyBorder="1" applyAlignment="1">
      <alignment horizontal="center" vertical="center"/>
    </xf>
    <xf numFmtId="178" fontId="6" fillId="0" borderId="4" xfId="0" applyNumberFormat="1" applyFont="1" applyBorder="1" applyAlignment="1">
      <alignment horizontal="center" vertical="center"/>
    </xf>
    <xf numFmtId="176" fontId="6" fillId="0" borderId="4" xfId="0" applyNumberFormat="1" applyFont="1" applyBorder="1" applyAlignment="1">
      <alignment horizontal="center" vertical="center"/>
    </xf>
    <xf numFmtId="191" fontId="108" fillId="0" borderId="4" xfId="0" applyNumberFormat="1" applyFont="1" applyBorder="1" applyAlignment="1">
      <alignment horizontal="center" vertical="center"/>
    </xf>
    <xf numFmtId="2" fontId="6" fillId="0" borderId="4" xfId="0" applyNumberFormat="1" applyFont="1" applyBorder="1" applyAlignment="1">
      <alignment horizontal="center" vertical="center"/>
    </xf>
    <xf numFmtId="205" fontId="6" fillId="0" borderId="4" xfId="0" applyNumberFormat="1" applyFont="1" applyBorder="1" applyAlignment="1">
      <alignment horizontal="center" vertical="center"/>
    </xf>
    <xf numFmtId="191" fontId="6" fillId="0" borderId="0" xfId="0" applyNumberFormat="1" applyFont="1" applyAlignment="1">
      <alignment vertical="center"/>
    </xf>
    <xf numFmtId="210" fontId="6" fillId="0" borderId="4" xfId="0" applyNumberFormat="1" applyFont="1" applyBorder="1" applyAlignment="1">
      <alignment horizontal="center" vertical="center"/>
    </xf>
    <xf numFmtId="211" fontId="6" fillId="0" borderId="4" xfId="0" applyNumberFormat="1" applyFont="1" applyBorder="1" applyAlignment="1">
      <alignment horizontal="center" vertical="center"/>
    </xf>
    <xf numFmtId="0" fontId="52" fillId="0" borderId="0" xfId="0" applyFont="1" applyAlignment="1">
      <alignment horizontal="left" vertical="center" wrapText="1"/>
    </xf>
    <xf numFmtId="0" fontId="116" fillId="0" borderId="2" xfId="0" applyFont="1" applyBorder="1" applyAlignment="1">
      <alignment horizontal="left"/>
    </xf>
    <xf numFmtId="0" fontId="118" fillId="0" borderId="3" xfId="0" applyFont="1" applyBorder="1" applyAlignment="1">
      <alignment wrapText="1"/>
    </xf>
    <xf numFmtId="0" fontId="118" fillId="0" borderId="4" xfId="0" applyFont="1" applyBorder="1" applyAlignment="1">
      <alignment wrapText="1"/>
    </xf>
    <xf numFmtId="0" fontId="121" fillId="0" borderId="0" xfId="0" applyFont="1" applyAlignment="1">
      <alignment horizontal="left" vertical="center" wrapText="1"/>
    </xf>
    <xf numFmtId="0" fontId="117" fillId="0" borderId="2" xfId="0" applyFont="1" applyBorder="1" applyAlignment="1">
      <alignment horizontal="left"/>
    </xf>
    <xf numFmtId="0" fontId="116" fillId="0" borderId="2" xfId="0" applyFont="1" applyBorder="1" applyAlignment="1">
      <alignment horizontal="left" wrapText="1"/>
    </xf>
    <xf numFmtId="0" fontId="120" fillId="0" borderId="3" xfId="0" applyFont="1" applyBorder="1" applyAlignment="1">
      <alignment horizontal="right" wrapText="1"/>
    </xf>
    <xf numFmtId="0" fontId="120" fillId="0" borderId="4" xfId="0" applyFont="1" applyBorder="1" applyAlignment="1">
      <alignment horizontal="right" wrapText="1"/>
    </xf>
    <xf numFmtId="0" fontId="114" fillId="0" borderId="24" xfId="0" applyFont="1" applyBorder="1" applyAlignment="1">
      <alignment horizontal="center"/>
    </xf>
    <xf numFmtId="0" fontId="114" fillId="0" borderId="0" xfId="0" applyFont="1" applyAlignment="1">
      <alignment horizontal="center"/>
    </xf>
    <xf numFmtId="0" fontId="115" fillId="0" borderId="23" xfId="0" applyFont="1" applyBorder="1" applyAlignment="1">
      <alignment horizontal="center"/>
    </xf>
    <xf numFmtId="0" fontId="0" fillId="0" borderId="6" xfId="0" applyBorder="1" applyAlignment="1">
      <alignment wrapText="1"/>
    </xf>
    <xf numFmtId="0" fontId="115" fillId="0" borderId="6" xfId="0" applyFont="1" applyBorder="1" applyAlignment="1">
      <alignment horizontal="center"/>
    </xf>
    <xf numFmtId="0" fontId="117" fillId="0" borderId="9" xfId="0" applyFont="1" applyBorder="1" applyAlignment="1">
      <alignment horizontal="left"/>
    </xf>
    <xf numFmtId="0" fontId="118" fillId="0" borderId="10" xfId="0" applyFont="1" applyBorder="1" applyAlignment="1">
      <alignment wrapText="1"/>
    </xf>
    <xf numFmtId="0" fontId="32" fillId="3" borderId="0" xfId="0" applyFont="1" applyFill="1" applyAlignment="1">
      <alignment horizontal="center" wrapText="1"/>
    </xf>
    <xf numFmtId="0" fontId="67" fillId="35" borderId="0" xfId="0" applyFont="1" applyFill="1" applyAlignment="1">
      <alignment horizontal="center" vertical="center"/>
    </xf>
    <xf numFmtId="0" fontId="66" fillId="24" borderId="0" xfId="0" applyFont="1" applyFill="1" applyAlignment="1">
      <alignment horizontal="center" vertical="center"/>
    </xf>
    <xf numFmtId="0" fontId="71" fillId="3" borderId="0" xfId="0" applyFont="1" applyFill="1" applyAlignment="1">
      <alignment horizontal="left" vertical="center" wrapText="1"/>
    </xf>
    <xf numFmtId="0" fontId="67" fillId="25" borderId="0" xfId="0" applyFont="1" applyFill="1" applyAlignment="1">
      <alignment horizontal="center" vertical="center"/>
    </xf>
    <xf numFmtId="0" fontId="66" fillId="24" borderId="0" xfId="0" applyFont="1" applyFill="1" applyAlignment="1">
      <alignment horizontal="center"/>
    </xf>
    <xf numFmtId="0" fontId="49" fillId="9" borderId="5" xfId="14" applyFont="1" applyFill="1" applyBorder="1" applyAlignment="1">
      <alignment horizontal="left"/>
    </xf>
    <xf numFmtId="0" fontId="49" fillId="8" borderId="5" xfId="14" applyFont="1" applyFill="1" applyBorder="1" applyAlignment="1">
      <alignment horizontal="right"/>
    </xf>
    <xf numFmtId="0" fontId="55" fillId="9" borderId="23" xfId="14" applyFont="1" applyFill="1" applyBorder="1" applyAlignment="1">
      <alignment horizontal="center" vertical="center"/>
    </xf>
    <xf numFmtId="0" fontId="55" fillId="9" borderId="6" xfId="14" applyFont="1" applyFill="1" applyBorder="1" applyAlignment="1">
      <alignment horizontal="center" vertical="center"/>
    </xf>
    <xf numFmtId="183" fontId="49" fillId="9" borderId="5" xfId="14" applyNumberFormat="1" applyFont="1" applyFill="1" applyBorder="1" applyAlignment="1">
      <alignment horizontal="center" vertical="center"/>
    </xf>
    <xf numFmtId="184" fontId="49" fillId="9" borderId="5" xfId="14" applyNumberFormat="1" applyFont="1" applyFill="1" applyBorder="1" applyAlignment="1">
      <alignment horizontal="center" vertical="center"/>
    </xf>
    <xf numFmtId="0" fontId="55" fillId="9" borderId="24" xfId="14" applyFont="1" applyFill="1" applyBorder="1" applyAlignment="1">
      <alignment horizontal="center" vertical="center"/>
    </xf>
    <xf numFmtId="0" fontId="55" fillId="9" borderId="0" xfId="14" applyFont="1" applyFill="1" applyAlignment="1">
      <alignment horizontal="center" vertical="center"/>
    </xf>
    <xf numFmtId="169" fontId="48" fillId="0" borderId="2" xfId="15" applyFont="1" applyBorder="1" applyAlignment="1">
      <alignment horizontal="center" vertical="center"/>
    </xf>
    <xf numFmtId="169" fontId="48" fillId="0" borderId="4" xfId="15" applyFont="1" applyBorder="1" applyAlignment="1">
      <alignment horizontal="center" vertical="center"/>
    </xf>
    <xf numFmtId="0" fontId="48" fillId="0" borderId="2" xfId="14" applyFont="1" applyBorder="1" applyAlignment="1">
      <alignment horizontal="center"/>
    </xf>
    <xf numFmtId="0" fontId="48" fillId="0" borderId="4" xfId="14" applyFont="1" applyBorder="1" applyAlignment="1">
      <alignment horizontal="center"/>
    </xf>
    <xf numFmtId="187" fontId="48" fillId="0" borderId="2" xfId="15" applyNumberFormat="1" applyFont="1" applyBorder="1" applyAlignment="1">
      <alignment horizontal="center" vertical="center"/>
    </xf>
    <xf numFmtId="187" fontId="48" fillId="0" borderId="4" xfId="15" applyNumberFormat="1" applyFont="1" applyBorder="1" applyAlignment="1">
      <alignment horizontal="center" vertical="center"/>
    </xf>
    <xf numFmtId="0" fontId="49" fillId="9" borderId="5" xfId="14" applyFont="1" applyFill="1" applyBorder="1" applyAlignment="1">
      <alignment horizontal="center"/>
    </xf>
    <xf numFmtId="9" fontId="58" fillId="21" borderId="2" xfId="19" applyFont="1" applyFill="1" applyBorder="1" applyAlignment="1">
      <alignment horizontal="center" vertical="center"/>
    </xf>
    <xf numFmtId="9" fontId="58" fillId="21" borderId="4" xfId="19" applyFont="1" applyFill="1" applyBorder="1" applyAlignment="1">
      <alignment horizontal="center" vertical="center"/>
    </xf>
    <xf numFmtId="0" fontId="58" fillId="21" borderId="2" xfId="14" applyFont="1" applyFill="1" applyBorder="1" applyAlignment="1">
      <alignment horizontal="left"/>
    </xf>
    <xf numFmtId="0" fontId="58" fillId="21" borderId="4" xfId="14" applyFont="1" applyFill="1" applyBorder="1" applyAlignment="1">
      <alignment horizontal="left"/>
    </xf>
    <xf numFmtId="0" fontId="95" fillId="0" borderId="2" xfId="0" applyFont="1" applyBorder="1" applyAlignment="1">
      <alignment horizontal="right" wrapText="1"/>
    </xf>
    <xf numFmtId="0" fontId="95" fillId="0" borderId="3" xfId="0" applyFont="1" applyBorder="1" applyAlignment="1">
      <alignment horizontal="right" wrapText="1"/>
    </xf>
    <xf numFmtId="0" fontId="95" fillId="0" borderId="4" xfId="0" applyFont="1" applyBorder="1" applyAlignment="1">
      <alignment horizontal="right" wrapText="1"/>
    </xf>
    <xf numFmtId="0" fontId="94" fillId="0" borderId="5" xfId="0" applyFont="1" applyBorder="1" applyAlignment="1">
      <alignment horizontal="center"/>
    </xf>
    <xf numFmtId="0" fontId="95" fillId="0" borderId="114" xfId="0" applyFont="1" applyBorder="1" applyAlignment="1">
      <alignment horizontal="right" wrapText="1"/>
    </xf>
    <xf numFmtId="0" fontId="95" fillId="0" borderId="116" xfId="0" applyFont="1" applyBorder="1" applyAlignment="1">
      <alignment horizontal="right" wrapText="1"/>
    </xf>
    <xf numFmtId="0" fontId="95" fillId="0" borderId="115" xfId="0" applyFont="1" applyBorder="1" applyAlignment="1">
      <alignment horizontal="right" wrapText="1"/>
    </xf>
    <xf numFmtId="0" fontId="28" fillId="0" borderId="114" xfId="0" applyFont="1" applyBorder="1" applyAlignment="1">
      <alignment horizontal="center" vertical="top" wrapText="1"/>
    </xf>
    <xf numFmtId="0" fontId="28" fillId="0" borderId="116" xfId="0" applyFont="1" applyBorder="1" applyAlignment="1">
      <alignment horizontal="center" vertical="top" wrapText="1"/>
    </xf>
    <xf numFmtId="0" fontId="28" fillId="0" borderId="115" xfId="0" applyFont="1" applyBorder="1" applyAlignment="1">
      <alignment horizontal="center" vertical="top" wrapText="1"/>
    </xf>
    <xf numFmtId="0" fontId="91" fillId="0" borderId="110" xfId="0" applyFont="1" applyBorder="1" applyAlignment="1">
      <alignment horizontal="center" vertical="top" wrapText="1"/>
    </xf>
    <xf numFmtId="0" fontId="91" fillId="0" borderId="0" xfId="0" applyFont="1" applyAlignment="1">
      <alignment horizontal="center" vertical="top" wrapText="1"/>
    </xf>
    <xf numFmtId="0" fontId="27" fillId="0" borderId="111" xfId="0" applyFont="1" applyBorder="1" applyAlignment="1">
      <alignment horizontal="center" wrapText="1"/>
    </xf>
    <xf numFmtId="0" fontId="27" fillId="0" borderId="112" xfId="0" applyFont="1" applyBorder="1" applyAlignment="1">
      <alignment horizontal="center" wrapText="1"/>
    </xf>
    <xf numFmtId="175" fontId="93" fillId="0" borderId="114" xfId="0" applyNumberFormat="1" applyFont="1" applyBorder="1" applyAlignment="1">
      <alignment horizontal="right" vertical="top" shrinkToFit="1"/>
    </xf>
    <xf numFmtId="175" fontId="93" fillId="0" borderId="115" xfId="0" applyNumberFormat="1" applyFont="1" applyBorder="1" applyAlignment="1">
      <alignment horizontal="right" vertical="top" shrinkToFit="1"/>
    </xf>
    <xf numFmtId="175" fontId="93" fillId="0" borderId="114" xfId="0" applyNumberFormat="1" applyFont="1" applyBorder="1" applyAlignment="1">
      <alignment horizontal="right" vertical="center" shrinkToFit="1"/>
    </xf>
    <xf numFmtId="175" fontId="93" fillId="0" borderId="116" xfId="0" applyNumberFormat="1" applyFont="1" applyBorder="1" applyAlignment="1">
      <alignment horizontal="right" vertical="center" shrinkToFit="1"/>
    </xf>
    <xf numFmtId="175" fontId="93" fillId="0" borderId="115" xfId="0" applyNumberFormat="1" applyFont="1" applyBorder="1" applyAlignment="1">
      <alignment horizontal="right" vertical="center" shrinkToFit="1"/>
    </xf>
    <xf numFmtId="0" fontId="45" fillId="0" borderId="0" xfId="0" applyFont="1" applyAlignment="1">
      <alignment horizontal="center"/>
    </xf>
    <xf numFmtId="0" fontId="0" fillId="0" borderId="5" xfId="0" applyBorder="1" applyAlignment="1">
      <alignment horizontal="center"/>
    </xf>
    <xf numFmtId="0" fontId="0" fillId="0" borderId="5" xfId="0" applyBorder="1" applyAlignment="1">
      <alignment horizontal="center" vertical="center"/>
    </xf>
    <xf numFmtId="0" fontId="0" fillId="23" borderId="2" xfId="0" applyFill="1" applyBorder="1" applyAlignment="1">
      <alignment horizontal="center"/>
    </xf>
    <xf numFmtId="0" fontId="0" fillId="23" borderId="4" xfId="0" applyFill="1" applyBorder="1" applyAlignment="1">
      <alignment horizontal="center"/>
    </xf>
    <xf numFmtId="0" fontId="0" fillId="23" borderId="0" xfId="0" applyFill="1" applyAlignment="1">
      <alignment horizontal="center" vertical="center" wrapText="1"/>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19" fillId="0" borderId="0" xfId="0" applyFont="1" applyAlignment="1">
      <alignment horizontal="left"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4" xfId="0" applyFont="1" applyBorder="1" applyAlignment="1">
      <alignment horizontal="left" vertical="center"/>
    </xf>
    <xf numFmtId="0" fontId="18" fillId="0" borderId="0" xfId="0" applyFont="1" applyAlignment="1">
      <alignment horizontal="center" vertical="center" wrapText="1"/>
    </xf>
    <xf numFmtId="0" fontId="18"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wrapText="1"/>
    </xf>
    <xf numFmtId="0" fontId="6" fillId="0" borderId="2" xfId="0" applyFont="1" applyBorder="1" applyAlignment="1" applyProtection="1">
      <alignment horizontal="left" vertical="center" wrapText="1"/>
      <protection hidden="1"/>
    </xf>
    <xf numFmtId="0" fontId="6" fillId="0" borderId="3" xfId="0" applyFont="1" applyBorder="1" applyAlignment="1" applyProtection="1">
      <alignment horizontal="left" vertical="center" wrapText="1"/>
      <protection hidden="1"/>
    </xf>
    <xf numFmtId="0" fontId="6" fillId="0" borderId="4" xfId="0" applyFont="1" applyBorder="1" applyAlignment="1" applyProtection="1">
      <alignment horizontal="left" vertical="center" wrapText="1"/>
      <protection hidden="1"/>
    </xf>
    <xf numFmtId="0" fontId="8" fillId="3" borderId="5" xfId="4" applyFont="1" applyFill="1" applyBorder="1" applyAlignment="1" applyProtection="1">
      <alignment horizontal="center" vertical="center" wrapText="1"/>
      <protection locked="0"/>
    </xf>
    <xf numFmtId="0" fontId="8" fillId="3" borderId="42" xfId="4" applyFont="1" applyFill="1" applyBorder="1" applyAlignment="1" applyProtection="1">
      <alignment horizontal="center" vertical="center" wrapText="1"/>
      <protection locked="0"/>
    </xf>
    <xf numFmtId="0" fontId="8" fillId="3" borderId="43" xfId="4" applyFont="1" applyFill="1" applyBorder="1" applyAlignment="1" applyProtection="1">
      <alignment horizontal="center" vertical="center" wrapText="1"/>
      <protection locked="0"/>
    </xf>
    <xf numFmtId="0" fontId="8" fillId="3" borderId="150" xfId="4" applyFont="1" applyFill="1" applyBorder="1" applyAlignment="1" applyProtection="1">
      <alignment horizontal="center" vertical="center" wrapText="1"/>
      <protection locked="0"/>
    </xf>
    <xf numFmtId="0" fontId="88" fillId="3" borderId="29" xfId="4" applyFont="1" applyFill="1" applyBorder="1" applyAlignment="1">
      <alignment horizontal="center" vertical="center" wrapText="1"/>
    </xf>
    <xf numFmtId="0" fontId="88" fillId="3" borderId="30" xfId="4" applyFont="1" applyFill="1" applyBorder="1" applyAlignment="1">
      <alignment horizontal="center" vertical="center" wrapText="1"/>
    </xf>
    <xf numFmtId="0" fontId="88" fillId="3" borderId="31" xfId="4" applyFont="1" applyFill="1" applyBorder="1" applyAlignment="1">
      <alignment horizontal="center" vertical="center" wrapText="1"/>
    </xf>
    <xf numFmtId="0" fontId="88" fillId="3" borderId="32" xfId="4" applyFont="1" applyFill="1" applyBorder="1" applyAlignment="1">
      <alignment horizontal="center" vertical="center" wrapText="1"/>
    </xf>
    <xf numFmtId="0" fontId="88" fillId="3" borderId="0" xfId="4" applyFont="1" applyFill="1" applyAlignment="1">
      <alignment horizontal="center" vertical="center" wrapText="1"/>
    </xf>
    <xf numFmtId="0" fontId="88" fillId="3" borderId="33" xfId="4" applyFont="1" applyFill="1" applyBorder="1" applyAlignment="1">
      <alignment horizontal="center" vertical="center" wrapText="1"/>
    </xf>
    <xf numFmtId="0" fontId="88" fillId="3" borderId="34" xfId="4" applyFont="1" applyFill="1" applyBorder="1" applyAlignment="1">
      <alignment horizontal="center" vertical="center" wrapText="1"/>
    </xf>
    <xf numFmtId="0" fontId="88" fillId="3" borderId="35" xfId="4" applyFont="1" applyFill="1" applyBorder="1" applyAlignment="1">
      <alignment horizontal="center" vertical="center" wrapText="1"/>
    </xf>
    <xf numFmtId="0" fontId="88" fillId="3" borderId="36" xfId="4" applyFont="1" applyFill="1" applyBorder="1" applyAlignment="1">
      <alignment horizontal="center" vertical="center" wrapText="1"/>
    </xf>
    <xf numFmtId="0" fontId="89" fillId="10" borderId="107" xfId="4" applyFont="1" applyFill="1" applyBorder="1" applyAlignment="1">
      <alignment horizontal="center" vertical="center" wrapText="1"/>
    </xf>
    <xf numFmtId="0" fontId="89" fillId="10" borderId="108" xfId="4" applyFont="1" applyFill="1" applyBorder="1" applyAlignment="1">
      <alignment horizontal="center" vertical="center" wrapText="1"/>
    </xf>
    <xf numFmtId="0" fontId="89" fillId="10" borderId="97" xfId="4" applyFont="1" applyFill="1" applyBorder="1" applyAlignment="1">
      <alignment horizontal="center" vertical="center" wrapText="1"/>
    </xf>
    <xf numFmtId="0" fontId="89" fillId="10" borderId="98" xfId="4" applyFont="1" applyFill="1" applyBorder="1" applyAlignment="1">
      <alignment horizontal="center" vertical="center" wrapText="1"/>
    </xf>
    <xf numFmtId="0" fontId="89" fillId="10" borderId="127" xfId="4" applyFont="1" applyFill="1" applyBorder="1" applyAlignment="1">
      <alignment horizontal="center" vertical="center" wrapText="1"/>
    </xf>
    <xf numFmtId="0" fontId="89" fillId="3" borderId="88" xfId="4" applyFont="1" applyFill="1" applyBorder="1" applyAlignment="1">
      <alignment horizontal="center" vertical="center" wrapText="1"/>
    </xf>
    <xf numFmtId="0" fontId="89" fillId="3" borderId="89" xfId="4" applyFont="1" applyFill="1" applyBorder="1" applyAlignment="1">
      <alignment horizontal="center" vertical="center" wrapText="1"/>
    </xf>
    <xf numFmtId="0" fontId="89" fillId="3" borderId="5" xfId="4" applyFont="1" applyFill="1" applyBorder="1" applyAlignment="1">
      <alignment horizontal="center" vertical="center" wrapText="1"/>
    </xf>
    <xf numFmtId="0" fontId="89" fillId="3" borderId="7" xfId="4" applyFont="1" applyFill="1" applyBorder="1" applyAlignment="1">
      <alignment horizontal="center" vertical="center" wrapText="1"/>
    </xf>
    <xf numFmtId="0" fontId="88" fillId="3" borderId="9" xfId="4" applyFont="1" applyFill="1" applyBorder="1" applyAlignment="1">
      <alignment horizontal="center" vertical="center" wrapText="1"/>
    </xf>
    <xf numFmtId="0" fontId="88" fillId="3" borderId="10" xfId="4" applyFont="1" applyFill="1" applyBorder="1" applyAlignment="1">
      <alignment horizontal="center" vertical="center" wrapText="1"/>
    </xf>
    <xf numFmtId="0" fontId="88" fillId="3" borderId="11" xfId="4" applyFont="1" applyFill="1" applyBorder="1" applyAlignment="1">
      <alignment horizontal="center" vertical="center" wrapText="1"/>
    </xf>
    <xf numFmtId="0" fontId="11" fillId="4" borderId="2" xfId="4" applyFont="1" applyFill="1" applyBorder="1" applyAlignment="1">
      <alignment horizontal="center" vertical="center" wrapText="1"/>
    </xf>
    <xf numFmtId="0" fontId="11" fillId="4" borderId="4" xfId="4" applyFont="1" applyFill="1" applyBorder="1" applyAlignment="1">
      <alignment horizontal="center" vertical="center" wrapText="1"/>
    </xf>
    <xf numFmtId="0" fontId="8" fillId="11" borderId="86" xfId="4" applyFont="1" applyFill="1" applyBorder="1" applyAlignment="1">
      <alignment horizontal="center" vertical="center" wrapText="1"/>
    </xf>
    <xf numFmtId="0" fontId="8" fillId="11" borderId="68" xfId="4" applyFont="1" applyFill="1" applyBorder="1" applyAlignment="1">
      <alignment horizontal="center" vertical="center" wrapText="1"/>
    </xf>
    <xf numFmtId="0" fontId="8" fillId="11" borderId="75" xfId="4" applyFont="1" applyFill="1" applyBorder="1" applyAlignment="1">
      <alignment horizontal="center" vertical="center" wrapText="1"/>
    </xf>
    <xf numFmtId="0" fontId="8" fillId="11" borderId="74" xfId="4" applyFont="1" applyFill="1" applyBorder="1" applyAlignment="1">
      <alignment horizontal="center" vertical="center" wrapText="1"/>
    </xf>
    <xf numFmtId="0" fontId="16" fillId="0" borderId="0" xfId="4" applyFont="1" applyAlignment="1">
      <alignment horizontal="left" vertical="center" wrapText="1"/>
    </xf>
    <xf numFmtId="0" fontId="17" fillId="0" borderId="0" xfId="4" applyFont="1" applyAlignment="1">
      <alignment horizontal="left" vertical="center" wrapText="1"/>
    </xf>
    <xf numFmtId="0" fontId="12" fillId="0" borderId="0" xfId="4" applyFont="1" applyAlignment="1">
      <alignment horizontal="left" vertical="center" wrapText="1"/>
    </xf>
    <xf numFmtId="0" fontId="88" fillId="3" borderId="92" xfId="4" applyFont="1" applyFill="1" applyBorder="1" applyAlignment="1">
      <alignment horizontal="center" vertical="center" wrapText="1"/>
    </xf>
    <xf numFmtId="0" fontId="88" fillId="3" borderId="90" xfId="4" applyFont="1" applyFill="1" applyBorder="1" applyAlignment="1">
      <alignment horizontal="center" vertical="center" wrapText="1"/>
    </xf>
    <xf numFmtId="0" fontId="88" fillId="3" borderId="103" xfId="4" applyFont="1" applyFill="1" applyBorder="1" applyAlignment="1">
      <alignment horizontal="center" vertical="center" wrapText="1"/>
    </xf>
    <xf numFmtId="0" fontId="89" fillId="11" borderId="151" xfId="4" applyFont="1" applyFill="1" applyBorder="1" applyAlignment="1">
      <alignment horizontal="center" vertical="center" wrapText="1"/>
    </xf>
    <xf numFmtId="0" fontId="89" fillId="11" borderId="68" xfId="4" applyFont="1" applyFill="1" applyBorder="1" applyAlignment="1">
      <alignment horizontal="center" vertical="center" wrapText="1"/>
    </xf>
    <xf numFmtId="0" fontId="89" fillId="11" borderId="153" xfId="4" applyFont="1" applyFill="1" applyBorder="1" applyAlignment="1">
      <alignment horizontal="center" vertical="center" wrapText="1"/>
    </xf>
    <xf numFmtId="0" fontId="89" fillId="11" borderId="125" xfId="4" applyFont="1" applyFill="1" applyBorder="1" applyAlignment="1">
      <alignment horizontal="center" vertical="center" wrapText="1"/>
    </xf>
    <xf numFmtId="179" fontId="89" fillId="10" borderId="103" xfId="1" applyNumberFormat="1" applyFont="1" applyFill="1" applyBorder="1" applyAlignment="1">
      <alignment horizontal="center" vertical="center" wrapText="1"/>
    </xf>
    <xf numFmtId="179" fontId="89" fillId="10" borderId="90" xfId="1" applyNumberFormat="1" applyFont="1" applyFill="1" applyBorder="1" applyAlignment="1">
      <alignment horizontal="center" vertical="center" wrapText="1"/>
    </xf>
    <xf numFmtId="0" fontId="89" fillId="23" borderId="121" xfId="4" applyFont="1" applyFill="1" applyBorder="1" applyAlignment="1">
      <alignment horizontal="center" vertical="center" wrapText="1"/>
    </xf>
    <xf numFmtId="0" fontId="89" fillId="23" borderId="122" xfId="4" applyFont="1" applyFill="1" applyBorder="1" applyAlignment="1">
      <alignment horizontal="center" vertical="center" wrapText="1"/>
    </xf>
    <xf numFmtId="0" fontId="89" fillId="23" borderId="123" xfId="4" applyFont="1" applyFill="1" applyBorder="1" applyAlignment="1">
      <alignment horizontal="center" vertical="center" wrapText="1"/>
    </xf>
    <xf numFmtId="0" fontId="88" fillId="0" borderId="92" xfId="4" applyFont="1" applyBorder="1" applyAlignment="1">
      <alignment horizontal="center" vertical="center" wrapText="1"/>
    </xf>
    <xf numFmtId="0" fontId="88" fillId="0" borderId="103" xfId="4" applyFont="1" applyBorder="1" applyAlignment="1">
      <alignment horizontal="center" vertical="center" wrapText="1"/>
    </xf>
    <xf numFmtId="0" fontId="88" fillId="0" borderId="90" xfId="4" applyFont="1" applyBorder="1" applyAlignment="1">
      <alignment horizontal="center" vertical="center" wrapText="1"/>
    </xf>
    <xf numFmtId="0" fontId="89" fillId="0" borderId="0" xfId="4" applyFont="1" applyAlignment="1">
      <alignment horizontal="left" vertical="center" wrapText="1"/>
    </xf>
    <xf numFmtId="0" fontId="88" fillId="0" borderId="0" xfId="4" applyFont="1" applyAlignment="1">
      <alignment horizontal="left" vertical="center" wrapText="1"/>
    </xf>
    <xf numFmtId="0" fontId="89" fillId="11" borderId="86" xfId="4" applyFont="1" applyFill="1" applyBorder="1" applyAlignment="1">
      <alignment horizontal="center" vertical="center" wrapText="1"/>
    </xf>
    <xf numFmtId="0" fontId="89" fillId="11" borderId="75" xfId="4" applyFont="1" applyFill="1" applyBorder="1" applyAlignment="1">
      <alignment horizontal="center" vertical="center" wrapText="1"/>
    </xf>
    <xf numFmtId="0" fontId="89" fillId="11" borderId="74" xfId="4" applyFont="1" applyFill="1" applyBorder="1" applyAlignment="1">
      <alignment horizontal="center" vertical="center" wrapText="1"/>
    </xf>
    <xf numFmtId="170" fontId="88" fillId="0" borderId="92" xfId="1" applyFont="1" applyFill="1" applyBorder="1" applyAlignment="1">
      <alignment horizontal="center" vertical="center" wrapText="1"/>
    </xf>
    <xf numFmtId="170" fontId="88" fillId="0" borderId="103" xfId="1" applyFont="1" applyFill="1" applyBorder="1" applyAlignment="1">
      <alignment horizontal="center"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11" xfId="0" applyFont="1" applyBorder="1" applyAlignment="1">
      <alignment horizontal="left"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08" fillId="0" borderId="2" xfId="0" applyFont="1" applyBorder="1" applyAlignment="1">
      <alignment horizontal="left" vertical="center"/>
    </xf>
    <xf numFmtId="0" fontId="108" fillId="0" borderId="3" xfId="0" applyFont="1" applyBorder="1" applyAlignment="1">
      <alignment horizontal="left" vertical="center"/>
    </xf>
    <xf numFmtId="0" fontId="108" fillId="0" borderId="4" xfId="0" applyFont="1" applyBorder="1" applyAlignment="1">
      <alignment horizontal="left" vertical="center"/>
    </xf>
    <xf numFmtId="0" fontId="44" fillId="0" borderId="0" xfId="0" applyFont="1" applyAlignment="1">
      <alignment horizontal="center" vertical="center" wrapText="1"/>
    </xf>
    <xf numFmtId="0" fontId="44" fillId="0" borderId="0" xfId="0" applyFont="1" applyAlignment="1">
      <alignment horizontal="center" vertical="center"/>
    </xf>
    <xf numFmtId="0" fontId="106" fillId="0" borderId="0" xfId="0" applyFont="1" applyAlignment="1">
      <alignment horizontal="center" vertical="center"/>
    </xf>
    <xf numFmtId="0" fontId="107" fillId="0" borderId="0" xfId="0" applyFont="1" applyAlignment="1">
      <alignment horizontal="center" vertical="center" wrapText="1"/>
    </xf>
    <xf numFmtId="0" fontId="108" fillId="0" borderId="2" xfId="0" applyFont="1" applyBorder="1" applyAlignment="1">
      <alignment horizontal="left" vertical="center" wrapText="1"/>
    </xf>
    <xf numFmtId="0" fontId="108" fillId="0" borderId="4" xfId="0" applyFont="1" applyBorder="1" applyAlignment="1">
      <alignment horizontal="left" vertical="center" wrapText="1"/>
    </xf>
    <xf numFmtId="0" fontId="108" fillId="0" borderId="2" xfId="0" applyFont="1" applyBorder="1" applyAlignment="1" applyProtection="1">
      <alignment horizontal="left" vertical="center" wrapText="1"/>
      <protection hidden="1"/>
    </xf>
    <xf numFmtId="0" fontId="108" fillId="0" borderId="3" xfId="0" applyFont="1" applyBorder="1" applyAlignment="1" applyProtection="1">
      <alignment horizontal="left" vertical="center" wrapText="1"/>
      <protection hidden="1"/>
    </xf>
    <xf numFmtId="0" fontId="108" fillId="0" borderId="4" xfId="0" applyFont="1" applyBorder="1" applyAlignment="1" applyProtection="1">
      <alignment horizontal="left" vertical="center" wrapText="1"/>
      <protection hidden="1"/>
    </xf>
    <xf numFmtId="0" fontId="106" fillId="0" borderId="0" xfId="0" applyFont="1" applyAlignment="1">
      <alignment horizontal="left" vertical="center"/>
    </xf>
    <xf numFmtId="0" fontId="109" fillId="0" borderId="2" xfId="0" applyFont="1" applyBorder="1" applyAlignment="1">
      <alignment horizontal="center" vertical="center"/>
    </xf>
    <xf numFmtId="0" fontId="109" fillId="0" borderId="3" xfId="0" applyFont="1" applyBorder="1" applyAlignment="1">
      <alignment horizontal="center" vertical="center"/>
    </xf>
    <xf numFmtId="0" fontId="109" fillId="0" borderId="4" xfId="0" applyFont="1" applyBorder="1" applyAlignment="1">
      <alignment horizontal="center" vertical="center"/>
    </xf>
    <xf numFmtId="0" fontId="45" fillId="0" borderId="5" xfId="0" applyFont="1" applyBorder="1" applyAlignment="1">
      <alignment horizontal="center"/>
    </xf>
    <xf numFmtId="0" fontId="109" fillId="0" borderId="9" xfId="0" applyFont="1" applyBorder="1" applyAlignment="1">
      <alignment horizontal="center" vertical="center"/>
    </xf>
    <xf numFmtId="0" fontId="109" fillId="0" borderId="10" xfId="0" applyFont="1" applyBorder="1" applyAlignment="1">
      <alignment horizontal="center" vertical="center"/>
    </xf>
    <xf numFmtId="0" fontId="109" fillId="0" borderId="11" xfId="0" applyFont="1" applyBorder="1" applyAlignment="1">
      <alignment horizontal="center" vertical="center"/>
    </xf>
    <xf numFmtId="0" fontId="45" fillId="0" borderId="5" xfId="0" applyFont="1" applyBorder="1" applyAlignment="1">
      <alignment horizontal="left"/>
    </xf>
    <xf numFmtId="0" fontId="10" fillId="3" borderId="2"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23" fillId="0" borderId="2" xfId="0" applyFont="1" applyBorder="1" applyAlignment="1">
      <alignment horizontal="left" vertical="center"/>
    </xf>
    <xf numFmtId="0" fontId="23" fillId="0" borderId="3" xfId="0" applyFont="1" applyBorder="1" applyAlignment="1">
      <alignment horizontal="left" vertical="center"/>
    </xf>
    <xf numFmtId="0" fontId="23" fillId="0" borderId="4" xfId="0" applyFont="1" applyBorder="1" applyAlignment="1">
      <alignment horizontal="left" vertical="center"/>
    </xf>
    <xf numFmtId="0" fontId="60" fillId="0" borderId="0" xfId="0" applyFont="1" applyAlignment="1">
      <alignment horizontal="left" vertical="center"/>
    </xf>
    <xf numFmtId="0" fontId="42" fillId="0" borderId="2" xfId="0" applyFont="1" applyBorder="1" applyAlignment="1">
      <alignment horizontal="center" vertical="center"/>
    </xf>
    <xf numFmtId="0" fontId="42" fillId="0" borderId="3" xfId="0" applyFont="1" applyBorder="1" applyAlignment="1">
      <alignment horizontal="center" vertical="center"/>
    </xf>
    <xf numFmtId="0" fontId="42" fillId="0" borderId="4" xfId="0" applyFont="1" applyBorder="1" applyAlignment="1">
      <alignment horizontal="center" vertical="center"/>
    </xf>
    <xf numFmtId="0" fontId="42" fillId="0" borderId="9" xfId="0" applyFont="1" applyBorder="1" applyAlignment="1">
      <alignment horizontal="center" vertical="center"/>
    </xf>
    <xf numFmtId="0" fontId="42" fillId="0" borderId="10" xfId="0" applyFont="1" applyBorder="1" applyAlignment="1">
      <alignment horizontal="center" vertical="center"/>
    </xf>
    <xf numFmtId="0" fontId="42" fillId="0" borderId="11" xfId="0" applyFont="1" applyBorder="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60" fillId="0" borderId="0" xfId="0" applyFont="1" applyAlignment="1">
      <alignment horizontal="center" vertical="center"/>
    </xf>
    <xf numFmtId="0" fontId="105" fillId="0" borderId="0" xfId="0" applyFont="1" applyAlignment="1">
      <alignment horizontal="center" vertical="center" wrapText="1"/>
    </xf>
    <xf numFmtId="0" fontId="10" fillId="0" borderId="2" xfId="0" applyFont="1" applyBorder="1" applyAlignment="1" applyProtection="1">
      <alignment horizontal="left" vertical="center" wrapText="1"/>
      <protection hidden="1"/>
    </xf>
    <xf numFmtId="0" fontId="10" fillId="0" borderId="3" xfId="0" applyFont="1" applyBorder="1" applyAlignment="1" applyProtection="1">
      <alignment horizontal="left" vertical="center" wrapText="1"/>
      <protection hidden="1"/>
    </xf>
    <xf numFmtId="0" fontId="10" fillId="0" borderId="4" xfId="0" applyFont="1" applyBorder="1" applyAlignment="1" applyProtection="1">
      <alignment horizontal="left" vertical="center" wrapText="1"/>
      <protection hidden="1"/>
    </xf>
    <xf numFmtId="1" fontId="10" fillId="0" borderId="2" xfId="0" applyNumberFormat="1" applyFont="1" applyBorder="1" applyAlignment="1">
      <alignment horizontal="left"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21" fillId="11" borderId="2" xfId="0" applyFont="1" applyFill="1" applyBorder="1" applyAlignment="1">
      <alignment horizontal="center" vertical="center"/>
    </xf>
    <xf numFmtId="0" fontId="21" fillId="11" borderId="3" xfId="0" applyFont="1" applyFill="1" applyBorder="1" applyAlignment="1">
      <alignment horizontal="center" vertical="center"/>
    </xf>
    <xf numFmtId="0" fontId="21" fillId="11" borderId="4" xfId="0" applyFont="1" applyFill="1" applyBorder="1" applyAlignment="1">
      <alignment horizontal="center" vertical="center"/>
    </xf>
    <xf numFmtId="0" fontId="6" fillId="3" borderId="2" xfId="0" applyFont="1" applyFill="1" applyBorder="1" applyAlignment="1">
      <alignment horizontal="left" vertical="center"/>
    </xf>
    <xf numFmtId="0" fontId="6" fillId="3" borderId="3" xfId="0" applyFont="1" applyFill="1" applyBorder="1" applyAlignment="1">
      <alignment horizontal="left" vertical="center"/>
    </xf>
    <xf numFmtId="0" fontId="6" fillId="3" borderId="4" xfId="0" applyFont="1" applyFill="1" applyBorder="1" applyAlignment="1">
      <alignment horizontal="left" vertical="center"/>
    </xf>
    <xf numFmtId="1" fontId="6" fillId="0" borderId="2" xfId="0" applyNumberFormat="1" applyFont="1" applyBorder="1" applyAlignment="1">
      <alignment horizontal="left" vertical="center"/>
    </xf>
    <xf numFmtId="0" fontId="108" fillId="0" borderId="3" xfId="0" applyFont="1" applyBorder="1" applyAlignment="1">
      <alignment horizontal="lef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6" fillId="0" borderId="0" xfId="0" applyFont="1" applyAlignment="1">
      <alignment horizontal="center" vertical="center"/>
    </xf>
    <xf numFmtId="0" fontId="31" fillId="14" borderId="28" xfId="12" applyBorder="1" applyAlignment="1">
      <alignment horizontal="center" vertical="center"/>
    </xf>
    <xf numFmtId="0" fontId="31" fillId="14" borderId="10" xfId="12" applyBorder="1" applyAlignment="1">
      <alignment horizontal="center" vertical="center"/>
    </xf>
    <xf numFmtId="0" fontId="31" fillId="14" borderId="0" xfId="12" applyBorder="1" applyAlignment="1">
      <alignment horizontal="center" vertical="center"/>
    </xf>
    <xf numFmtId="0" fontId="31" fillId="14" borderId="62" xfId="12" applyBorder="1" applyAlignment="1">
      <alignment horizontal="center" vertical="center"/>
    </xf>
    <xf numFmtId="0" fontId="31" fillId="14" borderId="57" xfId="12" applyBorder="1" applyAlignment="1">
      <alignment horizontal="center" vertical="center"/>
    </xf>
    <xf numFmtId="0" fontId="30" fillId="13" borderId="63" xfId="11" applyBorder="1" applyAlignment="1">
      <alignment horizontal="center" vertical="center"/>
    </xf>
    <xf numFmtId="0" fontId="30" fillId="13" borderId="65" xfId="11" applyBorder="1" applyAlignment="1">
      <alignment horizontal="center" vertical="center"/>
    </xf>
    <xf numFmtId="0" fontId="30" fillId="13" borderId="56" xfId="11" applyBorder="1" applyAlignment="1">
      <alignment horizontal="center" vertical="center"/>
    </xf>
    <xf numFmtId="0" fontId="30" fillId="13" borderId="66" xfId="11" applyBorder="1" applyAlignment="1">
      <alignment horizontal="center" vertical="center"/>
    </xf>
    <xf numFmtId="0" fontId="30" fillId="13" borderId="64" xfId="11" applyBorder="1" applyAlignment="1">
      <alignment horizontal="center" vertical="center"/>
    </xf>
    <xf numFmtId="0" fontId="30" fillId="13" borderId="67" xfId="11" applyBorder="1" applyAlignment="1">
      <alignment horizontal="center" vertical="center"/>
    </xf>
    <xf numFmtId="0" fontId="31" fillId="14" borderId="0" xfId="12" applyAlignment="1">
      <alignment horizontal="center" vertical="center"/>
    </xf>
    <xf numFmtId="0" fontId="7" fillId="2" borderId="2" xfId="2" applyBorder="1" applyAlignment="1">
      <alignment horizontal="left" vertical="center"/>
    </xf>
    <xf numFmtId="0" fontId="7" fillId="2" borderId="3" xfId="2" applyBorder="1" applyAlignment="1">
      <alignment horizontal="left" vertical="center"/>
    </xf>
    <xf numFmtId="0" fontId="7" fillId="2" borderId="4" xfId="2" applyBorder="1" applyAlignment="1">
      <alignment horizontal="left" vertical="center"/>
    </xf>
    <xf numFmtId="0" fontId="6" fillId="3" borderId="2" xfId="0" applyFont="1" applyFill="1" applyBorder="1" applyAlignment="1">
      <alignment vertical="center"/>
    </xf>
    <xf numFmtId="0" fontId="6" fillId="3" borderId="3" xfId="0" applyFont="1" applyFill="1" applyBorder="1" applyAlignment="1">
      <alignment vertical="center"/>
    </xf>
    <xf numFmtId="0" fontId="6" fillId="3" borderId="4" xfId="0" applyFont="1" applyFill="1" applyBorder="1" applyAlignment="1">
      <alignment vertical="center"/>
    </xf>
    <xf numFmtId="0" fontId="10" fillId="0" borderId="2" xfId="0" applyFont="1" applyBorder="1" applyAlignment="1">
      <alignment vertical="center"/>
    </xf>
    <xf numFmtId="0" fontId="10" fillId="0" borderId="3" xfId="0" applyFont="1" applyBorder="1" applyAlignment="1">
      <alignment vertical="center"/>
    </xf>
    <xf numFmtId="0" fontId="10" fillId="0" borderId="4" xfId="0" applyFont="1" applyBorder="1" applyAlignment="1">
      <alignment vertical="center"/>
    </xf>
    <xf numFmtId="0" fontId="10" fillId="3" borderId="2" xfId="0" applyFont="1" applyFill="1" applyBorder="1" applyAlignment="1">
      <alignment vertical="center" wrapText="1"/>
    </xf>
    <xf numFmtId="0" fontId="10" fillId="3" borderId="3" xfId="0" applyFont="1" applyFill="1" applyBorder="1" applyAlignment="1">
      <alignment vertical="center" wrapText="1"/>
    </xf>
    <xf numFmtId="0" fontId="10" fillId="3" borderId="4" xfId="0" applyFont="1" applyFill="1" applyBorder="1" applyAlignment="1">
      <alignment vertical="center" wrapText="1"/>
    </xf>
    <xf numFmtId="0" fontId="10" fillId="3" borderId="2" xfId="0" applyFont="1" applyFill="1" applyBorder="1" applyAlignment="1">
      <alignment vertical="center"/>
    </xf>
    <xf numFmtId="0" fontId="10" fillId="3" borderId="3" xfId="0" applyFont="1" applyFill="1" applyBorder="1" applyAlignment="1">
      <alignment vertical="center"/>
    </xf>
    <xf numFmtId="0" fontId="10" fillId="3" borderId="4" xfId="0" applyFont="1" applyFill="1" applyBorder="1" applyAlignment="1">
      <alignment vertical="center"/>
    </xf>
    <xf numFmtId="0" fontId="10" fillId="3" borderId="5" xfId="0" applyFont="1" applyFill="1" applyBorder="1" applyAlignment="1">
      <alignment vertical="center"/>
    </xf>
    <xf numFmtId="1" fontId="10" fillId="3" borderId="2" xfId="0" applyNumberFormat="1" applyFont="1" applyFill="1" applyBorder="1" applyAlignment="1">
      <alignment vertical="center"/>
    </xf>
    <xf numFmtId="1" fontId="10" fillId="3" borderId="2" xfId="0" applyNumberFormat="1" applyFont="1" applyFill="1" applyBorder="1" applyAlignment="1">
      <alignment horizontal="left" vertical="center"/>
    </xf>
    <xf numFmtId="1" fontId="10" fillId="3" borderId="3" xfId="0" applyNumberFormat="1" applyFont="1" applyFill="1" applyBorder="1" applyAlignment="1">
      <alignment horizontal="left" vertical="center"/>
    </xf>
    <xf numFmtId="1" fontId="10" fillId="3" borderId="4" xfId="0" applyNumberFormat="1" applyFont="1" applyFill="1" applyBorder="1" applyAlignment="1">
      <alignment horizontal="left" vertical="center"/>
    </xf>
    <xf numFmtId="0" fontId="6"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1" fontId="6" fillId="3" borderId="2" xfId="0" applyNumberFormat="1" applyFont="1" applyFill="1" applyBorder="1" applyAlignment="1">
      <alignment horizontal="left" vertical="center"/>
    </xf>
    <xf numFmtId="0" fontId="10" fillId="3" borderId="2" xfId="0" applyFont="1" applyFill="1" applyBorder="1" applyAlignment="1">
      <alignment horizontal="left" vertical="center"/>
    </xf>
    <xf numFmtId="0" fontId="10" fillId="3" borderId="3" xfId="0" applyFont="1" applyFill="1" applyBorder="1" applyAlignment="1">
      <alignment horizontal="left" vertical="center"/>
    </xf>
    <xf numFmtId="0" fontId="10" fillId="3" borderId="4" xfId="0" applyFont="1" applyFill="1" applyBorder="1" applyAlignment="1">
      <alignment horizontal="lef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6" fillId="0" borderId="0" xfId="0" applyFont="1" applyAlignment="1">
      <alignment horizontal="left" vertical="center"/>
    </xf>
    <xf numFmtId="0" fontId="6" fillId="0" borderId="22" xfId="0" applyFont="1" applyBorder="1" applyAlignment="1">
      <alignment horizontal="left" vertical="center"/>
    </xf>
    <xf numFmtId="0" fontId="6" fillId="0" borderId="6" xfId="0" applyFont="1" applyBorder="1" applyAlignment="1">
      <alignment horizontal="left" vertical="center"/>
    </xf>
    <xf numFmtId="0" fontId="6" fillId="0" borderId="21" xfId="0" applyFont="1" applyBorder="1" applyAlignment="1">
      <alignment horizontal="left" vertical="center"/>
    </xf>
    <xf numFmtId="0" fontId="111" fillId="18" borderId="0" xfId="0" applyFont="1" applyFill="1" applyAlignment="1">
      <alignment horizontal="center" vertical="center"/>
    </xf>
    <xf numFmtId="0" fontId="10" fillId="0" borderId="9" xfId="0" applyFont="1" applyBorder="1" applyAlignment="1">
      <alignment vertical="center"/>
    </xf>
    <xf numFmtId="0" fontId="10" fillId="0" borderId="10" xfId="0" applyFont="1" applyBorder="1" applyAlignment="1">
      <alignment vertical="center"/>
    </xf>
    <xf numFmtId="1" fontId="10" fillId="0" borderId="2" xfId="0" applyNumberFormat="1" applyFont="1" applyBorder="1" applyAlignment="1">
      <alignment vertical="center"/>
    </xf>
    <xf numFmtId="1" fontId="10" fillId="0" borderId="3" xfId="0" applyNumberFormat="1" applyFont="1" applyBorder="1" applyAlignment="1">
      <alignment horizontal="left" vertical="center"/>
    </xf>
    <xf numFmtId="1" fontId="10" fillId="0" borderId="4" xfId="0" applyNumberFormat="1" applyFont="1" applyBorder="1" applyAlignment="1">
      <alignment horizontal="left" vertical="center"/>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42" fillId="0" borderId="32" xfId="5" applyFont="1" applyBorder="1" applyAlignment="1">
      <alignment horizontal="center"/>
    </xf>
    <xf numFmtId="0" fontId="42" fillId="0" borderId="0" xfId="5" applyFont="1" applyAlignment="1">
      <alignment horizontal="center"/>
    </xf>
    <xf numFmtId="0" fontId="42" fillId="0" borderId="33" xfId="5" applyFont="1" applyBorder="1" applyAlignment="1">
      <alignment horizontal="center"/>
    </xf>
    <xf numFmtId="0" fontId="10" fillId="0" borderId="34" xfId="5" applyFont="1" applyBorder="1" applyAlignment="1">
      <alignment horizontal="center"/>
    </xf>
    <xf numFmtId="0" fontId="10" fillId="0" borderId="35" xfId="5" applyFont="1" applyBorder="1" applyAlignment="1">
      <alignment horizontal="center"/>
    </xf>
    <xf numFmtId="0" fontId="10" fillId="0" borderId="36" xfId="5" applyFont="1" applyBorder="1" applyAlignment="1">
      <alignment horizontal="center"/>
    </xf>
    <xf numFmtId="0" fontId="10" fillId="0" borderId="25" xfId="5" applyFont="1" applyBorder="1" applyAlignment="1">
      <alignment horizontal="left"/>
    </xf>
    <xf numFmtId="0" fontId="10" fillId="0" borderId="3" xfId="5" applyFont="1" applyBorder="1" applyAlignment="1">
      <alignment horizontal="left"/>
    </xf>
    <xf numFmtId="0" fontId="10" fillId="0" borderId="4" xfId="5" applyFont="1" applyBorder="1" applyAlignment="1">
      <alignment horizontal="left"/>
    </xf>
    <xf numFmtId="0" fontId="10" fillId="0" borderId="25" xfId="5" applyFont="1" applyBorder="1" applyAlignment="1">
      <alignment horizontal="center"/>
    </xf>
    <xf numFmtId="0" fontId="10" fillId="0" borderId="4" xfId="5" applyFont="1" applyBorder="1" applyAlignment="1">
      <alignment horizontal="center"/>
    </xf>
    <xf numFmtId="0" fontId="42" fillId="0" borderId="0" xfId="5" quotePrefix="1" applyFont="1" applyAlignment="1">
      <alignment horizontal="left" wrapText="1"/>
    </xf>
    <xf numFmtId="0" fontId="10" fillId="0" borderId="37" xfId="5" applyFont="1" applyBorder="1" applyAlignment="1">
      <alignment horizontal="center"/>
    </xf>
    <xf numFmtId="0" fontId="10" fillId="0" borderId="38" xfId="5" applyFont="1" applyBorder="1" applyAlignment="1">
      <alignment horizontal="center"/>
    </xf>
    <xf numFmtId="0" fontId="10" fillId="0" borderId="39" xfId="5" applyFont="1" applyBorder="1" applyAlignment="1">
      <alignment horizontal="center"/>
    </xf>
    <xf numFmtId="0" fontId="10" fillId="0" borderId="42" xfId="5" applyFont="1" applyBorder="1" applyAlignment="1">
      <alignment horizontal="left"/>
    </xf>
    <xf numFmtId="0" fontId="10" fillId="0" borderId="43" xfId="5" applyFont="1" applyBorder="1" applyAlignment="1">
      <alignment horizontal="left"/>
    </xf>
    <xf numFmtId="0" fontId="10" fillId="0" borderId="44" xfId="5" applyFont="1" applyBorder="1" applyAlignment="1">
      <alignment horizontal="left"/>
    </xf>
    <xf numFmtId="0" fontId="42" fillId="0" borderId="37" xfId="5" applyFont="1" applyBorder="1" applyAlignment="1">
      <alignment horizontal="center"/>
    </xf>
    <xf numFmtId="0" fontId="42" fillId="0" borderId="38" xfId="5" applyFont="1" applyBorder="1" applyAlignment="1">
      <alignment horizontal="center"/>
    </xf>
    <xf numFmtId="0" fontId="42" fillId="0" borderId="39" xfId="5" applyFont="1" applyBorder="1" applyAlignment="1">
      <alignment horizontal="center"/>
    </xf>
    <xf numFmtId="0" fontId="10" fillId="0" borderId="25" xfId="5" applyFont="1" applyBorder="1" applyAlignment="1">
      <alignment horizontal="left" wrapText="1"/>
    </xf>
    <xf numFmtId="0" fontId="10" fillId="0" borderId="3" xfId="5" applyFont="1" applyBorder="1" applyAlignment="1">
      <alignment horizontal="left" wrapText="1"/>
    </xf>
    <xf numFmtId="0" fontId="10" fillId="0" borderId="4" xfId="5" applyFont="1" applyBorder="1" applyAlignment="1">
      <alignment horizontal="left" wrapText="1"/>
    </xf>
    <xf numFmtId="0" fontId="10" fillId="0" borderId="2" xfId="5" applyFont="1" applyBorder="1" applyAlignment="1">
      <alignment horizontal="center"/>
    </xf>
    <xf numFmtId="0" fontId="10" fillId="0" borderId="2" xfId="5" applyFont="1" applyBorder="1" applyAlignment="1">
      <alignment horizontal="left"/>
    </xf>
  </cellXfs>
  <cellStyles count="41">
    <cellStyle name="Bueno" xfId="11" builtinId="26"/>
    <cellStyle name="Bueno 2" xfId="16" xr:uid="{00000000-0005-0000-0000-000001000000}"/>
    <cellStyle name="Entrada" xfId="24" builtinId="20"/>
    <cellStyle name="Hipervínculo" xfId="9" builtinId="8"/>
    <cellStyle name="Incorrecto" xfId="2" builtinId="27"/>
    <cellStyle name="Millares" xfId="13" builtinId="3"/>
    <cellStyle name="Millares [0]" xfId="22" builtinId="6"/>
    <cellStyle name="Millares [0] 2" xfId="31" xr:uid="{00000000-0005-0000-0000-000007000000}"/>
    <cellStyle name="Millares [0] 2 2" xfId="39" xr:uid="{00000000-0005-0000-0000-000008000000}"/>
    <cellStyle name="Millares 151" xfId="15" xr:uid="{00000000-0005-0000-0000-000009000000}"/>
    <cellStyle name="Millares 151 2" xfId="28" xr:uid="{00000000-0005-0000-0000-00000A000000}"/>
    <cellStyle name="Millares 151 2 2" xfId="36" xr:uid="{00000000-0005-0000-0000-00000B000000}"/>
    <cellStyle name="Millares 2" xfId="20" xr:uid="{00000000-0005-0000-0000-00000C000000}"/>
    <cellStyle name="Millares 2 2" xfId="30" xr:uid="{00000000-0005-0000-0000-00000D000000}"/>
    <cellStyle name="Millares 2 2 2" xfId="38" xr:uid="{00000000-0005-0000-0000-00000E000000}"/>
    <cellStyle name="Millares 3" xfId="27" xr:uid="{00000000-0005-0000-0000-00000F000000}"/>
    <cellStyle name="Millares 3 2" xfId="35" xr:uid="{00000000-0005-0000-0000-000010000000}"/>
    <cellStyle name="Millares 4" xfId="29" xr:uid="{00000000-0005-0000-0000-000011000000}"/>
    <cellStyle name="Millares 4 2" xfId="37" xr:uid="{00000000-0005-0000-0000-000012000000}"/>
    <cellStyle name="Millares 5" xfId="26" xr:uid="{00000000-0005-0000-0000-000013000000}"/>
    <cellStyle name="Millares 5 2" xfId="34" xr:uid="{00000000-0005-0000-0000-000014000000}"/>
    <cellStyle name="Millares 6" xfId="33" xr:uid="{00000000-0005-0000-0000-000015000000}"/>
    <cellStyle name="Moneda" xfId="1" builtinId="4"/>
    <cellStyle name="Moneda [0]" xfId="23" builtinId="7"/>
    <cellStyle name="Moneda [0] 2" xfId="32" xr:uid="{00000000-0005-0000-0000-000018000000}"/>
    <cellStyle name="Moneda [0] 2 2" xfId="40" xr:uid="{00000000-0005-0000-0000-000019000000}"/>
    <cellStyle name="Moneda 109" xfId="18" xr:uid="{00000000-0005-0000-0000-00001A000000}"/>
    <cellStyle name="Moneda 2" xfId="6" xr:uid="{00000000-0005-0000-0000-00001B000000}"/>
    <cellStyle name="Moneda 2 2" xfId="10" xr:uid="{00000000-0005-0000-0000-00001C000000}"/>
    <cellStyle name="Moneda 2 3" xfId="25" xr:uid="{00000000-0005-0000-0000-00001D000000}"/>
    <cellStyle name="Moneda 4" xfId="8" xr:uid="{00000000-0005-0000-0000-00001E000000}"/>
    <cellStyle name="Moneda_Propuesta SCV-045-99" xfId="21" xr:uid="{00000000-0005-0000-0000-00001F000000}"/>
    <cellStyle name="Neutral" xfId="12" builtinId="28"/>
    <cellStyle name="Normal" xfId="0" builtinId="0"/>
    <cellStyle name="Normal 10" xfId="14" xr:uid="{00000000-0005-0000-0000-000022000000}"/>
    <cellStyle name="Normal 2 2" xfId="5" xr:uid="{00000000-0005-0000-0000-000023000000}"/>
    <cellStyle name="Normal 37" xfId="17" xr:uid="{00000000-0005-0000-0000-000024000000}"/>
    <cellStyle name="Normal_2007 SUMINISTRO E INSTALACION" xfId="4" xr:uid="{00000000-0005-0000-0000-000025000000}"/>
    <cellStyle name="Normal_ANEXO 8" xfId="7" xr:uid="{00000000-0005-0000-0000-000026000000}"/>
    <cellStyle name="Porcentaje" xfId="3" builtinId="5"/>
    <cellStyle name="Porcentaje 2" xfId="19" xr:uid="{00000000-0005-0000-0000-000028000000}"/>
  </cellStyles>
  <dxfs count="42">
    <dxf>
      <fill>
        <patternFill>
          <bgColor theme="5" tint="0.39994506668294322"/>
        </patternFill>
      </fill>
    </dxf>
    <dxf>
      <fill>
        <patternFill>
          <bgColor theme="5" tint="0.39994506668294322"/>
        </patternFill>
      </fill>
    </dxf>
    <dxf>
      <fill>
        <patternFill>
          <bgColor theme="5" tint="-0.24994659260841701"/>
        </patternFill>
      </fill>
    </dxf>
    <dxf>
      <fill>
        <patternFill>
          <bgColor theme="4" tint="0.59996337778862885"/>
        </patternFill>
      </fill>
    </dxf>
    <dxf>
      <font>
        <color auto="1"/>
      </font>
      <fill>
        <patternFill>
          <bgColor rgb="FFFF6699"/>
        </patternFill>
      </fill>
    </dxf>
    <dxf>
      <fill>
        <patternFill>
          <bgColor theme="8" tint="0.59996337778862885"/>
        </patternFill>
      </fill>
    </dxf>
    <dxf>
      <fill>
        <patternFill>
          <bgColor theme="9" tint="0.59996337778862885"/>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ill>
        <patternFill>
          <bgColor theme="5" tint="0.39994506668294322"/>
        </patternFill>
      </fill>
    </dxf>
    <dxf>
      <font>
        <b/>
        <i val="0"/>
        <color theme="0"/>
      </font>
      <fill>
        <patternFill>
          <bgColor rgb="FFC00000"/>
        </patternFill>
      </fill>
    </dxf>
    <dxf>
      <fill>
        <patternFill>
          <bgColor theme="5" tint="-0.24994659260841701"/>
        </patternFill>
      </fill>
    </dxf>
    <dxf>
      <fill>
        <patternFill>
          <bgColor theme="5" tint="-0.24994659260841701"/>
        </patternFill>
      </fill>
    </dxf>
    <dxf>
      <fill>
        <patternFill>
          <bgColor theme="5" tint="-0.2499465926084170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24994659260841701"/>
        </patternFill>
      </fill>
    </dxf>
    <dxf>
      <fill>
        <patternFill>
          <bgColor theme="4" tint="0.59996337778862885"/>
        </patternFill>
      </fill>
    </dxf>
    <dxf>
      <fill>
        <patternFill>
          <bgColor theme="5" tint="0.39994506668294322"/>
        </patternFill>
      </fill>
    </dxf>
  </dxfs>
  <tableStyles count="0" defaultTableStyle="TableStyleMedium2" defaultPivotStyle="PivotStyleLight16"/>
  <colors>
    <mruColors>
      <color rgb="FF00FF00"/>
      <color rgb="FFEAEAEA"/>
      <color rgb="FFFF9999"/>
      <color rgb="FFFF99FF"/>
      <color rgb="FFFF33CC"/>
      <color rgb="FFFF6699"/>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externalLink" Target="externalLinks/externalLink4.xml"/><Relationship Id="rId191" Type="http://schemas.openxmlformats.org/officeDocument/2006/relationships/sharedStrings" Target="sharedStrings.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externalLink" Target="externalLinks/externalLink1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externalLink" Target="externalLinks/externalLink5.xml"/><Relationship Id="rId192" Type="http://schemas.openxmlformats.org/officeDocument/2006/relationships/calcChain" Target="calcChain.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externalLink" Target="externalLinks/externalLink16.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externalLink" Target="externalLinks/externalLink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externalLink" Target="externalLinks/externalLink1.xml"/><Relationship Id="rId188" Type="http://schemas.openxmlformats.org/officeDocument/2006/relationships/externalLink" Target="externalLinks/externalLink22.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externalLink" Target="externalLinks/externalLink1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externalLink" Target="externalLinks/externalLink12.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externalLink" Target="externalLinks/externalLink7.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externalLink" Target="externalLinks/externalLink18.xml"/><Relationship Id="rId189"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externalLink" Target="externalLinks/externalLink8.xml"/><Relationship Id="rId179" Type="http://schemas.openxmlformats.org/officeDocument/2006/relationships/externalLink" Target="externalLinks/externalLink13.xml"/><Relationship Id="rId190"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externalLink" Target="externalLinks/externalLink3.xml"/><Relationship Id="rId185" Type="http://schemas.openxmlformats.org/officeDocument/2006/relationships/externalLink" Target="externalLinks/externalLink19.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4.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externalLink" Target="externalLinks/externalLink9.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externalLink" Target="externalLinks/externalLink2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externalLink" Target="externalLinks/externalLink10.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externalLink" Target="externalLinks/externalLink21.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externalLink" Target="externalLinks/externalLink1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7.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19.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20.xml.rels><?xml version="1.0" encoding="UTF-8" standalone="yes"?>
<Relationships xmlns="http://schemas.openxmlformats.org/package/2006/relationships"><Relationship Id="rId2" Type="http://schemas.openxmlformats.org/officeDocument/2006/relationships/hyperlink" Target="#'ANEXO PLIEGO_2'!A1"/><Relationship Id="rId1" Type="http://schemas.openxmlformats.org/officeDocument/2006/relationships/image" Target="../media/image5.png"/></Relationships>
</file>

<file path=xl/drawings/_rels/drawing2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2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3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4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58.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3.jpeg"/><Relationship Id="rId1" Type="http://schemas.openxmlformats.org/officeDocument/2006/relationships/image" Target="../media/image5.png"/></Relationships>
</file>

<file path=xl/drawings/_rels/drawing5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6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7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8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2.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3.png"/><Relationship Id="rId1" Type="http://schemas.openxmlformats.org/officeDocument/2006/relationships/image" Target="../media/image5.png"/></Relationships>
</file>

<file path=xl/drawings/_rels/drawing9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9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0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1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2.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4.jpeg"/><Relationship Id="rId1" Type="http://schemas.openxmlformats.org/officeDocument/2006/relationships/image" Target="../media/image5.png"/></Relationships>
</file>

<file path=xl/drawings/_rels/drawing123.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5.jpeg"/><Relationship Id="rId1" Type="http://schemas.openxmlformats.org/officeDocument/2006/relationships/image" Target="../media/image5.png"/></Relationships>
</file>

<file path=xl/drawings/_rels/drawing12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5.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6.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2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5.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36.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37.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8.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39.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40.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41.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42.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4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44.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45.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46.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47.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48.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49.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50.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51.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52.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6.png"/><Relationship Id="rId1" Type="http://schemas.openxmlformats.org/officeDocument/2006/relationships/image" Target="../media/image5.png"/></Relationships>
</file>

<file path=xl/drawings/_rels/drawing153.xml.rels><?xml version="1.0" encoding="UTF-8" standalone="yes"?>
<Relationships xmlns="http://schemas.openxmlformats.org/package/2006/relationships"><Relationship Id="rId2" Type="http://schemas.openxmlformats.org/officeDocument/2006/relationships/hyperlink" Target="#'ANEXO PLIEGO_1'!A1"/><Relationship Id="rId1" Type="http://schemas.openxmlformats.org/officeDocument/2006/relationships/image" Target="../media/image5.png"/></Relationships>
</file>

<file path=xl/drawings/_rels/drawing154.xml.rels><?xml version="1.0" encoding="UTF-8" standalone="yes"?>
<Relationships xmlns="http://schemas.openxmlformats.org/package/2006/relationships"><Relationship Id="rId3" Type="http://schemas.openxmlformats.org/officeDocument/2006/relationships/hyperlink" Target="#'ANEXO PLIEGO_1'!A1"/><Relationship Id="rId2" Type="http://schemas.openxmlformats.org/officeDocument/2006/relationships/image" Target="../media/image17.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18</xdr:row>
      <xdr:rowOff>167639</xdr:rowOff>
    </xdr:from>
    <xdr:to>
      <xdr:col>15</xdr:col>
      <xdr:colOff>15240</xdr:colOff>
      <xdr:row>40</xdr:row>
      <xdr:rowOff>101838</xdr:rowOff>
    </xdr:to>
    <xdr:pic>
      <xdr:nvPicPr>
        <xdr:cNvPr id="2" name="Imagen 1" descr="https://lh7-us.googleusercontent.com/docsz/AD_4nXf7e7gY8POk4Ov4NF9qIiTH1jooyi7F_s-MJfLzv9BmUy7TvNQSi6h_1Ps0yRXJUrQqpLJv7Kjn3HKaWhYwi4_40RlnIwd3NN-4IA7nsUb8t-qzQx15sPijQdl_RFewKk2fQdRoRPYoskF_g7Ji60Pfi4JHe8yPm7wT71X0Mw?key=SLV_GrlGxf4rk4j623GJyA">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97579"/>
          <a:ext cx="12641580" cy="2677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1666875</xdr:colOff>
      <xdr:row>4</xdr:row>
      <xdr:rowOff>123825</xdr:rowOff>
    </xdr:from>
    <xdr:to>
      <xdr:col>9</xdr:col>
      <xdr:colOff>1542108</xdr:colOff>
      <xdr:row>20</xdr:row>
      <xdr:rowOff>151996</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6983075" y="1123950"/>
          <a:ext cx="7533333" cy="32285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619124</xdr:colOff>
      <xdr:row>18</xdr:row>
      <xdr:rowOff>104775</xdr:rowOff>
    </xdr:from>
    <xdr:to>
      <xdr:col>10</xdr:col>
      <xdr:colOff>175569</xdr:colOff>
      <xdr:row>29</xdr:row>
      <xdr:rowOff>85725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619124" y="4371975"/>
          <a:ext cx="10033945" cy="20764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1085850</xdr:colOff>
      <xdr:row>1</xdr:row>
      <xdr:rowOff>38100</xdr:rowOff>
    </xdr:from>
    <xdr:to>
      <xdr:col>1</xdr:col>
      <xdr:colOff>3043561</xdr:colOff>
      <xdr:row>2</xdr:row>
      <xdr:rowOff>0</xdr:rowOff>
    </xdr:to>
    <xdr:pic>
      <xdr:nvPicPr>
        <xdr:cNvPr id="2" name="Imagen 1" descr="Resultado de imagen de logo bogota 2020">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847850" y="238125"/>
          <a:ext cx="1957711" cy="6477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549519</xdr:colOff>
      <xdr:row>0</xdr:row>
      <xdr:rowOff>36634</xdr:rowOff>
    </xdr:from>
    <xdr:to>
      <xdr:col>9</xdr:col>
      <xdr:colOff>768127</xdr:colOff>
      <xdr:row>3</xdr:row>
      <xdr:rowOff>6803</xdr:rowOff>
    </xdr:to>
    <xdr:pic>
      <xdr:nvPicPr>
        <xdr:cNvPr id="3" name="2 Imagen" descr="E:\SDM\Temporal\ESTRUCTURACIÓN\2016\Interventoria\LOGO BOGOTA-Model.jpg">
          <a:extLst>
            <a:ext uri="{FF2B5EF4-FFF2-40B4-BE49-F238E27FC236}">
              <a16:creationId xmlns:a16="http://schemas.microsoft.com/office/drawing/2014/main" id="{00000000-0008-0000-0B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5740644" y="36634"/>
          <a:ext cx="1075858" cy="71311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190</xdr:row>
      <xdr:rowOff>85725</xdr:rowOff>
    </xdr:from>
    <xdr:to>
      <xdr:col>7</xdr:col>
      <xdr:colOff>673819</xdr:colOff>
      <xdr:row>209</xdr:row>
      <xdr:rowOff>76199</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0" y="11106150"/>
          <a:ext cx="8992506" cy="3067050"/>
        </a:xfrm>
        <a:prstGeom prst="rect">
          <a:avLst/>
        </a:prstGeom>
      </xdr:spPr>
    </xdr:pic>
    <xdr:clientData/>
  </xdr:twoCellAnchor>
  <xdr:twoCellAnchor editAs="oneCell">
    <xdr:from>
      <xdr:col>42</xdr:col>
      <xdr:colOff>0</xdr:colOff>
      <xdr:row>178</xdr:row>
      <xdr:rowOff>19050</xdr:rowOff>
    </xdr:from>
    <xdr:to>
      <xdr:col>49</xdr:col>
      <xdr:colOff>365911</xdr:colOff>
      <xdr:row>221</xdr:row>
      <xdr:rowOff>136686</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a:stretch>
          <a:fillRect/>
        </a:stretch>
      </xdr:blipFill>
      <xdr:spPr>
        <a:xfrm>
          <a:off x="35442525" y="2286000"/>
          <a:ext cx="6051776" cy="7145354"/>
        </a:xfrm>
        <a:prstGeom prst="rect">
          <a:avLst/>
        </a:prstGeom>
      </xdr:spPr>
    </xdr:pic>
    <xdr:clientData/>
  </xdr:twoCellAnchor>
  <xdr:twoCellAnchor editAs="oneCell">
    <xdr:from>
      <xdr:col>1</xdr:col>
      <xdr:colOff>0</xdr:colOff>
      <xdr:row>180</xdr:row>
      <xdr:rowOff>1</xdr:rowOff>
    </xdr:from>
    <xdr:to>
      <xdr:col>4</xdr:col>
      <xdr:colOff>807384</xdr:colOff>
      <xdr:row>190</xdr:row>
      <xdr:rowOff>44316</xdr:rowOff>
    </xdr:to>
    <xdr:pic>
      <xdr:nvPicPr>
        <xdr:cNvPr id="5" name="Imagen 4">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3"/>
        <a:stretch>
          <a:fillRect/>
        </a:stretch>
      </xdr:blipFill>
      <xdr:spPr>
        <a:xfrm>
          <a:off x="762000" y="7743826"/>
          <a:ext cx="5438775" cy="1732836"/>
        </a:xfrm>
        <a:prstGeom prst="rect">
          <a:avLst/>
        </a:prstGeom>
      </xdr:spPr>
    </xdr:pic>
    <xdr:clientData/>
  </xdr:twoCellAnchor>
  <xdr:twoCellAnchor editAs="oneCell">
    <xdr:from>
      <xdr:col>1</xdr:col>
      <xdr:colOff>171450</xdr:colOff>
      <xdr:row>212</xdr:row>
      <xdr:rowOff>19050</xdr:rowOff>
    </xdr:from>
    <xdr:to>
      <xdr:col>5</xdr:col>
      <xdr:colOff>839641</xdr:colOff>
      <xdr:row>221</xdr:row>
      <xdr:rowOff>152202</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4"/>
        <a:stretch>
          <a:fillRect/>
        </a:stretch>
      </xdr:blipFill>
      <xdr:spPr>
        <a:xfrm>
          <a:off x="933450" y="77857350"/>
          <a:ext cx="6400000" cy="1590476"/>
        </a:xfrm>
        <a:prstGeom prst="rect">
          <a:avLst/>
        </a:prstGeom>
      </xdr:spPr>
    </xdr:pic>
    <xdr:clientData/>
  </xdr:twoCellAnchor>
  <xdr:twoCellAnchor editAs="oneCell">
    <xdr:from>
      <xdr:col>42</xdr:col>
      <xdr:colOff>0</xdr:colOff>
      <xdr:row>212</xdr:row>
      <xdr:rowOff>0</xdr:rowOff>
    </xdr:from>
    <xdr:to>
      <xdr:col>49</xdr:col>
      <xdr:colOff>29137</xdr:colOff>
      <xdr:row>232</xdr:row>
      <xdr:rowOff>94834</xdr:rowOff>
    </xdr:to>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5"/>
        <a:stretch>
          <a:fillRect/>
        </a:stretch>
      </xdr:blipFill>
      <xdr:spPr>
        <a:xfrm>
          <a:off x="8572500" y="77857350"/>
          <a:ext cx="5742857" cy="3333333"/>
        </a:xfrm>
        <a:prstGeom prst="rect">
          <a:avLst/>
        </a:prstGeom>
      </xdr:spPr>
    </xdr:pic>
    <xdr:clientData/>
  </xdr:twoCellAnchor>
  <xdr:twoCellAnchor editAs="oneCell">
    <xdr:from>
      <xdr:col>9</xdr:col>
      <xdr:colOff>0</xdr:colOff>
      <xdr:row>175</xdr:row>
      <xdr:rowOff>0</xdr:rowOff>
    </xdr:from>
    <xdr:to>
      <xdr:col>16</xdr:col>
      <xdr:colOff>340764</xdr:colOff>
      <xdr:row>208</xdr:row>
      <xdr:rowOff>98859</xdr:rowOff>
    </xdr:to>
    <xdr:pic>
      <xdr:nvPicPr>
        <xdr:cNvPr id="7" name="Imagen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6"/>
        <a:stretch>
          <a:fillRect/>
        </a:stretch>
      </xdr:blipFill>
      <xdr:spPr>
        <a:xfrm>
          <a:off x="15170727" y="50042618"/>
          <a:ext cx="7323455" cy="565453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1200-000003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1300-000003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400-000004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500-000004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600-000004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700-000004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800-000004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900-000004000000}"/>
            </a:ext>
          </a:extLst>
        </xdr:cNvPr>
        <xdr:cNvSpPr/>
      </xdr:nvSpPr>
      <xdr:spPr>
        <a:xfrm rot="10800000">
          <a:off x="820102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A00-000004000000}"/>
            </a:ext>
          </a:extLst>
        </xdr:cNvPr>
        <xdr:cNvSpPr/>
      </xdr:nvSpPr>
      <xdr:spPr>
        <a:xfrm rot="10800000">
          <a:off x="783907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B00-000004000000}"/>
            </a:ext>
          </a:extLst>
        </xdr:cNvPr>
        <xdr:cNvSpPr/>
      </xdr:nvSpPr>
      <xdr:spPr>
        <a:xfrm rot="10800000">
          <a:off x="783907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C00-000004000000}"/>
            </a:ext>
          </a:extLst>
        </xdr:cNvPr>
        <xdr:cNvSpPr/>
      </xdr:nvSpPr>
      <xdr:spPr>
        <a:xfrm rot="10800000">
          <a:off x="783907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D00-000004000000}"/>
            </a:ext>
          </a:extLst>
        </xdr:cNvPr>
        <xdr:cNvSpPr/>
      </xdr:nvSpPr>
      <xdr:spPr>
        <a:xfrm rot="10800000">
          <a:off x="783907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E00-000004000000}"/>
            </a:ext>
          </a:extLst>
        </xdr:cNvPr>
        <xdr:cNvSpPr/>
      </xdr:nvSpPr>
      <xdr:spPr>
        <a:xfrm rot="10800000">
          <a:off x="783907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228599</xdr:colOff>
      <xdr:row>0</xdr:row>
      <xdr:rowOff>85725</xdr:rowOff>
    </xdr:from>
    <xdr:to>
      <xdr:col>11</xdr:col>
      <xdr:colOff>600074</xdr:colOff>
      <xdr:row>0</xdr:row>
      <xdr:rowOff>314325</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1F00-000004000000}"/>
            </a:ext>
          </a:extLst>
        </xdr:cNvPr>
        <xdr:cNvSpPr/>
      </xdr:nvSpPr>
      <xdr:spPr>
        <a:xfrm rot="10800000">
          <a:off x="7839074" y="85725"/>
          <a:ext cx="371475" cy="228600"/>
        </a:xfrm>
        <a:prstGeom prst="rightArrow">
          <a:avLst/>
        </a:prstGeom>
        <a:solidFill>
          <a:srgbClr val="FF0000"/>
        </a:solidFill>
        <a:ln>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104775</xdr:colOff>
      <xdr:row>3</xdr:row>
      <xdr:rowOff>136503</xdr:rowOff>
    </xdr:to>
    <xdr:pic>
      <xdr:nvPicPr>
        <xdr:cNvPr id="5" name="1 Imagen">
          <a:extLst>
            <a:ext uri="{FF2B5EF4-FFF2-40B4-BE49-F238E27FC236}">
              <a16:creationId xmlns:a16="http://schemas.microsoft.com/office/drawing/2014/main" id="{00000000-0008-0000-2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13435" cy="651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600075</xdr:colOff>
      <xdr:row>2</xdr:row>
      <xdr:rowOff>104775</xdr:rowOff>
    </xdr:from>
    <xdr:to>
      <xdr:col>11</xdr:col>
      <xdr:colOff>304800</xdr:colOff>
      <xdr:row>3</xdr:row>
      <xdr:rowOff>114300</xdr:rowOff>
    </xdr:to>
    <xdr:sp macro="" textlink="">
      <xdr:nvSpPr>
        <xdr:cNvPr id="3" name="Flecha: a la derecha 3">
          <a:hlinkClick xmlns:r="http://schemas.openxmlformats.org/officeDocument/2006/relationships" r:id="rId2"/>
          <a:extLst>
            <a:ext uri="{FF2B5EF4-FFF2-40B4-BE49-F238E27FC236}">
              <a16:creationId xmlns:a16="http://schemas.microsoft.com/office/drawing/2014/main" id="{F298D031-034A-4407-B614-79AE43782C4D}"/>
            </a:ext>
          </a:extLst>
        </xdr:cNvPr>
        <xdr:cNvSpPr/>
      </xdr:nvSpPr>
      <xdr:spPr>
        <a:xfrm rot="10800000">
          <a:off x="8582025" y="466725"/>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13435" cy="651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2100-000003000000}"/>
            </a:ext>
          </a:extLst>
        </xdr:cNvPr>
        <xdr:cNvSpPr/>
      </xdr:nvSpPr>
      <xdr:spPr>
        <a:xfrm rot="10800000">
          <a:off x="795909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13435" cy="651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2200-000003000000}"/>
            </a:ext>
          </a:extLst>
        </xdr:cNvPr>
        <xdr:cNvSpPr/>
      </xdr:nvSpPr>
      <xdr:spPr>
        <a:xfrm rot="10800000">
          <a:off x="795909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13435" cy="651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2300-000003000000}"/>
            </a:ext>
          </a:extLst>
        </xdr:cNvPr>
        <xdr:cNvSpPr/>
      </xdr:nvSpPr>
      <xdr:spPr>
        <a:xfrm rot="10800000">
          <a:off x="816483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5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6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7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8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9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A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B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E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F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C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2D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0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1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3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5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6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7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800-000004000000}"/>
            </a:ext>
          </a:extLst>
        </xdr:cNvPr>
        <xdr:cNvSpPr/>
      </xdr:nvSpPr>
      <xdr:spPr>
        <a:xfrm rot="10800000">
          <a:off x="794385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9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A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B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C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D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E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3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3F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0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1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3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4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534865</xdr:colOff>
      <xdr:row>0</xdr:row>
      <xdr:rowOff>43961</xdr:rowOff>
    </xdr:from>
    <xdr:to>
      <xdr:col>9</xdr:col>
      <xdr:colOff>761757</xdr:colOff>
      <xdr:row>3</xdr:row>
      <xdr:rowOff>10308</xdr:rowOff>
    </xdr:to>
    <xdr:pic>
      <xdr:nvPicPr>
        <xdr:cNvPr id="3" name="3 Imagen" descr="E:\SDM\Temporal\ESTRUCTURACIÓN\2016\Interventoria\LOGO BOGOTA-Model.jpg">
          <a:extLst>
            <a:ext uri="{FF2B5EF4-FFF2-40B4-BE49-F238E27FC236}">
              <a16:creationId xmlns:a16="http://schemas.microsoft.com/office/drawing/2014/main" id="{00000000-0008-0000-45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5725990" y="43961"/>
          <a:ext cx="1084142" cy="709297"/>
        </a:xfrm>
        <a:prstGeom prst="rect">
          <a:avLst/>
        </a:prstGeom>
        <a:noFill/>
        <a:ln>
          <a:noFill/>
        </a:ln>
        <a:extLst>
          <a:ext uri="{53640926-AAD7-44D8-BBD7-CCE9431645EC}">
            <a14:shadowObscured xmlns:a14="http://schemas.microsoft.com/office/drawing/2010/main"/>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3"/>
          <a:extLst>
            <a:ext uri="{FF2B5EF4-FFF2-40B4-BE49-F238E27FC236}">
              <a16:creationId xmlns:a16="http://schemas.microsoft.com/office/drawing/2014/main" id="{00000000-0008-0000-45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59.xml><?xml version="1.0" encoding="utf-8"?>
<xdr:wsDr xmlns:xdr="http://schemas.openxmlformats.org/drawingml/2006/spreadsheetDrawing" xmlns:a="http://schemas.openxmlformats.org/drawingml/2006/main">
  <xdr:oneCellAnchor>
    <xdr:from>
      <xdr:col>0</xdr:col>
      <xdr:colOff>85725</xdr:colOff>
      <xdr:row>0</xdr:row>
      <xdr:rowOff>37443</xdr:rowOff>
    </xdr:from>
    <xdr:ext cx="811090" cy="659423"/>
    <xdr:pic>
      <xdr:nvPicPr>
        <xdr:cNvPr id="2" name="1 Imagen">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11090" cy="65942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6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7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8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9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A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B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C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4D00-000003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D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17</xdr:col>
      <xdr:colOff>152400</xdr:colOff>
      <xdr:row>2</xdr:row>
      <xdr:rowOff>76200</xdr:rowOff>
    </xdr:from>
    <xdr:to>
      <xdr:col>17</xdr:col>
      <xdr:colOff>647700</xdr:colOff>
      <xdr:row>3</xdr:row>
      <xdr:rowOff>95250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7FAFD3FB-6474-4DFE-AC77-7D59CE1EC8EA}"/>
            </a:ext>
          </a:extLst>
        </xdr:cNvPr>
        <xdr:cNvSpPr/>
      </xdr:nvSpPr>
      <xdr:spPr>
        <a:xfrm rot="10800000">
          <a:off x="8058150" y="6286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E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4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4F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0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1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3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5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5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6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7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8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9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A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B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C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D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E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5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5F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0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1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3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5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6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628651</xdr:colOff>
      <xdr:row>5</xdr:row>
      <xdr:rowOff>47625</xdr:rowOff>
    </xdr:from>
    <xdr:to>
      <xdr:col>20</xdr:col>
      <xdr:colOff>720769</xdr:colOff>
      <xdr:row>11</xdr:row>
      <xdr:rowOff>49530</xdr:rowOff>
    </xdr:to>
    <xdr:pic>
      <xdr:nvPicPr>
        <xdr:cNvPr id="4" name="Imagen 3">
          <a:extLst>
            <a:ext uri="{FF2B5EF4-FFF2-40B4-BE49-F238E27FC236}">
              <a16:creationId xmlns:a16="http://schemas.microsoft.com/office/drawing/2014/main" id="{00000000-0008-0000-6700-000004000000}"/>
            </a:ext>
          </a:extLst>
        </xdr:cNvPr>
        <xdr:cNvPicPr>
          <a:picLocks noChangeAspect="1"/>
        </xdr:cNvPicPr>
      </xdr:nvPicPr>
      <xdr:blipFill>
        <a:blip xmlns:r="http://schemas.openxmlformats.org/officeDocument/2006/relationships" r:embed="rId2"/>
        <a:stretch>
          <a:fillRect/>
        </a:stretch>
      </xdr:blipFill>
      <xdr:spPr>
        <a:xfrm>
          <a:off x="8239126" y="1038225"/>
          <a:ext cx="6950118" cy="1438275"/>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67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8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9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A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2"/>
          <a:extLst>
            <a:ext uri="{FF2B5EF4-FFF2-40B4-BE49-F238E27FC236}">
              <a16:creationId xmlns:a16="http://schemas.microsoft.com/office/drawing/2014/main" id="{00000000-0008-0000-6B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C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D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9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E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6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6F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201930</xdr:colOff>
      <xdr:row>2</xdr:row>
      <xdr:rowOff>136503</xdr:rowOff>
    </xdr:to>
    <xdr:pic>
      <xdr:nvPicPr>
        <xdr:cNvPr id="2" name="1 Imagen">
          <a:extLst>
            <a:ext uri="{FF2B5EF4-FFF2-40B4-BE49-F238E27FC236}">
              <a16:creationId xmlns:a16="http://schemas.microsoft.com/office/drawing/2014/main" id="{00000000-0008-0000-7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0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1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3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5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6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7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0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8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9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A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B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C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D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E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7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7F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60303</xdr:rowOff>
    </xdr:to>
    <xdr:pic>
      <xdr:nvPicPr>
        <xdr:cNvPr id="2" name="1 Imagen">
          <a:extLst>
            <a:ext uri="{FF2B5EF4-FFF2-40B4-BE49-F238E27FC236}">
              <a16:creationId xmlns:a16="http://schemas.microsoft.com/office/drawing/2014/main" id="{00000000-0008-0000-8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0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8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1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1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8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8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3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8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4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542925</xdr:colOff>
      <xdr:row>0</xdr:row>
      <xdr:rowOff>47625</xdr:rowOff>
    </xdr:from>
    <xdr:to>
      <xdr:col>9</xdr:col>
      <xdr:colOff>765675</xdr:colOff>
      <xdr:row>3</xdr:row>
      <xdr:rowOff>24675</xdr:rowOff>
    </xdr:to>
    <xdr:pic>
      <xdr:nvPicPr>
        <xdr:cNvPr id="3" name="3 Imagen" descr="E:\SDM\Temporal\ESTRUCTURACIÓN\2016\Interventoria\LOGO BOGOTA-Model.jpg">
          <a:extLst>
            <a:ext uri="{FF2B5EF4-FFF2-40B4-BE49-F238E27FC236}">
              <a16:creationId xmlns:a16="http://schemas.microsoft.com/office/drawing/2014/main" id="{00000000-0008-0000-85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5734050" y="47625"/>
          <a:ext cx="1080000" cy="720000"/>
        </a:xfrm>
        <a:prstGeom prst="rect">
          <a:avLst/>
        </a:prstGeom>
        <a:noFill/>
        <a:ln>
          <a:noFill/>
        </a:ln>
        <a:extLst>
          <a:ext uri="{53640926-AAD7-44D8-BBD7-CCE9431645EC}">
            <a14:shadowObscured xmlns:a14="http://schemas.microsoft.com/office/drawing/2010/main"/>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3"/>
          <a:extLst>
            <a:ext uri="{FF2B5EF4-FFF2-40B4-BE49-F238E27FC236}">
              <a16:creationId xmlns:a16="http://schemas.microsoft.com/office/drawing/2014/main" id="{00000000-0008-0000-85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542193</xdr:colOff>
      <xdr:row>0</xdr:row>
      <xdr:rowOff>36634</xdr:rowOff>
    </xdr:from>
    <xdr:to>
      <xdr:col>9</xdr:col>
      <xdr:colOff>764943</xdr:colOff>
      <xdr:row>3</xdr:row>
      <xdr:rowOff>9288</xdr:rowOff>
    </xdr:to>
    <xdr:pic>
      <xdr:nvPicPr>
        <xdr:cNvPr id="3" name="3 Imagen" descr="E:\SDM\Temporal\ESTRUCTURACIÓN\2016\Interventoria\LOGO BOGOTA-Model.jpg">
          <a:extLst>
            <a:ext uri="{FF2B5EF4-FFF2-40B4-BE49-F238E27FC236}">
              <a16:creationId xmlns:a16="http://schemas.microsoft.com/office/drawing/2014/main" id="{00000000-0008-0000-86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5733318" y="36634"/>
          <a:ext cx="1080000" cy="715604"/>
        </a:xfrm>
        <a:prstGeom prst="rect">
          <a:avLst/>
        </a:prstGeom>
        <a:noFill/>
        <a:ln>
          <a:noFill/>
        </a:ln>
        <a:extLst>
          <a:ext uri="{53640926-AAD7-44D8-BBD7-CCE9431645EC}">
            <a14:shadowObscured xmlns:a14="http://schemas.microsoft.com/office/drawing/2010/main"/>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3"/>
          <a:extLst>
            <a:ext uri="{FF2B5EF4-FFF2-40B4-BE49-F238E27FC236}">
              <a16:creationId xmlns:a16="http://schemas.microsoft.com/office/drawing/2014/main" id="{00000000-0008-0000-86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136503</xdr:rowOff>
    </xdr:to>
    <xdr:pic>
      <xdr:nvPicPr>
        <xdr:cNvPr id="2" name="1 Imagen">
          <a:extLst>
            <a:ext uri="{FF2B5EF4-FFF2-40B4-BE49-F238E27FC236}">
              <a16:creationId xmlns:a16="http://schemas.microsoft.com/office/drawing/2014/main" id="{00000000-0008-0000-8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7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8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9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A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14</xdr:col>
      <xdr:colOff>0</xdr:colOff>
      <xdr:row>5</xdr:row>
      <xdr:rowOff>0</xdr:rowOff>
    </xdr:from>
    <xdr:to>
      <xdr:col>14</xdr:col>
      <xdr:colOff>495300</xdr:colOff>
      <xdr:row>6</xdr:row>
      <xdr:rowOff>15240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23FE80AD-A6EE-4DCF-99E5-E0DADF93B03D}"/>
            </a:ext>
          </a:extLst>
        </xdr:cNvPr>
        <xdr:cNvSpPr/>
      </xdr:nvSpPr>
      <xdr:spPr>
        <a:xfrm rot="10800000">
          <a:off x="7810500" y="971550"/>
          <a:ext cx="495300" cy="18669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B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10</xdr:col>
      <xdr:colOff>447675</xdr:colOff>
      <xdr:row>1</xdr:row>
      <xdr:rowOff>123825</xdr:rowOff>
    </xdr:from>
    <xdr:to>
      <xdr:col>12</xdr:col>
      <xdr:colOff>161925</xdr:colOff>
      <xdr:row>2</xdr:row>
      <xdr:rowOff>123825</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941E01D4-2F1F-47A3-B344-368CCADEE246}"/>
            </a:ext>
          </a:extLst>
        </xdr:cNvPr>
        <xdr:cNvSpPr/>
      </xdr:nvSpPr>
      <xdr:spPr>
        <a:xfrm rot="10800000">
          <a:off x="7477125" y="485775"/>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2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C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12</xdr:col>
      <xdr:colOff>428625</xdr:colOff>
      <xdr:row>1</xdr:row>
      <xdr:rowOff>76200</xdr:rowOff>
    </xdr:from>
    <xdr:to>
      <xdr:col>13</xdr:col>
      <xdr:colOff>142875</xdr:colOff>
      <xdr:row>2</xdr:row>
      <xdr:rowOff>72390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BA1E4C54-CCE2-47E0-8005-5B371974E42C}"/>
            </a:ext>
          </a:extLst>
        </xdr:cNvPr>
        <xdr:cNvSpPr/>
      </xdr:nvSpPr>
      <xdr:spPr>
        <a:xfrm rot="10800000">
          <a:off x="7458075" y="438150"/>
          <a:ext cx="495300" cy="18669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D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17</xdr:col>
      <xdr:colOff>476250</xdr:colOff>
      <xdr:row>1</xdr:row>
      <xdr:rowOff>171450</xdr:rowOff>
    </xdr:from>
    <xdr:to>
      <xdr:col>18</xdr:col>
      <xdr:colOff>190500</xdr:colOff>
      <xdr:row>2</xdr:row>
      <xdr:rowOff>167640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AFAF4442-B03E-40F9-B35B-771E732E1606}"/>
            </a:ext>
          </a:extLst>
        </xdr:cNvPr>
        <xdr:cNvSpPr/>
      </xdr:nvSpPr>
      <xdr:spPr>
        <a:xfrm rot="10800000">
          <a:off x="7505700" y="533400"/>
          <a:ext cx="495300" cy="18669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E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17</xdr:col>
      <xdr:colOff>419100</xdr:colOff>
      <xdr:row>1</xdr:row>
      <xdr:rowOff>38100</xdr:rowOff>
    </xdr:from>
    <xdr:to>
      <xdr:col>18</xdr:col>
      <xdr:colOff>133350</xdr:colOff>
      <xdr:row>2</xdr:row>
      <xdr:rowOff>34290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A89B8DBA-6038-4711-830E-48A1030B7F53}"/>
            </a:ext>
          </a:extLst>
        </xdr:cNvPr>
        <xdr:cNvSpPr/>
      </xdr:nvSpPr>
      <xdr:spPr>
        <a:xfrm rot="10800000">
          <a:off x="7610475" y="400050"/>
          <a:ext cx="495300" cy="18669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8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8F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15</xdr:col>
      <xdr:colOff>19050</xdr:colOff>
      <xdr:row>0</xdr:row>
      <xdr:rowOff>323850</xdr:rowOff>
    </xdr:from>
    <xdr:to>
      <xdr:col>15</xdr:col>
      <xdr:colOff>510540</xdr:colOff>
      <xdr:row>1</xdr:row>
      <xdr:rowOff>152400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91B5A9E3-C446-4B11-B75C-561E11904548}"/>
            </a:ext>
          </a:extLst>
        </xdr:cNvPr>
        <xdr:cNvSpPr/>
      </xdr:nvSpPr>
      <xdr:spPr>
        <a:xfrm rot="10800000">
          <a:off x="7829550" y="323850"/>
          <a:ext cx="49149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0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10</xdr:col>
      <xdr:colOff>628650</xdr:colOff>
      <xdr:row>0</xdr:row>
      <xdr:rowOff>114300</xdr:rowOff>
    </xdr:from>
    <xdr:to>
      <xdr:col>12</xdr:col>
      <xdr:colOff>342900</xdr:colOff>
      <xdr:row>0</xdr:row>
      <xdr:rowOff>300990</xdr:rowOff>
    </xdr:to>
    <xdr:sp macro="" textlink="">
      <xdr:nvSpPr>
        <xdr:cNvPr id="5" name="Flecha: a la derecha 3">
          <a:hlinkClick xmlns:r="http://schemas.openxmlformats.org/officeDocument/2006/relationships" r:id="rId2"/>
          <a:extLst>
            <a:ext uri="{FF2B5EF4-FFF2-40B4-BE49-F238E27FC236}">
              <a16:creationId xmlns:a16="http://schemas.microsoft.com/office/drawing/2014/main" id="{A8119D98-6922-43EF-8F9B-B067492A0EB9}"/>
            </a:ext>
          </a:extLst>
        </xdr:cNvPr>
        <xdr:cNvSpPr/>
      </xdr:nvSpPr>
      <xdr:spPr>
        <a:xfrm rot="10800000">
          <a:off x="7658100" y="114300"/>
          <a:ext cx="495300" cy="18669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1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66675</xdr:colOff>
      <xdr:row>0</xdr:row>
      <xdr:rowOff>0</xdr:rowOff>
    </xdr:from>
    <xdr:to>
      <xdr:col>10</xdr:col>
      <xdr:colOff>19049</xdr:colOff>
      <xdr:row>2</xdr:row>
      <xdr:rowOff>36634</xdr:rowOff>
    </xdr:to>
    <xdr:pic>
      <xdr:nvPicPr>
        <xdr:cNvPr id="3" name="Imagen 2">
          <a:extLst>
            <a:ext uri="{FF2B5EF4-FFF2-40B4-BE49-F238E27FC236}">
              <a16:creationId xmlns:a16="http://schemas.microsoft.com/office/drawing/2014/main" id="{00000000-0008-0000-9200-000003000000}"/>
            </a:ext>
          </a:extLst>
        </xdr:cNvPr>
        <xdr:cNvPicPr/>
      </xdr:nvPicPr>
      <xdr:blipFill>
        <a:blip xmlns:r="http://schemas.openxmlformats.org/officeDocument/2006/relationships" r:embed="rId2"/>
        <a:stretch>
          <a:fillRect/>
        </a:stretch>
      </xdr:blipFill>
      <xdr:spPr>
        <a:xfrm>
          <a:off x="5257800"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4">
          <a:hlinkClick xmlns:r="http://schemas.openxmlformats.org/officeDocument/2006/relationships" r:id="rId3"/>
          <a:extLst>
            <a:ext uri="{FF2B5EF4-FFF2-40B4-BE49-F238E27FC236}">
              <a16:creationId xmlns:a16="http://schemas.microsoft.com/office/drawing/2014/main" id="{00000000-0008-0000-9200-000004000000}"/>
            </a:ext>
          </a:extLst>
        </xdr:cNvPr>
        <xdr:cNvSpPr/>
      </xdr:nvSpPr>
      <xdr:spPr>
        <a:xfrm rot="10800000">
          <a:off x="78962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66675</xdr:colOff>
      <xdr:row>0</xdr:row>
      <xdr:rowOff>0</xdr:rowOff>
    </xdr:from>
    <xdr:to>
      <xdr:col>10</xdr:col>
      <xdr:colOff>19049</xdr:colOff>
      <xdr:row>2</xdr:row>
      <xdr:rowOff>36634</xdr:rowOff>
    </xdr:to>
    <xdr:pic>
      <xdr:nvPicPr>
        <xdr:cNvPr id="3" name="Imagen 2">
          <a:extLst>
            <a:ext uri="{FF2B5EF4-FFF2-40B4-BE49-F238E27FC236}">
              <a16:creationId xmlns:a16="http://schemas.microsoft.com/office/drawing/2014/main" id="{00000000-0008-0000-9300-000003000000}"/>
            </a:ext>
          </a:extLst>
        </xdr:cNvPr>
        <xdr:cNvPicPr/>
      </xdr:nvPicPr>
      <xdr:blipFill>
        <a:blip xmlns:r="http://schemas.openxmlformats.org/officeDocument/2006/relationships" r:embed="rId2"/>
        <a:stretch>
          <a:fillRect/>
        </a:stretch>
      </xdr:blipFill>
      <xdr:spPr>
        <a:xfrm>
          <a:off x="5257800"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4">
          <a:hlinkClick xmlns:r="http://schemas.openxmlformats.org/officeDocument/2006/relationships" r:id="rId3"/>
          <a:extLst>
            <a:ext uri="{FF2B5EF4-FFF2-40B4-BE49-F238E27FC236}">
              <a16:creationId xmlns:a16="http://schemas.microsoft.com/office/drawing/2014/main" id="{00000000-0008-0000-9300-000004000000}"/>
            </a:ext>
          </a:extLst>
        </xdr:cNvPr>
        <xdr:cNvSpPr/>
      </xdr:nvSpPr>
      <xdr:spPr>
        <a:xfrm rot="10800000">
          <a:off x="78962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4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5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3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6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7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8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9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9A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3" name="Flecha: a la derecha 2">
          <a:hlinkClick xmlns:r="http://schemas.openxmlformats.org/officeDocument/2006/relationships" r:id="rId2"/>
          <a:extLst>
            <a:ext uri="{FF2B5EF4-FFF2-40B4-BE49-F238E27FC236}">
              <a16:creationId xmlns:a16="http://schemas.microsoft.com/office/drawing/2014/main" id="{00000000-0008-0000-9B00-000003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5.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76200</xdr:colOff>
      <xdr:row>0</xdr:row>
      <xdr:rowOff>76200</xdr:rowOff>
    </xdr:from>
    <xdr:to>
      <xdr:col>10</xdr:col>
      <xdr:colOff>19049</xdr:colOff>
      <xdr:row>2</xdr:row>
      <xdr:rowOff>112834</xdr:rowOff>
    </xdr:to>
    <xdr:pic>
      <xdr:nvPicPr>
        <xdr:cNvPr id="4" name="Imagen 3">
          <a:extLst>
            <a:ext uri="{FF2B5EF4-FFF2-40B4-BE49-F238E27FC236}">
              <a16:creationId xmlns:a16="http://schemas.microsoft.com/office/drawing/2014/main" id="{00000000-0008-0000-9C00-000004000000}"/>
            </a:ext>
          </a:extLst>
        </xdr:cNvPr>
        <xdr:cNvPicPr/>
      </xdr:nvPicPr>
      <xdr:blipFill>
        <a:blip xmlns:r="http://schemas.openxmlformats.org/officeDocument/2006/relationships" r:embed="rId2"/>
        <a:stretch>
          <a:fillRect/>
        </a:stretch>
      </xdr:blipFill>
      <xdr:spPr>
        <a:xfrm>
          <a:off x="5267325" y="76200"/>
          <a:ext cx="1609724" cy="598609"/>
        </a:xfrm>
        <a:prstGeom prst="rect">
          <a:avLst/>
        </a:prstGeom>
      </xdr:spPr>
    </xdr:pic>
    <xdr:clientData/>
  </xdr:twoCellAnchor>
  <xdr:twoCellAnchor>
    <xdr:from>
      <xdr:col>12</xdr:col>
      <xdr:colOff>133350</xdr:colOff>
      <xdr:row>0</xdr:row>
      <xdr:rowOff>171450</xdr:rowOff>
    </xdr:from>
    <xdr:to>
      <xdr:col>12</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9C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6.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680003</xdr:colOff>
      <xdr:row>0</xdr:row>
      <xdr:rowOff>77028</xdr:rowOff>
    </xdr:from>
    <xdr:to>
      <xdr:col>9</xdr:col>
      <xdr:colOff>699052</xdr:colOff>
      <xdr:row>2</xdr:row>
      <xdr:rowOff>113662</xdr:rowOff>
    </xdr:to>
    <xdr:pic>
      <xdr:nvPicPr>
        <xdr:cNvPr id="4" name="Imagen 3">
          <a:extLst>
            <a:ext uri="{FF2B5EF4-FFF2-40B4-BE49-F238E27FC236}">
              <a16:creationId xmlns:a16="http://schemas.microsoft.com/office/drawing/2014/main" id="{00000000-0008-0000-9D00-000004000000}"/>
            </a:ext>
          </a:extLst>
        </xdr:cNvPr>
        <xdr:cNvPicPr/>
      </xdr:nvPicPr>
      <xdr:blipFill>
        <a:blip xmlns:r="http://schemas.openxmlformats.org/officeDocument/2006/relationships" r:embed="rId2"/>
        <a:stretch>
          <a:fillRect/>
        </a:stretch>
      </xdr:blipFill>
      <xdr:spPr>
        <a:xfrm>
          <a:off x="5137703" y="77028"/>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9D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7.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714375</xdr:colOff>
      <xdr:row>0</xdr:row>
      <xdr:rowOff>0</xdr:rowOff>
    </xdr:from>
    <xdr:to>
      <xdr:col>9</xdr:col>
      <xdr:colOff>752474</xdr:colOff>
      <xdr:row>2</xdr:row>
      <xdr:rowOff>36634</xdr:rowOff>
    </xdr:to>
    <xdr:pic>
      <xdr:nvPicPr>
        <xdr:cNvPr id="4" name="Imagen 3">
          <a:extLst>
            <a:ext uri="{FF2B5EF4-FFF2-40B4-BE49-F238E27FC236}">
              <a16:creationId xmlns:a16="http://schemas.microsoft.com/office/drawing/2014/main" id="{00000000-0008-0000-9E00-000004000000}"/>
            </a:ext>
          </a:extLst>
        </xdr:cNvPr>
        <xdr:cNvPicPr/>
      </xdr:nvPicPr>
      <xdr:blipFill>
        <a:blip xmlns:r="http://schemas.openxmlformats.org/officeDocument/2006/relationships" r:embed="rId2"/>
        <a:stretch>
          <a:fillRect/>
        </a:stretch>
      </xdr:blipFill>
      <xdr:spPr>
        <a:xfrm>
          <a:off x="5172075"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9E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8.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9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66675</xdr:colOff>
      <xdr:row>0</xdr:row>
      <xdr:rowOff>0</xdr:rowOff>
    </xdr:from>
    <xdr:to>
      <xdr:col>10</xdr:col>
      <xdr:colOff>19049</xdr:colOff>
      <xdr:row>2</xdr:row>
      <xdr:rowOff>36634</xdr:rowOff>
    </xdr:to>
    <xdr:pic>
      <xdr:nvPicPr>
        <xdr:cNvPr id="4" name="Imagen 3">
          <a:extLst>
            <a:ext uri="{FF2B5EF4-FFF2-40B4-BE49-F238E27FC236}">
              <a16:creationId xmlns:a16="http://schemas.microsoft.com/office/drawing/2014/main" id="{00000000-0008-0000-9F00-000004000000}"/>
            </a:ext>
          </a:extLst>
        </xdr:cNvPr>
        <xdr:cNvPicPr/>
      </xdr:nvPicPr>
      <xdr:blipFill>
        <a:blip xmlns:r="http://schemas.openxmlformats.org/officeDocument/2006/relationships" r:embed="rId2"/>
        <a:stretch>
          <a:fillRect/>
        </a:stretch>
      </xdr:blipFill>
      <xdr:spPr>
        <a:xfrm>
          <a:off x="5257800"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9F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49.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0</xdr:col>
      <xdr:colOff>896178</xdr:colOff>
      <xdr:row>1</xdr:row>
      <xdr:rowOff>94593</xdr:rowOff>
    </xdr:to>
    <xdr:pic>
      <xdr:nvPicPr>
        <xdr:cNvPr id="2" name="1 Imagen">
          <a:extLst>
            <a:ext uri="{FF2B5EF4-FFF2-40B4-BE49-F238E27FC236}">
              <a16:creationId xmlns:a16="http://schemas.microsoft.com/office/drawing/2014/main" id="{00000000-0008-0000-A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10453"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533400</xdr:colOff>
      <xdr:row>0</xdr:row>
      <xdr:rowOff>0</xdr:rowOff>
    </xdr:from>
    <xdr:to>
      <xdr:col>9</xdr:col>
      <xdr:colOff>552449</xdr:colOff>
      <xdr:row>0</xdr:row>
      <xdr:rowOff>590989</xdr:rowOff>
    </xdr:to>
    <xdr:pic>
      <xdr:nvPicPr>
        <xdr:cNvPr id="4" name="Imagen 3">
          <a:extLst>
            <a:ext uri="{FF2B5EF4-FFF2-40B4-BE49-F238E27FC236}">
              <a16:creationId xmlns:a16="http://schemas.microsoft.com/office/drawing/2014/main" id="{00000000-0008-0000-A000-000004000000}"/>
            </a:ext>
          </a:extLst>
        </xdr:cNvPr>
        <xdr:cNvPicPr/>
      </xdr:nvPicPr>
      <xdr:blipFill>
        <a:blip xmlns:r="http://schemas.openxmlformats.org/officeDocument/2006/relationships" r:embed="rId2"/>
        <a:stretch>
          <a:fillRect/>
        </a:stretch>
      </xdr:blipFill>
      <xdr:spPr>
        <a:xfrm>
          <a:off x="5715000"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A0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50.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A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38100</xdr:colOff>
      <xdr:row>0</xdr:row>
      <xdr:rowOff>0</xdr:rowOff>
    </xdr:from>
    <xdr:to>
      <xdr:col>9</xdr:col>
      <xdr:colOff>790574</xdr:colOff>
      <xdr:row>2</xdr:row>
      <xdr:rowOff>36634</xdr:rowOff>
    </xdr:to>
    <xdr:pic>
      <xdr:nvPicPr>
        <xdr:cNvPr id="4" name="Imagen 3">
          <a:extLst>
            <a:ext uri="{FF2B5EF4-FFF2-40B4-BE49-F238E27FC236}">
              <a16:creationId xmlns:a16="http://schemas.microsoft.com/office/drawing/2014/main" id="{00000000-0008-0000-A100-000004000000}"/>
            </a:ext>
          </a:extLst>
        </xdr:cNvPr>
        <xdr:cNvPicPr/>
      </xdr:nvPicPr>
      <xdr:blipFill>
        <a:blip xmlns:r="http://schemas.openxmlformats.org/officeDocument/2006/relationships" r:embed="rId2"/>
        <a:stretch>
          <a:fillRect/>
        </a:stretch>
      </xdr:blipFill>
      <xdr:spPr>
        <a:xfrm>
          <a:off x="5229225"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A1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51.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94593</xdr:rowOff>
    </xdr:to>
    <xdr:pic>
      <xdr:nvPicPr>
        <xdr:cNvPr id="2" name="1 Imagen">
          <a:extLst>
            <a:ext uri="{FF2B5EF4-FFF2-40B4-BE49-F238E27FC236}">
              <a16:creationId xmlns:a16="http://schemas.microsoft.com/office/drawing/2014/main" id="{00000000-0008-0000-A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95250</xdr:colOff>
      <xdr:row>0</xdr:row>
      <xdr:rowOff>0</xdr:rowOff>
    </xdr:from>
    <xdr:to>
      <xdr:col>9</xdr:col>
      <xdr:colOff>742949</xdr:colOff>
      <xdr:row>1</xdr:row>
      <xdr:rowOff>189034</xdr:rowOff>
    </xdr:to>
    <xdr:pic>
      <xdr:nvPicPr>
        <xdr:cNvPr id="3" name="Imagen 2">
          <a:extLst>
            <a:ext uri="{FF2B5EF4-FFF2-40B4-BE49-F238E27FC236}">
              <a16:creationId xmlns:a16="http://schemas.microsoft.com/office/drawing/2014/main" id="{00000000-0008-0000-A200-000003000000}"/>
            </a:ext>
          </a:extLst>
        </xdr:cNvPr>
        <xdr:cNvPicPr/>
      </xdr:nvPicPr>
      <xdr:blipFill>
        <a:blip xmlns:r="http://schemas.openxmlformats.org/officeDocument/2006/relationships" r:embed="rId2"/>
        <a:stretch>
          <a:fillRect/>
        </a:stretch>
      </xdr:blipFill>
      <xdr:spPr>
        <a:xfrm>
          <a:off x="5334000" y="0"/>
          <a:ext cx="1609724" cy="598609"/>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3"/>
          <a:extLst>
            <a:ext uri="{FF2B5EF4-FFF2-40B4-BE49-F238E27FC236}">
              <a16:creationId xmlns:a16="http://schemas.microsoft.com/office/drawing/2014/main" id="{00000000-0008-0000-A200-000004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52.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8868</xdr:rowOff>
    </xdr:to>
    <xdr:pic>
      <xdr:nvPicPr>
        <xdr:cNvPr id="2" name="1 Imagen">
          <a:extLst>
            <a:ext uri="{FF2B5EF4-FFF2-40B4-BE49-F238E27FC236}">
              <a16:creationId xmlns:a16="http://schemas.microsoft.com/office/drawing/2014/main" id="{00000000-0008-0000-A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7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51289</xdr:colOff>
      <xdr:row>0</xdr:row>
      <xdr:rowOff>80596</xdr:rowOff>
    </xdr:from>
    <xdr:to>
      <xdr:col>9</xdr:col>
      <xdr:colOff>632313</xdr:colOff>
      <xdr:row>1</xdr:row>
      <xdr:rowOff>183905</xdr:rowOff>
    </xdr:to>
    <xdr:pic>
      <xdr:nvPicPr>
        <xdr:cNvPr id="4" name="Imagen 3">
          <a:extLst>
            <a:ext uri="{FF2B5EF4-FFF2-40B4-BE49-F238E27FC236}">
              <a16:creationId xmlns:a16="http://schemas.microsoft.com/office/drawing/2014/main" id="{00000000-0008-0000-A300-000004000000}"/>
            </a:ext>
          </a:extLst>
        </xdr:cNvPr>
        <xdr:cNvPicPr/>
      </xdr:nvPicPr>
      <xdr:blipFill>
        <a:blip xmlns:r="http://schemas.openxmlformats.org/officeDocument/2006/relationships" r:embed="rId2"/>
        <a:stretch>
          <a:fillRect/>
        </a:stretch>
      </xdr:blipFill>
      <xdr:spPr>
        <a:xfrm>
          <a:off x="5246077" y="80596"/>
          <a:ext cx="1610457" cy="600807"/>
        </a:xfrm>
        <a:prstGeom prst="rect">
          <a:avLst/>
        </a:prstGeom>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5" name="Flecha: a la derecha 4">
          <a:hlinkClick xmlns:r="http://schemas.openxmlformats.org/officeDocument/2006/relationships" r:id="rId3"/>
          <a:extLst>
            <a:ext uri="{FF2B5EF4-FFF2-40B4-BE49-F238E27FC236}">
              <a16:creationId xmlns:a16="http://schemas.microsoft.com/office/drawing/2014/main" id="{00000000-0008-0000-A300-000005000000}"/>
            </a:ext>
          </a:extLst>
        </xdr:cNvPr>
        <xdr:cNvSpPr/>
      </xdr:nvSpPr>
      <xdr:spPr>
        <a:xfrm rot="10800000">
          <a:off x="7743825"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53.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A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00000000-0008-0000-A4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154.xml><?xml version="1.0" encoding="utf-8"?>
<xdr:wsDr xmlns:xdr="http://schemas.openxmlformats.org/drawingml/2006/spreadsheetDrawing" xmlns:a="http://schemas.openxmlformats.org/drawingml/2006/main">
  <xdr:twoCellAnchor editAs="oneCell">
    <xdr:from>
      <xdr:col>0</xdr:col>
      <xdr:colOff>85725</xdr:colOff>
      <xdr:row>0</xdr:row>
      <xdr:rowOff>37443</xdr:rowOff>
    </xdr:from>
    <xdr:to>
      <xdr:col>1</xdr:col>
      <xdr:colOff>647700</xdr:colOff>
      <xdr:row>2</xdr:row>
      <xdr:rowOff>132693</xdr:rowOff>
    </xdr:to>
    <xdr:pic>
      <xdr:nvPicPr>
        <xdr:cNvPr id="2" name="1 Imagen">
          <a:extLst>
            <a:ext uri="{FF2B5EF4-FFF2-40B4-BE49-F238E27FC236}">
              <a16:creationId xmlns:a16="http://schemas.microsoft.com/office/drawing/2014/main" id="{00000000-0008-0000-A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7443"/>
          <a:ext cx="8096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554936</xdr:colOff>
      <xdr:row>0</xdr:row>
      <xdr:rowOff>41414</xdr:rowOff>
    </xdr:from>
    <xdr:to>
      <xdr:col>9</xdr:col>
      <xdr:colOff>773544</xdr:colOff>
      <xdr:row>3</xdr:row>
      <xdr:rowOff>15979</xdr:rowOff>
    </xdr:to>
    <xdr:pic>
      <xdr:nvPicPr>
        <xdr:cNvPr id="3" name="3 Imagen" descr="E:\SDM\Temporal\ESTRUCTURACIÓN\2016\Interventoria\LOGO BOGOTA-Model.jpg">
          <a:extLst>
            <a:ext uri="{FF2B5EF4-FFF2-40B4-BE49-F238E27FC236}">
              <a16:creationId xmlns:a16="http://schemas.microsoft.com/office/drawing/2014/main" id="{00000000-0008-0000-A5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5746061" y="41414"/>
          <a:ext cx="1075858" cy="717515"/>
        </a:xfrm>
        <a:prstGeom prst="rect">
          <a:avLst/>
        </a:prstGeom>
        <a:noFill/>
        <a:ln>
          <a:noFill/>
        </a:ln>
        <a:extLst>
          <a:ext uri="{53640926-AAD7-44D8-BBD7-CCE9431645EC}">
            <a14:shadowObscured xmlns:a14="http://schemas.microsoft.com/office/drawing/2010/main"/>
          </a:ext>
        </a:extLst>
      </xdr:spPr>
    </xdr:pic>
    <xdr:clientData/>
  </xdr:twoCellAnchor>
  <xdr:twoCellAnchor>
    <xdr:from>
      <xdr:col>11</xdr:col>
      <xdr:colOff>133350</xdr:colOff>
      <xdr:row>0</xdr:row>
      <xdr:rowOff>171450</xdr:rowOff>
    </xdr:from>
    <xdr:to>
      <xdr:col>11</xdr:col>
      <xdr:colOff>628650</xdr:colOff>
      <xdr:row>0</xdr:row>
      <xdr:rowOff>361950</xdr:rowOff>
    </xdr:to>
    <xdr:sp macro="" textlink="">
      <xdr:nvSpPr>
        <xdr:cNvPr id="4" name="Flecha: a la derecha 3">
          <a:hlinkClick xmlns:r="http://schemas.openxmlformats.org/officeDocument/2006/relationships" r:id="rId3"/>
          <a:extLst>
            <a:ext uri="{FF2B5EF4-FFF2-40B4-BE49-F238E27FC236}">
              <a16:creationId xmlns:a16="http://schemas.microsoft.com/office/drawing/2014/main" id="{00000000-0008-0000-A500-000004000000}"/>
            </a:ext>
          </a:extLst>
        </xdr:cNvPr>
        <xdr:cNvSpPr/>
      </xdr:nvSpPr>
      <xdr:spPr>
        <a:xfrm rot="10800000">
          <a:off x="8610600" y="171450"/>
          <a:ext cx="495300" cy="190500"/>
        </a:xfrm>
        <a:prstGeom prst="rightArrow">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9A66BF5F\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erfil%20usuario\Documents\OFICINA_MARZO\I%20N%20T%20E%20G%20R%20A%20L%20E%20S_2020\APUS__INTEGRALES_2019.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perfil%20lalonso\Downloads\APU&#180;s%20y%20Presupuesto%20OBRA%202019%20CINCO%20Zonas_(0%20pesos%20con%20contrib)_v2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erfil%20usuario\Documents\OFICINA_MARZO\I%20N%20T%20E%20G%20R%20A%20L%20E%20S_2020\PROCESO_2019\APU&#180;s%20y%20Presupuesto%20OBRA%202019%20CINCO%20Zonas_(0%20pesos%20con%20contrib)_v21%20(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Mario%20Garcia\Downloads\previos\2017_Administracion%20Y%20FPrestaciona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erfil%20usuario\Downloads\AIU%20(2).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Perfil%20usuario\Downloads\IDU%20PRECIO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wjaimeb\Documents\Copia%20de%2026.%20C&#193;LCULO%20DEL%20PRESUPUESTO%20OFICIAL%20(danado)%20SDM-LP%209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OC_ELEVADAS_2017\D%20E%20%20F%20I%20N%20I%20T%20I%20V%20O%20S\APU_ELEVADAS_2017_LHAO%2011-08-2017_LHA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forme"/>
      <sheetName val="Datos"/>
      <sheetName val="INDICMICROEMP"/>
      <sheetName val="MATERIALES"/>
      <sheetName val="Informacion"/>
      <sheetName val="Seguim-16"/>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Administración"/>
      <sheetName val="Presupuesto"/>
      <sheetName val="ANEXO PLIEGO_1"/>
      <sheetName val="INSUMOS"/>
      <sheetName val="INSUMOS (2)"/>
      <sheetName val="PERSONAL"/>
      <sheetName val="PERSONAL (2)"/>
      <sheetName val="EQUIPOS TRANSPOR SALARIO"/>
      <sheetName val="EQUIPOS TRANSPOR SALARIO (2)"/>
      <sheetName val="Presupuesto Consultori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N"/>
      <sheetName val="45N"/>
      <sheetName val="46N"/>
      <sheetName val="47N"/>
      <sheetName val="48N"/>
      <sheetName val="49N"/>
      <sheetName val="50N"/>
      <sheetName val="51N"/>
      <sheetName val="52N"/>
      <sheetName val="53N"/>
      <sheetName val="54N"/>
      <sheetName val="55N"/>
      <sheetName val="56N"/>
      <sheetName val="57N"/>
      <sheetName val="58N"/>
      <sheetName val="59N"/>
      <sheetName val="60N"/>
      <sheetName val="61N"/>
      <sheetName val="62N"/>
      <sheetName val="63N"/>
      <sheetName val="64N"/>
      <sheetName val="65N"/>
      <sheetName val="66N"/>
      <sheetName val="67N"/>
      <sheetName val="68N"/>
      <sheetName val="69N"/>
      <sheetName val="70N"/>
      <sheetName val="71N"/>
      <sheetName val="72N"/>
      <sheetName val="73N"/>
      <sheetName val="74N"/>
      <sheetName val="75N"/>
      <sheetName val="76N"/>
      <sheetName val="77N"/>
      <sheetName val="78N"/>
      <sheetName val="79N"/>
      <sheetName val="-"/>
      <sheetName val="80N"/>
      <sheetName val="81N"/>
      <sheetName val="82N"/>
      <sheetName val="83N"/>
      <sheetName val="84N"/>
      <sheetName val="85N"/>
      <sheetName val="86N"/>
      <sheetName val="87N"/>
      <sheetName val="88N"/>
      <sheetName val="89N"/>
      <sheetName val="90N"/>
      <sheetName val="91N"/>
      <sheetName val="92N"/>
      <sheetName val="93N"/>
      <sheetName val="94N"/>
      <sheetName val="95N"/>
      <sheetName val="96N"/>
      <sheetName val="97N"/>
      <sheetName val="98N"/>
      <sheetName val="99N"/>
      <sheetName val="100N"/>
      <sheetName val="101N"/>
      <sheetName val="102N"/>
      <sheetName val="1S"/>
      <sheetName val="2S"/>
      <sheetName val="3S"/>
      <sheetName val="4S"/>
      <sheetName val="5S"/>
      <sheetName val="103N"/>
      <sheetName val="104N"/>
      <sheetName val="105N"/>
      <sheetName val="ESCENARIO 1"/>
      <sheetName val="ESCENARIO 2"/>
      <sheetName val="ESCENARIO 3"/>
      <sheetName val="ESC 4"/>
      <sheetName val="CANTIDADES 2014"/>
      <sheetName val="items repre"/>
    </sheetNames>
    <sheetDataSet>
      <sheetData sheetId="0"/>
      <sheetData sheetId="1">
        <row r="7">
          <cell r="K7">
            <v>10</v>
          </cell>
        </row>
      </sheetData>
      <sheetData sheetId="2"/>
      <sheetData sheetId="3"/>
      <sheetData sheetId="4"/>
      <sheetData sheetId="5"/>
      <sheetData sheetId="6">
        <row r="2">
          <cell r="K2">
            <v>1.07</v>
          </cell>
        </row>
      </sheetData>
      <sheetData sheetId="7"/>
      <sheetData sheetId="8">
        <row r="1">
          <cell r="O1">
            <v>1.0575000000000001</v>
          </cell>
        </row>
      </sheetData>
      <sheetData sheetId="9">
        <row r="4">
          <cell r="F4">
            <v>571.16993156728461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ción"/>
      <sheetName val="OTROS COSTOS INDIRECTOS"/>
      <sheetName val="Presupuesto"/>
      <sheetName val="Factor Prestacional"/>
      <sheetName val="INSUMOS"/>
      <sheetName val="PERSONAL"/>
      <sheetName val="EQUIPOS TRANSPOR SALARIO"/>
      <sheetName val="ANEXO PLIEGO_1"/>
      <sheetName val="ANEXO PLIEGO_2"/>
      <sheetName val="escenarios consultoria"/>
      <sheetName val="APU DISEÑOS"/>
      <sheetName val="Presupuesto Consultori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N"/>
      <sheetName val="45N"/>
      <sheetName val="46N"/>
      <sheetName val="47N"/>
      <sheetName val="48N"/>
      <sheetName val="49N"/>
      <sheetName val="50N"/>
      <sheetName val="51N"/>
      <sheetName val="52N"/>
      <sheetName val="53N"/>
      <sheetName val="54N"/>
      <sheetName val="55N"/>
      <sheetName val="56N"/>
      <sheetName val="57N"/>
      <sheetName val="58N"/>
      <sheetName val="59N"/>
      <sheetName val="60N"/>
      <sheetName val="61N"/>
      <sheetName val="62N"/>
      <sheetName val="63N"/>
      <sheetName val="64N"/>
      <sheetName val="65N"/>
      <sheetName val="66N"/>
      <sheetName val="67N"/>
      <sheetName val="68N"/>
      <sheetName val="69N"/>
      <sheetName val="70N"/>
      <sheetName val="71N"/>
      <sheetName val="72N"/>
      <sheetName val="73N"/>
      <sheetName val="74N"/>
      <sheetName val="75N"/>
      <sheetName val="76N"/>
      <sheetName val="77N"/>
      <sheetName val="78N"/>
      <sheetName val="79N"/>
      <sheetName val="-"/>
      <sheetName val="80"/>
      <sheetName val="--"/>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S"/>
      <sheetName val="2S"/>
      <sheetName val="3S"/>
      <sheetName val="4S"/>
      <sheetName val="5S"/>
      <sheetName val="ESCENARIO 1"/>
      <sheetName val="ESCENARIO 2"/>
      <sheetName val="ESCENARIO 3"/>
      <sheetName val="ESC 4"/>
      <sheetName val="items repre"/>
    </sheetNames>
    <sheetDataSet>
      <sheetData sheetId="0"/>
      <sheetData sheetId="1"/>
      <sheetData sheetId="2">
        <row r="107">
          <cell r="G107">
            <v>3410139790</v>
          </cell>
        </row>
        <row r="134">
          <cell r="I134">
            <v>10</v>
          </cell>
        </row>
      </sheetData>
      <sheetData sheetId="3"/>
      <sheetData sheetId="4"/>
      <sheetData sheetId="5"/>
      <sheetData sheetId="6">
        <row r="1">
          <cell r="U1">
            <v>1.0575000000000001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ción"/>
      <sheetName val="OTROS COSTOS INDIRECTOS"/>
      <sheetName val="Presupuesto"/>
      <sheetName val="Factor Prestacional"/>
      <sheetName val="INSUMOS"/>
      <sheetName val="INSUMOS (2)"/>
      <sheetName val="PERSONAL"/>
      <sheetName val="EQUIPOS TRANSPOR SALARIO"/>
      <sheetName val="ANEXO PLIEGO_1"/>
      <sheetName val="ANEXO PLIEGO_2"/>
      <sheetName val="escenarios consultoria"/>
      <sheetName val="APU DISEÑOS"/>
      <sheetName val="Presupuesto Consultori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N"/>
      <sheetName val="45N"/>
      <sheetName val="46N"/>
      <sheetName val="47N"/>
      <sheetName val="48N"/>
      <sheetName val="49N"/>
      <sheetName val="50N"/>
      <sheetName val="51N"/>
      <sheetName val="52N"/>
      <sheetName val="53N"/>
      <sheetName val="54N"/>
      <sheetName val="55N"/>
      <sheetName val="56N"/>
      <sheetName val="57N"/>
      <sheetName val="58N"/>
      <sheetName val="59N"/>
      <sheetName val="60N"/>
      <sheetName val="61N"/>
      <sheetName val="62N"/>
      <sheetName val="63N"/>
      <sheetName val="64N"/>
      <sheetName val="65N"/>
      <sheetName val="66N"/>
      <sheetName val="67N"/>
      <sheetName val="68N"/>
      <sheetName val="69N"/>
      <sheetName val="70N"/>
      <sheetName val="71N"/>
      <sheetName val="72N"/>
      <sheetName val="73N"/>
      <sheetName val="74N"/>
      <sheetName val="75N"/>
      <sheetName val="76N"/>
      <sheetName val="77N"/>
      <sheetName val="78N"/>
      <sheetName val="79N"/>
      <sheetName val="-"/>
      <sheetName val="80"/>
      <sheetName val="--"/>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S"/>
      <sheetName val="2S"/>
      <sheetName val="3S"/>
      <sheetName val="4S"/>
      <sheetName val="5S"/>
      <sheetName val="ESCENARIO 1"/>
      <sheetName val="ESCENARIO 2"/>
      <sheetName val="ESCENARIO 3"/>
      <sheetName val="ESC 4"/>
      <sheetName val="items repre"/>
    </sheetNames>
    <sheetDataSet>
      <sheetData sheetId="0"/>
      <sheetData sheetId="1"/>
      <sheetData sheetId="2">
        <row r="3">
          <cell r="A3">
            <v>1</v>
          </cell>
          <cell r="B3" t="str">
            <v>M2</v>
          </cell>
          <cell r="C3" t="str">
            <v>Fabricación y suministro de tableros en lámina galvanizada C-16, material reflectivo tipo Alta Intensidad Tipo IV o superior, para señales SP-SR-SI cumpliendo normatividad vigente. (Incluye elementos de fijación)</v>
          </cell>
        </row>
        <row r="4">
          <cell r="A4">
            <v>2</v>
          </cell>
          <cell r="B4" t="str">
            <v>UND</v>
          </cell>
          <cell r="C4" t="str">
            <v>Fabricación y suministro de pedestal sencillo en ángulo para señales SP-SR-SI (para tableros iguales o menores a 75*100 cm) cumpliendo normatividad vigente.</v>
          </cell>
        </row>
        <row r="5">
          <cell r="A5">
            <v>3</v>
          </cell>
          <cell r="B5" t="str">
            <v>UND</v>
          </cell>
          <cell r="C5" t="str">
            <v>Fabricación y suministro de pedestal doble en ángulo para señales tipo dúplex SR/SP - SR/SR - SR/Plaqueta - SP/SP - SP/Plaqueta (para tableros iguales o menores a 75*100 cm) cumpliendo normatividad vigente.</v>
          </cell>
        </row>
        <row r="6">
          <cell r="A6">
            <v>4</v>
          </cell>
          <cell r="B6" t="str">
            <v>UND</v>
          </cell>
          <cell r="C6" t="str">
            <v>Fabricación, suministro e instalación de señal preventiva, reglamentaría ó informativa de 60 cm, lámina galvanizada C-16 y Papel reflectivo Tipo IV o superior, poste de tubo galvanizado de 2" de diámetro interno y espesor de 3.9 mm con brazo variable desde 70cm hasta 120 cm, cumpliendo normatividad vigente. (Incluye la cimentación del soporte para la señal).</v>
          </cell>
        </row>
        <row r="7">
          <cell r="A7">
            <v>5</v>
          </cell>
          <cell r="B7" t="str">
            <v>UND</v>
          </cell>
          <cell r="C7" t="str">
            <v>Fabricación, suministro e instalación de Señal Reglamentaria, Preventiva o informativa de 60 cm, reflectivo Alta Intensidad Tipo IV o superior, en lámina  galvanizada C-16, pedestal en ángulo SR - SP cumpliendo con normatividad vigente.</v>
          </cell>
        </row>
        <row r="8">
          <cell r="A8">
            <v>6</v>
          </cell>
          <cell r="B8" t="str">
            <v>UND</v>
          </cell>
          <cell r="C8" t="str">
            <v>Fabricación, suministro e instalación de Señal doble de 60 cm, reflectivo Alta Intensidad Tipo IV o superior, en lámina  galvanizada C-16, pedestal en ángulo SP/SR-SI/SR cumpliendo con normatividad vigente.</v>
          </cell>
        </row>
        <row r="9">
          <cell r="A9">
            <v>7</v>
          </cell>
          <cell r="B9" t="str">
            <v>UND</v>
          </cell>
          <cell r="C9" t="str">
            <v>Fabricación, suministro e instalación de Señal doble SP47 ó SP47A/SR de 60 cm ó Plaqueta, reflectivo Alta Intensidad Tipo Tipo XI amarillo limón fluorescente, en lámina  galvanizada C-16, pedestal en ángulo cumpliendo con normatividad vigente.</v>
          </cell>
        </row>
        <row r="10">
          <cell r="A10">
            <v>8</v>
          </cell>
          <cell r="B10" t="str">
            <v>UND</v>
          </cell>
          <cell r="C10" t="str">
            <v>Fabricación, suministro e instalación de señal SR - SP - SI de 60 cm con plaqueta (alto mínimo de 23 cm) reflectivo Alta intensidad Tipo IV o Superior en lámina galvanizada C-16 y pedestal en ángulo cumpliendo con normatividad vigente.</v>
          </cell>
        </row>
        <row r="11">
          <cell r="A11">
            <v>9</v>
          </cell>
          <cell r="B11" t="str">
            <v>UND</v>
          </cell>
          <cell r="C11" t="str">
            <v>Fabricación, suministro e instalación de Señal SP-47 B, reflectivo Tipo XI amarillo limón fluorescente, en lámina  galvanizada C-16, pedestal en ángulo cumpliendo con normatividad vigente.</v>
          </cell>
        </row>
        <row r="12">
          <cell r="A12">
            <v>10</v>
          </cell>
          <cell r="B12" t="str">
            <v>UND</v>
          </cell>
          <cell r="C12" t="str">
            <v xml:space="preserve">Fabricación, suministro e instalación de Señal Reglamentaria, Preventiva ó informativa de 75 cm, reflectivo Alta Intensidad Tipo IV o superior, en lámina  galvanizada C-16, pedestal en ángulo SR. - SP cumpliendo con normatividad vigente. </v>
          </cell>
        </row>
        <row r="13">
          <cell r="A13">
            <v>11</v>
          </cell>
          <cell r="B13" t="str">
            <v>UND</v>
          </cell>
          <cell r="C13" t="str">
            <v xml:space="preserve">Fabricación, suministro e instalación de Señal doble de 75cm, reflectivo Alta Intensidad Tipo IV o superior, en lámina  galvanizada C-16, pedestal en ángulo SP/SR - SI/SR cumpliendo normatividad vigente. </v>
          </cell>
        </row>
        <row r="14">
          <cell r="A14">
            <v>12</v>
          </cell>
          <cell r="B14" t="str">
            <v>UND</v>
          </cell>
          <cell r="C14" t="str">
            <v>Fabricación, suministro e instalación de Señal Reglamentaria, Preventiva ó Informativa de 90 cm, reflectivo Alta Intensidad Tipo IV o superior, en lámina  galvanizada C-16, pedestal en ángulo SR. - SP cumpliendo normatividad.</v>
          </cell>
        </row>
        <row r="15">
          <cell r="A15">
            <v>13</v>
          </cell>
          <cell r="B15" t="str">
            <v>UND</v>
          </cell>
          <cell r="C15" t="str">
            <v>Fabricación, suministro e instalación de delineador de curva horizontal de 40 x 50 cm, reflectivo prismático Tipo XI, amarillo limón fluorescente en lámina galvanizada C-16, pedestal en ángulo cumpliendo normatividad.</v>
          </cell>
        </row>
        <row r="16">
          <cell r="A16">
            <v>14</v>
          </cell>
          <cell r="B16" t="str">
            <v>UND</v>
          </cell>
          <cell r="C16" t="str">
            <v>Fabricación, suministro e instalación de delineador doble de curva horizontal de 76 x 50 cm, reflectivo prismático Tipo XI, amarillo limón fluorescente en lámina galvanizada C-16, pedestal en ángulo cumpliendo normatividad.</v>
          </cell>
        </row>
        <row r="17">
          <cell r="A17">
            <v>15</v>
          </cell>
          <cell r="B17" t="str">
            <v>UND</v>
          </cell>
          <cell r="C17" t="str">
            <v>Fabricación, suministro e instalación de delineador de obstáculo (Chevron) 90X40 cm, Reflectivo prismático Tipo XI, Amarillo limón fluorescente, en lámina galvanizada C-16, pedestal en ángulo  cumpliendo normatividad.</v>
          </cell>
        </row>
        <row r="18">
          <cell r="A18">
            <v>16</v>
          </cell>
          <cell r="B18" t="str">
            <v>UND</v>
          </cell>
          <cell r="C18" t="str">
            <v>Fabricación, suministro e instalación de delineador de obstáculo (Dol) 90X20 cm, Reflectivo prismático Tipo XI, Amarillo limón fluorescente, en lámina galvanizada C-16, pedestal en ángulo  cumpliendo normatividad.</v>
          </cell>
        </row>
        <row r="19">
          <cell r="A19">
            <v>17</v>
          </cell>
          <cell r="B19" t="str">
            <v>UND</v>
          </cell>
          <cell r="C19" t="str">
            <v>Fabricación, suministro e instalación de Señal doble TIPO SI26 - SR39/SR-38, reflectivo Alta Intensidad Tipo IV o superior, en lámina  galvanizada C-16, pedestal en ángulo  cumpliendo normatividad.</v>
          </cell>
        </row>
        <row r="20">
          <cell r="A20">
            <v>18</v>
          </cell>
          <cell r="B20" t="str">
            <v>UND</v>
          </cell>
          <cell r="C20" t="str">
            <v>Fabricación, suministro e instalación de señal informativa SI-27 de 40x75 cm, Reflectivo Alta intensidad Tipo IV o superior, en lámina galvanizada C-16, pedestal en ángulo cumpliendo normatividad vigente.</v>
          </cell>
        </row>
        <row r="21">
          <cell r="A21">
            <v>19</v>
          </cell>
          <cell r="B21" t="str">
            <v>UND</v>
          </cell>
          <cell r="C21" t="str">
            <v>Fabricación, suministro e instalación de Señal SR-38 o SR-39 de 75 x 25 cm, reflectivo Alta Intensidad Tipo IV o superior, en lámina  galvanizada C-16, pedestal en ángulo  cumpliendo normatividad vigente.</v>
          </cell>
        </row>
        <row r="22">
          <cell r="A22">
            <v>20</v>
          </cell>
          <cell r="B22" t="str">
            <v>UND</v>
          </cell>
          <cell r="C22" t="str">
            <v>Fabricación, suministro e instalación de señal preventiva, reglamentaría e informativa de 45 cm, lámina galvanizada C-16 y Papel reflectivo Tipo I o superior, con tubo galvanizado de 2" de diámetro interno y espesor de 3.9 mm  cumpliendo normatividad vigente.</v>
          </cell>
        </row>
        <row r="23">
          <cell r="A23">
            <v>21</v>
          </cell>
          <cell r="B23" t="str">
            <v>UND</v>
          </cell>
          <cell r="C23" t="str">
            <v>Fabricación, suministro e instalación de señal preventiva, Reglamentaria  e informativa de 45 cm con tablero doble en lámina galvanizada C-16 y Papel reflectivo Tipo I o superior, con tubo galvanizado de 2" de diámetro interno y espesor de 3.9 mm  cumpliendo normatividad vigente. (Incluye la cimentación del soporte para la señal)</v>
          </cell>
        </row>
        <row r="24">
          <cell r="A24">
            <v>22</v>
          </cell>
          <cell r="B24" t="str">
            <v>UND</v>
          </cell>
          <cell r="C24" t="str">
            <v>Fabricación, suministro e instalación de tablero de 75 x 25 cm, reflectivo prismático Alta Intensidad Tipo IV o superior, señales SR-38 o SR-39, en lámina  galvanizada C-16 cumpliendo normatividad vigente. (Incluye elementos de fijación)</v>
          </cell>
        </row>
        <row r="25">
          <cell r="A25">
            <v>23</v>
          </cell>
          <cell r="B25" t="str">
            <v>UND</v>
          </cell>
          <cell r="C25" t="str">
            <v>Fabricación, suministro e instalación de tablero de 60 cm, señal Reglamentaria, preventiva o informativa, reflectivo Alta Intensidad Tipo IV o superior, en lámina galvanizada C16 cumpliendo normatividad vigente. (Incluye elementos de fijación)</v>
          </cell>
        </row>
        <row r="26">
          <cell r="A26">
            <v>24</v>
          </cell>
          <cell r="B26" t="str">
            <v>UND</v>
          </cell>
          <cell r="C26" t="str">
            <v>Fabricación, suministro e instalación de tablero de 75 cm, señal Reglamentaria, preventiva o informativa, reflectivo Alta Intensidad Tipo IV o superior, en lámina galvanizada C16 cumpliendo normatividad vigente. (Incluye elementos de fijación)</v>
          </cell>
        </row>
        <row r="27">
          <cell r="A27">
            <v>25</v>
          </cell>
          <cell r="B27" t="str">
            <v>UND</v>
          </cell>
          <cell r="C27" t="str">
            <v>Fabricación, suministro e instalación de tablero de 90 cm, señal Reglamentaria, preventiva o informativa, reflectivo Alta Intensidad Tipo IV o superior, en lámina galvanizada C16 cumpliendo normatividad vigente. (Incluye elementos de fijación)</v>
          </cell>
        </row>
        <row r="28">
          <cell r="A28">
            <v>26</v>
          </cell>
          <cell r="B28" t="str">
            <v>UND</v>
          </cell>
          <cell r="C28" t="str">
            <v>Fabricación, suministro e instalación de tablero de 45 cm, señal preventiva, reglamentaría e informativa, lámina galvanizada C-16 y reflectivo grado ingeniería o superior cumpliendo normatividad vigente. (Incluye elementos de fijación)</v>
          </cell>
        </row>
        <row r="29">
          <cell r="A29">
            <v>27</v>
          </cell>
          <cell r="B29" t="str">
            <v>M2</v>
          </cell>
          <cell r="C29" t="str">
            <v>Suministro e Instalación de Película Antigrafiti para Señales Verticales</v>
          </cell>
        </row>
        <row r="30">
          <cell r="A30">
            <v>28</v>
          </cell>
          <cell r="B30" t="str">
            <v>UND</v>
          </cell>
          <cell r="C30" t="str">
            <v>Instalación de Señales Verticales de Pedestal (incluye Señales Sencillas tipo preventiva, Reglamentaria  o informativa, Dúplex, Chevrones y Delineadores de todas las dimensiones) cumpliendo normatividad vigente.</v>
          </cell>
        </row>
        <row r="31">
          <cell r="A31">
            <v>29</v>
          </cell>
          <cell r="B31" t="str">
            <v>UND</v>
          </cell>
          <cell r="C31" t="str">
            <v xml:space="preserve">Instalación y/o retiro de Tableros para Señales Verticales. (Incluye señal adosada, Dúplex y todos los tamaños) </v>
          </cell>
        </row>
        <row r="32">
          <cell r="A32">
            <v>30</v>
          </cell>
          <cell r="B32" t="str">
            <v>UND</v>
          </cell>
          <cell r="C32" t="str">
            <v>Retiro de Señales Verticales (Incluye pedestal y tablero) con entrega a almacén de la SDM (incluye señales sencillas y Dúplex)</v>
          </cell>
        </row>
        <row r="33">
          <cell r="A33">
            <v>31</v>
          </cell>
          <cell r="B33" t="str">
            <v>UND</v>
          </cell>
          <cell r="C33" t="str">
            <v>Reubicación de señales verticales  (incluye señales sencillas y Dúplex)</v>
          </cell>
        </row>
        <row r="34">
          <cell r="A34">
            <v>32</v>
          </cell>
          <cell r="B34" t="str">
            <v>ML</v>
          </cell>
          <cell r="C34" t="str">
            <v>Suministro y aplicación imprimante acrílico negro 12 cm, espesor seco 4 mils y 50% de solidos por volumen</v>
          </cell>
        </row>
        <row r="35">
          <cell r="A35">
            <v>33</v>
          </cell>
          <cell r="B35" t="str">
            <v>ML</v>
          </cell>
          <cell r="C35" t="str">
            <v>Suministro y aplicación imprimante acrílico negro 15 cm, espesor seco 4 mils y 50% de solidos por volumen</v>
          </cell>
        </row>
        <row r="36">
          <cell r="A36">
            <v>34</v>
          </cell>
          <cell r="B36" t="str">
            <v>ML</v>
          </cell>
          <cell r="C36" t="str">
            <v>Suministro y aplicación imprimante acrílico negro 20 cm, espesor seco 4 mils y 50% de solidos por volumen</v>
          </cell>
        </row>
        <row r="37">
          <cell r="A37">
            <v>35</v>
          </cell>
          <cell r="B37" t="str">
            <v>ML</v>
          </cell>
          <cell r="C37" t="str">
            <v>Suministro y aplicación imprimante acrílico negro 25 cm, espesor seco 4 mils y 50% de solidos por volumen</v>
          </cell>
        </row>
        <row r="38">
          <cell r="A38">
            <v>36</v>
          </cell>
          <cell r="B38" t="str">
            <v>M2</v>
          </cell>
          <cell r="C38" t="str">
            <v>Suministro y aplicación imprimante acrílico negro, espesor seco 4 mils y 50% de solidos por volumen</v>
          </cell>
        </row>
        <row r="39">
          <cell r="A39">
            <v>37</v>
          </cell>
          <cell r="B39" t="str">
            <v>M2</v>
          </cell>
          <cell r="C39" t="str">
            <v>Suministro y aplicación imprimante transparente, espesor seco 2 mils y 19% de solidos por volumen</v>
          </cell>
        </row>
        <row r="40">
          <cell r="A40">
            <v>38</v>
          </cell>
          <cell r="B40" t="str">
            <v>M2</v>
          </cell>
          <cell r="C40" t="str">
            <v>Suministro y Aplicación de Pintura de tráfico base agua negra m2. espesor seco 9 mils y 60% de solidos por volumen</v>
          </cell>
        </row>
        <row r="41">
          <cell r="A41">
            <v>39</v>
          </cell>
          <cell r="B41" t="str">
            <v>ML</v>
          </cell>
          <cell r="C41" t="str">
            <v>Suministro y Aplicación de pintura Acrílica base solvente 12 cm para líneas de demarcación, con microesfera, espesor seco 9 mils y 51% de sólidos por volumen</v>
          </cell>
        </row>
        <row r="42">
          <cell r="A42">
            <v>40</v>
          </cell>
          <cell r="B42" t="str">
            <v>ML</v>
          </cell>
          <cell r="C42" t="str">
            <v>Suministro y Aplicación de pintura Acrílica solvente 15 cm para líneas de demarcación, con microesfera, espesor seco 9 mils y 51% sólidos por volumen</v>
          </cell>
        </row>
        <row r="43">
          <cell r="A43">
            <v>41</v>
          </cell>
          <cell r="B43" t="str">
            <v>ML</v>
          </cell>
          <cell r="C43" t="str">
            <v>Suministro y Aplicación de pintura Acrílica base solvente 20 cm para líneas de demarcación, con microesfera, espesor seco 9 mils y 51% de solidos por volumen</v>
          </cell>
        </row>
        <row r="44">
          <cell r="A44">
            <v>42</v>
          </cell>
          <cell r="B44" t="str">
            <v>M2</v>
          </cell>
          <cell r="C44" t="str">
            <v>Suministro y Aplicación de pintura Acrílica base solvente marcas viales con microesfera, espesor seco 9 mils y 51% de solidos por volumen, incluye pictogramas</v>
          </cell>
        </row>
        <row r="45">
          <cell r="A45">
            <v>43</v>
          </cell>
          <cell r="B45" t="str">
            <v>M2</v>
          </cell>
          <cell r="C45" t="str">
            <v>Suministro y Aplicación de pintura Acrílica base solvente marcas viales sin microesfera, espesor seco 9 mils y 51% de solidos por volumen, incluye pictogramas</v>
          </cell>
        </row>
        <row r="46">
          <cell r="A46">
            <v>44</v>
          </cell>
          <cell r="B46" t="str">
            <v>M2</v>
          </cell>
          <cell r="C46" t="str">
            <v>Suministro y Aplicación de pintura Acrílica base solvente pigmentada (verde o naranja o rojo o azul) marcas viales sin microesfera, espesor seco 9 mils y 51% de solidos por volumen, incluye pictogramas</v>
          </cell>
        </row>
        <row r="47">
          <cell r="A47">
            <v>45</v>
          </cell>
          <cell r="B47" t="str">
            <v>ML</v>
          </cell>
          <cell r="C47" t="str">
            <v>Suministro y Aplicación de pintura Acrílica base agua 12 cm para líneas de demarcación, con microesfera, espesor seco de 9 mils y 60% de sólidos por volumen</v>
          </cell>
        </row>
        <row r="48">
          <cell r="A48">
            <v>46</v>
          </cell>
          <cell r="B48" t="str">
            <v>ML</v>
          </cell>
          <cell r="C48" t="str">
            <v>Suministro y Aplicación de pintura Acrílica base agua 15 cm para líneas de demarcación, con microesfera, espesor seco de 9 mils y 60% de solidos por volumen</v>
          </cell>
        </row>
        <row r="49">
          <cell r="A49">
            <v>47</v>
          </cell>
          <cell r="B49" t="str">
            <v>ML</v>
          </cell>
          <cell r="C49" t="str">
            <v>Suministro y Aplicación de pintura Acrílica base agua 20 cm para líneas de demarcación, con microesfera, espesor seco de 9 mils y 60% de sólidos por volumen</v>
          </cell>
        </row>
        <row r="50">
          <cell r="A50">
            <v>48</v>
          </cell>
          <cell r="B50" t="str">
            <v>M2</v>
          </cell>
          <cell r="C50" t="str">
            <v>Suministro y Aplicación de pintura Acrílica base agua para marcas viales con microesfera, espesor seco de 9 mils y 60% de solidos por volumen, incluye pictogramas</v>
          </cell>
        </row>
        <row r="51">
          <cell r="A51">
            <v>49</v>
          </cell>
          <cell r="B51" t="str">
            <v>M2</v>
          </cell>
          <cell r="C51" t="str">
            <v>Suministro y Aplicación de pintura Acrílica base agua para marcas viales sin microesfera, espesor seco de 9 mils y 60% de solidos por volumen, incluye pictogramas</v>
          </cell>
        </row>
        <row r="52">
          <cell r="A52">
            <v>50</v>
          </cell>
          <cell r="B52" t="str">
            <v>M2</v>
          </cell>
          <cell r="C52" t="str">
            <v>Suministro y Aplicación de pintura Acrílica base agua pigmentada (verde o naranja o rojo o azul) para marcas viales sin microesfera, espesor seco de 9 mils y 60% de solidos por volumen, incluye pictogramas</v>
          </cell>
        </row>
        <row r="53">
          <cell r="A53">
            <v>51</v>
          </cell>
          <cell r="B53" t="str">
            <v>ML</v>
          </cell>
          <cell r="C53" t="str">
            <v>Suministro y Aplicación de pintura Acrílica base agua 10 cm para líneas de demarcación en ciclorruta, sin microesfera, espesor seco de 9 mils y 60% de sólidos por volumen</v>
          </cell>
        </row>
        <row r="54">
          <cell r="A54">
            <v>52</v>
          </cell>
          <cell r="B54" t="str">
            <v>M2</v>
          </cell>
          <cell r="C54" t="str">
            <v>Suministro y Aplicación de pintura Acrílica base agua marcas viales sin microesfera de demarcación de bahías, espesor seco de 9 mils y 60% de sólidos por volumen</v>
          </cell>
        </row>
        <row r="55">
          <cell r="A55">
            <v>53</v>
          </cell>
          <cell r="B55" t="str">
            <v>ML</v>
          </cell>
          <cell r="C55" t="str">
            <v>Suministro y Aplicación de resina Termoplástica  a = 12 cm, para líneas de demarcación, incluye microesfera y espesor seco 90 mils (2.3mm)</v>
          </cell>
        </row>
        <row r="56">
          <cell r="A56">
            <v>54</v>
          </cell>
          <cell r="B56" t="str">
            <v>ML</v>
          </cell>
          <cell r="C56" t="str">
            <v>Suministro y Aplicación de resina Termoplástica  a = 15 cm, para líneas de demarcación, incluye microesfera y espesor seco 90 mils  (2.3mm)</v>
          </cell>
        </row>
        <row r="57">
          <cell r="A57">
            <v>55</v>
          </cell>
          <cell r="B57" t="str">
            <v>ML</v>
          </cell>
          <cell r="C57" t="str">
            <v>Suministro y Aplicación de resina Termoplástica  a = 20 cm, para líneas de demarcación, incluye microesfera y espesor seco 90 mils  (2.3mm)</v>
          </cell>
        </row>
        <row r="58">
          <cell r="A58">
            <v>56</v>
          </cell>
          <cell r="B58" t="str">
            <v>M2</v>
          </cell>
          <cell r="C58" t="str">
            <v>Suministro y Aplicación de resina Termoplástica  para marcas viales, sin microesfera y espesor seco de 90 mils (2.3mm), incluye pictogramas</v>
          </cell>
        </row>
        <row r="59">
          <cell r="A59">
            <v>57</v>
          </cell>
          <cell r="B59" t="str">
            <v>M2</v>
          </cell>
          <cell r="C59" t="str">
            <v>Suministro y Aplicación de resina Termoplástica  para marcas viales, con microesfera y espesor seco de 90 mils (2.3mm), incluye pictogramas</v>
          </cell>
        </row>
        <row r="60">
          <cell r="A60">
            <v>58</v>
          </cell>
          <cell r="B60" t="str">
            <v>ML</v>
          </cell>
          <cell r="C60" t="str">
            <v>Suministro y Aplicación de pintura en plástico en frio metilmetacrilato de 12 cm para líneas de demarcación, con microesfera y espesor seco mínimo de 22 mils (por pulverización o spray)según norma NTC 4744</v>
          </cell>
        </row>
        <row r="61">
          <cell r="A61">
            <v>59</v>
          </cell>
          <cell r="B61" t="str">
            <v>ML</v>
          </cell>
          <cell r="C61" t="str">
            <v>Suministro y Aplicación de pintura en plástico en frio metilmetacrilato de 15 cm para líneas de demarcación, con microesfera y espesor seco mínimo de 22 mils  (por pulverización o spray) según norma NTC 4744</v>
          </cell>
        </row>
        <row r="62">
          <cell r="A62">
            <v>60</v>
          </cell>
          <cell r="B62" t="str">
            <v>ML</v>
          </cell>
          <cell r="C62" t="str">
            <v>Suministro y Aplicación de pintura en plástico en frio metilmetacrilato de 20 cm   para líneas de demarcación, con microesfera y espesor seco mínimo de 22 mils  (por pulverización o spray) según norma NTC 4744</v>
          </cell>
        </row>
        <row r="63">
          <cell r="A63">
            <v>61</v>
          </cell>
          <cell r="B63" t="str">
            <v>M2</v>
          </cell>
          <cell r="C63" t="str">
            <v>Suministro y aplicación de pintura de plástico en frio metilmetacrilato para marcas viales con microesfera y espesor seco mínimo de 22 mils  (por pulverización o spray) según norma NTC 4744, incluye pictogramas</v>
          </cell>
        </row>
        <row r="64">
          <cell r="A64">
            <v>62</v>
          </cell>
          <cell r="B64" t="str">
            <v>M2</v>
          </cell>
          <cell r="C64" t="str">
            <v>Suministro y aplicación de pintura de plástico en frio metilmetacrilato para marcas viales sin microesfera y espesor seco de mínimo de 22 mils (por pulverización o spray) según norma NTC 4744, incluye pictogramas</v>
          </cell>
        </row>
        <row r="65">
          <cell r="A65">
            <v>63</v>
          </cell>
          <cell r="B65" t="str">
            <v>ML</v>
          </cell>
          <cell r="C65" t="str">
            <v>Suministro y Aplicación de pintura en plástico en frio metilmetacrilato de 12 cm para líneas de demarcación, con microesfera y espesor seco de 50 mils (extruible) según norma NTC 4744</v>
          </cell>
        </row>
        <row r="66">
          <cell r="A66">
            <v>64</v>
          </cell>
          <cell r="B66" t="str">
            <v>ML</v>
          </cell>
          <cell r="C66" t="str">
            <v>Suministro y Aplicación de pintura en plástico en frio metilmetacrilato de 15 cm para líneas de demarcación, con microesfera y espesor seco de 50 mils  (extruible) según norma NTC 4744</v>
          </cell>
        </row>
        <row r="67">
          <cell r="A67">
            <v>65</v>
          </cell>
          <cell r="B67" t="str">
            <v>ML</v>
          </cell>
          <cell r="C67" t="str">
            <v>Suministro y Aplicación de pintura en plástico en frio metilmetacrilato de 20 cm   para líneas de demarcación, con microesfera y espesor seco de 50 mils  (extruible) según norma NTC 4744</v>
          </cell>
        </row>
        <row r="68">
          <cell r="A68">
            <v>66</v>
          </cell>
          <cell r="B68" t="str">
            <v>M2</v>
          </cell>
          <cell r="C68" t="str">
            <v>Suministro y aplicación de pintura de plástico en frio metilmetacrilato para marcas viales con microesfera y espesor seco de 50 mils  (extruible) según norma NTC 4744, incluye pictogramas</v>
          </cell>
        </row>
        <row r="69">
          <cell r="A69">
            <v>67</v>
          </cell>
          <cell r="B69" t="str">
            <v>M2</v>
          </cell>
          <cell r="C69" t="str">
            <v>Suministro y aplicación de pintura de plástico en frio metilmetacrilato para marcas viales sin microesfera y espesor seco de 50 mils  (extruible) según norma NTC 4744, incluye pictogramas</v>
          </cell>
        </row>
        <row r="70">
          <cell r="A70">
            <v>68</v>
          </cell>
          <cell r="B70" t="str">
            <v>M2</v>
          </cell>
          <cell r="C70" t="str">
            <v>Suministro y aplicación manual (método llana) de pintura de plástico en frio metilmetacrilato con microesferas para marcas viales de espesor seco de 50 mils  según norma NTC 4744, incluye pictogramas.</v>
          </cell>
        </row>
        <row r="71">
          <cell r="A71">
            <v>69</v>
          </cell>
          <cell r="B71" t="str">
            <v>M2</v>
          </cell>
          <cell r="C71" t="str">
            <v>Suministro y aplicación manual (método llana) de pintura de plástico en frio metilmetacrilato sin microesferas para marcas viales de espesor seco de 50 mils  según norma NTC 4744, incluye pictogramas.</v>
          </cell>
        </row>
        <row r="72">
          <cell r="A72">
            <v>70</v>
          </cell>
          <cell r="B72" t="str">
            <v>M2</v>
          </cell>
          <cell r="C72" t="str">
            <v>Suministro y aplicación manual (método llana) de pintura de plástico en frio metilmetacrilato  pigmentada (verde o naranja o rojo o azul) sin microesferas para marcas viales de espesor seco de 50 mils  según norma NTC 4744, incluye pictogramas.</v>
          </cell>
        </row>
        <row r="73">
          <cell r="A73">
            <v>71</v>
          </cell>
          <cell r="B73" t="str">
            <v>M2</v>
          </cell>
          <cell r="C73" t="str">
            <v>Suministro y aplicación de antideslizante para marcas viales  según norma NTC 2072</v>
          </cell>
        </row>
        <row r="74">
          <cell r="A74">
            <v>72</v>
          </cell>
          <cell r="B74" t="str">
            <v>UND</v>
          </cell>
          <cell r="C74" t="str">
            <v xml:space="preserve">Suministro e instalación de tachas reflectivas bidireccionales. Cumpliendo con los coeficientes de intensidad luminosa de la NTC 4745 (Tabla 1). </v>
          </cell>
        </row>
        <row r="75">
          <cell r="A75">
            <v>73</v>
          </cell>
          <cell r="B75" t="str">
            <v>UND</v>
          </cell>
          <cell r="C75" t="str">
            <v xml:space="preserve">Suministro e instalación de tachas reflectivas bidireccionales con espigo de mínimo 5 cm. Cumpliendo con los coeficientes de intensidad luminosa de la NTC 4745 (Tabla 1). </v>
          </cell>
        </row>
        <row r="76">
          <cell r="A76">
            <v>74</v>
          </cell>
          <cell r="B76" t="str">
            <v>UND</v>
          </cell>
          <cell r="C76" t="str">
            <v>Suministro e instalación de estoperoles plásticos de 10 cm de diámetro y 2 cm de altura (NTC 4745)</v>
          </cell>
        </row>
        <row r="77">
          <cell r="A77">
            <v>75</v>
          </cell>
          <cell r="B77" t="str">
            <v>UND</v>
          </cell>
          <cell r="C77" t="str">
            <v>Suministro y anclaje de estoperoles plásticos con espigo, diámetro mínimo 10 cm y altura máxima 2,5 cm de altura con un espigo de mínimo 5 cm (NTC 4745) Incluye elementos de fijación.</v>
          </cell>
        </row>
        <row r="78">
          <cell r="A78">
            <v>76</v>
          </cell>
          <cell r="B78" t="str">
            <v>UND</v>
          </cell>
          <cell r="C78" t="str">
            <v>Suministro y anclaje de estoperoles metálicos con espigo, diámetro mínimo 10 cm y altura máxima 2,5 cm de altura con un espigo de mínimo 5 cm (NTC 4745) Incluye elementos de fijación.</v>
          </cell>
        </row>
        <row r="79">
          <cell r="A79">
            <v>77</v>
          </cell>
          <cell r="B79" t="str">
            <v>UND</v>
          </cell>
          <cell r="C79" t="str">
            <v>Suministro y anclaje de tachón en resina poliéster de color amarillo con alta resistencia al impacto y material retroreflectivo tipo IV o superior en los costados (Tipo piramidal con base rectangular, con incrustación al pavimento, altura máxima de 6 cm, ancho de 15 cm y largo 25 cm). Incluye accesorios y materiales para fijación.</v>
          </cell>
        </row>
        <row r="80">
          <cell r="A80">
            <v>78</v>
          </cell>
          <cell r="B80" t="str">
            <v>UND</v>
          </cell>
          <cell r="C80" t="str">
            <v>Suministro y anclaje de bordillo traspasable en resina poliéster de color amarillo con alta resistencia al impacto  (Tipo piramidal, largo 40 cm, ancho de 15 cm y altura mínima de 8 cm de acuerdo con la figura 5-18 de la Resolución 1885 de 2015). Incluye accesorios y materiales para fijación.</v>
          </cell>
        </row>
        <row r="81">
          <cell r="A81">
            <v>79</v>
          </cell>
          <cell r="B81" t="str">
            <v>UND</v>
          </cell>
          <cell r="C81" t="str">
            <v>Suministro y anclaje de bordillo traspasable metálico de color amarillo con alta resistencia al impacto  (Tipo piramidal, largo 40 cm, ancho de 15 cm y altura mínima de 8 cm de acuerdo con la figura 5-18 de la Resolución 1885 de 2015). Incluye accesorios y materiales para fijación.</v>
          </cell>
        </row>
        <row r="82">
          <cell r="A82">
            <v>80</v>
          </cell>
          <cell r="B82" t="str">
            <v>UND</v>
          </cell>
          <cell r="C82" t="str">
            <v>Suministro y anclaje de bordillo no traspasable, en concreto de color amarillo con alta resistencia al impacto o concreto de 4000 PSI con varilla de refuerzo de 1/2"  (Tipo piramidal con incrustación al pavimento con cuatro anclajes en varilla de 5/8" de diámetro por 4" de longitud, dimensiones: altura mínima de15 cm, ancho de 20 cm y largo 100 cm). Incluye accesorios y materiales para fijación.</v>
          </cell>
        </row>
        <row r="83">
          <cell r="A83">
            <v>81</v>
          </cell>
          <cell r="B83" t="str">
            <v>UND</v>
          </cell>
          <cell r="C83" t="str">
            <v>Suministro e instalación de Boya metálica de color amarillo, con alta resistencia al impacto, con lentes reflectantes (dimensiones máximas: de 10 cm de altura y 24 cm de base)</v>
          </cell>
        </row>
        <row r="84">
          <cell r="A84">
            <v>82</v>
          </cell>
          <cell r="B84" t="str">
            <v>UND</v>
          </cell>
          <cell r="C84" t="str">
            <v>Suministro e instalación de Boya plástica de color amarillo, con alta resistencia al impacto, con lentes reflectantes (dimensiones máximas: de 10 cm de altura y 24 cm de base)</v>
          </cell>
        </row>
        <row r="85">
          <cell r="A85">
            <v>83</v>
          </cell>
          <cell r="B85" t="str">
            <v>UND</v>
          </cell>
          <cell r="C85" t="str">
            <v>Suministro e instalación de delineador tubular simple (Hito - Figura 5-17A) construido en material sintético flexible de color amarillo con tres bandas de 7,5 cm en papel reflectivo blanco tipo IV o superior, altura mínima 70 cm, diámetro mínimo de 8 cm. Incluye accesorios y materiales para fijación.</v>
          </cell>
        </row>
        <row r="86">
          <cell r="A86">
            <v>84</v>
          </cell>
          <cell r="B86" t="str">
            <v>UND</v>
          </cell>
          <cell r="C86" t="str">
            <v>Suministro e instalación de delineador de corona (hitos de arista) construido en material sintético flexible de color blanco, franja negra y material retroflectivo tipo IV o superior (Tipo "A", fijado en concreto, altura mínima de 75 cm y máxima de 120 cm de acuerdo con la figura 5-2 y 5-3 de la Resolución 1885 de 2015). Incluye accesorios y materiales para fijación.</v>
          </cell>
        </row>
        <row r="87">
          <cell r="A87">
            <v>85</v>
          </cell>
          <cell r="B87" t="str">
            <v>M2</v>
          </cell>
          <cell r="C87" t="str">
            <v>Construcción de bandas sonoras reductoras de velocidad de 1 cm de altura, construida con gravilla de 1/4", pintura de larga duración blanca y resina epoxica</v>
          </cell>
        </row>
        <row r="88">
          <cell r="A88">
            <v>86</v>
          </cell>
          <cell r="B88" t="str">
            <v>M2</v>
          </cell>
          <cell r="C88" t="str">
            <v>Construcción de bandas sonoras reductoras de velocidad de 2 cm de altura, construida con gravilla de 1/2", pintura de larga duración blanca y resina epoxica</v>
          </cell>
        </row>
        <row r="89">
          <cell r="A89">
            <v>87</v>
          </cell>
          <cell r="B89" t="str">
            <v>M2</v>
          </cell>
          <cell r="C89" t="str">
            <v>Construcción de bandas sonoras reductoras de velocidad de 3 cm de altura, construida con gravilla de 1/2", pintura de larga duración blanca y resina epoxica</v>
          </cell>
        </row>
        <row r="90">
          <cell r="A90">
            <v>88</v>
          </cell>
          <cell r="B90" t="str">
            <v>ML</v>
          </cell>
          <cell r="C90" t="str">
            <v>Suministro y anclaje de banda alertadora en resina con alta resistencia al impacto con ancho mínimo de 25 cm y altura máxima de 2 cm. Incluye materiales para la fijación.</v>
          </cell>
        </row>
        <row r="91">
          <cell r="A91">
            <v>89</v>
          </cell>
          <cell r="B91" t="str">
            <v>ML</v>
          </cell>
          <cell r="C91" t="str">
            <v>Suministro y anclaje de resalto portátil de caucho con alta resistencia al impacto con ancho mínimo de 30 cm y altura entre 5 y 8 cm. Incluye accesorios y materiales para fijación.</v>
          </cell>
        </row>
        <row r="92">
          <cell r="A92">
            <v>90</v>
          </cell>
          <cell r="B92" t="str">
            <v>UND</v>
          </cell>
          <cell r="C92" t="str">
            <v>Suministro e instalación de hito de vértice en resina poliéster de color azul con alta resistencia al impacto y material retrorreflectivo tipo IV o superior en la parte superior (Tipo semicilindrico con incrustación al pavimento, altura máxima de 1,20 m a 1,35 m, , ancho de 1,0 m a 1,2 m de acuerdo con la figura 5-13 Resolución 1885 de 2015). Incluye accesorios y materiales para fijación.</v>
          </cell>
        </row>
        <row r="93">
          <cell r="A93">
            <v>91</v>
          </cell>
          <cell r="B93" t="str">
            <v>UND</v>
          </cell>
          <cell r="C93" t="str">
            <v>Suministro e instalación de Baliza luminosa elevada (luz intermitente de color amarillo) dimensiones de acuerdo con la figura  6 -14 de resolución 1885 de 2015.</v>
          </cell>
        </row>
        <row r="94">
          <cell r="A94">
            <v>92</v>
          </cell>
          <cell r="B94" t="str">
            <v>UND</v>
          </cell>
          <cell r="C94" t="str">
            <v>Suministro, instalación y lastrado (con material granular mínimo a ¼ de su altura) de maletín plástico de base mínima de 50 cm por 200 cm y altura mínima de 100 cm, con material reflectivo tipo IV o superior color blanco, incluye transportes, instalación y lastrado.</v>
          </cell>
        </row>
        <row r="95">
          <cell r="A95">
            <v>93</v>
          </cell>
          <cell r="B95" t="str">
            <v>UND</v>
          </cell>
          <cell r="C95" t="str">
            <v>Suministro, instalación y lastrado (con material granular al tope de su altura) de delineador Tubular Tipo Canalizador de 129 cm de altura, incluye transportes, instalación y lastrado con material granular al tope de su altura.</v>
          </cell>
        </row>
        <row r="96">
          <cell r="A96">
            <v>94</v>
          </cell>
          <cell r="B96" t="str">
            <v>ROLLO</v>
          </cell>
          <cell r="C96" t="str">
            <v>Suministro e instalación de Cinta de señalización, de calibre mínimo 2 mm de 10 cm de ancho por 500m de longitud por rollo.</v>
          </cell>
        </row>
        <row r="97">
          <cell r="A97">
            <v>95</v>
          </cell>
          <cell r="B97" t="str">
            <v>M2</v>
          </cell>
          <cell r="C97" t="str">
            <v>Suministro e instalación de pasacalle en tela vendaval.</v>
          </cell>
        </row>
        <row r="98">
          <cell r="A98">
            <v>96</v>
          </cell>
          <cell r="B98" t="str">
            <v>UND</v>
          </cell>
          <cell r="C98" t="str">
            <v>Suministro e instalación de palos rollizos de 6 a 10 cm de diámetro por 5,5 metros de altura.</v>
          </cell>
        </row>
        <row r="99">
          <cell r="A99">
            <v>97</v>
          </cell>
          <cell r="B99" t="str">
            <v>ML</v>
          </cell>
          <cell r="C99" t="str">
            <v>Suministro e instalación  de cierre con polisombra al 65% mixta (azul traslucido-verde) de altura 2,1 metros.</v>
          </cell>
        </row>
        <row r="100">
          <cell r="A100">
            <v>98</v>
          </cell>
          <cell r="B100" t="str">
            <v>UND</v>
          </cell>
          <cell r="C100" t="str">
            <v>Retiro de tachones, hito o resaltos portátiles con su respectivo anclaje, incluye entrega en Patios de la SDM</v>
          </cell>
        </row>
        <row r="101">
          <cell r="A101">
            <v>99</v>
          </cell>
          <cell r="B101" t="str">
            <v>UND</v>
          </cell>
          <cell r="C101" t="str">
            <v>Retiro de tachas reflectivas ó estoperoles con su respectivo anclaje, incluye entrega en Patios de la SDM</v>
          </cell>
        </row>
        <row r="102">
          <cell r="A102">
            <v>100</v>
          </cell>
          <cell r="B102" t="str">
            <v>M2</v>
          </cell>
          <cell r="C102" t="str">
            <v>Retiro de bandas en agregado.</v>
          </cell>
        </row>
        <row r="103">
          <cell r="A103">
            <v>101</v>
          </cell>
          <cell r="B103" t="str">
            <v>UND</v>
          </cell>
          <cell r="C103" t="str">
            <v>Retiro de pasacalle, incluye transporte a patios de la SDM</v>
          </cell>
        </row>
        <row r="104">
          <cell r="A104">
            <v>102</v>
          </cell>
          <cell r="B104" t="str">
            <v>UND</v>
          </cell>
          <cell r="C104" t="str">
            <v>Desmonte y retiro a nivel de Estructura metálica, tableros y/o lamas existentes de señales con pedestal de 4" a 12" de diámetro, Incluye transporte a patios de la SDM</v>
          </cell>
        </row>
        <row r="105">
          <cell r="A105">
            <v>103</v>
          </cell>
          <cell r="B105" t="str">
            <v>M2</v>
          </cell>
          <cell r="C105" t="str">
            <v>Limpieza con hidrolavado</v>
          </cell>
        </row>
        <row r="106">
          <cell r="A106">
            <v>104</v>
          </cell>
          <cell r="B106" t="str">
            <v>M2</v>
          </cell>
          <cell r="C106" t="str">
            <v>Borrado mecánico de marcas viales.</v>
          </cell>
        </row>
        <row r="134">
          <cell r="I134">
            <v>10</v>
          </cell>
        </row>
      </sheetData>
      <sheetData sheetId="3"/>
      <sheetData sheetId="4">
        <row r="2">
          <cell r="A2" t="str">
            <v>MATERIAL / INSUMO</v>
          </cell>
          <cell r="B2" t="str">
            <v>UNIDAD</v>
          </cell>
          <cell r="C2" t="str">
            <v>Observaciones</v>
          </cell>
          <cell r="D2" t="str">
            <v>VALOR FINAL PARA CALCULO DE APU 
(Costo Unitario CON iva)
2019</v>
          </cell>
          <cell r="E2" t="str">
            <v xml:space="preserve">Costo 
Unitario </v>
          </cell>
        </row>
        <row r="3">
          <cell r="A3" t="str">
            <v>Concreto grava común 2000 PSI (140 Kg/cm2)</v>
          </cell>
          <cell r="B3" t="str">
            <v>M3</v>
          </cell>
          <cell r="C3">
            <v>0</v>
          </cell>
          <cell r="D3">
            <v>350860</v>
          </cell>
          <cell r="E3">
            <v>0</v>
          </cell>
        </row>
        <row r="4">
          <cell r="A4" t="str">
            <v>Concreto grava común 2500 PSI (175 Kg/cm2)</v>
          </cell>
          <cell r="B4" t="str">
            <v>M3</v>
          </cell>
          <cell r="C4">
            <v>0</v>
          </cell>
          <cell r="D4">
            <v>392700</v>
          </cell>
          <cell r="E4">
            <v>0</v>
          </cell>
        </row>
        <row r="5">
          <cell r="A5" t="str">
            <v>Concreto grava común 3000 PSI (210 Kg/cm2)</v>
          </cell>
          <cell r="B5" t="str">
            <v>M3</v>
          </cell>
          <cell r="C5">
            <v>0</v>
          </cell>
          <cell r="D5">
            <v>403410</v>
          </cell>
          <cell r="E5">
            <v>0</v>
          </cell>
        </row>
        <row r="6">
          <cell r="A6" t="str">
            <v>Concreto grava común 3500 PSI (245 Kg/cm2)</v>
          </cell>
          <cell r="B6" t="str">
            <v>M3</v>
          </cell>
          <cell r="C6">
            <v>0</v>
          </cell>
          <cell r="D6">
            <v>387770</v>
          </cell>
          <cell r="E6">
            <v>0</v>
          </cell>
        </row>
        <row r="7">
          <cell r="A7" t="str">
            <v>Gasolina Corriente</v>
          </cell>
          <cell r="B7" t="str">
            <v>GALON</v>
          </cell>
          <cell r="C7">
            <v>0</v>
          </cell>
          <cell r="D7">
            <v>10000</v>
          </cell>
          <cell r="E7">
            <v>0</v>
          </cell>
        </row>
        <row r="8">
          <cell r="A8" t="str">
            <v>Acero Figurado No. 2 (Ø 1/4") F'Y=37000 PSI</v>
          </cell>
          <cell r="B8" t="str">
            <v>KG</v>
          </cell>
          <cell r="C8">
            <v>0</v>
          </cell>
          <cell r="D8">
            <v>2856</v>
          </cell>
          <cell r="E8">
            <v>0</v>
          </cell>
        </row>
        <row r="9">
          <cell r="A9" t="str">
            <v>Acero Figurado No. 4 (Ø 1/2") F'Y=60000 PSI</v>
          </cell>
          <cell r="B9" t="str">
            <v>KG</v>
          </cell>
          <cell r="C9">
            <v>0.99</v>
          </cell>
          <cell r="D9">
            <v>2737</v>
          </cell>
          <cell r="E9">
            <v>0</v>
          </cell>
        </row>
        <row r="10">
          <cell r="A10" t="str">
            <v>Ángulo Metálico de 2"X2"X1/4" L=6m</v>
          </cell>
          <cell r="B10" t="str">
            <v>ML</v>
          </cell>
          <cell r="C10">
            <v>0</v>
          </cell>
          <cell r="D10">
            <v>14583</v>
          </cell>
          <cell r="E10">
            <v>0</v>
          </cell>
        </row>
        <row r="11">
          <cell r="A11" t="str">
            <v>Ángulo Metálico de 2"X2"X1/4" L=7m</v>
          </cell>
          <cell r="B11" t="str">
            <v>UNIDAD (7M)</v>
          </cell>
          <cell r="C11">
            <v>0</v>
          </cell>
          <cell r="D11">
            <v>0</v>
          </cell>
          <cell r="E11">
            <v>0</v>
          </cell>
        </row>
        <row r="12">
          <cell r="A12" t="str">
            <v>Ángulo Metálico de 2"X2"X1/8" L=6m</v>
          </cell>
          <cell r="B12" t="str">
            <v>ML</v>
          </cell>
          <cell r="C12">
            <v>0</v>
          </cell>
          <cell r="D12">
            <v>7550</v>
          </cell>
          <cell r="E12">
            <v>0</v>
          </cell>
        </row>
        <row r="13">
          <cell r="A13" t="str">
            <v>Broca para concreto de 1/2"</v>
          </cell>
          <cell r="B13" t="str">
            <v>UNIDAD</v>
          </cell>
          <cell r="C13">
            <v>0</v>
          </cell>
          <cell r="D13">
            <v>18313</v>
          </cell>
          <cell r="E13">
            <v>0</v>
          </cell>
        </row>
        <row r="14">
          <cell r="A14" t="str">
            <v>Broca tungsteno de 5/8"</v>
          </cell>
          <cell r="B14" t="str">
            <v>UNIDAD</v>
          </cell>
          <cell r="C14">
            <v>0</v>
          </cell>
          <cell r="D14">
            <v>0</v>
          </cell>
          <cell r="E14">
            <v>0</v>
          </cell>
        </row>
        <row r="15">
          <cell r="A15" t="str">
            <v>Broca de 1/2"</v>
          </cell>
          <cell r="B15" t="str">
            <v>UNIDAD</v>
          </cell>
          <cell r="C15">
            <v>0</v>
          </cell>
          <cell r="D15">
            <v>27000</v>
          </cell>
          <cell r="E15">
            <v>0</v>
          </cell>
        </row>
        <row r="16">
          <cell r="A16" t="str">
            <v>Chazo ancla de cuna 1/2 X 4 1/2</v>
          </cell>
          <cell r="B16" t="str">
            <v>UND</v>
          </cell>
          <cell r="C16">
            <v>0</v>
          </cell>
          <cell r="D16">
            <v>1369</v>
          </cell>
          <cell r="E16">
            <v>0</v>
          </cell>
        </row>
        <row r="17">
          <cell r="A17" t="str">
            <v>Disco para pulidora Corte abrasivo 4 1/2 X 1/8"</v>
          </cell>
          <cell r="B17" t="str">
            <v>UNIDAD</v>
          </cell>
          <cell r="C17">
            <v>0</v>
          </cell>
          <cell r="D17">
            <v>4301</v>
          </cell>
          <cell r="E17">
            <v>0</v>
          </cell>
        </row>
        <row r="18">
          <cell r="A18" t="str">
            <v>Grava común 3/4 de 2000 PSI</v>
          </cell>
          <cell r="B18" t="str">
            <v>M3</v>
          </cell>
          <cell r="C18">
            <v>0</v>
          </cell>
          <cell r="D18">
            <v>0</v>
          </cell>
          <cell r="E18">
            <v>0</v>
          </cell>
        </row>
        <row r="19">
          <cell r="A19" t="str">
            <v>Grava común 3/4 de 3500 PSI</v>
          </cell>
          <cell r="B19" t="str">
            <v>M3</v>
          </cell>
          <cell r="C19">
            <v>0</v>
          </cell>
          <cell r="D19">
            <v>0</v>
          </cell>
          <cell r="E19">
            <v>0</v>
          </cell>
        </row>
        <row r="20">
          <cell r="A20" t="str">
            <v>Grava común 3/4 impermeable de 2000 PSI</v>
          </cell>
          <cell r="B20" t="str">
            <v>M3</v>
          </cell>
          <cell r="C20">
            <v>0</v>
          </cell>
          <cell r="D20">
            <v>0</v>
          </cell>
          <cell r="E20">
            <v>0</v>
          </cell>
        </row>
        <row r="21">
          <cell r="A21" t="str">
            <v>Grava común 3/4 impermeable de 3500 PSI</v>
          </cell>
          <cell r="B21" t="str">
            <v>M3</v>
          </cell>
          <cell r="C21">
            <v>0</v>
          </cell>
          <cell r="D21">
            <v>0</v>
          </cell>
          <cell r="E21">
            <v>0</v>
          </cell>
        </row>
        <row r="22">
          <cell r="A22" t="str">
            <v>Varilla Corrugada de 1/2 "</v>
          </cell>
          <cell r="B22" t="str">
            <v>UND</v>
          </cell>
          <cell r="C22">
            <v>0</v>
          </cell>
          <cell r="D22">
            <v>0</v>
          </cell>
          <cell r="E22">
            <v>0</v>
          </cell>
        </row>
        <row r="23">
          <cell r="A23" t="str">
            <v>Gravilla de 1/2"</v>
          </cell>
          <cell r="B23" t="str">
            <v>M3</v>
          </cell>
          <cell r="C23">
            <v>0</v>
          </cell>
          <cell r="D23">
            <v>108290</v>
          </cell>
          <cell r="E23">
            <v>0</v>
          </cell>
        </row>
        <row r="24">
          <cell r="A24" t="str">
            <v>Gravilla de 1/4"</v>
          </cell>
          <cell r="B24" t="str">
            <v>M3</v>
          </cell>
          <cell r="C24">
            <v>0</v>
          </cell>
          <cell r="D24">
            <v>227500</v>
          </cell>
          <cell r="E24">
            <v>0</v>
          </cell>
        </row>
        <row r="25">
          <cell r="A25" t="str">
            <v>Lámina Galvanizada C 16 2X1</v>
          </cell>
          <cell r="B25" t="str">
            <v>M2</v>
          </cell>
          <cell r="C25">
            <v>0</v>
          </cell>
          <cell r="D25">
            <v>50374</v>
          </cell>
          <cell r="E25">
            <v>0</v>
          </cell>
        </row>
        <row r="26">
          <cell r="A26" t="str">
            <v>Lámina Galvanizada C16 1,22 x 2,44</v>
          </cell>
          <cell r="B26" t="str">
            <v>M2</v>
          </cell>
          <cell r="C26">
            <v>0</v>
          </cell>
          <cell r="D26">
            <v>50352</v>
          </cell>
          <cell r="E26">
            <v>0</v>
          </cell>
        </row>
        <row r="27">
          <cell r="A27" t="str">
            <v>Lámina Galvanizada C 22 2X1</v>
          </cell>
          <cell r="B27" t="str">
            <v>M2</v>
          </cell>
          <cell r="C27">
            <v>0</v>
          </cell>
          <cell r="D27">
            <v>0</v>
          </cell>
          <cell r="E27">
            <v>0</v>
          </cell>
        </row>
        <row r="28">
          <cell r="A28" t="str">
            <v>Lámina Galvanizada C 22 1,22 x 2,44</v>
          </cell>
          <cell r="B28" t="str">
            <v>M2</v>
          </cell>
          <cell r="C28">
            <v>0</v>
          </cell>
          <cell r="D28">
            <v>0</v>
          </cell>
          <cell r="E28">
            <v>0</v>
          </cell>
        </row>
        <row r="29">
          <cell r="A29" t="str">
            <v>Listón en madera 10X20cm</v>
          </cell>
          <cell r="B29" t="str">
            <v>ML</v>
          </cell>
          <cell r="C29">
            <v>0</v>
          </cell>
          <cell r="D29">
            <v>0</v>
          </cell>
          <cell r="E29">
            <v>0</v>
          </cell>
        </row>
        <row r="30">
          <cell r="A30" t="str">
            <v>Tubo estructural cuadrado de 50X50X5 mm</v>
          </cell>
          <cell r="B30" t="str">
            <v>ML</v>
          </cell>
          <cell r="C30">
            <v>0</v>
          </cell>
          <cell r="D30">
            <v>0</v>
          </cell>
          <cell r="E30">
            <v>0</v>
          </cell>
        </row>
        <row r="31">
          <cell r="A31" t="str">
            <v>Tubo estructural cuadrado de 50X50X3 mm</v>
          </cell>
          <cell r="B31" t="str">
            <v>ML</v>
          </cell>
          <cell r="C31">
            <v>0</v>
          </cell>
          <cell r="D31">
            <v>0</v>
          </cell>
          <cell r="E31">
            <v>0</v>
          </cell>
        </row>
        <row r="32">
          <cell r="A32" t="str">
            <v>Lamina imantada de 0,8X620</v>
          </cell>
          <cell r="B32" t="str">
            <v>ML</v>
          </cell>
          <cell r="C32">
            <v>0</v>
          </cell>
          <cell r="D32">
            <v>0</v>
          </cell>
          <cell r="E32">
            <v>0</v>
          </cell>
        </row>
        <row r="33">
          <cell r="A33" t="str">
            <v>Manila 3/8"</v>
          </cell>
          <cell r="B33" t="str">
            <v>ML</v>
          </cell>
          <cell r="C33">
            <v>0</v>
          </cell>
          <cell r="D33">
            <v>790</v>
          </cell>
          <cell r="E33">
            <v>0</v>
          </cell>
        </row>
        <row r="34">
          <cell r="A34" t="str">
            <v>Tubo estructural cuadrado de 50X50X2 mm</v>
          </cell>
          <cell r="B34" t="str">
            <v>ML</v>
          </cell>
          <cell r="C34">
            <v>0</v>
          </cell>
          <cell r="D34">
            <v>0</v>
          </cell>
          <cell r="E34">
            <v>0</v>
          </cell>
        </row>
        <row r="35">
          <cell r="A35" t="str">
            <v>Tornillos hexagonal de 1/2" X 2" (incluye tuerca y arandela)</v>
          </cell>
          <cell r="B35" t="str">
            <v>UNIDAD</v>
          </cell>
          <cell r="C35">
            <v>0</v>
          </cell>
          <cell r="D35">
            <v>966</v>
          </cell>
          <cell r="E35">
            <v>0</v>
          </cell>
        </row>
        <row r="36">
          <cell r="A36" t="str">
            <v>Tornillo hexagonal zinc 1/2 x 4", arandela de presión zincada y tuerca de seguridad.</v>
          </cell>
          <cell r="B36" t="str">
            <v>UNIDAD</v>
          </cell>
          <cell r="C36">
            <v>0</v>
          </cell>
          <cell r="D36">
            <v>0</v>
          </cell>
          <cell r="E36">
            <v>0</v>
          </cell>
        </row>
        <row r="37">
          <cell r="A37" t="str">
            <v>Alambre negro de amarre</v>
          </cell>
          <cell r="B37" t="str">
            <v>Kg</v>
          </cell>
          <cell r="C37">
            <v>0</v>
          </cell>
          <cell r="D37">
            <v>3927</v>
          </cell>
          <cell r="E37">
            <v>0</v>
          </cell>
        </row>
        <row r="38">
          <cell r="A38" t="str">
            <v>Pretal</v>
          </cell>
          <cell r="B38" t="str">
            <v>UNIDAD</v>
          </cell>
          <cell r="C38">
            <v>0</v>
          </cell>
          <cell r="D38">
            <v>141300</v>
          </cell>
          <cell r="E38">
            <v>0</v>
          </cell>
        </row>
        <row r="39">
          <cell r="A39" t="str">
            <v>PUNTILLA ACERADA DE 1"</v>
          </cell>
          <cell r="B39" t="str">
            <v>LIBRA</v>
          </cell>
          <cell r="C39">
            <v>0</v>
          </cell>
          <cell r="D39">
            <v>0</v>
          </cell>
          <cell r="E39">
            <v>0</v>
          </cell>
        </row>
        <row r="40">
          <cell r="A40" t="str">
            <v>Puntilla acerada 2" X 1/2 "</v>
          </cell>
          <cell r="B40" t="str">
            <v>LIBRA</v>
          </cell>
          <cell r="C40">
            <v>0</v>
          </cell>
          <cell r="D40">
            <v>5100</v>
          </cell>
          <cell r="E40">
            <v>0</v>
          </cell>
        </row>
        <row r="41">
          <cell r="A41" t="str">
            <v>Recebo común (suministro y transporte, no compacto)</v>
          </cell>
          <cell r="B41" t="str">
            <v>M3</v>
          </cell>
          <cell r="C41">
            <v>0</v>
          </cell>
          <cell r="D41">
            <v>9818</v>
          </cell>
          <cell r="E41">
            <v>0</v>
          </cell>
        </row>
        <row r="42">
          <cell r="A42" t="str">
            <v>Remaches con arandelas de 1"</v>
          </cell>
          <cell r="B42" t="str">
            <v>UNIDAD</v>
          </cell>
          <cell r="C42">
            <v>0</v>
          </cell>
          <cell r="D42">
            <v>0</v>
          </cell>
          <cell r="E42">
            <v>0</v>
          </cell>
        </row>
        <row r="43">
          <cell r="A43" t="str">
            <v>Rollizo (altura mínima 6,0 m)</v>
          </cell>
          <cell r="B43" t="str">
            <v>ML</v>
          </cell>
          <cell r="C43">
            <v>0</v>
          </cell>
          <cell r="D43">
            <v>2013</v>
          </cell>
          <cell r="E43">
            <v>0</v>
          </cell>
        </row>
        <row r="44">
          <cell r="A44" t="str">
            <v>Listón en madera de 3X3cm</v>
          </cell>
          <cell r="B44" t="str">
            <v>ML</v>
          </cell>
          <cell r="C44">
            <v>0</v>
          </cell>
          <cell r="D44">
            <v>1190</v>
          </cell>
          <cell r="E44">
            <v>0</v>
          </cell>
        </row>
        <row r="45">
          <cell r="A45" t="str">
            <v>Listón en madera de 2X2cm</v>
          </cell>
          <cell r="B45" t="str">
            <v>ML</v>
          </cell>
          <cell r="C45">
            <v>0</v>
          </cell>
          <cell r="D45">
            <v>863</v>
          </cell>
          <cell r="E45">
            <v>0</v>
          </cell>
        </row>
        <row r="46">
          <cell r="A46" t="str">
            <v>Soldadura</v>
          </cell>
          <cell r="B46" t="str">
            <v>KG</v>
          </cell>
          <cell r="C46">
            <v>0</v>
          </cell>
          <cell r="D46">
            <v>11000</v>
          </cell>
          <cell r="E46">
            <v>0</v>
          </cell>
        </row>
        <row r="47">
          <cell r="A47" t="str">
            <v>Polisombra al 65% mixta (azul traslucido-verde) de altura 2,1 metros (Tela de cerramiento mixta)</v>
          </cell>
          <cell r="B47" t="str">
            <v>ML</v>
          </cell>
          <cell r="C47">
            <v>0</v>
          </cell>
          <cell r="D47">
            <v>1909</v>
          </cell>
          <cell r="E47">
            <v>0</v>
          </cell>
        </row>
        <row r="48">
          <cell r="A48" t="str">
            <v xml:space="preserve">TINNER </v>
          </cell>
          <cell r="B48" t="str">
            <v>GALON</v>
          </cell>
          <cell r="C48">
            <v>0</v>
          </cell>
          <cell r="D48">
            <v>0</v>
          </cell>
          <cell r="E48">
            <v>0</v>
          </cell>
        </row>
        <row r="49">
          <cell r="A49" t="str">
            <v>Juego de tornillos 5/16  (incluye tuerca y arandela) y remaches</v>
          </cell>
          <cell r="B49" t="str">
            <v>UNIDAD</v>
          </cell>
          <cell r="C49">
            <v>0</v>
          </cell>
          <cell r="D49">
            <v>377</v>
          </cell>
          <cell r="E49">
            <v>0</v>
          </cell>
        </row>
        <row r="50">
          <cell r="A50" t="str">
            <v>Tubo galvanizado de 2" X 3,9 mm espesor de pared</v>
          </cell>
          <cell r="B50" t="str">
            <v>ML</v>
          </cell>
          <cell r="C50">
            <v>0</v>
          </cell>
          <cell r="D50">
            <v>20493</v>
          </cell>
          <cell r="E50">
            <v>0</v>
          </cell>
        </row>
        <row r="51">
          <cell r="A51" t="str">
            <v>PINTURA AL DUCO (PARA SEÑALES VERTICALES)</v>
          </cell>
          <cell r="B51" t="str">
            <v>M2</v>
          </cell>
          <cell r="C51">
            <v>0</v>
          </cell>
          <cell r="D51">
            <v>0</v>
          </cell>
          <cell r="E51">
            <v>0</v>
          </cell>
        </row>
        <row r="52">
          <cell r="A52" t="str">
            <v>Pintura electrostática (incluye limpieza)</v>
          </cell>
          <cell r="B52" t="str">
            <v>KG</v>
          </cell>
          <cell r="C52">
            <v>0</v>
          </cell>
          <cell r="D52">
            <v>16407</v>
          </cell>
          <cell r="E52">
            <v>0</v>
          </cell>
        </row>
        <row r="53">
          <cell r="A53" t="str">
            <v>Pintura electrostática (incluye limpieza) m2</v>
          </cell>
          <cell r="B53" t="str">
            <v>M2</v>
          </cell>
          <cell r="C53">
            <v>0</v>
          </cell>
          <cell r="D53">
            <v>0</v>
          </cell>
          <cell r="E53">
            <v>0</v>
          </cell>
        </row>
        <row r="54">
          <cell r="A54" t="str">
            <v>Platina de 1/4”Ø 20 cm, con cartelas en 4 lados.</v>
          </cell>
          <cell r="B54" t="str">
            <v>UNIDAD</v>
          </cell>
          <cell r="C54">
            <v>0</v>
          </cell>
          <cell r="D54">
            <v>0</v>
          </cell>
          <cell r="E54">
            <v>0</v>
          </cell>
        </row>
        <row r="55">
          <cell r="A55" t="str">
            <v>Cartela en platina de 1/4" de 5X10cm</v>
          </cell>
          <cell r="B55" t="str">
            <v>UNIDAD</v>
          </cell>
          <cell r="C55">
            <v>0</v>
          </cell>
          <cell r="D55">
            <v>41665</v>
          </cell>
          <cell r="E55">
            <v>0</v>
          </cell>
        </row>
        <row r="56">
          <cell r="A56" t="str">
            <v>Platina de 1/4" con diámetro de 20cm</v>
          </cell>
          <cell r="B56" t="str">
            <v>UNIDAD</v>
          </cell>
          <cell r="C56">
            <v>0</v>
          </cell>
          <cell r="D56">
            <v>2837</v>
          </cell>
          <cell r="E56">
            <v>0</v>
          </cell>
        </row>
        <row r="57">
          <cell r="A57" t="str">
            <v>Tapas galvanizado para tubo de 2"</v>
          </cell>
          <cell r="B57" t="str">
            <v>UNIDAD</v>
          </cell>
          <cell r="C57">
            <v>0</v>
          </cell>
          <cell r="D57">
            <v>2556</v>
          </cell>
          <cell r="E57">
            <v>0</v>
          </cell>
        </row>
        <row r="58">
          <cell r="A58" t="str">
            <v>Platina 600mmX50mm con espesor de 3 mm</v>
          </cell>
          <cell r="B58" t="str">
            <v>UNIDAD</v>
          </cell>
          <cell r="C58">
            <v>0</v>
          </cell>
          <cell r="D58">
            <v>0</v>
          </cell>
          <cell r="E58">
            <v>0</v>
          </cell>
        </row>
        <row r="59">
          <cell r="A59" t="str">
            <v>Platina 400mmX50mm con espesor de 3 mm</v>
          </cell>
          <cell r="B59" t="str">
            <v>UNIDAD</v>
          </cell>
          <cell r="C59">
            <v>0</v>
          </cell>
          <cell r="D59">
            <v>0</v>
          </cell>
          <cell r="E59">
            <v>0</v>
          </cell>
        </row>
        <row r="60">
          <cell r="A60" t="str">
            <v>Gas propano</v>
          </cell>
          <cell r="B60" t="str">
            <v>Lb</v>
          </cell>
          <cell r="C60">
            <v>0</v>
          </cell>
          <cell r="D60">
            <v>0</v>
          </cell>
          <cell r="E60">
            <v>0</v>
          </cell>
        </row>
        <row r="61">
          <cell r="A61" t="str">
            <v>Papel Reflectivo Grado Ingeniería (I) de 24"</v>
          </cell>
          <cell r="B61" t="str">
            <v>m2</v>
          </cell>
          <cell r="C61">
            <v>0</v>
          </cell>
          <cell r="D61">
            <v>52350</v>
          </cell>
          <cell r="E61">
            <v>0</v>
          </cell>
        </row>
        <row r="62">
          <cell r="A62" t="str">
            <v>Papel Reflectivo Grado Ingeniería (I) de 30"</v>
          </cell>
          <cell r="B62" t="str">
            <v>m2</v>
          </cell>
          <cell r="C62">
            <v>0</v>
          </cell>
          <cell r="D62">
            <v>0</v>
          </cell>
          <cell r="E62">
            <v>0</v>
          </cell>
        </row>
        <row r="63">
          <cell r="A63" t="str">
            <v>Papel Reflectivo Grado Ingeniería (I) de 36"</v>
          </cell>
          <cell r="B63" t="str">
            <v>m2</v>
          </cell>
          <cell r="C63">
            <v>0</v>
          </cell>
          <cell r="D63">
            <v>0</v>
          </cell>
          <cell r="E63">
            <v>0</v>
          </cell>
        </row>
        <row r="64">
          <cell r="A64" t="str">
            <v>Papel Reflectivo Grado Ingeniería (I) de 48"</v>
          </cell>
          <cell r="B64" t="str">
            <v>m2</v>
          </cell>
          <cell r="C64">
            <v>0</v>
          </cell>
          <cell r="D64">
            <v>0</v>
          </cell>
          <cell r="E64">
            <v>0</v>
          </cell>
        </row>
        <row r="65">
          <cell r="A65" t="str">
            <v>Papel Reflectivo prismático Alta intensidad Tipo IV de 24"</v>
          </cell>
          <cell r="B65" t="str">
            <v>m2</v>
          </cell>
          <cell r="C65">
            <v>0</v>
          </cell>
          <cell r="D65">
            <v>88730</v>
          </cell>
          <cell r="E65">
            <v>0</v>
          </cell>
        </row>
        <row r="66">
          <cell r="A66" t="str">
            <v>Papel Reflectivo prismático Alta intensidad Tipo IV de 30"</v>
          </cell>
          <cell r="B66" t="str">
            <v>m2</v>
          </cell>
          <cell r="C66">
            <v>0</v>
          </cell>
          <cell r="D66">
            <v>88901</v>
          </cell>
          <cell r="E66">
            <v>0</v>
          </cell>
        </row>
        <row r="67">
          <cell r="A67" t="str">
            <v>Papel Reflectivo prismático Alta intensidad Tipo IV de 36"</v>
          </cell>
          <cell r="B67" t="str">
            <v>m2</v>
          </cell>
          <cell r="C67">
            <v>0</v>
          </cell>
          <cell r="D67">
            <v>89015</v>
          </cell>
          <cell r="E67">
            <v>0</v>
          </cell>
        </row>
        <row r="68">
          <cell r="A68" t="str">
            <v>Papel Reflectivo prismático Alta intensidad Tipo IV de 48"</v>
          </cell>
          <cell r="B68" t="str">
            <v>m2</v>
          </cell>
          <cell r="C68">
            <v>0</v>
          </cell>
          <cell r="D68">
            <v>0</v>
          </cell>
          <cell r="E68">
            <v>0</v>
          </cell>
        </row>
        <row r="69">
          <cell r="A69" t="str">
            <v>Película Antigrafitti de 48"</v>
          </cell>
          <cell r="B69" t="str">
            <v>m2</v>
          </cell>
          <cell r="C69">
            <v>0</v>
          </cell>
          <cell r="D69">
            <v>217403</v>
          </cell>
          <cell r="E69">
            <v>0</v>
          </cell>
        </row>
        <row r="70">
          <cell r="A70" t="str">
            <v>Película Antigrafitti de 54"</v>
          </cell>
          <cell r="B70" t="str">
            <v>m2</v>
          </cell>
          <cell r="C70">
            <v>0</v>
          </cell>
          <cell r="D70">
            <v>0</v>
          </cell>
          <cell r="E70">
            <v>0</v>
          </cell>
        </row>
        <row r="71">
          <cell r="A71" t="str">
            <v>Tinta traslucida para cinta reflectiva</v>
          </cell>
          <cell r="B71" t="str">
            <v>GALON</v>
          </cell>
          <cell r="C71">
            <v>0</v>
          </cell>
          <cell r="D71">
            <v>0</v>
          </cell>
          <cell r="E71">
            <v>0</v>
          </cell>
        </row>
        <row r="72">
          <cell r="A72" t="str">
            <v>Papel Reflectivo Tipo XI de 24"</v>
          </cell>
          <cell r="B72" t="str">
            <v>m2</v>
          </cell>
          <cell r="C72">
            <v>0</v>
          </cell>
          <cell r="D72">
            <v>104700</v>
          </cell>
          <cell r="E72">
            <v>0</v>
          </cell>
        </row>
        <row r="73">
          <cell r="A73" t="str">
            <v>Papel Reflectivo Tipo XI de 30"</v>
          </cell>
          <cell r="B73" t="str">
            <v>m2</v>
          </cell>
          <cell r="C73">
            <v>0</v>
          </cell>
          <cell r="D73">
            <v>104890</v>
          </cell>
          <cell r="E73">
            <v>0</v>
          </cell>
        </row>
        <row r="74">
          <cell r="A74" t="str">
            <v>Papel Reflectivo Tipo XI de 36"</v>
          </cell>
          <cell r="B74" t="str">
            <v>m2</v>
          </cell>
          <cell r="C74">
            <v>0</v>
          </cell>
          <cell r="D74">
            <v>104988</v>
          </cell>
          <cell r="E74">
            <v>0</v>
          </cell>
        </row>
        <row r="75">
          <cell r="A75" t="str">
            <v>Papel Reflectivo Tipo XI de 48"</v>
          </cell>
          <cell r="B75" t="str">
            <v>m2</v>
          </cell>
          <cell r="C75">
            <v>0</v>
          </cell>
          <cell r="D75">
            <v>0</v>
          </cell>
          <cell r="E75">
            <v>0</v>
          </cell>
        </row>
        <row r="76">
          <cell r="A76" t="str">
            <v xml:space="preserve">Papeleria </v>
          </cell>
          <cell r="B76" t="str">
            <v>Global</v>
          </cell>
          <cell r="C76">
            <v>0</v>
          </cell>
          <cell r="D76">
            <v>15292</v>
          </cell>
          <cell r="E76">
            <v>0</v>
          </cell>
        </row>
        <row r="77">
          <cell r="A77" t="str">
            <v>Disolvente ajustador lento XILOL</v>
          </cell>
          <cell r="B77" t="str">
            <v>GALON</v>
          </cell>
          <cell r="C77">
            <v>0</v>
          </cell>
          <cell r="D77">
            <v>27744</v>
          </cell>
          <cell r="E77">
            <v>0</v>
          </cell>
        </row>
        <row r="78">
          <cell r="A78" t="str">
            <v>Imprimante acrílico negro</v>
          </cell>
          <cell r="B78" t="str">
            <v>GALON</v>
          </cell>
          <cell r="C78">
            <v>0</v>
          </cell>
          <cell r="D78">
            <v>54657</v>
          </cell>
          <cell r="E78">
            <v>0</v>
          </cell>
        </row>
        <row r="79">
          <cell r="A79" t="str">
            <v>Imprimante transparente para termoplástico</v>
          </cell>
          <cell r="B79" t="str">
            <v>GALON</v>
          </cell>
          <cell r="C79">
            <v>0</v>
          </cell>
          <cell r="D79">
            <v>29129</v>
          </cell>
          <cell r="E79">
            <v>0</v>
          </cell>
        </row>
        <row r="80">
          <cell r="A80" t="str">
            <v>Microesfera de vidrio</v>
          </cell>
          <cell r="B80" t="str">
            <v>KILO</v>
          </cell>
          <cell r="C80">
            <v>0</v>
          </cell>
          <cell r="D80">
            <v>3813</v>
          </cell>
          <cell r="E80">
            <v>0</v>
          </cell>
        </row>
        <row r="81">
          <cell r="A81" t="str">
            <v>Pegante Epoxico</v>
          </cell>
          <cell r="B81" t="str">
            <v>KILO</v>
          </cell>
          <cell r="C81">
            <v>0</v>
          </cell>
          <cell r="D81">
            <v>16363</v>
          </cell>
          <cell r="E81">
            <v>0</v>
          </cell>
        </row>
        <row r="82">
          <cell r="A82" t="str">
            <v>Pintura acrílica base de agua blanca y amarilla</v>
          </cell>
          <cell r="B82" t="str">
            <v>GALON</v>
          </cell>
          <cell r="C82">
            <v>0</v>
          </cell>
          <cell r="D82">
            <v>47082</v>
          </cell>
          <cell r="E82">
            <v>0</v>
          </cell>
        </row>
        <row r="83">
          <cell r="A83" t="str">
            <v>Pintura acrílica base de agua negra</v>
          </cell>
          <cell r="B83" t="str">
            <v>GALON</v>
          </cell>
          <cell r="C83">
            <v>0</v>
          </cell>
          <cell r="D83">
            <v>70001</v>
          </cell>
          <cell r="E83">
            <v>0</v>
          </cell>
        </row>
        <row r="84">
          <cell r="A84" t="str">
            <v>Pintura acrílica base solvente blanca y amarilla</v>
          </cell>
          <cell r="B84" t="str">
            <v>GALON</v>
          </cell>
          <cell r="C84">
            <v>0</v>
          </cell>
          <cell r="D84">
            <v>60000</v>
          </cell>
          <cell r="E84">
            <v>0</v>
          </cell>
        </row>
        <row r="85">
          <cell r="A85" t="str">
            <v>Pintura acrílica base agua PIGMENTADA (verde, naranja, rojo o azul)</v>
          </cell>
          <cell r="B85" t="str">
            <v>GALON</v>
          </cell>
          <cell r="C85">
            <v>0</v>
          </cell>
          <cell r="D85">
            <v>71400</v>
          </cell>
          <cell r="E85">
            <v>0</v>
          </cell>
        </row>
        <row r="86">
          <cell r="A86" t="str">
            <v>Pintura acrílica base solvente PIGMENTADA (verde, naranja, rojo o azul)</v>
          </cell>
          <cell r="B86" t="str">
            <v>GALON</v>
          </cell>
          <cell r="C86">
            <v>0</v>
          </cell>
          <cell r="D86">
            <v>63925</v>
          </cell>
          <cell r="E86">
            <v>0</v>
          </cell>
        </row>
        <row r="87">
          <cell r="A87" t="str">
            <v xml:space="preserve">Pintura o resina termoplástica </v>
          </cell>
          <cell r="B87" t="str">
            <v>KG</v>
          </cell>
          <cell r="C87">
            <v>0</v>
          </cell>
          <cell r="D87">
            <v>7030</v>
          </cell>
          <cell r="E87">
            <v>0</v>
          </cell>
        </row>
        <row r="88">
          <cell r="A88" t="str">
            <v>Pintura plástico en frio Metil Metacrilato blanca o amarilla -  Extrusión (98:2)</v>
          </cell>
          <cell r="B88" t="str">
            <v>GALON</v>
          </cell>
          <cell r="C88">
            <v>0</v>
          </cell>
          <cell r="D88">
            <v>87761</v>
          </cell>
          <cell r="E88">
            <v>0</v>
          </cell>
        </row>
        <row r="89">
          <cell r="A89" t="str">
            <v>Pintura plástico en frio Metil Metacrilato blanca o amarilla - para aplicación con llana (98:2), incluye catalizador</v>
          </cell>
          <cell r="B89" t="str">
            <v>GALON</v>
          </cell>
          <cell r="C89">
            <v>0</v>
          </cell>
          <cell r="D89">
            <v>83300</v>
          </cell>
          <cell r="E89">
            <v>0</v>
          </cell>
        </row>
        <row r="90">
          <cell r="A90" t="str">
            <v>Pintura plástico en frio Metil Metacrilato PIGMENTADA (NARANJA - VERDE - ROJO - AZUL) - para aplicación con llana (98:2), incluye catalizador</v>
          </cell>
          <cell r="B90" t="str">
            <v>GALON</v>
          </cell>
          <cell r="C90">
            <v>0</v>
          </cell>
          <cell r="D90">
            <v>92820</v>
          </cell>
          <cell r="E90">
            <v>0</v>
          </cell>
        </row>
        <row r="91">
          <cell r="A91" t="str">
            <v>Pintura plástico en frio Metil Metacrilato blanca o amarilla - Spray (1:1)</v>
          </cell>
          <cell r="B91" t="str">
            <v>GALON</v>
          </cell>
          <cell r="C91">
            <v>0</v>
          </cell>
          <cell r="D91">
            <v>91452</v>
          </cell>
          <cell r="E91">
            <v>0</v>
          </cell>
        </row>
        <row r="92">
          <cell r="A92" t="str">
            <v>Antideslizante – SUPER GRIP</v>
          </cell>
          <cell r="B92" t="str">
            <v>KG</v>
          </cell>
          <cell r="C92">
            <v>0</v>
          </cell>
          <cell r="D92">
            <v>24225</v>
          </cell>
          <cell r="E92">
            <v>0</v>
          </cell>
        </row>
        <row r="93">
          <cell r="A93" t="str">
            <v>Pasacalle (ancho mínimo 1,0 m), tipo tela vendaval</v>
          </cell>
          <cell r="B93" t="str">
            <v>M2</v>
          </cell>
          <cell r="C93">
            <v>0</v>
          </cell>
          <cell r="D93">
            <v>26667</v>
          </cell>
          <cell r="E93">
            <v>0</v>
          </cell>
        </row>
        <row r="94">
          <cell r="A94" t="str">
            <v>Maletín plástico de base mínima de 50 cm por 200 cm y altura mínima de 100 cm, con material reflectivo color blanco tipo IV o superior.</v>
          </cell>
          <cell r="B94" t="str">
            <v>UNIDAD</v>
          </cell>
          <cell r="C94">
            <v>0</v>
          </cell>
          <cell r="D94">
            <v>285600</v>
          </cell>
          <cell r="E94">
            <v>0</v>
          </cell>
        </row>
        <row r="95">
          <cell r="A95" t="str">
            <v>Boya METÁLICA de color amarillo, con alta resistencia al impacto, con lentes reflectantes (dimensiones máximas: de 10 cm de altura y 24 cm de base)</v>
          </cell>
          <cell r="B95" t="str">
            <v>UNIDAD</v>
          </cell>
          <cell r="C95">
            <v>0</v>
          </cell>
          <cell r="D95">
            <v>38675</v>
          </cell>
          <cell r="E95">
            <v>0</v>
          </cell>
        </row>
        <row r="96">
          <cell r="A96" t="str">
            <v>Boya PLÁSTICA de color amarillo, con alta resistencia al impacto, con lentes reflectantes (dimensiones máximas: de 10 cm de altura y 24 cm de base)</v>
          </cell>
          <cell r="B96" t="str">
            <v>UNIDAD</v>
          </cell>
          <cell r="C96">
            <v>0</v>
          </cell>
          <cell r="D96">
            <v>51750</v>
          </cell>
          <cell r="E96">
            <v>0</v>
          </cell>
        </row>
        <row r="97">
          <cell r="A97" t="str">
            <v>Cinta de señalización calibre mínimo de 2 mm, ancho 10 cm x 500m de longitud</v>
          </cell>
          <cell r="B97" t="str">
            <v>ROLLO</v>
          </cell>
          <cell r="C97">
            <v>0</v>
          </cell>
          <cell r="D97">
            <v>22630</v>
          </cell>
          <cell r="E97">
            <v>0</v>
          </cell>
        </row>
        <row r="98">
          <cell r="A98" t="str">
            <v>Cono vial construido en material sintetico flexible con tres bandas de 10 cm en papel reflectivo blanco tipo IV o superior, altura 90 cm.</v>
          </cell>
          <cell r="B98" t="str">
            <v>UNIDAD</v>
          </cell>
          <cell r="C98">
            <v>0</v>
          </cell>
          <cell r="D98">
            <v>59500</v>
          </cell>
          <cell r="E98">
            <v>0</v>
          </cell>
        </row>
        <row r="99">
          <cell r="A99" t="str">
            <v>Delineador tubular tipo canalizador (Min 129 cm)</v>
          </cell>
          <cell r="B99" t="str">
            <v>REPETIDO</v>
          </cell>
          <cell r="C99">
            <v>0</v>
          </cell>
          <cell r="D99">
            <v>0</v>
          </cell>
          <cell r="E99">
            <v>0</v>
          </cell>
        </row>
        <row r="100">
          <cell r="A100" t="str">
            <v>Bordillo NO transpasable  concreto amarillo y refuerzo 1/2"  cuatro anclajes 5/8" x  4" de largo (de15 cm, 20 cm y 100 cm)</v>
          </cell>
          <cell r="B100" t="str">
            <v>UNIDAD</v>
          </cell>
          <cell r="C100">
            <v>0</v>
          </cell>
          <cell r="D100">
            <v>50713</v>
          </cell>
          <cell r="E100">
            <v>0</v>
          </cell>
        </row>
        <row r="101">
          <cell r="A101" t="str">
            <v>Delineador Tubular Tipo Canalizador de 129 cm de altura.</v>
          </cell>
          <cell r="B101" t="str">
            <v>UNIDAD</v>
          </cell>
          <cell r="C101">
            <v>0</v>
          </cell>
          <cell r="D101">
            <v>32480</v>
          </cell>
          <cell r="E101">
            <v>0</v>
          </cell>
        </row>
        <row r="102">
          <cell r="A102" t="str">
            <v>Estoperol plástico de 10 cm de diámetro y 2 cm de altura (NTC 4745)</v>
          </cell>
          <cell r="B102" t="str">
            <v>UNIDAD</v>
          </cell>
          <cell r="C102">
            <v>0</v>
          </cell>
          <cell r="D102">
            <v>2975</v>
          </cell>
          <cell r="E102">
            <v>0</v>
          </cell>
        </row>
        <row r="103">
          <cell r="A103" t="str">
            <v>Estoperol plástico con espigo, diametro mínimo 10 cm y altura máxima 2,5 cm de altura con un espigo de mínimo 5 cm (NTC 4745)</v>
          </cell>
          <cell r="B103" t="str">
            <v>UNIDAD</v>
          </cell>
          <cell r="C103">
            <v>0</v>
          </cell>
          <cell r="D103">
            <v>5950</v>
          </cell>
          <cell r="E103">
            <v>0</v>
          </cell>
        </row>
        <row r="104">
          <cell r="A104" t="str">
            <v>Estoperol metálico con espigo, diametro mínimo 10 cm y altura máxima 2,5 cm de altura con un espigo de mínimo 5 cm (NTC 4745)</v>
          </cell>
          <cell r="B104" t="str">
            <v>UNIDAD</v>
          </cell>
          <cell r="C104">
            <v>0</v>
          </cell>
          <cell r="D104">
            <v>8330</v>
          </cell>
          <cell r="E104">
            <v>0</v>
          </cell>
        </row>
        <row r="105">
          <cell r="A105" t="str">
            <v>Delineador tubular simple (Hito PLÁSTICO - Figura 5-17A) matareial sintetico flexible color amarillo con tres bandas de 7,5 cm en papel reflectivo blanco (mín 70 cm y mínimo de 8 cm)</v>
          </cell>
          <cell r="B105" t="str">
            <v>UNIDAD</v>
          </cell>
          <cell r="C105">
            <v>0</v>
          </cell>
          <cell r="D105">
            <v>57120</v>
          </cell>
          <cell r="E105">
            <v>0</v>
          </cell>
        </row>
        <row r="106">
          <cell r="A106" t="str">
            <v>Pegante Epoxico 1/4 GALÓN (RENDIMIENTO APROX. 30 (ESTOPEROLES Y TACHAS)</v>
          </cell>
          <cell r="B106" t="str">
            <v>cuarto</v>
          </cell>
          <cell r="C106">
            <v>0</v>
          </cell>
          <cell r="D106">
            <v>0</v>
          </cell>
          <cell r="E106">
            <v>0</v>
          </cell>
        </row>
        <row r="107">
          <cell r="A107" t="str">
            <v>Resalto portátil de caucho  con alta resistencia al impacto con ancho mínimo de 30 cm y altura entre 5 y 8 cm</v>
          </cell>
          <cell r="B107" t="str">
            <v>ML</v>
          </cell>
          <cell r="C107">
            <v>0</v>
          </cell>
          <cell r="D107">
            <v>164262</v>
          </cell>
          <cell r="E107">
            <v>0</v>
          </cell>
        </row>
        <row r="108">
          <cell r="A108" t="str">
            <v>Resalto portátil de plástico</v>
          </cell>
          <cell r="B108">
            <v>0</v>
          </cell>
          <cell r="C108">
            <v>0</v>
          </cell>
          <cell r="D108">
            <v>0</v>
          </cell>
          <cell r="E108">
            <v>0</v>
          </cell>
        </row>
        <row r="109">
          <cell r="A109" t="str">
            <v xml:space="preserve">Tacha reflectiva bidireccional que cumpla con los coeficientes de intensidad luminosa de la NTC 4745 (Tabla 1)., así mismo con lo estipulado en el Manual de señalización vial - Resolución 1885 de 2018, Figura 3-2) </v>
          </cell>
          <cell r="B109" t="str">
            <v>UNIDAD</v>
          </cell>
          <cell r="C109">
            <v>0</v>
          </cell>
          <cell r="D109">
            <v>5296</v>
          </cell>
          <cell r="E109">
            <v>0</v>
          </cell>
        </row>
        <row r="110">
          <cell r="A110" t="str">
            <v xml:space="preserve">Tachas reflectivas bidireccionales con espigo de minimo 5 cm. Cumpliendo con los coeficientes de intensidad luminosa de la NTC 4745 (Tabla 1). así mismo con lo estipulado en el Manual de señalización vial - Resolución 1885 de 2018, Figura 3-2) </v>
          </cell>
          <cell r="B110" t="str">
            <v>UNIDAD</v>
          </cell>
          <cell r="C110">
            <v>0</v>
          </cell>
          <cell r="D110">
            <v>10115</v>
          </cell>
          <cell r="E110">
            <v>0</v>
          </cell>
        </row>
        <row r="111">
          <cell r="A111" t="str">
            <v>Baliza luminosa elevada (luz intermitente de color amarillo) dimensiones de acuerdo con la figura  6,1-4 de resolución 1885 de 2015.</v>
          </cell>
          <cell r="B111" t="str">
            <v>UNIDAD</v>
          </cell>
          <cell r="C111">
            <v>0</v>
          </cell>
          <cell r="D111">
            <v>241657</v>
          </cell>
          <cell r="E111">
            <v>0</v>
          </cell>
        </row>
        <row r="112">
          <cell r="A112" t="str">
            <v>Hito de vértice en resina color azul y material retrorreflectivo semicilindrico con incrustación al pavimento, altura 1,20 m a 1,35 m, , ancho 1m a 1,2m figura 5-13)</v>
          </cell>
          <cell r="B112" t="str">
            <v>UNIDAD</v>
          </cell>
          <cell r="C112">
            <v>0</v>
          </cell>
          <cell r="D112">
            <v>452200</v>
          </cell>
          <cell r="E112">
            <v>0</v>
          </cell>
        </row>
        <row r="113">
          <cell r="A113" t="str">
            <v>Delineador de corona (hito de arista) material sintetico flexible blanco, franja negra y material retroflectivo (Tipo "A", fijado en concreto, min de 75 y máx de 120 cm Figura 5-2 y 5-3)</v>
          </cell>
          <cell r="B113" t="str">
            <v>UNIDAD</v>
          </cell>
          <cell r="C113">
            <v>0</v>
          </cell>
          <cell r="D113">
            <v>36890</v>
          </cell>
          <cell r="E113">
            <v>0</v>
          </cell>
        </row>
        <row r="114">
          <cell r="A114" t="str">
            <v>Tachón en resina (color amarillo con alta resistencia y material retroreflectivo (piramidal 6 cm, 15 cm y 25 cm)</v>
          </cell>
          <cell r="B114" t="str">
            <v>UNIDAD</v>
          </cell>
          <cell r="C114">
            <v>0</v>
          </cell>
          <cell r="D114">
            <v>26180</v>
          </cell>
          <cell r="E114">
            <v>0</v>
          </cell>
        </row>
        <row r="115">
          <cell r="A115" t="str">
            <v>Segregador vial - 2 piezas tipopiramidal 18cm - 21 cm - 83 cm</v>
          </cell>
          <cell r="B115" t="str">
            <v>UNIDAD</v>
          </cell>
          <cell r="C115">
            <v>0</v>
          </cell>
          <cell r="D115">
            <v>0</v>
          </cell>
          <cell r="E115">
            <v>0</v>
          </cell>
        </row>
        <row r="116">
          <cell r="A116" t="str">
            <v>Banda alertadora en resina con alta resistencia al impacto con ancho minimo de 25 cm y altura maxima de 2 cm. Incluye ELEMENTOS para la fijación (Banda sonora plástica)</v>
          </cell>
          <cell r="B116" t="str">
            <v>ML</v>
          </cell>
          <cell r="C116">
            <v>0</v>
          </cell>
          <cell r="D116">
            <v>142318</v>
          </cell>
          <cell r="E116">
            <v>0</v>
          </cell>
        </row>
        <row r="117">
          <cell r="A117" t="str">
            <v>Bordillo transpasable en resina poliéster de color amarillo con alta resistencia al impacto  (Tipo piramidal, largo 40 cm, ancho de 15 cm y altura minima de 8 cm de acuerdo con la figura 5-18 de la Resolución 1885 de 2015)</v>
          </cell>
          <cell r="B117" t="str">
            <v>UNIDAD</v>
          </cell>
          <cell r="C117">
            <v>0</v>
          </cell>
          <cell r="D117">
            <v>35700</v>
          </cell>
          <cell r="E117">
            <v>0</v>
          </cell>
        </row>
        <row r="118">
          <cell r="A118" t="str">
            <v xml:space="preserve"> Bordillo transpasable METÁLICO de color amarillo con alta resistencia al impacto  (Tipo piramidal, largo 40 cm, ancho de 15 cm y altura minima de 8 cm de acuerdo con la figura 5-18 de la Resolución 1885 de 2015)</v>
          </cell>
          <cell r="B118" t="str">
            <v>UNIDAD</v>
          </cell>
          <cell r="C118">
            <v>0</v>
          </cell>
          <cell r="D118">
            <v>51123</v>
          </cell>
          <cell r="E118">
            <v>0</v>
          </cell>
        </row>
        <row r="119">
          <cell r="A119" t="str">
            <v>Steaker 15 x 15 cm</v>
          </cell>
          <cell r="B119" t="str">
            <v>UNIDAD</v>
          </cell>
          <cell r="C119">
            <v>0</v>
          </cell>
          <cell r="D119">
            <v>46589</v>
          </cell>
          <cell r="E119">
            <v>0</v>
          </cell>
        </row>
        <row r="120">
          <cell r="A120" t="str">
            <v>bordillo no transpasable, en resina poliéster de color amarillo con alta resistencia al impacto (Tipo piramidal con incrustación al pavimento en cuatro anclajes, largo 100 cm, ancho de 20 cm y altura minima de 15 cm de acuerdo con la figura 5-18)</v>
          </cell>
          <cell r="B120" t="str">
            <v>UNIDAD</v>
          </cell>
          <cell r="C120">
            <v>0</v>
          </cell>
          <cell r="D120">
            <v>0</v>
          </cell>
          <cell r="E120">
            <v>0</v>
          </cell>
        </row>
        <row r="121">
          <cell r="A121" t="str">
            <v>Agua</v>
          </cell>
          <cell r="B121" t="str">
            <v>M3</v>
          </cell>
          <cell r="C121">
            <v>0</v>
          </cell>
          <cell r="D121">
            <v>3876</v>
          </cell>
          <cell r="E121">
            <v>0</v>
          </cell>
        </row>
      </sheetData>
      <sheetData sheetId="5"/>
      <sheetData sheetId="6">
        <row r="3">
          <cell r="A3" t="str">
            <v>Director de Proyecto</v>
          </cell>
          <cell r="B3" t="str">
            <v>UNIDAD</v>
          </cell>
          <cell r="C3">
            <v>6276000</v>
          </cell>
        </row>
        <row r="4">
          <cell r="A4" t="str">
            <v>Especialista en Tránsito</v>
          </cell>
          <cell r="B4" t="str">
            <v>UNIDAD</v>
          </cell>
          <cell r="C4">
            <v>5660000</v>
          </cell>
        </row>
        <row r="5">
          <cell r="A5" t="str">
            <v>Ingeniero Diseñador</v>
          </cell>
          <cell r="B5" t="str">
            <v>UNIDAD</v>
          </cell>
          <cell r="C5">
            <v>5660000</v>
          </cell>
        </row>
        <row r="6">
          <cell r="A6" t="str">
            <v>Dibujante</v>
          </cell>
          <cell r="B6" t="str">
            <v>UNIDAD</v>
          </cell>
          <cell r="C6">
            <v>2177000</v>
          </cell>
        </row>
        <row r="7">
          <cell r="A7" t="str">
            <v>Ingeniero Auxiliar de Obra</v>
          </cell>
          <cell r="B7" t="str">
            <v>UNIDAD</v>
          </cell>
          <cell r="C7">
            <v>3601000</v>
          </cell>
        </row>
        <row r="8">
          <cell r="A8" t="str">
            <v>Ingeniero Residente</v>
          </cell>
          <cell r="B8" t="str">
            <v>UNIDAD</v>
          </cell>
          <cell r="C8">
            <v>5048000</v>
          </cell>
        </row>
        <row r="9">
          <cell r="A9" t="str">
            <v>Ingeniero Residente Nocturno</v>
          </cell>
          <cell r="B9" t="str">
            <v>UNIDAD</v>
          </cell>
          <cell r="C9">
            <v>6814800</v>
          </cell>
        </row>
        <row r="10">
          <cell r="A10" t="str">
            <v xml:space="preserve">Ing  seguridad industrial y salud ocupacional </v>
          </cell>
          <cell r="B10" t="str">
            <v>UNIDAD</v>
          </cell>
          <cell r="C10">
            <v>3601000</v>
          </cell>
        </row>
        <row r="11">
          <cell r="A11" t="str">
            <v>Tecnólogo en georreferenciación</v>
          </cell>
          <cell r="B11" t="str">
            <v>UNIDAD</v>
          </cell>
          <cell r="C11">
            <v>2362000</v>
          </cell>
        </row>
        <row r="12">
          <cell r="A12" t="str">
            <v>Secretaria</v>
          </cell>
          <cell r="B12" t="str">
            <v>UNIDAD</v>
          </cell>
          <cell r="C12">
            <v>1107000</v>
          </cell>
        </row>
        <row r="13">
          <cell r="A13" t="str">
            <v>Jefe de Cuadrilla</v>
          </cell>
          <cell r="B13" t="str">
            <v>JORNAL</v>
          </cell>
          <cell r="C13">
            <v>64695</v>
          </cell>
        </row>
        <row r="14">
          <cell r="A14" t="str">
            <v>Jefe de Cuadrilla Nocturno</v>
          </cell>
          <cell r="B14" t="str">
            <v>JORNAL</v>
          </cell>
          <cell r="C14">
            <v>87338</v>
          </cell>
        </row>
        <row r="15">
          <cell r="A15" t="str">
            <v>Operador de equipo</v>
          </cell>
          <cell r="B15" t="str">
            <v>JORNAL</v>
          </cell>
          <cell r="C15">
            <v>86261</v>
          </cell>
        </row>
        <row r="16">
          <cell r="A16" t="str">
            <v>Operador de equipo nocturno</v>
          </cell>
          <cell r="B16" t="str">
            <v>JORNAL</v>
          </cell>
          <cell r="C16">
            <v>116452</v>
          </cell>
        </row>
        <row r="17">
          <cell r="A17" t="str">
            <v>Cortador de angulo</v>
          </cell>
          <cell r="B17" t="str">
            <v>JORNAL</v>
          </cell>
          <cell r="C17">
            <v>64695</v>
          </cell>
        </row>
        <row r="18">
          <cell r="A18" t="str">
            <v>Cortador de tubo</v>
          </cell>
          <cell r="B18" t="str">
            <v>JORNAL</v>
          </cell>
          <cell r="C18">
            <v>64695</v>
          </cell>
        </row>
        <row r="19">
          <cell r="A19" t="str">
            <v>Cortador de lamina</v>
          </cell>
          <cell r="B19" t="str">
            <v>JORNAL</v>
          </cell>
          <cell r="C19">
            <v>64695</v>
          </cell>
        </row>
        <row r="20">
          <cell r="A20" t="str">
            <v>Doblador</v>
          </cell>
          <cell r="B20" t="str">
            <v>JORNAL</v>
          </cell>
          <cell r="C20">
            <v>64695</v>
          </cell>
        </row>
        <row r="21">
          <cell r="A21" t="str">
            <v>Soldador</v>
          </cell>
          <cell r="B21" t="str">
            <v>JORNAL</v>
          </cell>
          <cell r="C21">
            <v>86260</v>
          </cell>
        </row>
        <row r="22">
          <cell r="A22" t="str">
            <v>Pintor</v>
          </cell>
          <cell r="B22" t="str">
            <v>JORNAL</v>
          </cell>
          <cell r="C22">
            <v>64695</v>
          </cell>
        </row>
        <row r="23">
          <cell r="A23" t="str">
            <v>Ayudante de taller</v>
          </cell>
          <cell r="B23" t="str">
            <v>JORNAL</v>
          </cell>
          <cell r="C23">
            <v>46439</v>
          </cell>
        </row>
        <row r="24">
          <cell r="A24" t="str">
            <v>Colaminador</v>
          </cell>
          <cell r="B24" t="str">
            <v>JORNAL</v>
          </cell>
          <cell r="C24">
            <v>64695</v>
          </cell>
        </row>
        <row r="25">
          <cell r="A25" t="str">
            <v>Serigrafista</v>
          </cell>
          <cell r="B25" t="str">
            <v>JORNAL</v>
          </cell>
          <cell r="C25">
            <v>64695</v>
          </cell>
        </row>
        <row r="26">
          <cell r="A26" t="str">
            <v>Auxiliar de Tráfico</v>
          </cell>
          <cell r="B26" t="str">
            <v>JORNAL</v>
          </cell>
          <cell r="C26">
            <v>46439</v>
          </cell>
        </row>
        <row r="27">
          <cell r="A27" t="str">
            <v>Auxiliar de Tráfico nocturno</v>
          </cell>
          <cell r="B27" t="str">
            <v>JORNAL</v>
          </cell>
          <cell r="C27">
            <v>62693</v>
          </cell>
        </row>
        <row r="28">
          <cell r="A28" t="str">
            <v>Ayudante de construcción</v>
          </cell>
          <cell r="B28" t="str">
            <v>JORNAL</v>
          </cell>
          <cell r="C28">
            <v>46439</v>
          </cell>
        </row>
        <row r="29">
          <cell r="A29" t="str">
            <v>Ayudante</v>
          </cell>
          <cell r="B29" t="str">
            <v>JORNAL</v>
          </cell>
          <cell r="C29">
            <v>45439</v>
          </cell>
        </row>
        <row r="30">
          <cell r="A30" t="str">
            <v>Ayudante nocturno</v>
          </cell>
          <cell r="B30" t="str">
            <v>JORNAL</v>
          </cell>
          <cell r="C30">
            <v>61343</v>
          </cell>
        </row>
        <row r="31">
          <cell r="A31" t="str">
            <v>Conductor</v>
          </cell>
          <cell r="B31" t="str">
            <v>MES</v>
          </cell>
          <cell r="C31">
            <v>1107000</v>
          </cell>
        </row>
        <row r="32">
          <cell r="A32" t="str">
            <v>Conductor nocturno</v>
          </cell>
          <cell r="B32" t="str">
            <v>MES</v>
          </cell>
          <cell r="C32">
            <v>1494450</v>
          </cell>
        </row>
      </sheetData>
      <sheetData sheetId="7">
        <row r="1">
          <cell r="U1">
            <v>1.0575000000000001</v>
          </cell>
        </row>
        <row r="3">
          <cell r="A3" t="str">
            <v xml:space="preserve">Equipos </v>
          </cell>
          <cell r="B3" t="str">
            <v>Tipo</v>
          </cell>
          <cell r="C3" t="str">
            <v>Marca</v>
          </cell>
          <cell r="D3" t="str">
            <v>Serial</v>
          </cell>
          <cell r="E3" t="str">
            <v>Tarifa/Día 2016</v>
          </cell>
          <cell r="F3" t="str">
            <v>Tarifa/Hora 2019</v>
          </cell>
          <cell r="G3" t="str">
            <v>Rendimiento</v>
          </cell>
        </row>
        <row r="4">
          <cell r="A4" t="str">
            <v xml:space="preserve">Cortadora de ángulo </v>
          </cell>
          <cell r="B4" t="str">
            <v>Eléctrico</v>
          </cell>
          <cell r="C4" t="str">
            <v xml:space="preserve">Dewalt </v>
          </cell>
          <cell r="D4" t="str">
            <v>D28700</v>
          </cell>
          <cell r="E4">
            <v>22000</v>
          </cell>
          <cell r="F4">
            <v>3536</v>
          </cell>
          <cell r="G4">
            <v>4</v>
          </cell>
        </row>
        <row r="5">
          <cell r="A5" t="str">
            <v>Cortadora de Lámina</v>
          </cell>
          <cell r="B5" t="str">
            <v>Eléctrico</v>
          </cell>
          <cell r="C5" t="str">
            <v xml:space="preserve">Dewalt </v>
          </cell>
          <cell r="D5" t="str">
            <v>D28700</v>
          </cell>
          <cell r="E5">
            <v>22000</v>
          </cell>
          <cell r="F5">
            <v>3536</v>
          </cell>
          <cell r="G5">
            <v>4</v>
          </cell>
        </row>
        <row r="6">
          <cell r="A6" t="str">
            <v>Dobladora</v>
          </cell>
          <cell r="B6" t="str">
            <v>Manual</v>
          </cell>
          <cell r="C6">
            <v>0</v>
          </cell>
          <cell r="D6">
            <v>0</v>
          </cell>
          <cell r="E6">
            <v>22000</v>
          </cell>
          <cell r="F6">
            <v>3536</v>
          </cell>
          <cell r="G6">
            <v>0</v>
          </cell>
        </row>
        <row r="7">
          <cell r="A7" t="str">
            <v>Equipo Pintura electrostática</v>
          </cell>
          <cell r="B7" t="str">
            <v>Electrostática</v>
          </cell>
          <cell r="C7">
            <v>0</v>
          </cell>
          <cell r="D7">
            <v>0</v>
          </cell>
          <cell r="E7">
            <v>50000</v>
          </cell>
          <cell r="F7">
            <v>8036</v>
          </cell>
          <cell r="G7">
            <v>4</v>
          </cell>
        </row>
        <row r="8">
          <cell r="A8" t="str">
            <v>Taladro</v>
          </cell>
          <cell r="B8" t="str">
            <v>Eléctrico</v>
          </cell>
          <cell r="C8">
            <v>0</v>
          </cell>
          <cell r="D8">
            <v>0</v>
          </cell>
          <cell r="E8">
            <v>17000</v>
          </cell>
          <cell r="F8">
            <v>2732</v>
          </cell>
          <cell r="G8">
            <v>4</v>
          </cell>
        </row>
        <row r="9">
          <cell r="A9" t="str">
            <v>Rotamartillo</v>
          </cell>
          <cell r="B9" t="str">
            <v>Eléctrico</v>
          </cell>
          <cell r="C9">
            <v>0</v>
          </cell>
          <cell r="D9">
            <v>0</v>
          </cell>
          <cell r="E9">
            <v>0</v>
          </cell>
          <cell r="F9">
            <v>5488</v>
          </cell>
          <cell r="G9">
            <v>4</v>
          </cell>
        </row>
        <row r="10">
          <cell r="A10" t="str">
            <v>Equipo Soldadura</v>
          </cell>
          <cell r="B10" t="str">
            <v>Eléctrico</v>
          </cell>
          <cell r="C10">
            <v>0</v>
          </cell>
          <cell r="D10" t="str">
            <v>110 V</v>
          </cell>
          <cell r="E10">
            <v>0</v>
          </cell>
          <cell r="F10">
            <v>4875</v>
          </cell>
          <cell r="G10">
            <v>4</v>
          </cell>
        </row>
        <row r="11">
          <cell r="A11" t="str">
            <v>Equipo Screen</v>
          </cell>
          <cell r="B11" t="str">
            <v>Manual</v>
          </cell>
          <cell r="C11">
            <v>0</v>
          </cell>
          <cell r="D11">
            <v>0</v>
          </cell>
          <cell r="E11">
            <v>0</v>
          </cell>
          <cell r="F11">
            <v>0</v>
          </cell>
          <cell r="G11">
            <v>5</v>
          </cell>
        </row>
        <row r="12">
          <cell r="A12" t="str">
            <v xml:space="preserve">Colaminado </v>
          </cell>
          <cell r="B12" t="str">
            <v>Manual</v>
          </cell>
          <cell r="C12">
            <v>0</v>
          </cell>
          <cell r="D12">
            <v>0</v>
          </cell>
          <cell r="E12">
            <v>0</v>
          </cell>
          <cell r="F12">
            <v>0</v>
          </cell>
          <cell r="G12">
            <v>4</v>
          </cell>
        </row>
        <row r="13">
          <cell r="A13" t="str">
            <v>Equipo Screen y colaminado</v>
          </cell>
          <cell r="B13" t="str">
            <v>Manual</v>
          </cell>
          <cell r="C13">
            <v>0</v>
          </cell>
          <cell r="D13">
            <v>0</v>
          </cell>
          <cell r="E13">
            <v>30448</v>
          </cell>
          <cell r="F13">
            <v>3806</v>
          </cell>
          <cell r="G13">
            <v>4</v>
          </cell>
        </row>
        <row r="14">
          <cell r="A14" t="str">
            <v>Compresor</v>
          </cell>
          <cell r="B14" t="str">
            <v>Eléctrico</v>
          </cell>
          <cell r="C14">
            <v>0</v>
          </cell>
          <cell r="D14" t="str">
            <v>150 Lbs</v>
          </cell>
          <cell r="E14">
            <v>34000</v>
          </cell>
          <cell r="F14">
            <v>4565</v>
          </cell>
          <cell r="G14">
            <v>0</v>
          </cell>
        </row>
        <row r="15">
          <cell r="A15" t="str">
            <v>Pulidora 4 1/2</v>
          </cell>
          <cell r="B15" t="str">
            <v>Eléctrico</v>
          </cell>
          <cell r="C15">
            <v>0</v>
          </cell>
          <cell r="D15">
            <v>0</v>
          </cell>
          <cell r="E15">
            <v>14000</v>
          </cell>
          <cell r="F15">
            <v>1750</v>
          </cell>
          <cell r="G15">
            <v>4</v>
          </cell>
        </row>
        <row r="16">
          <cell r="A16" t="str">
            <v>Cortadora de Tubo</v>
          </cell>
          <cell r="B16" t="str">
            <v>Eléctrico</v>
          </cell>
          <cell r="C16" t="str">
            <v xml:space="preserve">Dewalt </v>
          </cell>
          <cell r="D16" t="str">
            <v>D28700</v>
          </cell>
          <cell r="E16">
            <v>22000</v>
          </cell>
          <cell r="F16">
            <v>3536</v>
          </cell>
          <cell r="G16">
            <v>4</v>
          </cell>
        </row>
        <row r="17">
          <cell r="A17" t="str">
            <v>Hidrolavadora</v>
          </cell>
          <cell r="B17" t="str">
            <v>Eléctrico</v>
          </cell>
          <cell r="C17">
            <v>0</v>
          </cell>
          <cell r="D17" t="str">
            <v>110 V 2000 PSI</v>
          </cell>
          <cell r="E17">
            <v>44000</v>
          </cell>
          <cell r="F17">
            <v>6113</v>
          </cell>
          <cell r="G17">
            <v>0</v>
          </cell>
        </row>
        <row r="18">
          <cell r="A18" t="str">
            <v>Planta Eléctrica</v>
          </cell>
          <cell r="B18" t="str">
            <v>Eléctrico</v>
          </cell>
          <cell r="C18">
            <v>0</v>
          </cell>
          <cell r="D18">
            <v>0</v>
          </cell>
          <cell r="E18">
            <v>39000</v>
          </cell>
          <cell r="F18">
            <v>4375</v>
          </cell>
          <cell r="G18">
            <v>0</v>
          </cell>
        </row>
        <row r="19">
          <cell r="A19" t="str">
            <v>Remachadora</v>
          </cell>
          <cell r="B19" t="str">
            <v>Eléctrico</v>
          </cell>
          <cell r="C19">
            <v>0</v>
          </cell>
          <cell r="D19">
            <v>0</v>
          </cell>
          <cell r="E19">
            <v>2490.4333333333334</v>
          </cell>
          <cell r="F19">
            <v>400</v>
          </cell>
          <cell r="G19">
            <v>0</v>
          </cell>
        </row>
        <row r="20">
          <cell r="A20" t="str">
            <v>Pretal</v>
          </cell>
          <cell r="B20" t="str">
            <v>Manual</v>
          </cell>
          <cell r="C20">
            <v>0</v>
          </cell>
          <cell r="D20">
            <v>0</v>
          </cell>
          <cell r="E20">
            <v>1288.8888888888889</v>
          </cell>
          <cell r="F20">
            <v>207</v>
          </cell>
          <cell r="G20">
            <v>0</v>
          </cell>
        </row>
        <row r="21">
          <cell r="A21" t="str">
            <v>Arnés 4 puntos</v>
          </cell>
          <cell r="B21" t="str">
            <v>Manual</v>
          </cell>
          <cell r="C21">
            <v>0</v>
          </cell>
          <cell r="D21">
            <v>0</v>
          </cell>
          <cell r="E21">
            <v>2333.3333333333335</v>
          </cell>
          <cell r="F21">
            <v>313</v>
          </cell>
          <cell r="G21">
            <v>0</v>
          </cell>
        </row>
        <row r="22">
          <cell r="A22" t="str">
            <v>Escalera</v>
          </cell>
          <cell r="B22" t="str">
            <v>Manual</v>
          </cell>
          <cell r="C22">
            <v>0</v>
          </cell>
          <cell r="D22">
            <v>0</v>
          </cell>
          <cell r="E22">
            <v>25000</v>
          </cell>
          <cell r="F22">
            <v>4018</v>
          </cell>
          <cell r="G22">
            <v>0</v>
          </cell>
        </row>
        <row r="23">
          <cell r="A23" t="str">
            <v>Anadamio y Planchón</v>
          </cell>
          <cell r="B23" t="str">
            <v>Global</v>
          </cell>
          <cell r="C23">
            <v>0</v>
          </cell>
          <cell r="D23">
            <v>0</v>
          </cell>
          <cell r="E23">
            <v>3816.6666666666665</v>
          </cell>
          <cell r="F23">
            <v>613</v>
          </cell>
          <cell r="G23">
            <v>0</v>
          </cell>
        </row>
        <row r="24">
          <cell r="A24" t="str">
            <v>Kit de Plan de Manejo de Tránsito</v>
          </cell>
          <cell r="B24" t="str">
            <v>Global</v>
          </cell>
          <cell r="C24">
            <v>0</v>
          </cell>
          <cell r="D24">
            <v>0</v>
          </cell>
          <cell r="E24">
            <v>28863.668981880004</v>
          </cell>
          <cell r="F24">
            <v>4639</v>
          </cell>
          <cell r="G24">
            <v>0</v>
          </cell>
        </row>
        <row r="25">
          <cell r="A25" t="str">
            <v>Equipo Delineador de Pintura Acrílica</v>
          </cell>
          <cell r="B25" t="str">
            <v>Autopropulsado</v>
          </cell>
          <cell r="C25">
            <v>0</v>
          </cell>
          <cell r="D25">
            <v>0</v>
          </cell>
          <cell r="E25">
            <v>0</v>
          </cell>
          <cell r="F25">
            <v>117856</v>
          </cell>
          <cell r="G25">
            <v>375</v>
          </cell>
        </row>
        <row r="26">
          <cell r="A26" t="str">
            <v>Equipo Delineador de Pintura Plástico en Frio (Por Pulverización)</v>
          </cell>
          <cell r="B26" t="str">
            <v>Autopropulsado o Montado</v>
          </cell>
          <cell r="C26">
            <v>0</v>
          </cell>
          <cell r="D26">
            <v>0</v>
          </cell>
          <cell r="E26">
            <v>0</v>
          </cell>
          <cell r="F26">
            <v>117856</v>
          </cell>
          <cell r="G26">
            <v>400</v>
          </cell>
        </row>
        <row r="27">
          <cell r="A27" t="str">
            <v>Equipo Delineador de Pintura Plástico en Frio (Por sión)</v>
          </cell>
          <cell r="B27" t="str">
            <v>Autopropulsado</v>
          </cell>
          <cell r="C27">
            <v>0</v>
          </cell>
          <cell r="D27">
            <v>0</v>
          </cell>
          <cell r="E27">
            <v>0</v>
          </cell>
          <cell r="F27">
            <v>117856</v>
          </cell>
          <cell r="G27">
            <v>500</v>
          </cell>
        </row>
        <row r="28">
          <cell r="A28" t="str">
            <v>Equipo Delineador de Pintura Termoplástica</v>
          </cell>
          <cell r="B28" t="str">
            <v>Autopropulsado</v>
          </cell>
          <cell r="C28">
            <v>0</v>
          </cell>
          <cell r="D28">
            <v>0</v>
          </cell>
          <cell r="E28">
            <v>0</v>
          </cell>
          <cell r="F28">
            <v>115723</v>
          </cell>
          <cell r="G28">
            <v>500</v>
          </cell>
        </row>
        <row r="29">
          <cell r="A29" t="str">
            <v>Equipo Manual de Pintura Acrílica</v>
          </cell>
          <cell r="B29" t="str">
            <v>Airless</v>
          </cell>
          <cell r="C29">
            <v>0</v>
          </cell>
          <cell r="D29">
            <v>0</v>
          </cell>
          <cell r="E29">
            <v>0</v>
          </cell>
          <cell r="F29">
            <v>19769</v>
          </cell>
          <cell r="G29">
            <v>15</v>
          </cell>
        </row>
        <row r="30">
          <cell r="A30" t="str">
            <v>Equipo Manual de Pintura Plástico en Frio (Por Pulverización)</v>
          </cell>
          <cell r="B30" t="str">
            <v>Airless</v>
          </cell>
          <cell r="C30">
            <v>0</v>
          </cell>
          <cell r="D30">
            <v>0</v>
          </cell>
          <cell r="E30">
            <v>300000</v>
          </cell>
          <cell r="F30">
            <v>48218</v>
          </cell>
          <cell r="G30">
            <v>15</v>
          </cell>
        </row>
        <row r="31">
          <cell r="A31" t="str">
            <v>Equipo Manual de Pintura Plástico en Frio (Por sión)</v>
          </cell>
          <cell r="B31" t="str">
            <v>Mecánico por sión</v>
          </cell>
          <cell r="C31">
            <v>0</v>
          </cell>
          <cell r="D31">
            <v>0</v>
          </cell>
          <cell r="E31">
            <v>300000</v>
          </cell>
          <cell r="F31">
            <v>48218</v>
          </cell>
          <cell r="G31">
            <v>12.5</v>
          </cell>
        </row>
        <row r="32">
          <cell r="A32" t="str">
            <v>Equipo aplicación alúmina antideslizante</v>
          </cell>
          <cell r="B32">
            <v>0</v>
          </cell>
          <cell r="C32">
            <v>0</v>
          </cell>
          <cell r="D32">
            <v>0</v>
          </cell>
          <cell r="E32">
            <v>80000</v>
          </cell>
          <cell r="F32">
            <v>12858</v>
          </cell>
          <cell r="G32">
            <v>12.5</v>
          </cell>
        </row>
        <row r="33">
          <cell r="A33" t="str">
            <v>Equipo Manual de Pintura Termoplástica</v>
          </cell>
          <cell r="B33" t="str">
            <v>Mecánico por sión</v>
          </cell>
          <cell r="C33">
            <v>0</v>
          </cell>
          <cell r="D33">
            <v>0</v>
          </cell>
          <cell r="E33">
            <v>0</v>
          </cell>
          <cell r="F33">
            <v>65898</v>
          </cell>
          <cell r="G33">
            <v>12.5</v>
          </cell>
        </row>
        <row r="34">
          <cell r="A34" t="str">
            <v>Caldera</v>
          </cell>
          <cell r="B34" t="str">
            <v>Mecánica</v>
          </cell>
          <cell r="C34">
            <v>0</v>
          </cell>
          <cell r="D34">
            <v>0</v>
          </cell>
          <cell r="E34">
            <v>0</v>
          </cell>
          <cell r="F34">
            <v>0</v>
          </cell>
          <cell r="G34">
            <v>0</v>
          </cell>
        </row>
        <row r="35">
          <cell r="A35" t="str">
            <v>Equipo de Control en Obra</v>
          </cell>
          <cell r="B35" t="str">
            <v>Varios</v>
          </cell>
          <cell r="C35">
            <v>0</v>
          </cell>
          <cell r="D35">
            <v>0</v>
          </cell>
          <cell r="E35">
            <v>12000</v>
          </cell>
          <cell r="F35">
            <v>1929</v>
          </cell>
          <cell r="G35">
            <v>0</v>
          </cell>
        </row>
        <row r="36">
          <cell r="A36" t="str">
            <v>Equipo de limpieza</v>
          </cell>
          <cell r="B36" t="str">
            <v>Manual</v>
          </cell>
          <cell r="C36">
            <v>0</v>
          </cell>
          <cell r="D36">
            <v>0</v>
          </cell>
          <cell r="E36">
            <v>30000</v>
          </cell>
          <cell r="F36">
            <v>4822</v>
          </cell>
          <cell r="G36">
            <v>0</v>
          </cell>
        </row>
        <row r="37">
          <cell r="A37" t="str">
            <v>Equipo para borrado de demarcación (incluye discos)</v>
          </cell>
          <cell r="B37" t="str">
            <v>Mecánica</v>
          </cell>
          <cell r="C37">
            <v>0</v>
          </cell>
          <cell r="D37">
            <v>0</v>
          </cell>
          <cell r="E37">
            <v>200000</v>
          </cell>
          <cell r="F37">
            <v>32145</v>
          </cell>
          <cell r="G37">
            <v>0</v>
          </cell>
        </row>
        <row r="38">
          <cell r="A38" t="str">
            <v>Plotter</v>
          </cell>
          <cell r="B38" t="str">
            <v>Electrónico</v>
          </cell>
          <cell r="C38">
            <v>0</v>
          </cell>
          <cell r="D38">
            <v>0</v>
          </cell>
          <cell r="E38">
            <v>58584</v>
          </cell>
          <cell r="F38">
            <v>75328</v>
          </cell>
          <cell r="G38">
            <v>0</v>
          </cell>
        </row>
        <row r="39">
          <cell r="A39" t="str">
            <v>Computador</v>
          </cell>
          <cell r="B39" t="str">
            <v>Electrónico</v>
          </cell>
          <cell r="C39">
            <v>0</v>
          </cell>
          <cell r="D39">
            <v>0</v>
          </cell>
          <cell r="E39">
            <v>0</v>
          </cell>
          <cell r="F39">
            <v>4107</v>
          </cell>
          <cell r="G39">
            <v>0</v>
          </cell>
        </row>
        <row r="40">
          <cell r="A40" t="str">
            <v>Programas computacionales especializados</v>
          </cell>
          <cell r="B40" t="str">
            <v>Global</v>
          </cell>
          <cell r="C40">
            <v>0</v>
          </cell>
          <cell r="D40">
            <v>0</v>
          </cell>
          <cell r="E40">
            <v>42793.789123287672</v>
          </cell>
          <cell r="F40">
            <v>53236</v>
          </cell>
          <cell r="G40">
            <v>1774.5333333333333</v>
          </cell>
        </row>
        <row r="41">
          <cell r="A41" t="str">
            <v>Cámara Fotográfica</v>
          </cell>
          <cell r="B41" t="str">
            <v>Electrónica</v>
          </cell>
          <cell r="C41">
            <v>0</v>
          </cell>
          <cell r="D41">
            <v>0</v>
          </cell>
          <cell r="E41">
            <v>0</v>
          </cell>
          <cell r="F41">
            <v>15500</v>
          </cell>
          <cell r="G41">
            <v>516.66666666666663</v>
          </cell>
        </row>
        <row r="42">
          <cell r="A42" t="str">
            <v>Herramienta menor</v>
          </cell>
          <cell r="B42" t="str">
            <v>Global</v>
          </cell>
          <cell r="C42">
            <v>0</v>
          </cell>
          <cell r="D42">
            <v>0</v>
          </cell>
          <cell r="E42">
            <v>2000</v>
          </cell>
          <cell r="F42">
            <v>321</v>
          </cell>
          <cell r="G42">
            <v>4</v>
          </cell>
        </row>
        <row r="43">
          <cell r="A43" t="str">
            <v>Vehículo tipo camión de 3 ton o más</v>
          </cell>
          <cell r="B43">
            <v>0</v>
          </cell>
          <cell r="C43">
            <v>383170</v>
          </cell>
        </row>
        <row r="44">
          <cell r="A44" t="str">
            <v>Camión o similar (2000 CC)</v>
          </cell>
          <cell r="B44">
            <v>0</v>
          </cell>
          <cell r="C44">
            <v>274944</v>
          </cell>
        </row>
        <row r="45">
          <cell r="A45" t="str">
            <v>Grúa telescópica (alquiler)</v>
          </cell>
          <cell r="B45">
            <v>0</v>
          </cell>
          <cell r="C45">
            <v>1491536</v>
          </cell>
        </row>
        <row r="46">
          <cell r="A46" t="str">
            <v>Plataforma eléctrica</v>
          </cell>
          <cell r="B46">
            <v>0</v>
          </cell>
          <cell r="C46">
            <v>462376</v>
          </cell>
        </row>
        <row r="47">
          <cell r="A47" t="str">
            <v>Vehículo de apoyo (1300-2000CC)</v>
          </cell>
          <cell r="B47">
            <v>0</v>
          </cell>
          <cell r="C47">
            <v>200586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Administración"/>
    </sheetNames>
    <sheetDataSet>
      <sheetData sheetId="0">
        <row r="25">
          <cell r="B25">
            <v>1.6996500000000001</v>
          </cell>
        </row>
      </sheetData>
      <sheetData sheetId="1">
        <row r="7">
          <cell r="K7">
            <v>10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PRECIOS"/>
      <sheetName val="PREACTA 6"/>
      <sheetName val="TABLA 2008"/>
      <sheetName val="PRESUPUESTO"/>
      <sheetName val="ESTADO VÍA-CRIT.TECNICO"/>
      <sheetName val="THE"/>
      <sheetName val="ATHE"/>
      <sheetName val="UNITARIOS"/>
      <sheetName val="Insum"/>
      <sheetName val="Excavación Mat. Común Estacione"/>
      <sheetName val="Demolición Pavimento"/>
      <sheetName val="SUB AP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p"/>
      <sheetName val="Listas"/>
      <sheetName val="CLASIFICACION"/>
      <sheetName val="Presup_Cancha"/>
      <sheetName val=" Liquidacion de Obra por Tramos"/>
      <sheetName val="REC-COD,"/>
      <sheetName val="SALARIOS"/>
      <sheetName val="APU NO PREVISTO"/>
      <sheetName val="PPTA (3)"/>
      <sheetName val="PPTA (2)"/>
      <sheetName val="PPTA"/>
      <sheetName val="PUNITARIOS%20PARA%20241201%202S"/>
      <sheetName val="Equipo"/>
      <sheetName val="RELACION MES"/>
      <sheetName val="GCB2000"/>
      <sheetName val="FORMULA"/>
      <sheetName val="A. P. 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sheetData sheetId="96" refreshError="1"/>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 PRESTACIONAL Y G GENERALES"/>
      <sheetName val="GARANTIAS"/>
      <sheetName val="PERSONAL"/>
      <sheetName val="ELEMENTOS DE BIOSEGURIDAD"/>
      <sheetName val="VEHICULOS"/>
      <sheetName val="COMUNICACIONES"/>
      <sheetName val="OFICINA"/>
      <sheetName val="DOTACION"/>
      <sheetName val="PAPELERÍA"/>
      <sheetName val="Hoja2"/>
      <sheetName val="Hoja3"/>
    </sheetNames>
    <sheetDataSet>
      <sheetData sheetId="0" refreshError="1"/>
      <sheetData sheetId="1" refreshError="1"/>
      <sheetData sheetId="2" refreshError="1">
        <row r="13">
          <cell r="F13">
            <v>5.0000000000000001E-3</v>
          </cell>
        </row>
        <row r="14">
          <cell r="F14">
            <v>0.02</v>
          </cell>
        </row>
        <row r="15">
          <cell r="F15">
            <v>5.0000000000000001E-3</v>
          </cell>
        </row>
        <row r="16">
          <cell r="F16">
            <v>1.0999999999999999E-2</v>
          </cell>
        </row>
        <row r="18">
          <cell r="F18">
            <v>0.02</v>
          </cell>
        </row>
        <row r="31">
          <cell r="B31">
            <v>9.1058247400592363E-3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insumos"/>
      <sheetName val="APUS"/>
    </sheetNames>
    <sheetDataSet>
      <sheetData sheetId="0"/>
      <sheetData sheetId="1">
        <row r="3">
          <cell r="D3">
            <v>322</v>
          </cell>
        </row>
        <row r="1375">
          <cell r="K1375">
            <v>53667</v>
          </cell>
        </row>
      </sheetData>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_PRESTACIONES SOCIALES "/>
      <sheetName val="SUPUESTOSMACROECONOM"/>
      <sheetName val="IDU_2024_INSUMOS"/>
      <sheetName val="APU_IDU"/>
      <sheetName val="PSS S"/>
      <sheetName val="F PRESTACIONAL Y G GENERALES"/>
      <sheetName val="AIU"/>
      <sheetName val="CUADRILLAS_ALQUILER"/>
      <sheetName val="PINTURAS_CONSUMOS "/>
      <sheetName val="INSUMOS "/>
      <sheetName val="ENLACES "/>
      <sheetName val="PERSONAL"/>
      <sheetName val="75N"/>
      <sheetName val="EQUIPOS "/>
      <sheetName val="-76N"/>
      <sheetName val="-86"/>
      <sheetName val="-87"/>
      <sheetName val="POR AÑOS_OBRA"/>
      <sheetName val="ANEXO PLIEGO_1"/>
      <sheetName val="POR AÑOS_OBRA2024"/>
      <sheetName val="ANEXO PLIEGO_2"/>
      <sheetName val="POR AÑOS_SUMINISTRO"/>
      <sheetName val="14S  "/>
      <sheetName val="13S "/>
      <sheetName val="12S"/>
      <sheetName val="11S"/>
      <sheetName val="10S"/>
      <sheetName val="9S"/>
      <sheetName val="8S"/>
      <sheetName val="7S"/>
      <sheetName val="6S"/>
      <sheetName val="5S"/>
      <sheetName val="4S"/>
      <sheetName val="3S"/>
      <sheetName val="2S"/>
      <sheetName val="1S"/>
      <sheetName val="134"/>
      <sheetName val="133"/>
      <sheetName val="132"/>
      <sheetName val="131"/>
      <sheetName val="130"/>
      <sheetName val="129"/>
      <sheetName val="128"/>
      <sheetName val="127"/>
      <sheetName val="126"/>
      <sheetName val="125"/>
      <sheetName val="124"/>
      <sheetName val="123"/>
      <sheetName val="120"/>
      <sheetName val="119"/>
      <sheetName val="122"/>
      <sheetName val="121"/>
      <sheetName val="118"/>
      <sheetName val="117"/>
      <sheetName val="116"/>
      <sheetName val="115"/>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5"/>
      <sheetName val="84"/>
      <sheetName val="83"/>
      <sheetName val="82"/>
      <sheetName val="81"/>
      <sheetName val="80"/>
      <sheetName val="79N"/>
      <sheetName val="78N"/>
      <sheetName val="77N"/>
      <sheetName val="76N"/>
      <sheetName val="75N_"/>
      <sheetName val="74N"/>
      <sheetName val="73N"/>
      <sheetName val="72N"/>
      <sheetName val="71N"/>
      <sheetName val="70N "/>
      <sheetName val="69N"/>
      <sheetName val="68N"/>
      <sheetName val="67N"/>
      <sheetName val="66N"/>
      <sheetName val="65N"/>
      <sheetName val="64N"/>
      <sheetName val="63N"/>
      <sheetName val="62N"/>
      <sheetName val="61N"/>
      <sheetName val="60N"/>
      <sheetName val="59N"/>
      <sheetName val="58N"/>
      <sheetName val="57N"/>
      <sheetName val="56N"/>
      <sheetName val="55N"/>
      <sheetName val="54N"/>
      <sheetName val="53N (2)"/>
      <sheetName val="53N"/>
      <sheetName val="52N"/>
      <sheetName val="51N"/>
      <sheetName val="50N"/>
      <sheetName val="49N"/>
      <sheetName val="48N"/>
      <sheetName val="47N"/>
      <sheetName val="46N"/>
      <sheetName val="45N"/>
      <sheetName val="44N"/>
      <sheetName val="43"/>
      <sheetName val="42"/>
      <sheetName val="41"/>
      <sheetName val="40"/>
      <sheetName val="39"/>
      <sheetName val="38"/>
      <sheetName val="36"/>
      <sheetName val="35"/>
      <sheetName val="34"/>
      <sheetName val="33"/>
      <sheetName val="32"/>
      <sheetName val="22"/>
      <sheetName val="-23"/>
      <sheetName val="-24"/>
      <sheetName val="-25"/>
      <sheetName val="27"/>
      <sheetName val="31"/>
      <sheetName val="30"/>
      <sheetName val="29"/>
      <sheetName val="28"/>
      <sheetName val="26"/>
      <sheetName val="25"/>
      <sheetName val="24"/>
      <sheetName val="23"/>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PMT"/>
      <sheetName val="37_TERMOPLAST"/>
      <sheetName val="PINTURA_BASE"/>
      <sheetName val="PINTURA_electrostatica "/>
      <sheetName val="LI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3">
          <cell r="AO3">
            <v>7857</v>
          </cell>
        </row>
        <row r="4">
          <cell r="AO4">
            <v>6392</v>
          </cell>
        </row>
        <row r="5">
          <cell r="AO5">
            <v>4.93</v>
          </cell>
        </row>
        <row r="6">
          <cell r="AO6">
            <v>7704.5</v>
          </cell>
        </row>
        <row r="7">
          <cell r="AO7">
            <v>31626.526666666665</v>
          </cell>
        </row>
        <row r="8">
          <cell r="AO8">
            <v>16804.093333333331</v>
          </cell>
        </row>
        <row r="9">
          <cell r="AO9">
            <v>39270</v>
          </cell>
        </row>
        <row r="10">
          <cell r="AO10">
            <v>89049</v>
          </cell>
        </row>
        <row r="11">
          <cell r="AO11">
            <v>325000</v>
          </cell>
        </row>
        <row r="12">
          <cell r="AO12">
            <v>94631.18</v>
          </cell>
        </row>
        <row r="13">
          <cell r="AO13">
            <v>448170.35000000003</v>
          </cell>
        </row>
        <row r="14">
          <cell r="AO14">
            <v>139230</v>
          </cell>
        </row>
        <row r="15">
          <cell r="AO15">
            <v>138077.5</v>
          </cell>
        </row>
        <row r="16">
          <cell r="AO16">
            <v>71400</v>
          </cell>
        </row>
        <row r="17">
          <cell r="AO17">
            <v>145000</v>
          </cell>
        </row>
        <row r="18">
          <cell r="AO18">
            <v>29750</v>
          </cell>
        </row>
        <row r="19">
          <cell r="AO19">
            <v>23749.5</v>
          </cell>
        </row>
        <row r="20">
          <cell r="AO20">
            <v>12945</v>
          </cell>
        </row>
        <row r="21">
          <cell r="AO21">
            <v>31741.5</v>
          </cell>
        </row>
        <row r="22">
          <cell r="AO22">
            <v>16445</v>
          </cell>
        </row>
        <row r="23">
          <cell r="AO23">
            <v>245140</v>
          </cell>
        </row>
        <row r="24">
          <cell r="AO24">
            <v>619.26666666666665</v>
          </cell>
        </row>
        <row r="25">
          <cell r="AO25">
            <v>6900</v>
          </cell>
        </row>
        <row r="26">
          <cell r="AO26">
            <v>73.8</v>
          </cell>
        </row>
        <row r="27">
          <cell r="AO27">
            <v>467313.66666666669</v>
          </cell>
        </row>
        <row r="28">
          <cell r="AO28">
            <v>486142</v>
          </cell>
        </row>
        <row r="29">
          <cell r="AO29">
            <v>514280.33333333331</v>
          </cell>
        </row>
        <row r="30">
          <cell r="AO30">
            <v>526362.66666666663</v>
          </cell>
        </row>
        <row r="31">
          <cell r="AO31">
            <v>562578.33333333337</v>
          </cell>
        </row>
        <row r="32">
          <cell r="AO32">
            <v>607024.5</v>
          </cell>
        </row>
        <row r="33">
          <cell r="AO33">
            <v>523203</v>
          </cell>
        </row>
        <row r="34">
          <cell r="AO34">
            <v>81010</v>
          </cell>
        </row>
        <row r="35">
          <cell r="AO35">
            <v>92596</v>
          </cell>
        </row>
        <row r="36">
          <cell r="AO36">
            <v>47076.399999999994</v>
          </cell>
        </row>
        <row r="37">
          <cell r="AO37">
            <v>41316</v>
          </cell>
        </row>
        <row r="38">
          <cell r="AO38">
            <v>45616.333333333336</v>
          </cell>
        </row>
        <row r="39">
          <cell r="AO39">
            <v>14700</v>
          </cell>
        </row>
        <row r="40">
          <cell r="AO40">
            <v>73200</v>
          </cell>
        </row>
        <row r="41">
          <cell r="AO41">
            <v>5313.333333333333</v>
          </cell>
        </row>
        <row r="42">
          <cell r="AO42">
            <v>2113.5</v>
          </cell>
        </row>
        <row r="43">
          <cell r="AO43">
            <v>1915.8999999999999</v>
          </cell>
        </row>
        <row r="44">
          <cell r="AO44">
            <v>1980</v>
          </cell>
        </row>
        <row r="45">
          <cell r="AO45">
            <v>557.98913043478262</v>
          </cell>
        </row>
        <row r="46">
          <cell r="AO46">
            <v>543.47826086956525</v>
          </cell>
        </row>
        <row r="47">
          <cell r="AO47">
            <v>160000</v>
          </cell>
        </row>
        <row r="48">
          <cell r="AO48">
            <v>2600000</v>
          </cell>
        </row>
        <row r="49">
          <cell r="AO49">
            <v>112000</v>
          </cell>
        </row>
        <row r="50">
          <cell r="AO50">
            <v>85500.55</v>
          </cell>
        </row>
        <row r="51">
          <cell r="AO51">
            <v>42153</v>
          </cell>
        </row>
        <row r="52">
          <cell r="AO52">
            <v>8564.1733333333341</v>
          </cell>
        </row>
        <row r="53">
          <cell r="AO53">
            <v>3596.1833333333329</v>
          </cell>
        </row>
        <row r="54">
          <cell r="AO54">
            <v>7095.05</v>
          </cell>
        </row>
        <row r="55">
          <cell r="AO55">
            <v>674725</v>
          </cell>
        </row>
        <row r="56">
          <cell r="AO56">
            <v>19071.25</v>
          </cell>
        </row>
        <row r="57">
          <cell r="AO57">
            <v>413093.5</v>
          </cell>
        </row>
        <row r="58">
          <cell r="AO58">
            <v>1744.058</v>
          </cell>
        </row>
        <row r="59">
          <cell r="AO59">
            <v>7449</v>
          </cell>
        </row>
        <row r="60">
          <cell r="AO60">
            <v>540200</v>
          </cell>
        </row>
        <row r="61">
          <cell r="AO61">
            <v>84570.015599999999</v>
          </cell>
        </row>
        <row r="62">
          <cell r="AO62">
            <v>124209.43919999998</v>
          </cell>
        </row>
        <row r="63">
          <cell r="AO63">
            <v>153328.9296</v>
          </cell>
        </row>
        <row r="64">
          <cell r="AO64">
            <v>124209.43919999998</v>
          </cell>
        </row>
        <row r="65">
          <cell r="AO65">
            <v>146748</v>
          </cell>
        </row>
        <row r="66">
          <cell r="AO66">
            <v>46879.666666666664</v>
          </cell>
        </row>
        <row r="67">
          <cell r="AO67">
            <v>65174.538799999995</v>
          </cell>
        </row>
        <row r="68">
          <cell r="AO68">
            <v>95000</v>
          </cell>
        </row>
        <row r="69">
          <cell r="AO69">
            <v>88864.5</v>
          </cell>
        </row>
        <row r="70">
          <cell r="AO70">
            <v>104990</v>
          </cell>
        </row>
        <row r="71">
          <cell r="AO71">
            <v>124586.33333333333</v>
          </cell>
        </row>
        <row r="72">
          <cell r="AO72">
            <v>112929.5</v>
          </cell>
        </row>
        <row r="73">
          <cell r="AO73">
            <v>26664.5</v>
          </cell>
        </row>
        <row r="74">
          <cell r="AO74">
            <v>20020</v>
          </cell>
        </row>
        <row r="75">
          <cell r="AO75">
            <v>160575</v>
          </cell>
        </row>
        <row r="76">
          <cell r="AO76">
            <v>137445</v>
          </cell>
        </row>
        <row r="77">
          <cell r="AO77">
            <v>169694</v>
          </cell>
        </row>
        <row r="78">
          <cell r="AO78">
            <v>141372</v>
          </cell>
        </row>
        <row r="79">
          <cell r="AO79">
            <v>47400</v>
          </cell>
        </row>
        <row r="80">
          <cell r="AO80">
            <v>3282</v>
          </cell>
        </row>
        <row r="81">
          <cell r="AO81">
            <v>17000</v>
          </cell>
        </row>
        <row r="82">
          <cell r="AO82">
            <v>54108.724999999999</v>
          </cell>
        </row>
        <row r="83">
          <cell r="AO83">
            <v>135750</v>
          </cell>
        </row>
        <row r="84">
          <cell r="AO84">
            <v>5100</v>
          </cell>
        </row>
        <row r="85">
          <cell r="AO85">
            <v>65174.538799999995</v>
          </cell>
        </row>
        <row r="86">
          <cell r="AO86">
            <v>6766.666666666667</v>
          </cell>
        </row>
        <row r="87">
          <cell r="AO87">
            <v>93020</v>
          </cell>
        </row>
        <row r="88">
          <cell r="AO88">
            <v>170</v>
          </cell>
        </row>
        <row r="89">
          <cell r="AO89">
            <v>940</v>
          </cell>
        </row>
        <row r="90">
          <cell r="AO90">
            <v>214170</v>
          </cell>
        </row>
        <row r="91">
          <cell r="AO91">
            <v>121767.5</v>
          </cell>
        </row>
        <row r="92">
          <cell r="AO92">
            <v>169972</v>
          </cell>
        </row>
        <row r="93">
          <cell r="AO93">
            <v>19163.666666666668</v>
          </cell>
        </row>
        <row r="94">
          <cell r="AO94">
            <v>2500</v>
          </cell>
        </row>
        <row r="95">
          <cell r="AO95">
            <v>6018.666666666667</v>
          </cell>
        </row>
        <row r="96">
          <cell r="AO96">
            <v>11179</v>
          </cell>
        </row>
        <row r="97">
          <cell r="AO97">
            <v>71500</v>
          </cell>
        </row>
        <row r="98">
          <cell r="AO98">
            <v>20600</v>
          </cell>
        </row>
        <row r="99">
          <cell r="AO99">
            <v>34745</v>
          </cell>
        </row>
        <row r="100">
          <cell r="AO100">
            <v>440873.77039999992</v>
          </cell>
        </row>
        <row r="101">
          <cell r="AO101">
            <v>5600</v>
          </cell>
        </row>
        <row r="102">
          <cell r="AO102">
            <v>1747.5</v>
          </cell>
        </row>
        <row r="103">
          <cell r="AO103">
            <v>3700</v>
          </cell>
        </row>
        <row r="104">
          <cell r="AO104">
            <v>19316.666666666668</v>
          </cell>
        </row>
        <row r="105">
          <cell r="AO105">
            <v>23816.666666666668</v>
          </cell>
        </row>
        <row r="106">
          <cell r="AO106">
            <v>98175</v>
          </cell>
        </row>
        <row r="107">
          <cell r="AO107">
            <v>91630</v>
          </cell>
        </row>
        <row r="108">
          <cell r="AO108">
            <v>179987</v>
          </cell>
        </row>
        <row r="109">
          <cell r="AO109">
            <v>65424.333333333336</v>
          </cell>
        </row>
        <row r="110">
          <cell r="AO110">
            <v>8392</v>
          </cell>
        </row>
        <row r="111">
          <cell r="AO111">
            <v>49523</v>
          </cell>
        </row>
        <row r="112">
          <cell r="AO112">
            <v>6960000</v>
          </cell>
        </row>
        <row r="113">
          <cell r="AO113">
            <v>41650</v>
          </cell>
        </row>
        <row r="114">
          <cell r="AO114">
            <v>15861</v>
          </cell>
        </row>
        <row r="115">
          <cell r="AO115">
            <v>700</v>
          </cell>
        </row>
        <row r="116">
          <cell r="AO116">
            <v>62380.952380952382</v>
          </cell>
        </row>
        <row r="117">
          <cell r="AO117">
            <v>55000</v>
          </cell>
        </row>
        <row r="118">
          <cell r="AO118">
            <v>139333.33333333334</v>
          </cell>
        </row>
        <row r="119">
          <cell r="AO119">
            <v>978000</v>
          </cell>
        </row>
        <row r="120">
          <cell r="AO120">
            <v>47600</v>
          </cell>
        </row>
        <row r="121">
          <cell r="AO121">
            <v>124209.43919999998</v>
          </cell>
        </row>
        <row r="122">
          <cell r="AO122">
            <v>153328.9296</v>
          </cell>
        </row>
        <row r="123">
          <cell r="AO123">
            <v>153328.9296</v>
          </cell>
        </row>
        <row r="124">
          <cell r="AO124">
            <v>149063.5888</v>
          </cell>
        </row>
        <row r="125">
          <cell r="AO125">
            <v>167660.9564</v>
          </cell>
        </row>
        <row r="126">
          <cell r="AO126">
            <v>105742</v>
          </cell>
        </row>
        <row r="127">
          <cell r="AO127">
            <v>266841.89486304001</v>
          </cell>
        </row>
        <row r="128">
          <cell r="AO128">
            <v>108888</v>
          </cell>
        </row>
        <row r="129">
          <cell r="AO129">
            <v>2808400</v>
          </cell>
        </row>
        <row r="130">
          <cell r="AO130">
            <v>939054</v>
          </cell>
        </row>
        <row r="131">
          <cell r="AO131">
            <v>49742</v>
          </cell>
        </row>
        <row r="132">
          <cell r="AO132">
            <v>84000</v>
          </cell>
        </row>
        <row r="133">
          <cell r="AO133">
            <v>2522800</v>
          </cell>
        </row>
        <row r="134">
          <cell r="AO134">
            <v>2466870</v>
          </cell>
        </row>
        <row r="135">
          <cell r="AO135">
            <v>11228576.370995201</v>
          </cell>
        </row>
        <row r="136">
          <cell r="AO136">
            <v>1150480.6666666667</v>
          </cell>
        </row>
        <row r="137">
          <cell r="AO137">
            <v>23501671.474175997</v>
          </cell>
        </row>
        <row r="138">
          <cell r="AO138">
            <v>24807319.889408</v>
          </cell>
        </row>
        <row r="139">
          <cell r="AO139">
            <v>149063.5888</v>
          </cell>
        </row>
        <row r="140">
          <cell r="AO140">
            <v>524299.72</v>
          </cell>
        </row>
        <row r="141">
          <cell r="AO141">
            <v>132299.44</v>
          </cell>
        </row>
        <row r="142">
          <cell r="AO142">
            <v>187080.37005</v>
          </cell>
        </row>
        <row r="143">
          <cell r="AO143">
            <v>333200</v>
          </cell>
        </row>
        <row r="144">
          <cell r="AO144">
            <v>332000</v>
          </cell>
        </row>
        <row r="145">
          <cell r="AO145">
            <v>400000</v>
          </cell>
        </row>
        <row r="146">
          <cell r="AO146">
            <v>332000</v>
          </cell>
        </row>
        <row r="147">
          <cell r="AO147">
            <v>400000</v>
          </cell>
        </row>
        <row r="148">
          <cell r="AO148">
            <v>380347</v>
          </cell>
        </row>
        <row r="149">
          <cell r="AO149">
            <v>445000</v>
          </cell>
        </row>
        <row r="150">
          <cell r="AO150">
            <v>372000</v>
          </cell>
        </row>
        <row r="151">
          <cell r="AO151">
            <v>423000</v>
          </cell>
        </row>
        <row r="152">
          <cell r="AO152">
            <v>525176.5</v>
          </cell>
        </row>
        <row r="153">
          <cell r="AO153">
            <v>2496.6666666666665</v>
          </cell>
        </row>
        <row r="154">
          <cell r="AO154">
            <v>512605</v>
          </cell>
        </row>
        <row r="155">
          <cell r="AO155">
            <v>597800.06999999995</v>
          </cell>
        </row>
        <row r="156">
          <cell r="AO156">
            <v>137199.85999999999</v>
          </cell>
        </row>
        <row r="157">
          <cell r="AO157">
            <v>4200</v>
          </cell>
        </row>
        <row r="158">
          <cell r="AO158">
            <v>95000</v>
          </cell>
        </row>
        <row r="159">
          <cell r="AO159">
            <v>8542</v>
          </cell>
        </row>
        <row r="160">
          <cell r="AO160">
            <v>60000</v>
          </cell>
        </row>
        <row r="161">
          <cell r="AO161">
            <v>140000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_SS_FM"/>
      <sheetName val="END_"/>
      <sheetName val="COTIZACIONES  (2)"/>
      <sheetName val="consolidado"/>
      <sheetName val="TUBERIAS"/>
      <sheetName val="BRIDAS"/>
      <sheetName val="_SOLDADURA_LONG"/>
      <sheetName val="PLANCHAS"/>
      <sheetName val="PL_PESOS Y ACERO"/>
      <sheetName val="TORNILLERIA"/>
      <sheetName val="PERFILERIA"/>
      <sheetName val="VALLAS_TIPO"/>
      <sheetName val="VALLAS_TIPO (2)"/>
      <sheetName val="ESTADISTICO"/>
      <sheetName val="COTIZACIONES "/>
      <sheetName val="TRM"/>
      <sheetName val="SEÑALBANDERATIPO_K"/>
      <sheetName val="SEÑALBANDERATIPO_J"/>
      <sheetName val="SEÑALBANDERATIPO_I"/>
      <sheetName val="SEÑALBANDERATIPOH"/>
      <sheetName val="SEÑALBANDERATIPOG"/>
      <sheetName val="SEÑALBANDERATIPOF"/>
      <sheetName val="PROPUESTAS_SEÑALIZADORES"/>
      <sheetName val="u_DITRITAL "/>
      <sheetName val="PRESUPUESTO_POR UNIDAD_2017"/>
      <sheetName val="PORCANTIDADES2"/>
      <sheetName val="PRESUPUESTO POR CANTIDADES_1"/>
      <sheetName val="SEÑAL-TIPO_K "/>
      <sheetName val="SEÑAL_TIPO_J"/>
      <sheetName val="SEÑAL_TIPO_I"/>
      <sheetName val="SEÑAL-TIPO_H"/>
      <sheetName val="SEÑAL-TIPO_G"/>
      <sheetName val="SEÑAL-TIPO_F"/>
      <sheetName val="SEÑAL_TIPO_E"/>
      <sheetName val="SEÑALBANDERATIPOE"/>
      <sheetName val="SEÑALBANDERATIPOD"/>
      <sheetName val="SEÑALTIPOBANDERAC"/>
      <sheetName val="SEÑALTIPOBANDERA_B"/>
      <sheetName val="SEÑALTIPO_D"/>
      <sheetName val="SEÑAL_TIPO_C"/>
      <sheetName val="SEÑAL_TIPO_B"/>
      <sheetName val="SEÑAL_TIPO_A"/>
      <sheetName val="SEÑAL TIPO BANDERA_A"/>
      <sheetName val="JORNALES"/>
      <sheetName val="PUESTA_TIERRA"/>
      <sheetName val="EXPLORACION Y EVALUACION_SITIO"/>
      <sheetName val="EXCAVACION_MANUAL"/>
      <sheetName val="RELLENO CON MAERIAL "/>
      <sheetName val="END_ENSAYO DE TINTAS"/>
      <sheetName val="PINTURAESTR_METAL"/>
      <sheetName val="S.I. SOLDADURA"/>
      <sheetName val="ESTUDIODESUELOS"/>
      <sheetName val="MORTERO DE NIVELACION "/>
      <sheetName val="ACERO DE REFUERZO"/>
      <sheetName val="FABRICACION DE ESTRUCTURA_A_36"/>
      <sheetName val="LAMA_M2"/>
      <sheetName val="DEMOLICION DE ANDEN"/>
      <sheetName val="RETROREFLECTIVO"/>
      <sheetName val="FABRICACION ESTRUCTURA_A-500-C"/>
      <sheetName val="MONTAJE_ESTRUCTURA"/>
      <sheetName val="CONCRETO_3500PSI"/>
      <sheetName val="SEÑALIZACION_TEMPORAL"/>
      <sheetName val="INSUMOS"/>
      <sheetName val="PRECIOS DE REFERENCIA_IDU"/>
      <sheetName val="EQUIPOS TH"/>
      <sheetName val="APU_ID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26" Type="http://schemas.openxmlformats.org/officeDocument/2006/relationships/hyperlink" Target="https://elpalustre.com.co/index.php?route=product/product&amp;path=17_139&amp;product_id=789" TargetMode="External"/><Relationship Id="rId21" Type="http://schemas.openxmlformats.org/officeDocument/2006/relationships/hyperlink" Target="https://ferropetrol.com/shop/sin-categoria/lb-puntilla-c-cabeza-1/" TargetMode="External"/><Relationship Id="rId42" Type="http://schemas.openxmlformats.org/officeDocument/2006/relationships/hyperlink" Target="https://provesi.com.co/otros-senalizacion-vial/853-1656-tacha-reflectiva-ojos-de-gato-bidireccional.html" TargetMode="External"/><Relationship Id="rId47" Type="http://schemas.openxmlformats.org/officeDocument/2006/relationships/hyperlink" Target="https://www.easy.com.co/lija-multi-flex-met-no120-6pg-rollo-x1m/p?idsku=1102668&amp;gad_source=1&amp;gclid=Cj0KCQjwztOwBhD7ARIsAPDKnkCxc9YS6nPcxHuY72VASk2FlUaeFlpTnBaUJzIQyWhg4W9DvIhaJ1AaAhS7EALw_wcB" TargetMode="External"/><Relationship Id="rId63" Type="http://schemas.openxmlformats.org/officeDocument/2006/relationships/hyperlink" Target="https://www.homecenter.com.co/homecenter-co/product/329947/tela-mixta-verde-azul-impresa-50ml-x-2m-ancho/329947/" TargetMode="External"/><Relationship Id="rId68" Type="http://schemas.openxmlformats.org/officeDocument/2006/relationships/hyperlink" Target="https://www.homecenter.com.co/homecenter-co/product/492252/tacha-blanca-roja-con-espigo-x-50-unds/492252/" TargetMode="External"/><Relationship Id="rId84" Type="http://schemas.openxmlformats.org/officeDocument/2006/relationships/comments" Target="../comments3.xml"/><Relationship Id="rId16" Type="http://schemas.openxmlformats.org/officeDocument/2006/relationships/hyperlink" Target="https://ferropetrol.com/shop/sin-categoria/angulo-hr-1-4-x-2-x-6-mts/" TargetMode="External"/><Relationship Id="rId11" Type="http://schemas.openxmlformats.org/officeDocument/2006/relationships/hyperlink" Target="https://www.homecenter.com.co/homecenter-co/product/91607/puntilla-con-cabeza-2-1-2pg-500g/91607/" TargetMode="External"/><Relationship Id="rId32" Type="http://schemas.openxmlformats.org/officeDocument/2006/relationships/hyperlink" Target="https://ferreteriaosorio.com/products/broca-hss-irwin?variant=36692845461654" TargetMode="External"/><Relationship Id="rId37" Type="http://schemas.openxmlformats.org/officeDocument/2006/relationships/hyperlink" Target="https://ferreteriaosorio.com/products/alambre-negro" TargetMode="External"/><Relationship Id="rId53" Type="http://schemas.openxmlformats.org/officeDocument/2006/relationships/hyperlink" Target="https://www.prosisoma.com/producto/par-de-pretal-para-trabajo-en-postes/" TargetMode="External"/><Relationship Id="rId58" Type="http://schemas.openxmlformats.org/officeDocument/2006/relationships/hyperlink" Target="https://www.homecenter.com.co/homecenter-co/product/593349/remache-tipo-pop-aluminio-1-4-x-1-5u/593349/" TargetMode="External"/><Relationship Id="rId74" Type="http://schemas.openxmlformats.org/officeDocument/2006/relationships/hyperlink" Target="https://ferreteriasaray.com/inicio/puntilla-lisa-con-cabeza-165-1--1250.html" TargetMode="External"/><Relationship Id="rId79" Type="http://schemas.openxmlformats.org/officeDocument/2006/relationships/hyperlink" Target="https://www.homecenter.com.co/homecenter-co/product/86533/tubo-cerramiento-galvanizado-2pg-x-191mm-x-6m/86533/" TargetMode="External"/><Relationship Id="rId5" Type="http://schemas.openxmlformats.org/officeDocument/2006/relationships/hyperlink" Target="https://www.homecenter.com.co/homecenter-co/product/278147/alambre-negro-1kg-c17-147mm-alm/278147/" TargetMode="External"/><Relationship Id="rId61" Type="http://schemas.openxmlformats.org/officeDocument/2006/relationships/hyperlink" Target="https://articulo.mercadolibre.com.co/MCO-1972626094-sikadur-42-anclaje-grout-epoxico-de-pernos-x-5-kg-_JM" TargetMode="External"/><Relationship Id="rId82" Type="http://schemas.openxmlformats.org/officeDocument/2006/relationships/printerSettings" Target="../printerSettings/printerSettings8.bin"/><Relationship Id="rId19" Type="http://schemas.openxmlformats.org/officeDocument/2006/relationships/hyperlink" Target="https://ferropetrol.com/shop/sin-categoria/tela-verde-para-cerramiento/" TargetMode="External"/><Relationship Id="rId14" Type="http://schemas.openxmlformats.org/officeDocument/2006/relationships/hyperlink" Target="https://www.homecenter.com.co/homecenter-co/product/555989/broca-tipo-usa-p-muro-punta-tungsteno-1-2-x-4-/555989/" TargetMode="External"/><Relationship Id="rId22" Type="http://schemas.openxmlformats.org/officeDocument/2006/relationships/hyperlink" Target="https://ferropetrol.com/shop/sin-categoria/puntilla-c-cabeza-21-2/" TargetMode="External"/><Relationship Id="rId27" Type="http://schemas.openxmlformats.org/officeDocument/2006/relationships/hyperlink" Target="https://elpalustre.com.co/index.php?route=product/product&amp;product_id=3945" TargetMode="External"/><Relationship Id="rId30" Type="http://schemas.openxmlformats.org/officeDocument/2006/relationships/hyperlink" Target="https://www.util.com.co/broca-s-d-s-tungsteno-trab-pesado-discover-58-x-8/p" TargetMode="External"/><Relationship Id="rId35" Type="http://schemas.openxmlformats.org/officeDocument/2006/relationships/hyperlink" Target="https://provesi.com.co/otros-senalizacion-vial/837-senalizador-vial-tubular-base-cono-naranja-baliza-3-reflectivos-pg-.html" TargetMode="External"/><Relationship Id="rId43" Type="http://schemas.openxmlformats.org/officeDocument/2006/relationships/hyperlink" Target="https://ferreteriasaray.com/inicio/chazo-expansivo-estrella-516-x-4-2323.html" TargetMode="External"/><Relationship Id="rId48" Type="http://schemas.openxmlformats.org/officeDocument/2006/relationships/hyperlink" Target="https://www.homecenter.com.co/homecenter-co/product/147971/pintura-epoxica-poliamida-gris-1-galon/147971/" TargetMode="External"/><Relationship Id="rId56" Type="http://schemas.openxmlformats.org/officeDocument/2006/relationships/hyperlink" Target="https://ferreco.com/inicio/6673-4-unidades-tornillo-hexagonal-516-x-3-12-con-tuerca-y-arandela.html" TargetMode="External"/><Relationship Id="rId64" Type="http://schemas.openxmlformats.org/officeDocument/2006/relationships/hyperlink" Target="https://www.easy.com.co/tela-verde-2-10-mt-x-1mt-uv-2anos/p" TargetMode="External"/><Relationship Id="rId69" Type="http://schemas.openxmlformats.org/officeDocument/2006/relationships/hyperlink" Target="https://fullmineria.com/producto/flascher-luminoso-solar/" TargetMode="External"/><Relationship Id="rId77" Type="http://schemas.openxmlformats.org/officeDocument/2006/relationships/hyperlink" Target="https://www.homecenter.com.co/homecenter-co/product/136254/tornillo-hexagonal-1-2x2-y-tuerca/136254/" TargetMode="External"/><Relationship Id="rId8" Type="http://schemas.openxmlformats.org/officeDocument/2006/relationships/hyperlink" Target="https://www.easy.com.co/soga-clasica-pp-10mm-x-1-m/p" TargetMode="External"/><Relationship Id="rId51" Type="http://schemas.openxmlformats.org/officeDocument/2006/relationships/hyperlink" Target="https://www.loencuentras.com.co/agregados-y-material-de-cantera/43-recebo-b-200.html" TargetMode="External"/><Relationship Id="rId72" Type="http://schemas.openxmlformats.org/officeDocument/2006/relationships/hyperlink" Target="https://fullmineria.com/producto/cojin-reductor-trafico-pesado/" TargetMode="External"/><Relationship Id="rId80" Type="http://schemas.openxmlformats.org/officeDocument/2006/relationships/hyperlink" Target="https://lagranferreteria.com/hierro/878-platina-14-x-1.html" TargetMode="External"/><Relationship Id="rId3" Type="http://schemas.openxmlformats.org/officeDocument/2006/relationships/hyperlink" Target="https://www.homecenter.com.co/homecenter-co/product/336895/cinta-de-acordonamiento-rollo-500mt/336895/" TargetMode="External"/><Relationship Id="rId12" Type="http://schemas.openxmlformats.org/officeDocument/2006/relationships/hyperlink" Target="https://www.homecenter.com.co/homecenter-co/product/91604/puntilla-con-cabeza-1-500g/91604/" TargetMode="External"/><Relationship Id="rId17" Type="http://schemas.openxmlformats.org/officeDocument/2006/relationships/hyperlink" Target="https://ferropetrol.com/shop/pintuco/gal-pintura-multip-base-solv-blanco-653/" TargetMode="External"/><Relationship Id="rId25" Type="http://schemas.openxmlformats.org/officeDocument/2006/relationships/hyperlink" Target="https://www.digaltex.com/producto/vendaval-liso-laf/" TargetMode="External"/><Relationship Id="rId33" Type="http://schemas.openxmlformats.org/officeDocument/2006/relationships/hyperlink" Target="https://www.homecenter.com.co/homecenter-co/product/96669/broca-hss-1-2-pulgada-d60a331/96669/" TargetMode="External"/><Relationship Id="rId38" Type="http://schemas.openxmlformats.org/officeDocument/2006/relationships/hyperlink" Target="https://ferreteriaosorio.com/products/manila-milenio?variant=36883773456534" TargetMode="External"/><Relationship Id="rId46" Type="http://schemas.openxmlformats.org/officeDocument/2006/relationships/hyperlink" Target="https://www.homecenter.com.co/homecenter-co/product/232046/anticorrosiva-1-galon-negro/232046/" TargetMode="External"/><Relationship Id="rId59" Type="http://schemas.openxmlformats.org/officeDocument/2006/relationships/hyperlink" Target="https://tiendabosch.co/discos-abrasivos/21121-disco-flap-fibra-4-12-curvo-grano-40-bosch-.html" TargetMode="External"/><Relationship Id="rId67" Type="http://schemas.openxmlformats.org/officeDocument/2006/relationships/hyperlink" Target="https://fullmineria.com/producto/estoperol-en-plastico-blanco/" TargetMode="External"/><Relationship Id="rId20" Type="http://schemas.openxmlformats.org/officeDocument/2006/relationships/hyperlink" Target="https://ferropetrol.com/shop/sin-categoria/manila-polipropileno-3-8-x-250-mts/" TargetMode="External"/><Relationship Id="rId41" Type="http://schemas.openxmlformats.org/officeDocument/2006/relationships/hyperlink" Target="https://www.homecenter.com.co/homecenter-co/product/103223/electrodo-6013-x-1-8-kilo/103223/" TargetMode="External"/><Relationship Id="rId54" Type="http://schemas.openxmlformats.org/officeDocument/2006/relationships/hyperlink" Target="https://www.producabos.com/producto/gravilla-mona-no-2-corriente/" TargetMode="External"/><Relationship Id="rId62" Type="http://schemas.openxmlformats.org/officeDocument/2006/relationships/hyperlink" Target="https://tienda.fajobe.com.co/producto/lamina-galvanizada-calibre-20-0-85mm-1x2mt/" TargetMode="External"/><Relationship Id="rId70" Type="http://schemas.openxmlformats.org/officeDocument/2006/relationships/hyperlink" Target="https://fullmineria.com/producto/barricada-metalica-tipo-idu-2/" TargetMode="External"/><Relationship Id="rId75" Type="http://schemas.openxmlformats.org/officeDocument/2006/relationships/hyperlink" Target="https://laferretemia.com/index.php/product/chazo-cuna/" TargetMode="External"/><Relationship Id="rId83" Type="http://schemas.openxmlformats.org/officeDocument/2006/relationships/vmlDrawing" Target="../drawings/vmlDrawing3.vml"/><Relationship Id="rId1" Type="http://schemas.openxmlformats.org/officeDocument/2006/relationships/hyperlink" Target="https://www.reflex.com.co/?gclid=EAIaIQobChMIv6_U2saA7AIVA4NaBR1-2gV3EAAYASAAEgIlU_D_BwE" TargetMode="External"/><Relationship Id="rId6" Type="http://schemas.openxmlformats.org/officeDocument/2006/relationships/hyperlink" Target="https://www.homecenter.com.co/homecenter-co/product/338593/disolvente-xilol-industrial-x-3-litros/338593/" TargetMode="External"/><Relationship Id="rId15" Type="http://schemas.openxmlformats.org/officeDocument/2006/relationships/hyperlink" Target="https://ferropetrol.com/shop/sin-categoria/angulo-hr-1-8-x-2-x-6-mts/" TargetMode="External"/><Relationship Id="rId23" Type="http://schemas.openxmlformats.org/officeDocument/2006/relationships/hyperlink" Target="https://ferreteriaonlinelevallejoaz.com/puntilla-c-cab-2-1-2-500grm-caball/" TargetMode="External"/><Relationship Id="rId28" Type="http://schemas.openxmlformats.org/officeDocument/2006/relationships/hyperlink" Target="https://provesi.com.co/productos/1675-pegante-epoxico-bicomponente-16-kg-pintuco.html" TargetMode="External"/><Relationship Id="rId36" Type="http://schemas.openxmlformats.org/officeDocument/2006/relationships/hyperlink" Target="https://www.easy.com.co/cemento-argos-portland-tipo-i-x-50-kg/p" TargetMode="External"/><Relationship Id="rId49" Type="http://schemas.openxmlformats.org/officeDocument/2006/relationships/hyperlink" Target="https://www.homecenter.com.co/homecenter-co/product/66915/sikafloor-3-quartz-top-endurecedor-de-pisos-neutro-30kg/66915/" TargetMode="External"/><Relationship Id="rId57" Type="http://schemas.openxmlformats.org/officeDocument/2006/relationships/hyperlink" Target="https://www.construmole.com/producto/lamina-galvanizada-2-x-1-c-16-1-50/" TargetMode="External"/><Relationship Id="rId10" Type="http://schemas.openxmlformats.org/officeDocument/2006/relationships/hyperlink" Target="https://ferreteriasaray.com/inicio/soga-n-10--6410.html" TargetMode="External"/><Relationship Id="rId31" Type="http://schemas.openxmlformats.org/officeDocument/2006/relationships/hyperlink" Target="https://www.util.com.co/broca-tipo-usa-pmuro-punta-tungsteno-12-x-4-/p" TargetMode="External"/><Relationship Id="rId44" Type="http://schemas.openxmlformats.org/officeDocument/2006/relationships/hyperlink" Target="https://www.homecenter.com.co/homecenter-co/product/297070/gravilla-mona-40kg/297070/" TargetMode="External"/><Relationship Id="rId52" Type="http://schemas.openxmlformats.org/officeDocument/2006/relationships/hyperlink" Target="https://www.loencuentras.com.co/hierros/70-alambre-negro-de-amarre.html" TargetMode="External"/><Relationship Id="rId60" Type="http://schemas.openxmlformats.org/officeDocument/2006/relationships/hyperlink" Target="https://www.homecenter.com.co/homecenter-co/product/136255/tornillo-hexagonal-1-2x2-1-2-y-tuerca/136255/" TargetMode="External"/><Relationship Id="rId65" Type="http://schemas.openxmlformats.org/officeDocument/2006/relationships/hyperlink" Target="https://www.easy.com.co/pintura-trafico-1gl-negro-tito-pabon/p?idsku=1134045&amp;gad_source=1&amp;gclid=Cj0KCQjwiYOxBhC5ARIsAIvdH50Bn9W37Xsaf1BBe_SgBWsTM_HBiBqOdExZkUtaoi9PnxLy5c34IeAaAgnXEALw_wcB" TargetMode="External"/><Relationship Id="rId73" Type="http://schemas.openxmlformats.org/officeDocument/2006/relationships/hyperlink" Target="https://es.aliexpress.com/item/605106074.html" TargetMode="External"/><Relationship Id="rId78" Type="http://schemas.openxmlformats.org/officeDocument/2006/relationships/hyperlink" Target="https://www.homecenter.com.co/homecenter-co/product/156251/tubo-cuadrado-50-x-50-x-20mm-x-6m-estructural-hr50/156251/" TargetMode="External"/><Relationship Id="rId81" Type="http://schemas.openxmlformats.org/officeDocument/2006/relationships/hyperlink" Target="https://articulo.mercadolibre.com.co/MCO-866217954-tinta-textil-para-serigrafiascreen-plastisol-420-gr-_JM" TargetMode="External"/><Relationship Id="rId4" Type="http://schemas.openxmlformats.org/officeDocument/2006/relationships/hyperlink" Target="https://www.homecenter.com.co/homecenter-co/product/13846/cemento-argos-gris-50kg/13846/" TargetMode="External"/><Relationship Id="rId9" Type="http://schemas.openxmlformats.org/officeDocument/2006/relationships/hyperlink" Target="https://www.homecenter.com.co/homecenter-co/product/304472/wash-primer-algreco-componente-a-1-galon/304472/" TargetMode="External"/><Relationship Id="rId13" Type="http://schemas.openxmlformats.org/officeDocument/2006/relationships/hyperlink" Target="https://www.easy.cl/remache-tipo-pop-4-x-10-mm-10-unidades-imporper-238193/p" TargetMode="External"/><Relationship Id="rId18" Type="http://schemas.openxmlformats.org/officeDocument/2006/relationships/hyperlink" Target="https://ferropetrol.com/shop/pintuco/galon-ajustador-xilol-21204-10017263/" TargetMode="External"/><Relationship Id="rId39" Type="http://schemas.openxmlformats.org/officeDocument/2006/relationships/hyperlink" Target="https://provesi.com.co/otros-senalizacion-vial/1975-barrera-vial-o-maletin-plastico-largo-205mts-alto-1mt-ancho-base-495-cm-pg-2g.html" TargetMode="External"/><Relationship Id="rId34" Type="http://schemas.openxmlformats.org/officeDocument/2006/relationships/hyperlink" Target="https://provesi.com.co/otros-senalizacion-vial/842-hito-delineador-vial-flexible-naranja-tubo-senalizacion-tg-tornillos.html" TargetMode="External"/><Relationship Id="rId50" Type="http://schemas.openxmlformats.org/officeDocument/2006/relationships/hyperlink" Target="https://www.loencuentras.com.co/agregados-y-material-de-cantera/1428-grava-1-1-2.html" TargetMode="External"/><Relationship Id="rId55" Type="http://schemas.openxmlformats.org/officeDocument/2006/relationships/hyperlink" Target="https://www.producabos.com/producto/gravilla-mona-no-1-corriente/" TargetMode="External"/><Relationship Id="rId76" Type="http://schemas.openxmlformats.org/officeDocument/2006/relationships/hyperlink" Target="https://www.homecenter.com.co/homecenter-co/product/136258/tornillo-hexagonal-1-2x4-y-tuerca/136258/" TargetMode="External"/><Relationship Id="rId7" Type="http://schemas.openxmlformats.org/officeDocument/2006/relationships/hyperlink" Target="https://www.homecenter.com.co/homecenter-co/product/555985/broca-tipo-usa-p-muro-punta-tungsteno-5-8-x-6/555985/" TargetMode="External"/><Relationship Id="rId71" Type="http://schemas.openxmlformats.org/officeDocument/2006/relationships/hyperlink" Target="https://fullmineria.com/producto/cojin-reductor-trafico-pesado/" TargetMode="External"/><Relationship Id="rId2" Type="http://schemas.openxmlformats.org/officeDocument/2006/relationships/hyperlink" Target="https://www.dvial.es/bolardos-de-plastico-hitos-y-balizas/999-191-hito-de-vertice-divergente-de-senalizacion-obispo.html" TargetMode="External"/><Relationship Id="rId29" Type="http://schemas.openxmlformats.org/officeDocument/2006/relationships/hyperlink" Target="https://www.velogassaesp.com/productos/cilindro-de-100-lbs-45-kg/" TargetMode="External"/><Relationship Id="rId24" Type="http://schemas.openxmlformats.org/officeDocument/2006/relationships/hyperlink" Target="https://ferreteriaonlinelevallejoaz.com/soldadura-elect-3-32-6013-lincol/" TargetMode="External"/><Relationship Id="rId40" Type="http://schemas.openxmlformats.org/officeDocument/2006/relationships/hyperlink" Target="https://ferreteriaosorio.com/products/soldadura-electrica?_pos=1&amp;_sid=9cac538d7&amp;_ss=r&amp;variant=36821987131542" TargetMode="External"/><Relationship Id="rId45" Type="http://schemas.openxmlformats.org/officeDocument/2006/relationships/hyperlink" Target="https://www.easy.com.co/thinner-comun-1gl-djg/p" TargetMode="External"/><Relationship Id="rId66" Type="http://schemas.openxmlformats.org/officeDocument/2006/relationships/hyperlink" Target="https://fullmineria.com/producto/hitos-de-arista/"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8" Type="http://schemas.openxmlformats.org/officeDocument/2006/relationships/vmlDrawing" Target="../drawings/vmlDrawing4.vml"/><Relationship Id="rId3" Type="http://schemas.openxmlformats.org/officeDocument/2006/relationships/hyperlink" Target="https://articulo.mercadolibre.com.co/MCO-1266078473-dobladora-de-lamina-250-metros-dobladora-de-lamina-manual-_JM" TargetMode="External"/><Relationship Id="rId7" Type="http://schemas.openxmlformats.org/officeDocument/2006/relationships/printerSettings" Target="../printerSettings/printerSettings11.bin"/><Relationship Id="rId2" Type="http://schemas.openxmlformats.org/officeDocument/2006/relationships/hyperlink" Target="https://es.aliexpress.com/item/1005005820476968.html" TargetMode="External"/><Relationship Id="rId1" Type="http://schemas.openxmlformats.org/officeDocument/2006/relationships/hyperlink" Target="https://es.aliexpress.com/item/1005005495515712.html?spm=a2g0o.productlist.main.3.e38e541fBspD87&amp;algo_pvid=82dc1de5-91a9-44a3-b3d1-40f6931ae604&amp;algo_exp_id=82dc1de5-91a9-44a3-b3d1-40f6931ae604-1&amp;pdp_npi=4%40dis%21COP%2110398685.44%2110398685.44%21%21%212600.00%212600.00%21%402101fb0d17133715823447894e190b%2112000033305023400%21sea%21CO%210%21AB&amp;curPageLogUid=bgpXiIdsudHp&amp;utparam-url=scene%3Asearch%7Cquery_from%3A" TargetMode="External"/><Relationship Id="rId6" Type="http://schemas.openxmlformats.org/officeDocument/2006/relationships/hyperlink" Target="https://es.aliexpress.com/i/1005006190812038.html" TargetMode="External"/><Relationship Id="rId5" Type="http://schemas.openxmlformats.org/officeDocument/2006/relationships/hyperlink" Target="https://articulo.mercadolibre.com.co/MCO-585781968-pretales-dielectricos-para-trabajos-en-alturas-marca-insafe-_JM" TargetMode="External"/><Relationship Id="rId4" Type="http://schemas.openxmlformats.org/officeDocument/2006/relationships/hyperlink" Target="https://articulo.mercadolibre.com.co/MCO-1273787945-pistola-soldadura-mig-14ak-antorcha-soldadura-3-metros-_JM" TargetMode="External"/><Relationship Id="rId9"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8" Type="http://schemas.openxmlformats.org/officeDocument/2006/relationships/hyperlink" Target="https://www.aliensenalizacion.com/senalizacionvialhorizontal" TargetMode="External"/><Relationship Id="rId13" Type="http://schemas.openxmlformats.org/officeDocument/2006/relationships/vmlDrawing" Target="../drawings/vmlDrawing5.vml"/><Relationship Id="rId3" Type="http://schemas.openxmlformats.org/officeDocument/2006/relationships/hyperlink" Target="https://www.reflex.com.co/newpagee58a3e97" TargetMode="External"/><Relationship Id="rId7" Type="http://schemas.openxmlformats.org/officeDocument/2006/relationships/hyperlink" Target="https://www.reflex.com.co/?gclid=EAIaIQobChMIv6_U2saA7AIVA4NaBR1-2gV3EAAYASAAEgIlU_D_BwE" TargetMode="External"/><Relationship Id="rId12" Type="http://schemas.openxmlformats.org/officeDocument/2006/relationships/drawing" Target="../drawings/drawing6.xml"/><Relationship Id="rId2" Type="http://schemas.openxmlformats.org/officeDocument/2006/relationships/hyperlink" Target="https://www.reflex.com.co/?gclid=EAIaIQobChMIv6_U2saA7AIVA4NaBR1-2gV3EAAYASAAEgIlU_D_BwE" TargetMode="External"/><Relationship Id="rId1" Type="http://schemas.openxmlformats.org/officeDocument/2006/relationships/hyperlink" Target="https://www.reflex.com.co/" TargetMode="External"/><Relationship Id="rId6" Type="http://schemas.openxmlformats.org/officeDocument/2006/relationships/hyperlink" Target="https://www.reflex.com.co/" TargetMode="External"/><Relationship Id="rId11" Type="http://schemas.openxmlformats.org/officeDocument/2006/relationships/printerSettings" Target="../printerSettings/printerSettings16.bin"/><Relationship Id="rId5" Type="http://schemas.openxmlformats.org/officeDocument/2006/relationships/hyperlink" Target="https://www.reflex.com.co/newpage" TargetMode="External"/><Relationship Id="rId10" Type="http://schemas.openxmlformats.org/officeDocument/2006/relationships/hyperlink" Target="https://lacampana.co/wp-content/uploads/2022/03/Pesos-y-Espesores-de-Laminas-de-Acero.pdf" TargetMode="External"/><Relationship Id="rId4" Type="http://schemas.openxmlformats.org/officeDocument/2006/relationships/hyperlink" Target="https://www.reflex.com.co/newpage5dd98379" TargetMode="External"/><Relationship Id="rId9" Type="http://schemas.openxmlformats.org/officeDocument/2006/relationships/hyperlink" Target="https://www.dvial.es/bolardos-de-plastico-hitos-y-balizas/999-191-hito-de-vertice-divergente-de-senalizacion-obispo.html" TargetMode="External"/><Relationship Id="rId14" Type="http://schemas.openxmlformats.org/officeDocument/2006/relationships/comments" Target="../comments5.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1.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3.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54.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55.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6.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7.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8.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9.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60.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61.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62.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63.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64.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65.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66.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8.xml"/><Relationship Id="rId1" Type="http://schemas.openxmlformats.org/officeDocument/2006/relationships/printerSettings" Target="../printerSettings/printerSettings67.bin"/><Relationship Id="rId4" Type="http://schemas.openxmlformats.org/officeDocument/2006/relationships/comments" Target="../comments6.xml"/></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8.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9.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70.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71.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72.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73.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74.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75.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76.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7.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8.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9.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80.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81.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82.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83.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84.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85.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86.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87.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88.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9.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90.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91.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92.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93.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94.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95.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96.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97.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98.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9.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100.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101.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102.bin"/></Relationships>
</file>

<file path=xl/worksheets/_rels/sheet106.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103.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104.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105.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106.bin"/></Relationships>
</file>

<file path=xl/worksheets/_rels/sheet110.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107.bin"/></Relationships>
</file>

<file path=xl/worksheets/_rels/sheet111.xml.rels><?xml version="1.0" encoding="UTF-8" standalone="yes"?>
<Relationships xmlns="http://schemas.openxmlformats.org/package/2006/relationships"><Relationship Id="rId3" Type="http://schemas.openxmlformats.org/officeDocument/2006/relationships/drawing" Target="../drawings/drawing99.xml"/><Relationship Id="rId2" Type="http://schemas.openxmlformats.org/officeDocument/2006/relationships/printerSettings" Target="../printerSettings/printerSettings108.bin"/><Relationship Id="rId1" Type="http://schemas.openxmlformats.org/officeDocument/2006/relationships/hyperlink" Target="https://spanish.alibaba.com/product-detail/thermoplastic-road-marking-paint-for-traffic-signs-and-road-safety-60191310241.html" TargetMode="External"/></Relationships>
</file>

<file path=xl/worksheets/_rels/sheet112.xml.rels><?xml version="1.0" encoding="UTF-8" standalone="yes"?>
<Relationships xmlns="http://schemas.openxmlformats.org/package/2006/relationships"><Relationship Id="rId3" Type="http://schemas.openxmlformats.org/officeDocument/2006/relationships/drawing" Target="../drawings/drawing100.xml"/><Relationship Id="rId2" Type="http://schemas.openxmlformats.org/officeDocument/2006/relationships/printerSettings" Target="../printerSettings/printerSettings109.bin"/><Relationship Id="rId1" Type="http://schemas.openxmlformats.org/officeDocument/2006/relationships/hyperlink" Target="https://spanish.alibaba.com/product-detail/thermoplastic-road-marking-paint-for-traffic-signs-and-road-safety-60191310241.html" TargetMode="External"/></Relationships>
</file>

<file path=xl/worksheets/_rels/sheet113.xml.rels><?xml version="1.0" encoding="UTF-8" standalone="yes"?>
<Relationships xmlns="http://schemas.openxmlformats.org/package/2006/relationships"><Relationship Id="rId3" Type="http://schemas.openxmlformats.org/officeDocument/2006/relationships/drawing" Target="../drawings/drawing101.xml"/><Relationship Id="rId2" Type="http://schemas.openxmlformats.org/officeDocument/2006/relationships/printerSettings" Target="../printerSettings/printerSettings110.bin"/><Relationship Id="rId1" Type="http://schemas.openxmlformats.org/officeDocument/2006/relationships/hyperlink" Target="https://spanish.alibaba.com/product-detail/thermoplastic-road-marking-paint-for-traffic-signs-and-road-safety-60191310241.html" TargetMode="External"/></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111.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112.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13.bin"/></Relationships>
</file>

<file path=xl/worksheets/_rels/sheet117.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14.bin"/></Relationships>
</file>

<file path=xl/worksheets/_rels/sheet118.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15.bin"/></Relationships>
</file>

<file path=xl/worksheets/_rels/sheet119.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16.bin"/></Relationships>
</file>

<file path=xl/worksheets/_rels/sheet120.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17.bin"/></Relationships>
</file>

<file path=xl/worksheets/_rels/sheet121.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18.bin"/></Relationships>
</file>

<file path=xl/worksheets/_rels/sheet122.xml.rels><?xml version="1.0" encoding="UTF-8" standalone="yes"?>
<Relationships xmlns="http://schemas.openxmlformats.org/package/2006/relationships"><Relationship Id="rId2" Type="http://schemas.openxmlformats.org/officeDocument/2006/relationships/drawing" Target="../drawings/drawing110.xml"/><Relationship Id="rId1" Type="http://schemas.openxmlformats.org/officeDocument/2006/relationships/printerSettings" Target="../printerSettings/printerSettings119.bin"/></Relationships>
</file>

<file path=xl/worksheets/_rels/sheet123.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20.bin"/></Relationships>
</file>

<file path=xl/worksheets/_rels/sheet124.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21.bin"/></Relationships>
</file>

<file path=xl/worksheets/_rels/sheet125.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22.bin"/></Relationships>
</file>

<file path=xl/worksheets/_rels/sheet126.xml.rels><?xml version="1.0" encoding="UTF-8" standalone="yes"?>
<Relationships xmlns="http://schemas.openxmlformats.org/package/2006/relationships"><Relationship Id="rId2" Type="http://schemas.openxmlformats.org/officeDocument/2006/relationships/drawing" Target="../drawings/drawing114.xml"/><Relationship Id="rId1" Type="http://schemas.openxmlformats.org/officeDocument/2006/relationships/printerSettings" Target="../printerSettings/printerSettings123.bin"/></Relationships>
</file>

<file path=xl/worksheets/_rels/sheet127.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24.bin"/></Relationships>
</file>

<file path=xl/worksheets/_rels/sheet128.xml.rels><?xml version="1.0" encoding="UTF-8" standalone="yes"?>
<Relationships xmlns="http://schemas.openxmlformats.org/package/2006/relationships"><Relationship Id="rId2" Type="http://schemas.openxmlformats.org/officeDocument/2006/relationships/drawing" Target="../drawings/drawing116.xml"/><Relationship Id="rId1" Type="http://schemas.openxmlformats.org/officeDocument/2006/relationships/printerSettings" Target="../printerSettings/printerSettings125.bin"/></Relationships>
</file>

<file path=xl/worksheets/_rels/sheet129.xml.rels><?xml version="1.0" encoding="UTF-8" standalone="yes"?>
<Relationships xmlns="http://schemas.openxmlformats.org/package/2006/relationships"><Relationship Id="rId2" Type="http://schemas.openxmlformats.org/officeDocument/2006/relationships/drawing" Target="../drawings/drawing117.xml"/><Relationship Id="rId1" Type="http://schemas.openxmlformats.org/officeDocument/2006/relationships/printerSettings" Target="../printerSettings/printerSettings126.bin"/></Relationships>
</file>

<file path=xl/worksheets/_rels/sheet130.xml.rels><?xml version="1.0" encoding="UTF-8" standalone="yes"?>
<Relationships xmlns="http://schemas.openxmlformats.org/package/2006/relationships"><Relationship Id="rId2" Type="http://schemas.openxmlformats.org/officeDocument/2006/relationships/drawing" Target="../drawings/drawing118.xml"/><Relationship Id="rId1" Type="http://schemas.openxmlformats.org/officeDocument/2006/relationships/printerSettings" Target="../printerSettings/printerSettings127.bin"/></Relationships>
</file>

<file path=xl/worksheets/_rels/sheet131.xml.rels><?xml version="1.0" encoding="UTF-8" standalone="yes"?>
<Relationships xmlns="http://schemas.openxmlformats.org/package/2006/relationships"><Relationship Id="rId2" Type="http://schemas.openxmlformats.org/officeDocument/2006/relationships/drawing" Target="../drawings/drawing119.xml"/><Relationship Id="rId1" Type="http://schemas.openxmlformats.org/officeDocument/2006/relationships/printerSettings" Target="../printerSettings/printerSettings128.bin"/></Relationships>
</file>

<file path=xl/worksheets/_rels/sheet132.xml.rels><?xml version="1.0" encoding="UTF-8" standalone="yes"?>
<Relationships xmlns="http://schemas.openxmlformats.org/package/2006/relationships"><Relationship Id="rId2" Type="http://schemas.openxmlformats.org/officeDocument/2006/relationships/drawing" Target="../drawings/drawing120.xml"/><Relationship Id="rId1" Type="http://schemas.openxmlformats.org/officeDocument/2006/relationships/printerSettings" Target="../printerSettings/printerSettings129.bin"/></Relationships>
</file>

<file path=xl/worksheets/_rels/sheet133.xml.rels><?xml version="1.0" encoding="UTF-8" standalone="yes"?>
<Relationships xmlns="http://schemas.openxmlformats.org/package/2006/relationships"><Relationship Id="rId2" Type="http://schemas.openxmlformats.org/officeDocument/2006/relationships/drawing" Target="../drawings/drawing121.xml"/><Relationship Id="rId1" Type="http://schemas.openxmlformats.org/officeDocument/2006/relationships/printerSettings" Target="../printerSettings/printerSettings130.bin"/></Relationships>
</file>

<file path=xl/worksheets/_rels/sheet13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2.xml"/><Relationship Id="rId1" Type="http://schemas.openxmlformats.org/officeDocument/2006/relationships/printerSettings" Target="../printerSettings/printerSettings131.bin"/><Relationship Id="rId4" Type="http://schemas.openxmlformats.org/officeDocument/2006/relationships/comments" Target="../comments7.xml"/></Relationships>
</file>

<file path=xl/worksheets/_rels/sheet13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3.xml"/><Relationship Id="rId1" Type="http://schemas.openxmlformats.org/officeDocument/2006/relationships/printerSettings" Target="../printerSettings/printerSettings132.bin"/><Relationship Id="rId4" Type="http://schemas.openxmlformats.org/officeDocument/2006/relationships/comments" Target="../comments8.xml"/></Relationships>
</file>

<file path=xl/worksheets/_rels/sheet136.xml.rels><?xml version="1.0" encoding="UTF-8" standalone="yes"?>
<Relationships xmlns="http://schemas.openxmlformats.org/package/2006/relationships"><Relationship Id="rId2" Type="http://schemas.openxmlformats.org/officeDocument/2006/relationships/drawing" Target="../drawings/drawing124.xml"/><Relationship Id="rId1" Type="http://schemas.openxmlformats.org/officeDocument/2006/relationships/printerSettings" Target="../printerSettings/printerSettings133.bin"/></Relationships>
</file>

<file path=xl/worksheets/_rels/sheet137.xml.rels><?xml version="1.0" encoding="UTF-8" standalone="yes"?>
<Relationships xmlns="http://schemas.openxmlformats.org/package/2006/relationships"><Relationship Id="rId2" Type="http://schemas.openxmlformats.org/officeDocument/2006/relationships/drawing" Target="../drawings/drawing125.xml"/><Relationship Id="rId1" Type="http://schemas.openxmlformats.org/officeDocument/2006/relationships/printerSettings" Target="../printerSettings/printerSettings134.bin"/></Relationships>
</file>

<file path=xl/worksheets/_rels/sheet138.xml.rels><?xml version="1.0" encoding="UTF-8" standalone="yes"?>
<Relationships xmlns="http://schemas.openxmlformats.org/package/2006/relationships"><Relationship Id="rId2" Type="http://schemas.openxmlformats.org/officeDocument/2006/relationships/drawing" Target="../drawings/drawing126.xml"/><Relationship Id="rId1" Type="http://schemas.openxmlformats.org/officeDocument/2006/relationships/printerSettings" Target="../printerSettings/printerSettings135.bin"/></Relationships>
</file>

<file path=xl/worksheets/_rels/sheet139.xml.rels><?xml version="1.0" encoding="UTF-8" standalone="yes"?>
<Relationships xmlns="http://schemas.openxmlformats.org/package/2006/relationships"><Relationship Id="rId2" Type="http://schemas.openxmlformats.org/officeDocument/2006/relationships/drawing" Target="../drawings/drawing127.xml"/><Relationship Id="rId1" Type="http://schemas.openxmlformats.org/officeDocument/2006/relationships/printerSettings" Target="../printerSettings/printerSettings136.bin"/></Relationships>
</file>

<file path=xl/worksheets/_rels/sheet140.xml.rels><?xml version="1.0" encoding="UTF-8" standalone="yes"?>
<Relationships xmlns="http://schemas.openxmlformats.org/package/2006/relationships"><Relationship Id="rId2" Type="http://schemas.openxmlformats.org/officeDocument/2006/relationships/drawing" Target="../drawings/drawing128.xml"/><Relationship Id="rId1" Type="http://schemas.openxmlformats.org/officeDocument/2006/relationships/printerSettings" Target="../printerSettings/printerSettings137.bin"/></Relationships>
</file>

<file path=xl/worksheets/_rels/sheet141.xml.rels><?xml version="1.0" encoding="UTF-8" standalone="yes"?>
<Relationships xmlns="http://schemas.openxmlformats.org/package/2006/relationships"><Relationship Id="rId2" Type="http://schemas.openxmlformats.org/officeDocument/2006/relationships/drawing" Target="../drawings/drawing129.xml"/><Relationship Id="rId1" Type="http://schemas.openxmlformats.org/officeDocument/2006/relationships/printerSettings" Target="../printerSettings/printerSettings138.bin"/></Relationships>
</file>

<file path=xl/worksheets/_rels/sheet142.xml.rels><?xml version="1.0" encoding="UTF-8" standalone="yes"?>
<Relationships xmlns="http://schemas.openxmlformats.org/package/2006/relationships"><Relationship Id="rId2" Type="http://schemas.openxmlformats.org/officeDocument/2006/relationships/drawing" Target="../drawings/drawing130.xml"/><Relationship Id="rId1" Type="http://schemas.openxmlformats.org/officeDocument/2006/relationships/printerSettings" Target="../printerSettings/printerSettings139.bin"/></Relationships>
</file>

<file path=xl/worksheets/_rels/sheet143.xml.rels><?xml version="1.0" encoding="UTF-8" standalone="yes"?>
<Relationships xmlns="http://schemas.openxmlformats.org/package/2006/relationships"><Relationship Id="rId2" Type="http://schemas.openxmlformats.org/officeDocument/2006/relationships/drawing" Target="../drawings/drawing131.xml"/><Relationship Id="rId1" Type="http://schemas.openxmlformats.org/officeDocument/2006/relationships/printerSettings" Target="../printerSettings/printerSettings140.bin"/></Relationships>
</file>

<file path=xl/worksheets/_rels/sheet144.xml.rels><?xml version="1.0" encoding="UTF-8" standalone="yes"?>
<Relationships xmlns="http://schemas.openxmlformats.org/package/2006/relationships"><Relationship Id="rId2" Type="http://schemas.openxmlformats.org/officeDocument/2006/relationships/drawing" Target="../drawings/drawing132.xml"/><Relationship Id="rId1" Type="http://schemas.openxmlformats.org/officeDocument/2006/relationships/printerSettings" Target="../printerSettings/printerSettings141.bin"/></Relationships>
</file>

<file path=xl/worksheets/_rels/sheet145.xml.rels><?xml version="1.0" encoding="UTF-8" standalone="yes"?>
<Relationships xmlns="http://schemas.openxmlformats.org/package/2006/relationships"><Relationship Id="rId2" Type="http://schemas.openxmlformats.org/officeDocument/2006/relationships/drawing" Target="../drawings/drawing133.xml"/><Relationship Id="rId1" Type="http://schemas.openxmlformats.org/officeDocument/2006/relationships/printerSettings" Target="../printerSettings/printerSettings142.bin"/></Relationships>
</file>

<file path=xl/worksheets/_rels/sheet146.xml.rels><?xml version="1.0" encoding="UTF-8" standalone="yes"?>
<Relationships xmlns="http://schemas.openxmlformats.org/package/2006/relationships"><Relationship Id="rId2" Type="http://schemas.openxmlformats.org/officeDocument/2006/relationships/drawing" Target="../drawings/drawing134.xml"/><Relationship Id="rId1" Type="http://schemas.openxmlformats.org/officeDocument/2006/relationships/printerSettings" Target="../printerSettings/printerSettings143.bin"/></Relationships>
</file>

<file path=xl/worksheets/_rels/sheet147.xml.rels><?xml version="1.0" encoding="UTF-8" standalone="yes"?>
<Relationships xmlns="http://schemas.openxmlformats.org/package/2006/relationships"><Relationship Id="rId2" Type="http://schemas.openxmlformats.org/officeDocument/2006/relationships/drawing" Target="../drawings/drawing135.xml"/><Relationship Id="rId1" Type="http://schemas.openxmlformats.org/officeDocument/2006/relationships/printerSettings" Target="../printerSettings/printerSettings144.bin"/></Relationships>
</file>

<file path=xl/worksheets/_rels/sheet148.xml.rels><?xml version="1.0" encoding="UTF-8" standalone="yes"?>
<Relationships xmlns="http://schemas.openxmlformats.org/package/2006/relationships"><Relationship Id="rId2" Type="http://schemas.openxmlformats.org/officeDocument/2006/relationships/drawing" Target="../drawings/drawing136.xml"/><Relationship Id="rId1" Type="http://schemas.openxmlformats.org/officeDocument/2006/relationships/printerSettings" Target="../printerSettings/printerSettings145.bin"/></Relationships>
</file>

<file path=xl/worksheets/_rels/sheet149.xml.rels><?xml version="1.0" encoding="UTF-8" standalone="yes"?>
<Relationships xmlns="http://schemas.openxmlformats.org/package/2006/relationships"><Relationship Id="rId2" Type="http://schemas.openxmlformats.org/officeDocument/2006/relationships/drawing" Target="../drawings/drawing137.xml"/><Relationship Id="rId1" Type="http://schemas.openxmlformats.org/officeDocument/2006/relationships/printerSettings" Target="../printerSettings/printerSettings146.bin"/></Relationships>
</file>

<file path=xl/worksheets/_rels/sheet150.xml.rels><?xml version="1.0" encoding="UTF-8" standalone="yes"?>
<Relationships xmlns="http://schemas.openxmlformats.org/package/2006/relationships"><Relationship Id="rId2" Type="http://schemas.openxmlformats.org/officeDocument/2006/relationships/drawing" Target="../drawings/drawing138.xml"/><Relationship Id="rId1" Type="http://schemas.openxmlformats.org/officeDocument/2006/relationships/printerSettings" Target="../printerSettings/printerSettings147.bin"/></Relationships>
</file>

<file path=xl/worksheets/_rels/sheet151.xml.rels><?xml version="1.0" encoding="UTF-8" standalone="yes"?>
<Relationships xmlns="http://schemas.openxmlformats.org/package/2006/relationships"><Relationship Id="rId2" Type="http://schemas.openxmlformats.org/officeDocument/2006/relationships/drawing" Target="../drawings/drawing139.xml"/><Relationship Id="rId1" Type="http://schemas.openxmlformats.org/officeDocument/2006/relationships/printerSettings" Target="../printerSettings/printerSettings148.bin"/></Relationships>
</file>

<file path=xl/worksheets/_rels/sheet152.xml.rels><?xml version="1.0" encoding="UTF-8" standalone="yes"?>
<Relationships xmlns="http://schemas.openxmlformats.org/package/2006/relationships"><Relationship Id="rId2" Type="http://schemas.openxmlformats.org/officeDocument/2006/relationships/drawing" Target="../drawings/drawing140.xml"/><Relationship Id="rId1" Type="http://schemas.openxmlformats.org/officeDocument/2006/relationships/printerSettings" Target="../printerSettings/printerSettings149.bin"/></Relationships>
</file>

<file path=xl/worksheets/_rels/sheet153.xml.rels><?xml version="1.0" encoding="UTF-8" standalone="yes"?>
<Relationships xmlns="http://schemas.openxmlformats.org/package/2006/relationships"><Relationship Id="rId2" Type="http://schemas.openxmlformats.org/officeDocument/2006/relationships/drawing" Target="../drawings/drawing141.xml"/><Relationship Id="rId1" Type="http://schemas.openxmlformats.org/officeDocument/2006/relationships/printerSettings" Target="../printerSettings/printerSettings150.bin"/></Relationships>
</file>

<file path=xl/worksheets/_rels/sheet154.xml.rels><?xml version="1.0" encoding="UTF-8" standalone="yes"?>
<Relationships xmlns="http://schemas.openxmlformats.org/package/2006/relationships"><Relationship Id="rId2" Type="http://schemas.openxmlformats.org/officeDocument/2006/relationships/drawing" Target="../drawings/drawing142.xml"/><Relationship Id="rId1" Type="http://schemas.openxmlformats.org/officeDocument/2006/relationships/printerSettings" Target="../printerSettings/printerSettings151.bin"/></Relationships>
</file>

<file path=xl/worksheets/_rels/sheet155.xml.rels><?xml version="1.0" encoding="UTF-8" standalone="yes"?>
<Relationships xmlns="http://schemas.openxmlformats.org/package/2006/relationships"><Relationship Id="rId2" Type="http://schemas.openxmlformats.org/officeDocument/2006/relationships/drawing" Target="../drawings/drawing143.xml"/><Relationship Id="rId1" Type="http://schemas.openxmlformats.org/officeDocument/2006/relationships/printerSettings" Target="../printerSettings/printerSettings152.bin"/></Relationships>
</file>

<file path=xl/worksheets/_rels/sheet156.xml.rels><?xml version="1.0" encoding="UTF-8" standalone="yes"?>
<Relationships xmlns="http://schemas.openxmlformats.org/package/2006/relationships"><Relationship Id="rId2" Type="http://schemas.openxmlformats.org/officeDocument/2006/relationships/drawing" Target="../drawings/drawing144.xml"/><Relationship Id="rId1" Type="http://schemas.openxmlformats.org/officeDocument/2006/relationships/printerSettings" Target="../printerSettings/printerSettings153.bin"/></Relationships>
</file>

<file path=xl/worksheets/_rels/sheet157.xml.rels><?xml version="1.0" encoding="UTF-8" standalone="yes"?>
<Relationships xmlns="http://schemas.openxmlformats.org/package/2006/relationships"><Relationship Id="rId2" Type="http://schemas.openxmlformats.org/officeDocument/2006/relationships/drawing" Target="../drawings/drawing145.xml"/><Relationship Id="rId1" Type="http://schemas.openxmlformats.org/officeDocument/2006/relationships/printerSettings" Target="../printerSettings/printerSettings154.bin"/></Relationships>
</file>

<file path=xl/worksheets/_rels/sheet158.xml.rels><?xml version="1.0" encoding="UTF-8" standalone="yes"?>
<Relationships xmlns="http://schemas.openxmlformats.org/package/2006/relationships"><Relationship Id="rId2" Type="http://schemas.openxmlformats.org/officeDocument/2006/relationships/drawing" Target="../drawings/drawing146.xml"/><Relationship Id="rId1" Type="http://schemas.openxmlformats.org/officeDocument/2006/relationships/printerSettings" Target="../printerSettings/printerSettings155.bin"/></Relationships>
</file>

<file path=xl/worksheets/_rels/sheet159.xml.rels><?xml version="1.0" encoding="UTF-8" standalone="yes"?>
<Relationships xmlns="http://schemas.openxmlformats.org/package/2006/relationships"><Relationship Id="rId2" Type="http://schemas.openxmlformats.org/officeDocument/2006/relationships/drawing" Target="../drawings/drawing147.xml"/><Relationship Id="rId1" Type="http://schemas.openxmlformats.org/officeDocument/2006/relationships/printerSettings" Target="../printerSettings/printerSettings156.bin"/></Relationships>
</file>

<file path=xl/worksheets/_rels/sheet160.xml.rels><?xml version="1.0" encoding="UTF-8" standalone="yes"?>
<Relationships xmlns="http://schemas.openxmlformats.org/package/2006/relationships"><Relationship Id="rId2" Type="http://schemas.openxmlformats.org/officeDocument/2006/relationships/drawing" Target="../drawings/drawing148.xml"/><Relationship Id="rId1" Type="http://schemas.openxmlformats.org/officeDocument/2006/relationships/printerSettings" Target="../printerSettings/printerSettings157.bin"/></Relationships>
</file>

<file path=xl/worksheets/_rels/sheet161.xml.rels><?xml version="1.0" encoding="UTF-8" standalone="yes"?>
<Relationships xmlns="http://schemas.openxmlformats.org/package/2006/relationships"><Relationship Id="rId2" Type="http://schemas.openxmlformats.org/officeDocument/2006/relationships/drawing" Target="../drawings/drawing149.xml"/><Relationship Id="rId1" Type="http://schemas.openxmlformats.org/officeDocument/2006/relationships/printerSettings" Target="../printerSettings/printerSettings158.bin"/></Relationships>
</file>

<file path=xl/worksheets/_rels/sheet162.xml.rels><?xml version="1.0" encoding="UTF-8" standalone="yes"?>
<Relationships xmlns="http://schemas.openxmlformats.org/package/2006/relationships"><Relationship Id="rId2" Type="http://schemas.openxmlformats.org/officeDocument/2006/relationships/drawing" Target="../drawings/drawing150.xml"/><Relationship Id="rId1" Type="http://schemas.openxmlformats.org/officeDocument/2006/relationships/printerSettings" Target="../printerSettings/printerSettings159.bin"/></Relationships>
</file>

<file path=xl/worksheets/_rels/sheet163.xml.rels><?xml version="1.0" encoding="UTF-8" standalone="yes"?>
<Relationships xmlns="http://schemas.openxmlformats.org/package/2006/relationships"><Relationship Id="rId2" Type="http://schemas.openxmlformats.org/officeDocument/2006/relationships/drawing" Target="../drawings/drawing151.xml"/><Relationship Id="rId1" Type="http://schemas.openxmlformats.org/officeDocument/2006/relationships/printerSettings" Target="../printerSettings/printerSettings160.bin"/></Relationships>
</file>

<file path=xl/worksheets/_rels/sheet164.xml.rels><?xml version="1.0" encoding="UTF-8" standalone="yes"?>
<Relationships xmlns="http://schemas.openxmlformats.org/package/2006/relationships"><Relationship Id="rId2" Type="http://schemas.openxmlformats.org/officeDocument/2006/relationships/drawing" Target="../drawings/drawing152.xml"/><Relationship Id="rId1" Type="http://schemas.openxmlformats.org/officeDocument/2006/relationships/printerSettings" Target="../printerSettings/printerSettings161.bin"/></Relationships>
</file>

<file path=xl/worksheets/_rels/sheet165.xml.rels><?xml version="1.0" encoding="UTF-8" standalone="yes"?>
<Relationships xmlns="http://schemas.openxmlformats.org/package/2006/relationships"><Relationship Id="rId2" Type="http://schemas.openxmlformats.org/officeDocument/2006/relationships/drawing" Target="../drawings/drawing153.xml"/><Relationship Id="rId1" Type="http://schemas.openxmlformats.org/officeDocument/2006/relationships/printerSettings" Target="../printerSettings/printerSettings162.bin"/></Relationships>
</file>

<file path=xl/worksheets/_rels/sheet16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54.xml"/><Relationship Id="rId1" Type="http://schemas.openxmlformats.org/officeDocument/2006/relationships/printerSettings" Target="../printerSettings/printerSettings163.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70">
    <tabColor rgb="FFFF0000"/>
  </sheetPr>
  <dimension ref="A2:Q34"/>
  <sheetViews>
    <sheetView topLeftCell="A10" workbookViewId="0">
      <selection activeCell="D39" sqref="D39"/>
    </sheetView>
  </sheetViews>
  <sheetFormatPr baseColWidth="10" defaultColWidth="11.5703125" defaultRowHeight="15" x14ac:dyDescent="0.25"/>
  <cols>
    <col min="1" max="1" width="5.5703125" customWidth="1"/>
    <col min="7" max="7" width="12" customWidth="1"/>
    <col min="16" max="16" width="12.42578125" customWidth="1"/>
    <col min="18" max="18" width="6.140625" customWidth="1"/>
    <col min="20" max="20" width="48.140625" customWidth="1"/>
    <col min="36" max="36" width="14.5703125" bestFit="1" customWidth="1"/>
    <col min="37" max="37" width="16.7109375" bestFit="1" customWidth="1"/>
    <col min="38" max="38" width="14.5703125" bestFit="1" customWidth="1"/>
    <col min="261" max="261" width="14.85546875" customWidth="1"/>
    <col min="272" max="272" width="14.85546875" customWidth="1"/>
    <col min="274" max="274" width="6.140625" customWidth="1"/>
    <col min="276" max="276" width="48.140625" customWidth="1"/>
    <col min="292" max="292" width="14.5703125" bestFit="1" customWidth="1"/>
    <col min="293" max="293" width="16.7109375" bestFit="1" customWidth="1"/>
    <col min="294" max="294" width="14.5703125" bestFit="1" customWidth="1"/>
    <col min="517" max="517" width="14.85546875" customWidth="1"/>
    <col min="528" max="528" width="14.85546875" customWidth="1"/>
    <col min="530" max="530" width="6.140625" customWidth="1"/>
    <col min="532" max="532" width="48.140625" customWidth="1"/>
    <col min="548" max="548" width="14.5703125" bestFit="1" customWidth="1"/>
    <col min="549" max="549" width="16.7109375" bestFit="1" customWidth="1"/>
    <col min="550" max="550" width="14.5703125" bestFit="1" customWidth="1"/>
    <col min="773" max="773" width="14.85546875" customWidth="1"/>
    <col min="784" max="784" width="14.85546875" customWidth="1"/>
    <col min="786" max="786" width="6.140625" customWidth="1"/>
    <col min="788" max="788" width="48.140625" customWidth="1"/>
    <col min="804" max="804" width="14.5703125" bestFit="1" customWidth="1"/>
    <col min="805" max="805" width="16.7109375" bestFit="1" customWidth="1"/>
    <col min="806" max="806" width="14.5703125" bestFit="1" customWidth="1"/>
    <col min="1029" max="1029" width="14.85546875" customWidth="1"/>
    <col min="1040" max="1040" width="14.85546875" customWidth="1"/>
    <col min="1042" max="1042" width="6.140625" customWidth="1"/>
    <col min="1044" max="1044" width="48.140625" customWidth="1"/>
    <col min="1060" max="1060" width="14.5703125" bestFit="1" customWidth="1"/>
    <col min="1061" max="1061" width="16.7109375" bestFit="1" customWidth="1"/>
    <col min="1062" max="1062" width="14.5703125" bestFit="1" customWidth="1"/>
    <col min="1285" max="1285" width="14.85546875" customWidth="1"/>
    <col min="1296" max="1296" width="14.85546875" customWidth="1"/>
    <col min="1298" max="1298" width="6.140625" customWidth="1"/>
    <col min="1300" max="1300" width="48.140625" customWidth="1"/>
    <col min="1316" max="1316" width="14.5703125" bestFit="1" customWidth="1"/>
    <col min="1317" max="1317" width="16.7109375" bestFit="1" customWidth="1"/>
    <col min="1318" max="1318" width="14.5703125" bestFit="1" customWidth="1"/>
    <col min="1541" max="1541" width="14.85546875" customWidth="1"/>
    <col min="1552" max="1552" width="14.85546875" customWidth="1"/>
    <col min="1554" max="1554" width="6.140625" customWidth="1"/>
    <col min="1556" max="1556" width="48.140625" customWidth="1"/>
    <col min="1572" max="1572" width="14.5703125" bestFit="1" customWidth="1"/>
    <col min="1573" max="1573" width="16.7109375" bestFit="1" customWidth="1"/>
    <col min="1574" max="1574" width="14.5703125" bestFit="1" customWidth="1"/>
    <col min="1797" max="1797" width="14.85546875" customWidth="1"/>
    <col min="1808" max="1808" width="14.85546875" customWidth="1"/>
    <col min="1810" max="1810" width="6.140625" customWidth="1"/>
    <col min="1812" max="1812" width="48.140625" customWidth="1"/>
    <col min="1828" max="1828" width="14.5703125" bestFit="1" customWidth="1"/>
    <col min="1829" max="1829" width="16.7109375" bestFit="1" customWidth="1"/>
    <col min="1830" max="1830" width="14.5703125" bestFit="1" customWidth="1"/>
    <col min="2053" max="2053" width="14.85546875" customWidth="1"/>
    <col min="2064" max="2064" width="14.85546875" customWidth="1"/>
    <col min="2066" max="2066" width="6.140625" customWidth="1"/>
    <col min="2068" max="2068" width="48.140625" customWidth="1"/>
    <col min="2084" max="2084" width="14.5703125" bestFit="1" customWidth="1"/>
    <col min="2085" max="2085" width="16.7109375" bestFit="1" customWidth="1"/>
    <col min="2086" max="2086" width="14.5703125" bestFit="1" customWidth="1"/>
    <col min="2309" max="2309" width="14.85546875" customWidth="1"/>
    <col min="2320" max="2320" width="14.85546875" customWidth="1"/>
    <col min="2322" max="2322" width="6.140625" customWidth="1"/>
    <col min="2324" max="2324" width="48.140625" customWidth="1"/>
    <col min="2340" max="2340" width="14.5703125" bestFit="1" customWidth="1"/>
    <col min="2341" max="2341" width="16.7109375" bestFit="1" customWidth="1"/>
    <col min="2342" max="2342" width="14.5703125" bestFit="1" customWidth="1"/>
    <col min="2565" max="2565" width="14.85546875" customWidth="1"/>
    <col min="2576" max="2576" width="14.85546875" customWidth="1"/>
    <col min="2578" max="2578" width="6.140625" customWidth="1"/>
    <col min="2580" max="2580" width="48.140625" customWidth="1"/>
    <col min="2596" max="2596" width="14.5703125" bestFit="1" customWidth="1"/>
    <col min="2597" max="2597" width="16.7109375" bestFit="1" customWidth="1"/>
    <col min="2598" max="2598" width="14.5703125" bestFit="1" customWidth="1"/>
    <col min="2821" max="2821" width="14.85546875" customWidth="1"/>
    <col min="2832" max="2832" width="14.85546875" customWidth="1"/>
    <col min="2834" max="2834" width="6.140625" customWidth="1"/>
    <col min="2836" max="2836" width="48.140625" customWidth="1"/>
    <col min="2852" max="2852" width="14.5703125" bestFit="1" customWidth="1"/>
    <col min="2853" max="2853" width="16.7109375" bestFit="1" customWidth="1"/>
    <col min="2854" max="2854" width="14.5703125" bestFit="1" customWidth="1"/>
    <col min="3077" max="3077" width="14.85546875" customWidth="1"/>
    <col min="3088" max="3088" width="14.85546875" customWidth="1"/>
    <col min="3090" max="3090" width="6.140625" customWidth="1"/>
    <col min="3092" max="3092" width="48.140625" customWidth="1"/>
    <col min="3108" max="3108" width="14.5703125" bestFit="1" customWidth="1"/>
    <col min="3109" max="3109" width="16.7109375" bestFit="1" customWidth="1"/>
    <col min="3110" max="3110" width="14.5703125" bestFit="1" customWidth="1"/>
    <col min="3333" max="3333" width="14.85546875" customWidth="1"/>
    <col min="3344" max="3344" width="14.85546875" customWidth="1"/>
    <col min="3346" max="3346" width="6.140625" customWidth="1"/>
    <col min="3348" max="3348" width="48.140625" customWidth="1"/>
    <col min="3364" max="3364" width="14.5703125" bestFit="1" customWidth="1"/>
    <col min="3365" max="3365" width="16.7109375" bestFit="1" customWidth="1"/>
    <col min="3366" max="3366" width="14.5703125" bestFit="1" customWidth="1"/>
    <col min="3589" max="3589" width="14.85546875" customWidth="1"/>
    <col min="3600" max="3600" width="14.85546875" customWidth="1"/>
    <col min="3602" max="3602" width="6.140625" customWidth="1"/>
    <col min="3604" max="3604" width="48.140625" customWidth="1"/>
    <col min="3620" max="3620" width="14.5703125" bestFit="1" customWidth="1"/>
    <col min="3621" max="3621" width="16.7109375" bestFit="1" customWidth="1"/>
    <col min="3622" max="3622" width="14.5703125" bestFit="1" customWidth="1"/>
    <col min="3845" max="3845" width="14.85546875" customWidth="1"/>
    <col min="3856" max="3856" width="14.85546875" customWidth="1"/>
    <col min="3858" max="3858" width="6.140625" customWidth="1"/>
    <col min="3860" max="3860" width="48.140625" customWidth="1"/>
    <col min="3876" max="3876" width="14.5703125" bestFit="1" customWidth="1"/>
    <col min="3877" max="3877" width="16.7109375" bestFit="1" customWidth="1"/>
    <col min="3878" max="3878" width="14.5703125" bestFit="1" customWidth="1"/>
    <col min="4101" max="4101" width="14.85546875" customWidth="1"/>
    <col min="4112" max="4112" width="14.85546875" customWidth="1"/>
    <col min="4114" max="4114" width="6.140625" customWidth="1"/>
    <col min="4116" max="4116" width="48.140625" customWidth="1"/>
    <col min="4132" max="4132" width="14.5703125" bestFit="1" customWidth="1"/>
    <col min="4133" max="4133" width="16.7109375" bestFit="1" customWidth="1"/>
    <col min="4134" max="4134" width="14.5703125" bestFit="1" customWidth="1"/>
    <col min="4357" max="4357" width="14.85546875" customWidth="1"/>
    <col min="4368" max="4368" width="14.85546875" customWidth="1"/>
    <col min="4370" max="4370" width="6.140625" customWidth="1"/>
    <col min="4372" max="4372" width="48.140625" customWidth="1"/>
    <col min="4388" max="4388" width="14.5703125" bestFit="1" customWidth="1"/>
    <col min="4389" max="4389" width="16.7109375" bestFit="1" customWidth="1"/>
    <col min="4390" max="4390" width="14.5703125" bestFit="1" customWidth="1"/>
    <col min="4613" max="4613" width="14.85546875" customWidth="1"/>
    <col min="4624" max="4624" width="14.85546875" customWidth="1"/>
    <col min="4626" max="4626" width="6.140625" customWidth="1"/>
    <col min="4628" max="4628" width="48.140625" customWidth="1"/>
    <col min="4644" max="4644" width="14.5703125" bestFit="1" customWidth="1"/>
    <col min="4645" max="4645" width="16.7109375" bestFit="1" customWidth="1"/>
    <col min="4646" max="4646" width="14.5703125" bestFit="1" customWidth="1"/>
    <col min="4869" max="4869" width="14.85546875" customWidth="1"/>
    <col min="4880" max="4880" width="14.85546875" customWidth="1"/>
    <col min="4882" max="4882" width="6.140625" customWidth="1"/>
    <col min="4884" max="4884" width="48.140625" customWidth="1"/>
    <col min="4900" max="4900" width="14.5703125" bestFit="1" customWidth="1"/>
    <col min="4901" max="4901" width="16.7109375" bestFit="1" customWidth="1"/>
    <col min="4902" max="4902" width="14.5703125" bestFit="1" customWidth="1"/>
    <col min="5125" max="5125" width="14.85546875" customWidth="1"/>
    <col min="5136" max="5136" width="14.85546875" customWidth="1"/>
    <col min="5138" max="5138" width="6.140625" customWidth="1"/>
    <col min="5140" max="5140" width="48.140625" customWidth="1"/>
    <col min="5156" max="5156" width="14.5703125" bestFit="1" customWidth="1"/>
    <col min="5157" max="5157" width="16.7109375" bestFit="1" customWidth="1"/>
    <col min="5158" max="5158" width="14.5703125" bestFit="1" customWidth="1"/>
    <col min="5381" max="5381" width="14.85546875" customWidth="1"/>
    <col min="5392" max="5392" width="14.85546875" customWidth="1"/>
    <col min="5394" max="5394" width="6.140625" customWidth="1"/>
    <col min="5396" max="5396" width="48.140625" customWidth="1"/>
    <col min="5412" max="5412" width="14.5703125" bestFit="1" customWidth="1"/>
    <col min="5413" max="5413" width="16.7109375" bestFit="1" customWidth="1"/>
    <col min="5414" max="5414" width="14.5703125" bestFit="1" customWidth="1"/>
    <col min="5637" max="5637" width="14.85546875" customWidth="1"/>
    <col min="5648" max="5648" width="14.85546875" customWidth="1"/>
    <col min="5650" max="5650" width="6.140625" customWidth="1"/>
    <col min="5652" max="5652" width="48.140625" customWidth="1"/>
    <col min="5668" max="5668" width="14.5703125" bestFit="1" customWidth="1"/>
    <col min="5669" max="5669" width="16.7109375" bestFit="1" customWidth="1"/>
    <col min="5670" max="5670" width="14.5703125" bestFit="1" customWidth="1"/>
    <col min="5893" max="5893" width="14.85546875" customWidth="1"/>
    <col min="5904" max="5904" width="14.85546875" customWidth="1"/>
    <col min="5906" max="5906" width="6.140625" customWidth="1"/>
    <col min="5908" max="5908" width="48.140625" customWidth="1"/>
    <col min="5924" max="5924" width="14.5703125" bestFit="1" customWidth="1"/>
    <col min="5925" max="5925" width="16.7109375" bestFit="1" customWidth="1"/>
    <col min="5926" max="5926" width="14.5703125" bestFit="1" customWidth="1"/>
    <col min="6149" max="6149" width="14.85546875" customWidth="1"/>
    <col min="6160" max="6160" width="14.85546875" customWidth="1"/>
    <col min="6162" max="6162" width="6.140625" customWidth="1"/>
    <col min="6164" max="6164" width="48.140625" customWidth="1"/>
    <col min="6180" max="6180" width="14.5703125" bestFit="1" customWidth="1"/>
    <col min="6181" max="6181" width="16.7109375" bestFit="1" customWidth="1"/>
    <col min="6182" max="6182" width="14.5703125" bestFit="1" customWidth="1"/>
    <col min="6405" max="6405" width="14.85546875" customWidth="1"/>
    <col min="6416" max="6416" width="14.85546875" customWidth="1"/>
    <col min="6418" max="6418" width="6.140625" customWidth="1"/>
    <col min="6420" max="6420" width="48.140625" customWidth="1"/>
    <col min="6436" max="6436" width="14.5703125" bestFit="1" customWidth="1"/>
    <col min="6437" max="6437" width="16.7109375" bestFit="1" customWidth="1"/>
    <col min="6438" max="6438" width="14.5703125" bestFit="1" customWidth="1"/>
    <col min="6661" max="6661" width="14.85546875" customWidth="1"/>
    <col min="6672" max="6672" width="14.85546875" customWidth="1"/>
    <col min="6674" max="6674" width="6.140625" customWidth="1"/>
    <col min="6676" max="6676" width="48.140625" customWidth="1"/>
    <col min="6692" max="6692" width="14.5703125" bestFit="1" customWidth="1"/>
    <col min="6693" max="6693" width="16.7109375" bestFit="1" customWidth="1"/>
    <col min="6694" max="6694" width="14.5703125" bestFit="1" customWidth="1"/>
    <col min="6917" max="6917" width="14.85546875" customWidth="1"/>
    <col min="6928" max="6928" width="14.85546875" customWidth="1"/>
    <col min="6930" max="6930" width="6.140625" customWidth="1"/>
    <col min="6932" max="6932" width="48.140625" customWidth="1"/>
    <col min="6948" max="6948" width="14.5703125" bestFit="1" customWidth="1"/>
    <col min="6949" max="6949" width="16.7109375" bestFit="1" customWidth="1"/>
    <col min="6950" max="6950" width="14.5703125" bestFit="1" customWidth="1"/>
    <col min="7173" max="7173" width="14.85546875" customWidth="1"/>
    <col min="7184" max="7184" width="14.85546875" customWidth="1"/>
    <col min="7186" max="7186" width="6.140625" customWidth="1"/>
    <col min="7188" max="7188" width="48.140625" customWidth="1"/>
    <col min="7204" max="7204" width="14.5703125" bestFit="1" customWidth="1"/>
    <col min="7205" max="7205" width="16.7109375" bestFit="1" customWidth="1"/>
    <col min="7206" max="7206" width="14.5703125" bestFit="1" customWidth="1"/>
    <col min="7429" max="7429" width="14.85546875" customWidth="1"/>
    <col min="7440" max="7440" width="14.85546875" customWidth="1"/>
    <col min="7442" max="7442" width="6.140625" customWidth="1"/>
    <col min="7444" max="7444" width="48.140625" customWidth="1"/>
    <col min="7460" max="7460" width="14.5703125" bestFit="1" customWidth="1"/>
    <col min="7461" max="7461" width="16.7109375" bestFit="1" customWidth="1"/>
    <col min="7462" max="7462" width="14.5703125" bestFit="1" customWidth="1"/>
    <col min="7685" max="7685" width="14.85546875" customWidth="1"/>
    <col min="7696" max="7696" width="14.85546875" customWidth="1"/>
    <col min="7698" max="7698" width="6.140625" customWidth="1"/>
    <col min="7700" max="7700" width="48.140625" customWidth="1"/>
    <col min="7716" max="7716" width="14.5703125" bestFit="1" customWidth="1"/>
    <col min="7717" max="7717" width="16.7109375" bestFit="1" customWidth="1"/>
    <col min="7718" max="7718" width="14.5703125" bestFit="1" customWidth="1"/>
    <col min="7941" max="7941" width="14.85546875" customWidth="1"/>
    <col min="7952" max="7952" width="14.85546875" customWidth="1"/>
    <col min="7954" max="7954" width="6.140625" customWidth="1"/>
    <col min="7956" max="7956" width="48.140625" customWidth="1"/>
    <col min="7972" max="7972" width="14.5703125" bestFit="1" customWidth="1"/>
    <col min="7973" max="7973" width="16.7109375" bestFit="1" customWidth="1"/>
    <col min="7974" max="7974" width="14.5703125" bestFit="1" customWidth="1"/>
    <col min="8197" max="8197" width="14.85546875" customWidth="1"/>
    <col min="8208" max="8208" width="14.85546875" customWidth="1"/>
    <col min="8210" max="8210" width="6.140625" customWidth="1"/>
    <col min="8212" max="8212" width="48.140625" customWidth="1"/>
    <col min="8228" max="8228" width="14.5703125" bestFit="1" customWidth="1"/>
    <col min="8229" max="8229" width="16.7109375" bestFit="1" customWidth="1"/>
    <col min="8230" max="8230" width="14.5703125" bestFit="1" customWidth="1"/>
    <col min="8453" max="8453" width="14.85546875" customWidth="1"/>
    <col min="8464" max="8464" width="14.85546875" customWidth="1"/>
    <col min="8466" max="8466" width="6.140625" customWidth="1"/>
    <col min="8468" max="8468" width="48.140625" customWidth="1"/>
    <col min="8484" max="8484" width="14.5703125" bestFit="1" customWidth="1"/>
    <col min="8485" max="8485" width="16.7109375" bestFit="1" customWidth="1"/>
    <col min="8486" max="8486" width="14.5703125" bestFit="1" customWidth="1"/>
    <col min="8709" max="8709" width="14.85546875" customWidth="1"/>
    <col min="8720" max="8720" width="14.85546875" customWidth="1"/>
    <col min="8722" max="8722" width="6.140625" customWidth="1"/>
    <col min="8724" max="8724" width="48.140625" customWidth="1"/>
    <col min="8740" max="8740" width="14.5703125" bestFit="1" customWidth="1"/>
    <col min="8741" max="8741" width="16.7109375" bestFit="1" customWidth="1"/>
    <col min="8742" max="8742" width="14.5703125" bestFit="1" customWidth="1"/>
    <col min="8965" max="8965" width="14.85546875" customWidth="1"/>
    <col min="8976" max="8976" width="14.85546875" customWidth="1"/>
    <col min="8978" max="8978" width="6.140625" customWidth="1"/>
    <col min="8980" max="8980" width="48.140625" customWidth="1"/>
    <col min="8996" max="8996" width="14.5703125" bestFit="1" customWidth="1"/>
    <col min="8997" max="8997" width="16.7109375" bestFit="1" customWidth="1"/>
    <col min="8998" max="8998" width="14.5703125" bestFit="1" customWidth="1"/>
    <col min="9221" max="9221" width="14.85546875" customWidth="1"/>
    <col min="9232" max="9232" width="14.85546875" customWidth="1"/>
    <col min="9234" max="9234" width="6.140625" customWidth="1"/>
    <col min="9236" max="9236" width="48.140625" customWidth="1"/>
    <col min="9252" max="9252" width="14.5703125" bestFit="1" customWidth="1"/>
    <col min="9253" max="9253" width="16.7109375" bestFit="1" customWidth="1"/>
    <col min="9254" max="9254" width="14.5703125" bestFit="1" customWidth="1"/>
    <col min="9477" max="9477" width="14.85546875" customWidth="1"/>
    <col min="9488" max="9488" width="14.85546875" customWidth="1"/>
    <col min="9490" max="9490" width="6.140625" customWidth="1"/>
    <col min="9492" max="9492" width="48.140625" customWidth="1"/>
    <col min="9508" max="9508" width="14.5703125" bestFit="1" customWidth="1"/>
    <col min="9509" max="9509" width="16.7109375" bestFit="1" customWidth="1"/>
    <col min="9510" max="9510" width="14.5703125" bestFit="1" customWidth="1"/>
    <col min="9733" max="9733" width="14.85546875" customWidth="1"/>
    <col min="9744" max="9744" width="14.85546875" customWidth="1"/>
    <col min="9746" max="9746" width="6.140625" customWidth="1"/>
    <col min="9748" max="9748" width="48.140625" customWidth="1"/>
    <col min="9764" max="9764" width="14.5703125" bestFit="1" customWidth="1"/>
    <col min="9765" max="9765" width="16.7109375" bestFit="1" customWidth="1"/>
    <col min="9766" max="9766" width="14.5703125" bestFit="1" customWidth="1"/>
    <col min="9989" max="9989" width="14.85546875" customWidth="1"/>
    <col min="10000" max="10000" width="14.85546875" customWidth="1"/>
    <col min="10002" max="10002" width="6.140625" customWidth="1"/>
    <col min="10004" max="10004" width="48.140625" customWidth="1"/>
    <col min="10020" max="10020" width="14.5703125" bestFit="1" customWidth="1"/>
    <col min="10021" max="10021" width="16.7109375" bestFit="1" customWidth="1"/>
    <col min="10022" max="10022" width="14.5703125" bestFit="1" customWidth="1"/>
    <col min="10245" max="10245" width="14.85546875" customWidth="1"/>
    <col min="10256" max="10256" width="14.85546875" customWidth="1"/>
    <col min="10258" max="10258" width="6.140625" customWidth="1"/>
    <col min="10260" max="10260" width="48.140625" customWidth="1"/>
    <col min="10276" max="10276" width="14.5703125" bestFit="1" customWidth="1"/>
    <col min="10277" max="10277" width="16.7109375" bestFit="1" customWidth="1"/>
    <col min="10278" max="10278" width="14.5703125" bestFit="1" customWidth="1"/>
    <col min="10501" max="10501" width="14.85546875" customWidth="1"/>
    <col min="10512" max="10512" width="14.85546875" customWidth="1"/>
    <col min="10514" max="10514" width="6.140625" customWidth="1"/>
    <col min="10516" max="10516" width="48.140625" customWidth="1"/>
    <col min="10532" max="10532" width="14.5703125" bestFit="1" customWidth="1"/>
    <col min="10533" max="10533" width="16.7109375" bestFit="1" customWidth="1"/>
    <col min="10534" max="10534" width="14.5703125" bestFit="1" customWidth="1"/>
    <col min="10757" max="10757" width="14.85546875" customWidth="1"/>
    <col min="10768" max="10768" width="14.85546875" customWidth="1"/>
    <col min="10770" max="10770" width="6.140625" customWidth="1"/>
    <col min="10772" max="10772" width="48.140625" customWidth="1"/>
    <col min="10788" max="10788" width="14.5703125" bestFit="1" customWidth="1"/>
    <col min="10789" max="10789" width="16.7109375" bestFit="1" customWidth="1"/>
    <col min="10790" max="10790" width="14.5703125" bestFit="1" customWidth="1"/>
    <col min="11013" max="11013" width="14.85546875" customWidth="1"/>
    <col min="11024" max="11024" width="14.85546875" customWidth="1"/>
    <col min="11026" max="11026" width="6.140625" customWidth="1"/>
    <col min="11028" max="11028" width="48.140625" customWidth="1"/>
    <col min="11044" max="11044" width="14.5703125" bestFit="1" customWidth="1"/>
    <col min="11045" max="11045" width="16.7109375" bestFit="1" customWidth="1"/>
    <col min="11046" max="11046" width="14.5703125" bestFit="1" customWidth="1"/>
    <col min="11269" max="11269" width="14.85546875" customWidth="1"/>
    <col min="11280" max="11280" width="14.85546875" customWidth="1"/>
    <col min="11282" max="11282" width="6.140625" customWidth="1"/>
    <col min="11284" max="11284" width="48.140625" customWidth="1"/>
    <col min="11300" max="11300" width="14.5703125" bestFit="1" customWidth="1"/>
    <col min="11301" max="11301" width="16.7109375" bestFit="1" customWidth="1"/>
    <col min="11302" max="11302" width="14.5703125" bestFit="1" customWidth="1"/>
    <col min="11525" max="11525" width="14.85546875" customWidth="1"/>
    <col min="11536" max="11536" width="14.85546875" customWidth="1"/>
    <col min="11538" max="11538" width="6.140625" customWidth="1"/>
    <col min="11540" max="11540" width="48.140625" customWidth="1"/>
    <col min="11556" max="11556" width="14.5703125" bestFit="1" customWidth="1"/>
    <col min="11557" max="11557" width="16.7109375" bestFit="1" customWidth="1"/>
    <col min="11558" max="11558" width="14.5703125" bestFit="1" customWidth="1"/>
    <col min="11781" max="11781" width="14.85546875" customWidth="1"/>
    <col min="11792" max="11792" width="14.85546875" customWidth="1"/>
    <col min="11794" max="11794" width="6.140625" customWidth="1"/>
    <col min="11796" max="11796" width="48.140625" customWidth="1"/>
    <col min="11812" max="11812" width="14.5703125" bestFit="1" customWidth="1"/>
    <col min="11813" max="11813" width="16.7109375" bestFit="1" customWidth="1"/>
    <col min="11814" max="11814" width="14.5703125" bestFit="1" customWidth="1"/>
    <col min="12037" max="12037" width="14.85546875" customWidth="1"/>
    <col min="12048" max="12048" width="14.85546875" customWidth="1"/>
    <col min="12050" max="12050" width="6.140625" customWidth="1"/>
    <col min="12052" max="12052" width="48.140625" customWidth="1"/>
    <col min="12068" max="12068" width="14.5703125" bestFit="1" customWidth="1"/>
    <col min="12069" max="12069" width="16.7109375" bestFit="1" customWidth="1"/>
    <col min="12070" max="12070" width="14.5703125" bestFit="1" customWidth="1"/>
    <col min="12293" max="12293" width="14.85546875" customWidth="1"/>
    <col min="12304" max="12304" width="14.85546875" customWidth="1"/>
    <col min="12306" max="12306" width="6.140625" customWidth="1"/>
    <col min="12308" max="12308" width="48.140625" customWidth="1"/>
    <col min="12324" max="12324" width="14.5703125" bestFit="1" customWidth="1"/>
    <col min="12325" max="12325" width="16.7109375" bestFit="1" customWidth="1"/>
    <col min="12326" max="12326" width="14.5703125" bestFit="1" customWidth="1"/>
    <col min="12549" max="12549" width="14.85546875" customWidth="1"/>
    <col min="12560" max="12560" width="14.85546875" customWidth="1"/>
    <col min="12562" max="12562" width="6.140625" customWidth="1"/>
    <col min="12564" max="12564" width="48.140625" customWidth="1"/>
    <col min="12580" max="12580" width="14.5703125" bestFit="1" customWidth="1"/>
    <col min="12581" max="12581" width="16.7109375" bestFit="1" customWidth="1"/>
    <col min="12582" max="12582" width="14.5703125" bestFit="1" customWidth="1"/>
    <col min="12805" max="12805" width="14.85546875" customWidth="1"/>
    <col min="12816" max="12816" width="14.85546875" customWidth="1"/>
    <col min="12818" max="12818" width="6.140625" customWidth="1"/>
    <col min="12820" max="12820" width="48.140625" customWidth="1"/>
    <col min="12836" max="12836" width="14.5703125" bestFit="1" customWidth="1"/>
    <col min="12837" max="12837" width="16.7109375" bestFit="1" customWidth="1"/>
    <col min="12838" max="12838" width="14.5703125" bestFit="1" customWidth="1"/>
    <col min="13061" max="13061" width="14.85546875" customWidth="1"/>
    <col min="13072" max="13072" width="14.85546875" customWidth="1"/>
    <col min="13074" max="13074" width="6.140625" customWidth="1"/>
    <col min="13076" max="13076" width="48.140625" customWidth="1"/>
    <col min="13092" max="13092" width="14.5703125" bestFit="1" customWidth="1"/>
    <col min="13093" max="13093" width="16.7109375" bestFit="1" customWidth="1"/>
    <col min="13094" max="13094" width="14.5703125" bestFit="1" customWidth="1"/>
    <col min="13317" max="13317" width="14.85546875" customWidth="1"/>
    <col min="13328" max="13328" width="14.85546875" customWidth="1"/>
    <col min="13330" max="13330" width="6.140625" customWidth="1"/>
    <col min="13332" max="13332" width="48.140625" customWidth="1"/>
    <col min="13348" max="13348" width="14.5703125" bestFit="1" customWidth="1"/>
    <col min="13349" max="13349" width="16.7109375" bestFit="1" customWidth="1"/>
    <col min="13350" max="13350" width="14.5703125" bestFit="1" customWidth="1"/>
    <col min="13573" max="13573" width="14.85546875" customWidth="1"/>
    <col min="13584" max="13584" width="14.85546875" customWidth="1"/>
    <col min="13586" max="13586" width="6.140625" customWidth="1"/>
    <col min="13588" max="13588" width="48.140625" customWidth="1"/>
    <col min="13604" max="13604" width="14.5703125" bestFit="1" customWidth="1"/>
    <col min="13605" max="13605" width="16.7109375" bestFit="1" customWidth="1"/>
    <col min="13606" max="13606" width="14.5703125" bestFit="1" customWidth="1"/>
    <col min="13829" max="13829" width="14.85546875" customWidth="1"/>
    <col min="13840" max="13840" width="14.85546875" customWidth="1"/>
    <col min="13842" max="13842" width="6.140625" customWidth="1"/>
    <col min="13844" max="13844" width="48.140625" customWidth="1"/>
    <col min="13860" max="13860" width="14.5703125" bestFit="1" customWidth="1"/>
    <col min="13861" max="13861" width="16.7109375" bestFit="1" customWidth="1"/>
    <col min="13862" max="13862" width="14.5703125" bestFit="1" customWidth="1"/>
    <col min="14085" max="14085" width="14.85546875" customWidth="1"/>
    <col min="14096" max="14096" width="14.85546875" customWidth="1"/>
    <col min="14098" max="14098" width="6.140625" customWidth="1"/>
    <col min="14100" max="14100" width="48.140625" customWidth="1"/>
    <col min="14116" max="14116" width="14.5703125" bestFit="1" customWidth="1"/>
    <col min="14117" max="14117" width="16.7109375" bestFit="1" customWidth="1"/>
    <col min="14118" max="14118" width="14.5703125" bestFit="1" customWidth="1"/>
    <col min="14341" max="14341" width="14.85546875" customWidth="1"/>
    <col min="14352" max="14352" width="14.85546875" customWidth="1"/>
    <col min="14354" max="14354" width="6.140625" customWidth="1"/>
    <col min="14356" max="14356" width="48.140625" customWidth="1"/>
    <col min="14372" max="14372" width="14.5703125" bestFit="1" customWidth="1"/>
    <col min="14373" max="14373" width="16.7109375" bestFit="1" customWidth="1"/>
    <col min="14374" max="14374" width="14.5703125" bestFit="1" customWidth="1"/>
    <col min="14597" max="14597" width="14.85546875" customWidth="1"/>
    <col min="14608" max="14608" width="14.85546875" customWidth="1"/>
    <col min="14610" max="14610" width="6.140625" customWidth="1"/>
    <col min="14612" max="14612" width="48.140625" customWidth="1"/>
    <col min="14628" max="14628" width="14.5703125" bestFit="1" customWidth="1"/>
    <col min="14629" max="14629" width="16.7109375" bestFit="1" customWidth="1"/>
    <col min="14630" max="14630" width="14.5703125" bestFit="1" customWidth="1"/>
    <col min="14853" max="14853" width="14.85546875" customWidth="1"/>
    <col min="14864" max="14864" width="14.85546875" customWidth="1"/>
    <col min="14866" max="14866" width="6.140625" customWidth="1"/>
    <col min="14868" max="14868" width="48.140625" customWidth="1"/>
    <col min="14884" max="14884" width="14.5703125" bestFit="1" customWidth="1"/>
    <col min="14885" max="14885" width="16.7109375" bestFit="1" customWidth="1"/>
    <col min="14886" max="14886" width="14.5703125" bestFit="1" customWidth="1"/>
    <col min="15109" max="15109" width="14.85546875" customWidth="1"/>
    <col min="15120" max="15120" width="14.85546875" customWidth="1"/>
    <col min="15122" max="15122" width="6.140625" customWidth="1"/>
    <col min="15124" max="15124" width="48.140625" customWidth="1"/>
    <col min="15140" max="15140" width="14.5703125" bestFit="1" customWidth="1"/>
    <col min="15141" max="15141" width="16.7109375" bestFit="1" customWidth="1"/>
    <col min="15142" max="15142" width="14.5703125" bestFit="1" customWidth="1"/>
    <col min="15365" max="15365" width="14.85546875" customWidth="1"/>
    <col min="15376" max="15376" width="14.85546875" customWidth="1"/>
    <col min="15378" max="15378" width="6.140625" customWidth="1"/>
    <col min="15380" max="15380" width="48.140625" customWidth="1"/>
    <col min="15396" max="15396" width="14.5703125" bestFit="1" customWidth="1"/>
    <col min="15397" max="15397" width="16.7109375" bestFit="1" customWidth="1"/>
    <col min="15398" max="15398" width="14.5703125" bestFit="1" customWidth="1"/>
    <col min="15621" max="15621" width="14.85546875" customWidth="1"/>
    <col min="15632" max="15632" width="14.85546875" customWidth="1"/>
    <col min="15634" max="15634" width="6.140625" customWidth="1"/>
    <col min="15636" max="15636" width="48.140625" customWidth="1"/>
    <col min="15652" max="15652" width="14.5703125" bestFit="1" customWidth="1"/>
    <col min="15653" max="15653" width="16.7109375" bestFit="1" customWidth="1"/>
    <col min="15654" max="15654" width="14.5703125" bestFit="1" customWidth="1"/>
    <col min="15877" max="15877" width="14.85546875" customWidth="1"/>
    <col min="15888" max="15888" width="14.85546875" customWidth="1"/>
    <col min="15890" max="15890" width="6.140625" customWidth="1"/>
    <col min="15892" max="15892" width="48.140625" customWidth="1"/>
    <col min="15908" max="15908" width="14.5703125" bestFit="1" customWidth="1"/>
    <col min="15909" max="15909" width="16.7109375" bestFit="1" customWidth="1"/>
    <col min="15910" max="15910" width="14.5703125" bestFit="1" customWidth="1"/>
    <col min="16133" max="16133" width="14.85546875" customWidth="1"/>
    <col min="16144" max="16144" width="14.85546875" customWidth="1"/>
    <col min="16146" max="16146" width="6.140625" customWidth="1"/>
    <col min="16148" max="16148" width="48.140625" customWidth="1"/>
    <col min="16164" max="16164" width="14.5703125" bestFit="1" customWidth="1"/>
    <col min="16165" max="16165" width="16.7109375" bestFit="1" customWidth="1"/>
    <col min="16166" max="16166" width="14.5703125" bestFit="1" customWidth="1"/>
  </cols>
  <sheetData>
    <row r="2" spans="1:16" ht="18" x14ac:dyDescent="0.25">
      <c r="A2" s="1501"/>
      <c r="B2" s="1502"/>
      <c r="C2" s="1502"/>
      <c r="D2" s="1502"/>
      <c r="E2" s="1502"/>
      <c r="F2" s="1502"/>
      <c r="G2" s="1502"/>
      <c r="J2" s="1501"/>
      <c r="K2" s="1502"/>
      <c r="L2" s="1502"/>
      <c r="M2" s="1502"/>
      <c r="N2" s="1502"/>
      <c r="O2" s="1502"/>
      <c r="P2" s="1502"/>
    </row>
    <row r="3" spans="1:16" x14ac:dyDescent="0.25">
      <c r="A3" s="1503" t="s">
        <v>3363</v>
      </c>
      <c r="B3" s="1504"/>
      <c r="C3" s="1504"/>
      <c r="D3" s="1504"/>
      <c r="E3" s="1504"/>
      <c r="F3" s="1504"/>
      <c r="G3" s="699"/>
      <c r="J3" s="1503" t="s">
        <v>3364</v>
      </c>
      <c r="K3" s="1505"/>
      <c r="L3" s="1505"/>
      <c r="M3" s="1505"/>
      <c r="N3" s="1505"/>
      <c r="O3" s="1505"/>
      <c r="P3" s="1505"/>
    </row>
    <row r="4" spans="1:16" x14ac:dyDescent="0.25">
      <c r="A4" s="700"/>
      <c r="B4" s="701" t="s">
        <v>3365</v>
      </c>
      <c r="C4" s="702"/>
      <c r="D4" s="703"/>
      <c r="E4" s="703"/>
      <c r="F4" s="704"/>
      <c r="G4" s="705" t="s">
        <v>3366</v>
      </c>
      <c r="J4" s="700"/>
      <c r="K4" s="701" t="s">
        <v>3365</v>
      </c>
      <c r="L4" s="702"/>
      <c r="M4" s="703"/>
      <c r="N4" s="703"/>
      <c r="O4" s="704"/>
      <c r="P4" s="705" t="s">
        <v>3366</v>
      </c>
    </row>
    <row r="5" spans="1:16" x14ac:dyDescent="0.25">
      <c r="A5" s="706" t="s">
        <v>3367</v>
      </c>
      <c r="B5" s="1506" t="s">
        <v>3368</v>
      </c>
      <c r="C5" s="1507"/>
      <c r="D5" s="1507"/>
      <c r="E5" s="1507"/>
      <c r="F5" s="1507"/>
      <c r="G5" s="1507"/>
      <c r="J5" s="706" t="s">
        <v>3367</v>
      </c>
      <c r="K5" s="1506" t="s">
        <v>3368</v>
      </c>
      <c r="L5" s="1507"/>
      <c r="M5" s="1507"/>
      <c r="N5" s="1507"/>
      <c r="O5" s="1507"/>
      <c r="P5" s="1507"/>
    </row>
    <row r="6" spans="1:16" x14ac:dyDescent="0.25">
      <c r="A6" s="700"/>
      <c r="B6" s="707"/>
      <c r="C6" s="708"/>
      <c r="D6" s="708"/>
      <c r="E6" s="708"/>
      <c r="F6" s="709"/>
      <c r="G6" s="710"/>
      <c r="J6" s="700"/>
      <c r="K6" s="707"/>
      <c r="L6" s="708"/>
      <c r="M6" s="708"/>
      <c r="N6" s="708"/>
      <c r="O6" s="709"/>
      <c r="P6" s="710"/>
    </row>
    <row r="7" spans="1:16" x14ac:dyDescent="0.25">
      <c r="A7" s="711">
        <v>1.1000000000000001</v>
      </c>
      <c r="B7" s="1493" t="s">
        <v>3369</v>
      </c>
      <c r="C7" s="1494"/>
      <c r="D7" s="1494"/>
      <c r="E7" s="1494"/>
      <c r="F7" s="1495"/>
      <c r="G7" s="712">
        <v>1</v>
      </c>
      <c r="J7" s="711">
        <v>1.1000000000000001</v>
      </c>
      <c r="K7" s="1493" t="s">
        <v>3369</v>
      </c>
      <c r="L7" s="1494"/>
      <c r="M7" s="1494"/>
      <c r="N7" s="1494"/>
      <c r="O7" s="1495"/>
      <c r="P7" s="712">
        <v>1</v>
      </c>
    </row>
    <row r="8" spans="1:16" x14ac:dyDescent="0.25">
      <c r="A8" s="711">
        <v>1.2</v>
      </c>
      <c r="B8" s="1493" t="s">
        <v>3370</v>
      </c>
      <c r="C8" s="1494"/>
      <c r="D8" s="1494"/>
      <c r="E8" s="1494"/>
      <c r="F8" s="1495"/>
      <c r="G8" s="712">
        <f>1/12</f>
        <v>8.3333333333333329E-2</v>
      </c>
      <c r="J8" s="711">
        <v>1.2</v>
      </c>
      <c r="K8" s="1493" t="s">
        <v>3370</v>
      </c>
      <c r="L8" s="1494"/>
      <c r="M8" s="1494"/>
      <c r="N8" s="1494"/>
      <c r="O8" s="1495"/>
      <c r="P8" s="712">
        <f>1/12</f>
        <v>8.3333333333333329E-2</v>
      </c>
    </row>
    <row r="9" spans="1:16" x14ac:dyDescent="0.25">
      <c r="A9" s="711">
        <v>1.3</v>
      </c>
      <c r="B9" s="1493" t="s">
        <v>3371</v>
      </c>
      <c r="C9" s="1494"/>
      <c r="D9" s="1494"/>
      <c r="E9" s="1494"/>
      <c r="F9" s="1495"/>
      <c r="G9" s="712">
        <f>1/12</f>
        <v>8.3333333333333329E-2</v>
      </c>
      <c r="J9" s="711">
        <v>1.3</v>
      </c>
      <c r="K9" s="1493" t="s">
        <v>3371</v>
      </c>
      <c r="L9" s="1494"/>
      <c r="M9" s="1494"/>
      <c r="N9" s="1494"/>
      <c r="O9" s="1495"/>
      <c r="P9" s="712">
        <f>1/12</f>
        <v>8.3333333333333329E-2</v>
      </c>
    </row>
    <row r="10" spans="1:16" x14ac:dyDescent="0.25">
      <c r="A10" s="711">
        <v>1.4</v>
      </c>
      <c r="B10" s="1493" t="s">
        <v>3372</v>
      </c>
      <c r="C10" s="1494"/>
      <c r="D10" s="1494"/>
      <c r="E10" s="1494"/>
      <c r="F10" s="1495"/>
      <c r="G10" s="712">
        <v>0.01</v>
      </c>
      <c r="J10" s="711">
        <v>1.4</v>
      </c>
      <c r="K10" s="1493" t="s">
        <v>3372</v>
      </c>
      <c r="L10" s="1494"/>
      <c r="M10" s="1494"/>
      <c r="N10" s="1494"/>
      <c r="O10" s="1495"/>
      <c r="P10" s="712">
        <v>0.01</v>
      </c>
    </row>
    <row r="11" spans="1:16" x14ac:dyDescent="0.25">
      <c r="A11" s="711">
        <v>1.5</v>
      </c>
      <c r="B11" s="1493" t="s">
        <v>3373</v>
      </c>
      <c r="C11" s="1494"/>
      <c r="D11" s="1494"/>
      <c r="E11" s="1494"/>
      <c r="F11" s="1495"/>
      <c r="G11" s="712">
        <f>+G9/2</f>
        <v>4.1666666666666664E-2</v>
      </c>
      <c r="J11" s="711">
        <v>1.5</v>
      </c>
      <c r="K11" s="1493" t="s">
        <v>3373</v>
      </c>
      <c r="L11" s="1494"/>
      <c r="M11" s="1494"/>
      <c r="N11" s="1494"/>
      <c r="O11" s="1495"/>
      <c r="P11" s="712">
        <f>+P9/2</f>
        <v>4.1666666666666664E-2</v>
      </c>
    </row>
    <row r="12" spans="1:16" x14ac:dyDescent="0.25">
      <c r="A12" s="711">
        <v>1.6</v>
      </c>
      <c r="B12" s="1493" t="s">
        <v>3374</v>
      </c>
      <c r="C12" s="1494"/>
      <c r="D12" s="1494"/>
      <c r="E12" s="1494"/>
      <c r="F12" s="1495"/>
      <c r="G12" s="712">
        <v>8.5000000000000006E-2</v>
      </c>
      <c r="J12" s="711">
        <v>1.6</v>
      </c>
      <c r="K12" s="1493" t="s">
        <v>3374</v>
      </c>
      <c r="L12" s="1494"/>
      <c r="M12" s="1494"/>
      <c r="N12" s="1494"/>
      <c r="O12" s="1495"/>
      <c r="P12" s="712">
        <v>8.5000000000000006E-2</v>
      </c>
    </row>
    <row r="13" spans="1:16" x14ac:dyDescent="0.25">
      <c r="A13" s="711">
        <v>1.7</v>
      </c>
      <c r="B13" s="1493" t="s">
        <v>3375</v>
      </c>
      <c r="C13" s="1494"/>
      <c r="D13" s="1494"/>
      <c r="E13" s="1494"/>
      <c r="F13" s="1495"/>
      <c r="G13" s="712">
        <v>0.12</v>
      </c>
      <c r="J13" s="711">
        <v>1.7</v>
      </c>
      <c r="K13" s="1493" t="s">
        <v>3375</v>
      </c>
      <c r="L13" s="1494"/>
      <c r="M13" s="1494"/>
      <c r="N13" s="1494"/>
      <c r="O13" s="1495"/>
      <c r="P13" s="712">
        <v>0.12</v>
      </c>
    </row>
    <row r="14" spans="1:16" x14ac:dyDescent="0.25">
      <c r="A14" s="711">
        <v>1.8</v>
      </c>
      <c r="B14" s="1493" t="s">
        <v>3376</v>
      </c>
      <c r="C14" s="1494"/>
      <c r="D14" s="1494"/>
      <c r="E14" s="1494"/>
      <c r="F14" s="1495"/>
      <c r="G14" s="712">
        <v>0.04</v>
      </c>
      <c r="J14" s="711">
        <v>1.8</v>
      </c>
      <c r="K14" s="1493" t="s">
        <v>3376</v>
      </c>
      <c r="L14" s="1494"/>
      <c r="M14" s="1494"/>
      <c r="N14" s="1494"/>
      <c r="O14" s="1495"/>
      <c r="P14" s="712">
        <v>0.04</v>
      </c>
    </row>
    <row r="15" spans="1:16" x14ac:dyDescent="0.25">
      <c r="A15" s="711">
        <v>1.9</v>
      </c>
      <c r="B15" s="1493" t="s">
        <v>2989</v>
      </c>
      <c r="C15" s="1494"/>
      <c r="D15" s="1494"/>
      <c r="E15" s="1494"/>
      <c r="F15" s="1495"/>
      <c r="G15" s="712">
        <v>6.9599999999999995E-2</v>
      </c>
      <c r="J15" s="711">
        <v>1.9</v>
      </c>
      <c r="K15" s="1493" t="s">
        <v>2989</v>
      </c>
      <c r="L15" s="1494"/>
      <c r="M15" s="1494"/>
      <c r="N15" s="1494"/>
      <c r="O15" s="1495"/>
      <c r="P15" s="712">
        <v>6.9599999999999995E-2</v>
      </c>
    </row>
    <row r="16" spans="1:16" x14ac:dyDescent="0.25">
      <c r="A16" s="714">
        <v>1.1000000000000001</v>
      </c>
      <c r="B16" s="1493" t="s">
        <v>3377</v>
      </c>
      <c r="C16" s="1494"/>
      <c r="D16" s="1494"/>
      <c r="E16" s="1494"/>
      <c r="F16" s="1495"/>
      <c r="G16" s="712">
        <v>0</v>
      </c>
      <c r="J16" s="714">
        <v>1.1000000000000001</v>
      </c>
      <c r="K16" s="1493" t="s">
        <v>3377</v>
      </c>
      <c r="L16" s="1494"/>
      <c r="M16" s="1494"/>
      <c r="N16" s="1494"/>
      <c r="O16" s="1495"/>
      <c r="P16" s="712">
        <v>0.1172</v>
      </c>
    </row>
    <row r="17" spans="1:17" ht="31.5" customHeight="1" x14ac:dyDescent="0.25">
      <c r="A17" s="711">
        <v>1.1100000000000001</v>
      </c>
      <c r="B17" s="1498" t="s">
        <v>3378</v>
      </c>
      <c r="C17" s="1494"/>
      <c r="D17" s="1494"/>
      <c r="E17" s="1494"/>
      <c r="F17" s="1495"/>
      <c r="G17" s="712">
        <v>0.04</v>
      </c>
      <c r="J17" s="714">
        <v>1.1100000000000001</v>
      </c>
      <c r="K17" s="1498" t="s">
        <v>3378</v>
      </c>
      <c r="L17" s="1494"/>
      <c r="M17" s="1494"/>
      <c r="N17" s="1494"/>
      <c r="O17" s="1495"/>
      <c r="P17" s="712">
        <v>0.04</v>
      </c>
    </row>
    <row r="18" spans="1:17" x14ac:dyDescent="0.25">
      <c r="A18" s="700"/>
      <c r="B18" s="715"/>
      <c r="C18" s="716"/>
      <c r="D18" s="1499" t="s">
        <v>3379</v>
      </c>
      <c r="E18" s="1499"/>
      <c r="F18" s="1500"/>
      <c r="G18" s="717">
        <f>SUM(G7:G17)</f>
        <v>1.5729333333333333</v>
      </c>
      <c r="J18" s="700"/>
      <c r="K18" s="715"/>
      <c r="L18" s="716"/>
      <c r="M18" s="1499" t="s">
        <v>3379</v>
      </c>
      <c r="N18" s="1499"/>
      <c r="O18" s="1500"/>
      <c r="P18" s="717">
        <f>SUM(P7:P17)/100</f>
        <v>1.6901333333333334E-2</v>
      </c>
      <c r="Q18" s="713"/>
    </row>
    <row r="19" spans="1:17" x14ac:dyDescent="0.25">
      <c r="A19" s="715"/>
      <c r="B19" s="716"/>
      <c r="C19" s="716"/>
      <c r="D19" s="716"/>
      <c r="E19" s="716"/>
      <c r="F19" s="718"/>
      <c r="G19" s="719"/>
      <c r="J19" s="715"/>
      <c r="K19" s="716"/>
      <c r="L19" s="716"/>
      <c r="M19" s="716"/>
      <c r="N19" s="716"/>
      <c r="O19" s="718"/>
      <c r="P19" s="719"/>
    </row>
    <row r="20" spans="1:17" x14ac:dyDescent="0.25">
      <c r="A20" s="706" t="s">
        <v>3380</v>
      </c>
      <c r="B20" s="1497" t="s">
        <v>3381</v>
      </c>
      <c r="C20" s="1494"/>
      <c r="D20" s="1494"/>
      <c r="E20" s="1494"/>
      <c r="F20" s="1494"/>
      <c r="G20" s="1494"/>
      <c r="J20" s="706" t="s">
        <v>3380</v>
      </c>
      <c r="K20" s="1497" t="s">
        <v>3381</v>
      </c>
      <c r="L20" s="1494"/>
      <c r="M20" s="1494"/>
      <c r="N20" s="1494"/>
      <c r="O20" s="1494"/>
      <c r="P20" s="1494"/>
    </row>
    <row r="21" spans="1:17" x14ac:dyDescent="0.25">
      <c r="A21" s="711">
        <v>2.1</v>
      </c>
      <c r="B21" s="1493" t="s">
        <v>3382</v>
      </c>
      <c r="C21" s="1494"/>
      <c r="D21" s="1494"/>
      <c r="E21" s="1494"/>
      <c r="F21" s="1495"/>
      <c r="G21" s="712">
        <v>0.06</v>
      </c>
      <c r="J21" s="711">
        <v>2.1</v>
      </c>
      <c r="K21" s="1493" t="s">
        <v>3383</v>
      </c>
      <c r="L21" s="1494"/>
      <c r="M21" s="1494"/>
      <c r="N21" s="1494"/>
      <c r="O21" s="1495"/>
      <c r="P21" s="712">
        <v>0.06</v>
      </c>
    </row>
    <row r="22" spans="1:17" x14ac:dyDescent="0.25">
      <c r="A22" s="711">
        <v>2.2000000000000002</v>
      </c>
      <c r="B22" s="1493" t="s">
        <v>3295</v>
      </c>
      <c r="C22" s="1494"/>
      <c r="D22" s="1494"/>
      <c r="E22" s="1494"/>
      <c r="F22" s="1495"/>
      <c r="G22" s="712">
        <v>0.02</v>
      </c>
      <c r="J22" s="711">
        <v>2.2000000000000002</v>
      </c>
      <c r="K22" s="1493" t="s">
        <v>3295</v>
      </c>
      <c r="L22" s="1494"/>
      <c r="M22" s="1494"/>
      <c r="N22" s="1494"/>
      <c r="O22" s="1495"/>
      <c r="P22" s="712">
        <v>0.02</v>
      </c>
      <c r="Q22" t="s">
        <v>3384</v>
      </c>
    </row>
    <row r="23" spans="1:17" x14ac:dyDescent="0.25">
      <c r="A23" s="711">
        <v>2.2999999999999998</v>
      </c>
      <c r="B23" s="1493" t="s">
        <v>3296</v>
      </c>
      <c r="C23" s="1494"/>
      <c r="D23" s="1494"/>
      <c r="E23" s="1494"/>
      <c r="F23" s="1495"/>
      <c r="G23" s="712">
        <v>0.02</v>
      </c>
      <c r="J23" s="711">
        <v>2.2999999999999998</v>
      </c>
      <c r="K23" s="1493" t="s">
        <v>3296</v>
      </c>
      <c r="L23" s="1494"/>
      <c r="M23" s="1494"/>
      <c r="N23" s="1494"/>
      <c r="O23" s="1495"/>
      <c r="P23" s="712">
        <v>0.02</v>
      </c>
      <c r="Q23" t="s">
        <v>3385</v>
      </c>
    </row>
    <row r="24" spans="1:17" x14ac:dyDescent="0.25">
      <c r="A24" s="700"/>
      <c r="B24" s="715"/>
      <c r="C24" s="716"/>
      <c r="D24" s="716"/>
      <c r="E24" s="716"/>
      <c r="F24" s="720"/>
      <c r="G24" s="717">
        <f>SUM(G21:G23)</f>
        <v>0.1</v>
      </c>
      <c r="J24" s="700"/>
      <c r="K24" s="715"/>
      <c r="L24" s="716"/>
      <c r="M24" s="716"/>
      <c r="N24" s="716"/>
      <c r="O24" s="720"/>
      <c r="P24" s="717">
        <f>SUM(P21:P23)</f>
        <v>0.1</v>
      </c>
    </row>
    <row r="30" spans="1:17" ht="15.75" x14ac:dyDescent="0.25">
      <c r="A30" s="1496" t="s">
        <v>3386</v>
      </c>
      <c r="B30" s="1496"/>
      <c r="C30" s="1496"/>
      <c r="D30" s="1496"/>
      <c r="E30" s="1496"/>
      <c r="F30" s="1496"/>
    </row>
    <row r="31" spans="1:17" ht="32.25" customHeight="1" x14ac:dyDescent="0.25">
      <c r="A31" s="1492" t="s">
        <v>3387</v>
      </c>
      <c r="B31" s="1492"/>
      <c r="C31" s="1492"/>
      <c r="D31" s="1492"/>
      <c r="E31" s="1492"/>
      <c r="F31" s="1492"/>
    </row>
    <row r="32" spans="1:17" x14ac:dyDescent="0.25">
      <c r="A32" s="1492" t="s">
        <v>3388</v>
      </c>
      <c r="B32" s="1492"/>
      <c r="C32" s="1492"/>
      <c r="D32" s="1492"/>
      <c r="E32" s="1492"/>
      <c r="F32" s="1492"/>
    </row>
    <row r="33" spans="1:6" x14ac:dyDescent="0.25">
      <c r="A33" s="1492" t="s">
        <v>3389</v>
      </c>
      <c r="B33" s="1492"/>
      <c r="C33" s="1492"/>
      <c r="D33" s="1492"/>
      <c r="E33" s="1492"/>
      <c r="F33" s="1492"/>
    </row>
    <row r="34" spans="1:6" x14ac:dyDescent="0.25">
      <c r="A34" s="1492" t="s">
        <v>3390</v>
      </c>
      <c r="B34" s="1492"/>
      <c r="C34" s="1492"/>
      <c r="D34" s="1492"/>
      <c r="E34" s="1492"/>
      <c r="F34" s="1492"/>
    </row>
  </sheetData>
  <sheetProtection selectLockedCells="1" selectUnlockedCells="1"/>
  <mergeCells count="43">
    <mergeCell ref="A2:G2"/>
    <mergeCell ref="J2:P2"/>
    <mergeCell ref="A3:F3"/>
    <mergeCell ref="J3:P3"/>
    <mergeCell ref="B5:G5"/>
    <mergeCell ref="K5:P5"/>
    <mergeCell ref="B7:F7"/>
    <mergeCell ref="K7:O7"/>
    <mergeCell ref="B8:F8"/>
    <mergeCell ref="K8:O8"/>
    <mergeCell ref="B9:F9"/>
    <mergeCell ref="K9:O9"/>
    <mergeCell ref="B10:F10"/>
    <mergeCell ref="K10:O10"/>
    <mergeCell ref="B11:F11"/>
    <mergeCell ref="K11:O11"/>
    <mergeCell ref="B12:F12"/>
    <mergeCell ref="K12:O12"/>
    <mergeCell ref="B13:F13"/>
    <mergeCell ref="K13:O13"/>
    <mergeCell ref="B14:F14"/>
    <mergeCell ref="K14:O14"/>
    <mergeCell ref="B15:F15"/>
    <mergeCell ref="K15:O15"/>
    <mergeCell ref="B16:F16"/>
    <mergeCell ref="K16:O16"/>
    <mergeCell ref="B17:F17"/>
    <mergeCell ref="K17:O17"/>
    <mergeCell ref="D18:F18"/>
    <mergeCell ref="M18:O18"/>
    <mergeCell ref="B20:G20"/>
    <mergeCell ref="K20:P20"/>
    <mergeCell ref="B21:F21"/>
    <mergeCell ref="K21:O21"/>
    <mergeCell ref="B22:F22"/>
    <mergeCell ref="K22:O22"/>
    <mergeCell ref="A34:F34"/>
    <mergeCell ref="B23:F23"/>
    <mergeCell ref="K23:O23"/>
    <mergeCell ref="A30:F30"/>
    <mergeCell ref="A31:F31"/>
    <mergeCell ref="A32:F32"/>
    <mergeCell ref="A33:F3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35">
    <tabColor rgb="FFFF0000"/>
  </sheetPr>
  <dimension ref="B1:P26"/>
  <sheetViews>
    <sheetView topLeftCell="A11" workbookViewId="0">
      <selection activeCell="P9" sqref="P9"/>
    </sheetView>
  </sheetViews>
  <sheetFormatPr baseColWidth="10" defaultColWidth="11.5703125" defaultRowHeight="15" x14ac:dyDescent="0.25"/>
  <cols>
    <col min="2" max="2" width="22.28515625" customWidth="1"/>
  </cols>
  <sheetData>
    <row r="1" spans="2:15" ht="18.75" x14ac:dyDescent="0.25">
      <c r="B1" s="1509" t="s">
        <v>3150</v>
      </c>
      <c r="C1" s="1509"/>
      <c r="D1" s="1509"/>
      <c r="E1" s="1509"/>
      <c r="F1" s="1509"/>
      <c r="G1" s="1509"/>
      <c r="H1" s="1509"/>
      <c r="I1" s="1509"/>
      <c r="J1" s="1509"/>
      <c r="K1" s="1509"/>
      <c r="L1" s="1509"/>
      <c r="M1" s="1509"/>
      <c r="N1" s="1509"/>
      <c r="O1" s="622"/>
    </row>
    <row r="2" spans="2:15" ht="18.75" x14ac:dyDescent="0.25">
      <c r="B2" s="1510"/>
      <c r="C2" s="1510"/>
      <c r="D2" s="1510"/>
      <c r="E2" s="1510"/>
      <c r="F2" s="1510"/>
      <c r="G2" s="1510"/>
      <c r="H2" s="1510"/>
      <c r="I2" s="1510"/>
      <c r="J2" s="1510"/>
      <c r="K2" s="1510"/>
      <c r="L2" s="1510"/>
      <c r="M2" s="1510"/>
      <c r="N2" s="1510"/>
      <c r="O2" s="622"/>
    </row>
    <row r="3" spans="2:15" ht="18.75" x14ac:dyDescent="0.25">
      <c r="B3" s="340"/>
      <c r="C3" s="341">
        <v>2020</v>
      </c>
      <c r="D3" s="341">
        <v>2021</v>
      </c>
      <c r="E3" s="341">
        <v>2022</v>
      </c>
      <c r="F3" s="341">
        <v>2023</v>
      </c>
      <c r="G3" s="341">
        <v>2024</v>
      </c>
      <c r="H3" s="341">
        <v>2025</v>
      </c>
      <c r="I3" s="341">
        <v>2026</v>
      </c>
      <c r="J3" s="341">
        <v>2027</v>
      </c>
      <c r="K3" s="341">
        <v>2028</v>
      </c>
      <c r="L3" s="341">
        <v>2029</v>
      </c>
      <c r="M3" s="341">
        <v>2030</v>
      </c>
      <c r="N3" s="341">
        <v>2031</v>
      </c>
      <c r="O3" s="622"/>
    </row>
    <row r="4" spans="2:15" ht="52.5" x14ac:dyDescent="0.25">
      <c r="B4" s="342" t="s">
        <v>3151</v>
      </c>
      <c r="C4" s="343">
        <v>2.4</v>
      </c>
      <c r="D4" s="343">
        <v>3</v>
      </c>
      <c r="E4" s="343">
        <v>3</v>
      </c>
      <c r="F4" s="343">
        <v>3</v>
      </c>
      <c r="G4" s="343">
        <v>3</v>
      </c>
      <c r="H4" s="343">
        <v>3</v>
      </c>
      <c r="I4" s="343">
        <v>3</v>
      </c>
      <c r="J4" s="343">
        <v>3</v>
      </c>
      <c r="K4" s="343">
        <v>3</v>
      </c>
      <c r="L4" s="343">
        <v>3</v>
      </c>
      <c r="M4" s="343">
        <v>3</v>
      </c>
      <c r="N4" s="343">
        <v>3</v>
      </c>
      <c r="O4" s="622"/>
    </row>
    <row r="5" spans="2:15" ht="33.75" x14ac:dyDescent="0.25">
      <c r="B5" s="342" t="s">
        <v>3152</v>
      </c>
      <c r="C5" s="343">
        <v>-5.5000000000000053</v>
      </c>
      <c r="D5" s="343">
        <v>6.6000000000000059</v>
      </c>
      <c r="E5" s="343">
        <v>5.4999999999999716</v>
      </c>
      <c r="F5" s="343">
        <v>5.0000000000000266</v>
      </c>
      <c r="G5" s="343">
        <v>4.5999999999999996</v>
      </c>
      <c r="H5" s="343">
        <v>4.2</v>
      </c>
      <c r="I5" s="343">
        <v>3.9</v>
      </c>
      <c r="J5" s="343">
        <v>3.6</v>
      </c>
      <c r="K5" s="343">
        <v>3.4</v>
      </c>
      <c r="L5" s="343">
        <v>3.3</v>
      </c>
      <c r="M5" s="343">
        <v>3.3</v>
      </c>
      <c r="N5" s="344">
        <v>3.3</v>
      </c>
      <c r="O5" s="622"/>
    </row>
    <row r="6" spans="2:15" ht="37.5" x14ac:dyDescent="0.25">
      <c r="B6" s="342" t="s">
        <v>3153</v>
      </c>
      <c r="C6" s="345"/>
      <c r="D6" s="345"/>
      <c r="E6" s="345"/>
      <c r="F6" s="345"/>
      <c r="G6" s="345"/>
      <c r="H6" s="345"/>
      <c r="I6" s="345"/>
      <c r="J6" s="345"/>
      <c r="K6" s="345"/>
      <c r="L6" s="345"/>
      <c r="M6" s="346"/>
      <c r="N6" s="347"/>
      <c r="O6" s="623"/>
    </row>
    <row r="7" spans="2:15" ht="33.75" x14ac:dyDescent="0.25">
      <c r="B7" s="348" t="s">
        <v>3154</v>
      </c>
      <c r="C7" s="349">
        <v>3959.875</v>
      </c>
      <c r="D7" s="349">
        <v>3747.4469490000001</v>
      </c>
      <c r="E7" s="349">
        <v>3811.1535471329998</v>
      </c>
      <c r="F7" s="349">
        <v>3875.9431574342607</v>
      </c>
      <c r="G7" s="349">
        <v>3950</v>
      </c>
      <c r="H7" s="349">
        <v>4025</v>
      </c>
      <c r="I7" s="349">
        <v>4101</v>
      </c>
      <c r="J7" s="349">
        <v>4179</v>
      </c>
      <c r="K7" s="349">
        <v>4258</v>
      </c>
      <c r="L7" s="349">
        <v>4339</v>
      </c>
      <c r="M7" s="349">
        <v>4422</v>
      </c>
      <c r="N7" s="349">
        <v>4506</v>
      </c>
      <c r="O7" s="623"/>
    </row>
    <row r="8" spans="2:15" ht="28.5" customHeight="1" x14ac:dyDescent="0.25">
      <c r="B8" s="1511" t="s">
        <v>3155</v>
      </c>
      <c r="C8" s="1511"/>
      <c r="D8" s="1511"/>
      <c r="E8" s="1511"/>
      <c r="F8" s="1511"/>
      <c r="G8" s="1511"/>
      <c r="H8" s="1511"/>
      <c r="I8" s="1511"/>
      <c r="J8" s="1511"/>
      <c r="K8" s="1511"/>
      <c r="L8" s="1511"/>
      <c r="M8" s="1511"/>
      <c r="N8" s="1511"/>
      <c r="O8" s="622"/>
    </row>
    <row r="9" spans="2:15" x14ac:dyDescent="0.25">
      <c r="B9" s="622"/>
      <c r="C9" s="622"/>
      <c r="D9" s="622"/>
      <c r="E9" s="622"/>
      <c r="F9" s="622"/>
      <c r="G9" s="622"/>
      <c r="H9" s="622"/>
      <c r="I9" s="622"/>
      <c r="J9" s="622"/>
      <c r="K9" s="622"/>
      <c r="L9" s="622"/>
      <c r="M9" s="622"/>
      <c r="N9" s="622"/>
      <c r="O9" s="622"/>
    </row>
    <row r="10" spans="2:15" x14ac:dyDescent="0.25">
      <c r="B10" s="267"/>
      <c r="C10" s="267"/>
      <c r="D10" s="267"/>
      <c r="E10" s="267"/>
      <c r="F10" s="267"/>
      <c r="G10" s="267"/>
      <c r="H10" s="267"/>
      <c r="I10" s="267"/>
      <c r="J10" s="267"/>
      <c r="K10" s="267"/>
      <c r="L10" s="267"/>
      <c r="M10" s="267"/>
      <c r="N10" s="267"/>
      <c r="O10" s="267"/>
    </row>
    <row r="11" spans="2:15" ht="18.75" x14ac:dyDescent="0.25">
      <c r="B11" s="1512" t="s">
        <v>3348</v>
      </c>
      <c r="C11" s="1512"/>
      <c r="D11" s="1512"/>
      <c r="E11" s="1512"/>
      <c r="F11" s="1512"/>
      <c r="G11" s="1512"/>
      <c r="H11" s="1512"/>
      <c r="I11" s="1512"/>
      <c r="J11" s="1512"/>
      <c r="K11" s="1512"/>
      <c r="L11" s="1512"/>
      <c r="M11" s="1512"/>
      <c r="N11" s="1512"/>
      <c r="O11" s="1512"/>
    </row>
    <row r="12" spans="2:15" ht="18.75" hidden="1" x14ac:dyDescent="0.3">
      <c r="B12" s="1513"/>
      <c r="C12" s="1513"/>
      <c r="D12" s="1513"/>
      <c r="E12" s="1513"/>
      <c r="F12" s="1513"/>
      <c r="G12" s="1513"/>
      <c r="H12" s="1513"/>
      <c r="I12" s="1513"/>
      <c r="J12" s="1513"/>
      <c r="K12" s="1513"/>
      <c r="L12" s="1513"/>
      <c r="M12" s="1513"/>
      <c r="N12" s="1513"/>
      <c r="O12" s="1513"/>
    </row>
    <row r="13" spans="2:15" ht="18.75" hidden="1" x14ac:dyDescent="0.25">
      <c r="B13" s="340"/>
      <c r="C13" s="341">
        <v>2018</v>
      </c>
      <c r="D13" s="341">
        <v>2019</v>
      </c>
      <c r="E13" s="341">
        <v>2020</v>
      </c>
      <c r="F13" s="341">
        <v>2021</v>
      </c>
      <c r="G13" s="341">
        <v>2022</v>
      </c>
      <c r="H13" s="341">
        <v>2023</v>
      </c>
      <c r="I13" s="341">
        <v>2024</v>
      </c>
      <c r="J13" s="341">
        <v>2025</v>
      </c>
      <c r="K13" s="341">
        <v>2026</v>
      </c>
      <c r="L13" s="341">
        <v>2027</v>
      </c>
      <c r="M13" s="341">
        <v>2028</v>
      </c>
      <c r="N13" s="341">
        <v>2029</v>
      </c>
      <c r="O13" s="341">
        <v>2030</v>
      </c>
    </row>
    <row r="14" spans="2:15" ht="52.5" hidden="1" x14ac:dyDescent="0.25">
      <c r="B14" s="342" t="s">
        <v>3151</v>
      </c>
      <c r="C14" s="573">
        <v>3.18</v>
      </c>
      <c r="D14" s="573">
        <v>3.7048837209302325</v>
      </c>
      <c r="E14" s="573">
        <v>3.3306976744186043</v>
      </c>
      <c r="F14" s="574">
        <v>3.1</v>
      </c>
      <c r="G14" s="574">
        <v>3.1</v>
      </c>
      <c r="H14" s="574">
        <v>3.1</v>
      </c>
      <c r="I14" s="574">
        <v>3</v>
      </c>
      <c r="J14" s="574">
        <v>3</v>
      </c>
      <c r="K14" s="574">
        <v>3</v>
      </c>
      <c r="L14" s="574">
        <v>3</v>
      </c>
      <c r="M14" s="574">
        <v>3</v>
      </c>
      <c r="N14" s="574">
        <v>3</v>
      </c>
      <c r="O14" s="574">
        <v>3</v>
      </c>
    </row>
    <row r="15" spans="2:15" ht="33.75" hidden="1" x14ac:dyDescent="0.25">
      <c r="B15" s="342" t="s">
        <v>3152</v>
      </c>
      <c r="C15" s="575">
        <v>2.5692209880700645</v>
      </c>
      <c r="D15" s="575">
        <v>3.09</v>
      </c>
      <c r="E15" s="575">
        <v>3.2</v>
      </c>
      <c r="F15" s="574">
        <v>3.3</v>
      </c>
      <c r="G15" s="574">
        <v>3.4</v>
      </c>
      <c r="H15" s="574">
        <v>3.5</v>
      </c>
      <c r="I15" s="574">
        <v>3.5</v>
      </c>
      <c r="J15" s="574">
        <v>3.5</v>
      </c>
      <c r="K15" s="574">
        <v>3.5</v>
      </c>
      <c r="L15" s="574">
        <v>3.5</v>
      </c>
      <c r="M15" s="574">
        <v>3.5</v>
      </c>
      <c r="N15" s="574">
        <v>3.5</v>
      </c>
      <c r="O15" s="574">
        <v>3.5</v>
      </c>
    </row>
    <row r="16" spans="2:15" ht="33.75" hidden="1" x14ac:dyDescent="0.25">
      <c r="B16" s="342" t="s">
        <v>3349</v>
      </c>
      <c r="C16" s="574">
        <v>2.9631150671302953</v>
      </c>
      <c r="D16" s="574">
        <v>3.2829808521469772</v>
      </c>
      <c r="E16" s="574">
        <v>3.4997638957961597</v>
      </c>
      <c r="F16" s="574">
        <v>3.7581515422476119</v>
      </c>
      <c r="G16" s="574">
        <v>4.0208674007612855</v>
      </c>
      <c r="H16" s="574">
        <v>4.0752187062307099</v>
      </c>
      <c r="I16" s="574">
        <v>3.9969998243325255</v>
      </c>
      <c r="J16" s="574">
        <v>3.904290751480155</v>
      </c>
      <c r="K16" s="574">
        <v>3.8078080563366923</v>
      </c>
      <c r="L16" s="574">
        <v>3.8229844819977599</v>
      </c>
      <c r="M16" s="574">
        <v>3.6868977287335403</v>
      </c>
      <c r="N16" s="574">
        <v>3.5960874713221846</v>
      </c>
      <c r="O16" s="576">
        <v>3.5911501059937567</v>
      </c>
    </row>
    <row r="17" spans="2:16" ht="33.75" hidden="1" x14ac:dyDescent="0.25">
      <c r="B17" s="348" t="s">
        <v>3154</v>
      </c>
      <c r="C17" s="577">
        <v>2958</v>
      </c>
      <c r="D17" s="577">
        <v>3203</v>
      </c>
      <c r="E17" s="577">
        <v>3215</v>
      </c>
      <c r="F17" s="577">
        <v>3209</v>
      </c>
      <c r="G17" s="577">
        <v>3215</v>
      </c>
      <c r="H17" s="577">
        <v>3221</v>
      </c>
      <c r="I17" s="577">
        <v>3273.8244</v>
      </c>
      <c r="J17" s="577">
        <v>3327.5151201599997</v>
      </c>
      <c r="K17" s="577">
        <v>3382.0863681306237</v>
      </c>
      <c r="L17" s="577">
        <v>3437.5525845679658</v>
      </c>
      <c r="M17" s="577">
        <v>3493.9284469548802</v>
      </c>
      <c r="N17" s="577">
        <v>3551.2288734849403</v>
      </c>
      <c r="O17" s="577">
        <v>3609.4690270100932</v>
      </c>
    </row>
    <row r="18" spans="2:16" ht="56.25" hidden="1" customHeight="1" x14ac:dyDescent="0.25">
      <c r="B18" s="1508" t="s">
        <v>3350</v>
      </c>
      <c r="C18" s="1508"/>
      <c r="D18" s="1508"/>
      <c r="E18" s="1508"/>
      <c r="F18" s="1508"/>
      <c r="G18" s="1508"/>
      <c r="H18" s="1508"/>
      <c r="I18" s="1508"/>
      <c r="J18" s="1508"/>
      <c r="K18" s="1508"/>
      <c r="L18" s="1508"/>
      <c r="M18" s="1508"/>
      <c r="N18" s="1508"/>
      <c r="O18" s="1508"/>
    </row>
    <row r="20" spans="2:16" hidden="1" x14ac:dyDescent="0.25"/>
    <row r="21" spans="2:16" s="88" customFormat="1" ht="18.75" hidden="1" x14ac:dyDescent="0.25">
      <c r="B21" s="340" t="s">
        <v>2942</v>
      </c>
      <c r="C21" s="341">
        <v>2018</v>
      </c>
      <c r="D21" s="341">
        <v>2019</v>
      </c>
      <c r="E21" s="341">
        <v>2020</v>
      </c>
      <c r="F21" s="341">
        <v>2021</v>
      </c>
      <c r="G21" s="341">
        <v>2022</v>
      </c>
      <c r="H21" s="341">
        <v>2023</v>
      </c>
      <c r="I21" s="341">
        <v>2024</v>
      </c>
      <c r="J21" s="341">
        <v>2025</v>
      </c>
      <c r="K21" s="341">
        <v>2026</v>
      </c>
      <c r="L21" s="341">
        <v>2027</v>
      </c>
      <c r="M21" s="341">
        <v>2028</v>
      </c>
      <c r="N21" s="341">
        <v>2029</v>
      </c>
      <c r="O21" s="341">
        <v>2030</v>
      </c>
      <c r="P21" s="341">
        <v>2031</v>
      </c>
    </row>
    <row r="22" spans="2:16" ht="15.75" hidden="1" x14ac:dyDescent="0.3">
      <c r="B22" s="583">
        <v>44013</v>
      </c>
      <c r="C22" s="584"/>
      <c r="D22" s="584"/>
      <c r="E22" s="585">
        <v>3959.875</v>
      </c>
      <c r="F22" s="585">
        <v>3747.4469490000001</v>
      </c>
      <c r="G22" s="585">
        <v>3811.1535471329998</v>
      </c>
      <c r="H22" s="585">
        <v>3875.9431574342607</v>
      </c>
      <c r="I22" s="585">
        <v>3950</v>
      </c>
      <c r="J22" s="585">
        <v>4025</v>
      </c>
      <c r="K22" s="585">
        <v>4101</v>
      </c>
      <c r="L22" s="585">
        <v>4179</v>
      </c>
      <c r="M22" s="585">
        <v>4258</v>
      </c>
      <c r="N22" s="585">
        <v>4339</v>
      </c>
      <c r="O22" s="585">
        <v>4422</v>
      </c>
      <c r="P22" s="585">
        <v>4506</v>
      </c>
    </row>
    <row r="23" spans="2:16" ht="16.5" hidden="1" x14ac:dyDescent="0.3">
      <c r="B23" s="583">
        <v>43617</v>
      </c>
      <c r="C23" s="586">
        <v>2958</v>
      </c>
      <c r="D23" s="586">
        <v>3203</v>
      </c>
      <c r="E23" s="586">
        <v>3215</v>
      </c>
      <c r="F23" s="586">
        <v>3209</v>
      </c>
      <c r="G23" s="586">
        <v>3215</v>
      </c>
      <c r="H23" s="586">
        <v>3221</v>
      </c>
      <c r="I23" s="586">
        <v>3273.8244</v>
      </c>
      <c r="J23" s="586">
        <v>3327.5151201599997</v>
      </c>
      <c r="K23" s="586">
        <v>3382.0863681306237</v>
      </c>
      <c r="L23" s="586">
        <v>3437.5525845679658</v>
      </c>
      <c r="M23" s="586">
        <v>3493.9284469548802</v>
      </c>
      <c r="N23" s="586">
        <v>3551.2288734849403</v>
      </c>
      <c r="O23" s="586">
        <v>3609.4690270100932</v>
      </c>
      <c r="P23" s="587"/>
    </row>
    <row r="24" spans="2:16" s="578" customFormat="1" hidden="1" x14ac:dyDescent="0.25">
      <c r="E24" s="579" t="s">
        <v>3351</v>
      </c>
      <c r="F24" s="579">
        <f t="shared" ref="F24:O24" si="0">+F22-F23</f>
        <v>538.44694900000013</v>
      </c>
      <c r="G24" s="579">
        <f t="shared" si="0"/>
        <v>596.15354713299985</v>
      </c>
      <c r="H24" s="579">
        <f t="shared" si="0"/>
        <v>654.94315743426068</v>
      </c>
      <c r="I24" s="579">
        <f t="shared" si="0"/>
        <v>676.17560000000003</v>
      </c>
      <c r="J24" s="579">
        <f t="shared" si="0"/>
        <v>697.4848798400003</v>
      </c>
      <c r="K24" s="579">
        <f t="shared" si="0"/>
        <v>718.91363186937633</v>
      </c>
      <c r="L24" s="579">
        <f t="shared" si="0"/>
        <v>741.44741543203418</v>
      </c>
      <c r="M24" s="579">
        <f t="shared" si="0"/>
        <v>764.0715530451198</v>
      </c>
      <c r="N24" s="579">
        <f t="shared" si="0"/>
        <v>787.77112651505968</v>
      </c>
      <c r="O24" s="579">
        <f t="shared" si="0"/>
        <v>812.53097298990679</v>
      </c>
      <c r="P24" s="579"/>
    </row>
    <row r="25" spans="2:16" s="88" customFormat="1" hidden="1" x14ac:dyDescent="0.25">
      <c r="D25" s="581"/>
      <c r="E25" s="581"/>
      <c r="F25" s="582">
        <f>+F22/E22-1</f>
        <v>-5.364514056630576E-2</v>
      </c>
      <c r="G25" s="582">
        <f t="shared" ref="G25:P25" si="1">+G22/F22-1</f>
        <v>1.6999999999999904E-2</v>
      </c>
      <c r="H25" s="582">
        <f t="shared" si="1"/>
        <v>1.6999999999999904E-2</v>
      </c>
      <c r="I25" s="582">
        <f t="shared" si="1"/>
        <v>1.9106792736032441E-2</v>
      </c>
      <c r="J25" s="582">
        <f t="shared" si="1"/>
        <v>1.8987341772152E-2</v>
      </c>
      <c r="K25" s="582">
        <f t="shared" si="1"/>
        <v>1.8881987577639814E-2</v>
      </c>
      <c r="L25" s="582">
        <f t="shared" si="1"/>
        <v>1.9019751280175523E-2</v>
      </c>
      <c r="M25" s="582">
        <f t="shared" si="1"/>
        <v>1.8904044029672162E-2</v>
      </c>
      <c r="N25" s="582">
        <f t="shared" si="1"/>
        <v>1.9023015500234886E-2</v>
      </c>
      <c r="O25" s="582">
        <f t="shared" si="1"/>
        <v>1.9128831528001822E-2</v>
      </c>
      <c r="P25" s="582">
        <f t="shared" si="1"/>
        <v>1.8995929443690551E-2</v>
      </c>
    </row>
    <row r="26" spans="2:16" hidden="1" x14ac:dyDescent="0.25">
      <c r="D26" s="580">
        <f>+D23/C23-1</f>
        <v>8.2826233941852623E-2</v>
      </c>
      <c r="E26" s="580">
        <f t="shared" ref="E26:P26" si="2">+E23/D23-1</f>
        <v>3.7464876678114933E-3</v>
      </c>
      <c r="F26" s="580">
        <f t="shared" si="2"/>
        <v>-1.8662519440124647E-3</v>
      </c>
      <c r="G26" s="580">
        <f t="shared" si="2"/>
        <v>1.8697413524462192E-3</v>
      </c>
      <c r="H26" s="580">
        <f t="shared" si="2"/>
        <v>1.8662519440124647E-3</v>
      </c>
      <c r="I26" s="580">
        <f t="shared" si="2"/>
        <v>1.639999999999997E-2</v>
      </c>
      <c r="J26" s="580">
        <f t="shared" si="2"/>
        <v>1.639999999999997E-2</v>
      </c>
      <c r="K26" s="580">
        <f t="shared" si="2"/>
        <v>1.639999999999997E-2</v>
      </c>
      <c r="L26" s="580">
        <f t="shared" si="2"/>
        <v>1.639999999999997E-2</v>
      </c>
      <c r="M26" s="580">
        <f t="shared" si="2"/>
        <v>1.639999999999997E-2</v>
      </c>
      <c r="N26" s="580">
        <f t="shared" si="2"/>
        <v>1.639999999999997E-2</v>
      </c>
      <c r="O26" s="580">
        <f t="shared" si="2"/>
        <v>1.639999999999997E-2</v>
      </c>
      <c r="P26" s="580">
        <f t="shared" si="2"/>
        <v>-1</v>
      </c>
    </row>
  </sheetData>
  <mergeCells count="6">
    <mergeCell ref="B18:O18"/>
    <mergeCell ref="B1:N1"/>
    <mergeCell ref="B2:N2"/>
    <mergeCell ref="B8:N8"/>
    <mergeCell ref="B11:O11"/>
    <mergeCell ref="B12:O1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7">
    <tabColor rgb="FFFF0000"/>
  </sheetPr>
  <dimension ref="B2:H2835"/>
  <sheetViews>
    <sheetView workbookViewId="0">
      <selection activeCell="E7" sqref="E7"/>
    </sheetView>
  </sheetViews>
  <sheetFormatPr baseColWidth="10" defaultColWidth="11.5703125" defaultRowHeight="15" x14ac:dyDescent="0.25"/>
  <cols>
    <col min="2" max="2" width="22.28515625" customWidth="1"/>
    <col min="3" max="3" width="45.7109375" customWidth="1"/>
    <col min="4" max="4" width="15.28515625" bestFit="1" customWidth="1"/>
    <col min="5" max="5" width="79.28515625" customWidth="1"/>
    <col min="6" max="6" width="30.28515625" bestFit="1" customWidth="1"/>
    <col min="7" max="7" width="43.42578125" customWidth="1"/>
    <col min="8" max="8" width="43" bestFit="1" customWidth="1"/>
  </cols>
  <sheetData>
    <row r="2" spans="2:8" ht="18.75" x14ac:dyDescent="0.25">
      <c r="B2" s="1355" t="s">
        <v>6895</v>
      </c>
      <c r="C2" s="1355" t="s">
        <v>6896</v>
      </c>
      <c r="D2" s="1355" t="s">
        <v>335</v>
      </c>
      <c r="E2" s="1009" t="s">
        <v>336</v>
      </c>
      <c r="F2" s="1356" t="s">
        <v>337</v>
      </c>
      <c r="G2" s="1357" t="s">
        <v>1114</v>
      </c>
      <c r="H2" s="1012" t="s">
        <v>3534</v>
      </c>
    </row>
    <row r="3" spans="2:8" x14ac:dyDescent="0.25">
      <c r="B3" s="1358" t="s">
        <v>6897</v>
      </c>
      <c r="C3" s="1359" t="s">
        <v>6898</v>
      </c>
      <c r="D3" s="1360">
        <v>322</v>
      </c>
      <c r="E3" s="1361" t="s">
        <v>1115</v>
      </c>
      <c r="F3" s="1360" t="s">
        <v>3</v>
      </c>
      <c r="G3" s="1362">
        <v>529550</v>
      </c>
      <c r="H3" s="1363" t="s">
        <v>6899</v>
      </c>
    </row>
    <row r="4" spans="2:8" x14ac:dyDescent="0.25">
      <c r="B4" s="1358" t="s">
        <v>6897</v>
      </c>
      <c r="C4" s="1359" t="s">
        <v>6898</v>
      </c>
      <c r="D4" s="1360">
        <v>323</v>
      </c>
      <c r="E4" s="1361" t="s">
        <v>1116</v>
      </c>
      <c r="F4" s="1360" t="s">
        <v>3</v>
      </c>
      <c r="G4" s="1362">
        <v>545437</v>
      </c>
      <c r="H4" s="1363" t="s">
        <v>6899</v>
      </c>
    </row>
    <row r="5" spans="2:8" x14ac:dyDescent="0.25">
      <c r="B5" s="1358" t="s">
        <v>6897</v>
      </c>
      <c r="C5" s="1359" t="s">
        <v>6898</v>
      </c>
      <c r="D5" s="1360">
        <v>324</v>
      </c>
      <c r="E5" s="1361" t="s">
        <v>1117</v>
      </c>
      <c r="F5" s="1360" t="s">
        <v>3</v>
      </c>
      <c r="G5" s="1362">
        <v>559205</v>
      </c>
      <c r="H5" s="1363" t="s">
        <v>6899</v>
      </c>
    </row>
    <row r="6" spans="2:8" x14ac:dyDescent="0.25">
      <c r="B6" s="1358" t="s">
        <v>6897</v>
      </c>
      <c r="C6" s="1359" t="s">
        <v>6898</v>
      </c>
      <c r="D6" s="1360">
        <v>325</v>
      </c>
      <c r="E6" s="1361" t="s">
        <v>1118</v>
      </c>
      <c r="F6" s="1360" t="s">
        <v>3</v>
      </c>
      <c r="G6" s="1362">
        <v>576150</v>
      </c>
      <c r="H6" s="1363" t="s">
        <v>6899</v>
      </c>
    </row>
    <row r="7" spans="2:8" x14ac:dyDescent="0.25">
      <c r="B7" s="1358" t="s">
        <v>6897</v>
      </c>
      <c r="C7" s="1359" t="s">
        <v>6898</v>
      </c>
      <c r="D7" s="1360">
        <v>326</v>
      </c>
      <c r="E7" s="1361" t="s">
        <v>3536</v>
      </c>
      <c r="F7" s="1360" t="s">
        <v>3</v>
      </c>
      <c r="G7" s="1362">
        <v>593096</v>
      </c>
      <c r="H7" s="1363" t="s">
        <v>6899</v>
      </c>
    </row>
    <row r="8" spans="2:8" x14ac:dyDescent="0.25">
      <c r="B8" s="1358" t="s">
        <v>6897</v>
      </c>
      <c r="C8" s="1359" t="s">
        <v>6898</v>
      </c>
      <c r="D8" s="1360">
        <v>328</v>
      </c>
      <c r="E8" s="1361" t="s">
        <v>1119</v>
      </c>
      <c r="F8" s="1360" t="s">
        <v>3</v>
      </c>
      <c r="G8" s="1362">
        <v>637049</v>
      </c>
      <c r="H8" s="1363" t="s">
        <v>6899</v>
      </c>
    </row>
    <row r="9" spans="2:8" x14ac:dyDescent="0.25">
      <c r="B9" s="1358" t="s">
        <v>6897</v>
      </c>
      <c r="C9" s="1359" t="s">
        <v>6898</v>
      </c>
      <c r="D9" s="1360">
        <v>333</v>
      </c>
      <c r="E9" s="1361" t="s">
        <v>1120</v>
      </c>
      <c r="F9" s="1360" t="s">
        <v>3</v>
      </c>
      <c r="G9" s="1362">
        <v>572973</v>
      </c>
      <c r="H9" s="1363" t="s">
        <v>6899</v>
      </c>
    </row>
    <row r="10" spans="2:8" x14ac:dyDescent="0.25">
      <c r="B10" s="1358" t="s">
        <v>6897</v>
      </c>
      <c r="C10" s="1359" t="s">
        <v>6898</v>
      </c>
      <c r="D10" s="1360">
        <v>366</v>
      </c>
      <c r="E10" s="1361" t="s">
        <v>1121</v>
      </c>
      <c r="F10" s="1360" t="s">
        <v>3</v>
      </c>
      <c r="G10" s="1362">
        <v>555767</v>
      </c>
      <c r="H10" s="1363" t="s">
        <v>6899</v>
      </c>
    </row>
    <row r="11" spans="2:8" x14ac:dyDescent="0.25">
      <c r="B11" s="1358" t="s">
        <v>6897</v>
      </c>
      <c r="C11" s="1359" t="s">
        <v>6900</v>
      </c>
      <c r="D11" s="1360">
        <v>1505</v>
      </c>
      <c r="E11" s="1361" t="s">
        <v>3537</v>
      </c>
      <c r="F11" s="1360" t="s">
        <v>202</v>
      </c>
      <c r="G11" s="1362">
        <v>182521</v>
      </c>
      <c r="H11" s="1363" t="s">
        <v>6899</v>
      </c>
    </row>
    <row r="12" spans="2:8" x14ac:dyDescent="0.25">
      <c r="B12" s="1358" t="s">
        <v>6897</v>
      </c>
      <c r="C12" s="1359" t="s">
        <v>6901</v>
      </c>
      <c r="D12" s="1360">
        <v>1512</v>
      </c>
      <c r="E12" s="1361" t="s">
        <v>1122</v>
      </c>
      <c r="F12" s="1360" t="s">
        <v>12</v>
      </c>
      <c r="G12" s="1362">
        <v>8500</v>
      </c>
      <c r="H12" s="1363" t="s">
        <v>3538</v>
      </c>
    </row>
    <row r="13" spans="2:8" x14ac:dyDescent="0.25">
      <c r="B13" s="1358" t="s">
        <v>6897</v>
      </c>
      <c r="C13" s="1359" t="s">
        <v>6902</v>
      </c>
      <c r="D13" s="1360">
        <v>1515</v>
      </c>
      <c r="E13" s="1361" t="s">
        <v>1123</v>
      </c>
      <c r="F13" s="1360" t="s">
        <v>826</v>
      </c>
      <c r="G13" s="1362">
        <v>1071</v>
      </c>
      <c r="H13" s="1363" t="s">
        <v>3538</v>
      </c>
    </row>
    <row r="14" spans="2:8" x14ac:dyDescent="0.25">
      <c r="B14" s="1358" t="s">
        <v>6897</v>
      </c>
      <c r="C14" s="1359" t="s">
        <v>6903</v>
      </c>
      <c r="D14" s="1360">
        <v>1794</v>
      </c>
      <c r="E14" s="1361" t="s">
        <v>1125</v>
      </c>
      <c r="F14" s="1360" t="s">
        <v>6</v>
      </c>
      <c r="G14" s="1362">
        <v>5501</v>
      </c>
      <c r="H14" s="1363" t="s">
        <v>6899</v>
      </c>
    </row>
    <row r="15" spans="2:8" x14ac:dyDescent="0.25">
      <c r="B15" s="1358" t="s">
        <v>6897</v>
      </c>
      <c r="C15" s="1359" t="s">
        <v>6904</v>
      </c>
      <c r="D15" s="1360">
        <v>2273</v>
      </c>
      <c r="E15" s="1361" t="s">
        <v>1126</v>
      </c>
      <c r="F15" s="1360" t="s">
        <v>266</v>
      </c>
      <c r="G15" s="1362">
        <v>967</v>
      </c>
      <c r="H15" s="1363" t="s">
        <v>6899</v>
      </c>
    </row>
    <row r="16" spans="2:8" x14ac:dyDescent="0.25">
      <c r="B16" s="1358" t="s">
        <v>6897</v>
      </c>
      <c r="C16" s="1359" t="s">
        <v>6905</v>
      </c>
      <c r="D16" s="1360">
        <v>2307</v>
      </c>
      <c r="E16" s="1361" t="s">
        <v>1127</v>
      </c>
      <c r="F16" s="1360" t="s">
        <v>3</v>
      </c>
      <c r="G16" s="1362">
        <v>65450</v>
      </c>
      <c r="H16" s="1363" t="s">
        <v>6899</v>
      </c>
    </row>
    <row r="17" spans="2:8" x14ac:dyDescent="0.25">
      <c r="B17" s="1358" t="s">
        <v>6897</v>
      </c>
      <c r="C17" s="1359" t="s">
        <v>6905</v>
      </c>
      <c r="D17" s="1360">
        <v>2308</v>
      </c>
      <c r="E17" s="1361" t="s">
        <v>1128</v>
      </c>
      <c r="F17" s="1360" t="s">
        <v>3</v>
      </c>
      <c r="G17" s="1362">
        <v>130900</v>
      </c>
      <c r="H17" s="1363" t="s">
        <v>6899</v>
      </c>
    </row>
    <row r="18" spans="2:8" x14ac:dyDescent="0.25">
      <c r="B18" s="1358" t="s">
        <v>6897</v>
      </c>
      <c r="C18" s="1359" t="s">
        <v>6906</v>
      </c>
      <c r="D18" s="1360">
        <v>2551</v>
      </c>
      <c r="E18" s="1361" t="s">
        <v>1129</v>
      </c>
      <c r="F18" s="1360" t="s">
        <v>266</v>
      </c>
      <c r="G18" s="1362">
        <v>168199</v>
      </c>
      <c r="H18" s="1363" t="s">
        <v>3535</v>
      </c>
    </row>
    <row r="19" spans="2:8" x14ac:dyDescent="0.25">
      <c r="B19" s="1358" t="s">
        <v>6897</v>
      </c>
      <c r="C19" s="1359" t="s">
        <v>6904</v>
      </c>
      <c r="D19" s="1360">
        <v>2798</v>
      </c>
      <c r="E19" s="1361" t="s">
        <v>1130</v>
      </c>
      <c r="F19" s="1360" t="s">
        <v>266</v>
      </c>
      <c r="G19" s="1362">
        <v>700</v>
      </c>
      <c r="H19" s="1363" t="s">
        <v>6899</v>
      </c>
    </row>
    <row r="20" spans="2:8" x14ac:dyDescent="0.25">
      <c r="B20" s="1358" t="s">
        <v>6897</v>
      </c>
      <c r="C20" s="1359" t="s">
        <v>6905</v>
      </c>
      <c r="D20" s="1360">
        <v>2910</v>
      </c>
      <c r="E20" s="1361" t="s">
        <v>1131</v>
      </c>
      <c r="F20" s="1360" t="s">
        <v>3</v>
      </c>
      <c r="G20" s="1362">
        <v>6569</v>
      </c>
      <c r="H20" s="1363" t="s">
        <v>6899</v>
      </c>
    </row>
    <row r="21" spans="2:8" x14ac:dyDescent="0.25">
      <c r="B21" s="1358" t="s">
        <v>6897</v>
      </c>
      <c r="C21" s="1359" t="s">
        <v>6902</v>
      </c>
      <c r="D21" s="1360">
        <v>3386</v>
      </c>
      <c r="E21" s="1361" t="s">
        <v>1132</v>
      </c>
      <c r="F21" s="1360" t="s">
        <v>3539</v>
      </c>
      <c r="G21" s="1362">
        <v>11495</v>
      </c>
      <c r="H21" s="1363" t="s">
        <v>3538</v>
      </c>
    </row>
    <row r="22" spans="2:8" x14ac:dyDescent="0.25">
      <c r="B22" s="1358" t="s">
        <v>6897</v>
      </c>
      <c r="C22" s="1359" t="s">
        <v>6902</v>
      </c>
      <c r="D22" s="1360">
        <v>3995</v>
      </c>
      <c r="E22" s="1361" t="s">
        <v>1133</v>
      </c>
      <c r="F22" s="1360" t="s">
        <v>12</v>
      </c>
      <c r="G22" s="1362">
        <v>29002</v>
      </c>
      <c r="H22" s="1363" t="s">
        <v>3538</v>
      </c>
    </row>
    <row r="23" spans="2:8" x14ac:dyDescent="0.25">
      <c r="B23" s="1358" t="s">
        <v>6897</v>
      </c>
      <c r="C23" s="1359" t="s">
        <v>6907</v>
      </c>
      <c r="D23" s="1360">
        <v>4513</v>
      </c>
      <c r="E23" s="1361" t="s">
        <v>1134</v>
      </c>
      <c r="F23" s="1360" t="s">
        <v>13</v>
      </c>
      <c r="G23" s="1362">
        <v>13987</v>
      </c>
      <c r="H23" s="1363" t="s">
        <v>3535</v>
      </c>
    </row>
    <row r="24" spans="2:8" x14ac:dyDescent="0.25">
      <c r="B24" s="1358" t="s">
        <v>6897</v>
      </c>
      <c r="C24" s="1359" t="s">
        <v>6907</v>
      </c>
      <c r="D24" s="1360">
        <v>4514</v>
      </c>
      <c r="E24" s="1361" t="s">
        <v>1135</v>
      </c>
      <c r="F24" s="1360" t="s">
        <v>13</v>
      </c>
      <c r="G24" s="1362">
        <v>24081</v>
      </c>
      <c r="H24" s="1363" t="s">
        <v>3535</v>
      </c>
    </row>
    <row r="25" spans="2:8" x14ac:dyDescent="0.25">
      <c r="B25" s="1358" t="s">
        <v>6897</v>
      </c>
      <c r="C25" s="1359" t="s">
        <v>6907</v>
      </c>
      <c r="D25" s="1360">
        <v>4520</v>
      </c>
      <c r="E25" s="1361" t="s">
        <v>1136</v>
      </c>
      <c r="F25" s="1360" t="s">
        <v>13</v>
      </c>
      <c r="G25" s="1362">
        <v>18689</v>
      </c>
      <c r="H25" s="1363" t="s">
        <v>3535</v>
      </c>
    </row>
    <row r="26" spans="2:8" x14ac:dyDescent="0.25">
      <c r="B26" s="1358" t="s">
        <v>6897</v>
      </c>
      <c r="C26" s="1359" t="s">
        <v>6907</v>
      </c>
      <c r="D26" s="1360">
        <v>4521</v>
      </c>
      <c r="E26" s="1361" t="s">
        <v>1137</v>
      </c>
      <c r="F26" s="1360" t="s">
        <v>13</v>
      </c>
      <c r="G26" s="1362">
        <v>23150</v>
      </c>
      <c r="H26" s="1363" t="s">
        <v>3535</v>
      </c>
    </row>
    <row r="27" spans="2:8" x14ac:dyDescent="0.25">
      <c r="B27" s="1358" t="s">
        <v>6897</v>
      </c>
      <c r="C27" s="1359" t="s">
        <v>6908</v>
      </c>
      <c r="D27" s="1360">
        <v>4594</v>
      </c>
      <c r="E27" s="1361" t="s">
        <v>1138</v>
      </c>
      <c r="F27" s="1360" t="s">
        <v>266</v>
      </c>
      <c r="G27" s="1362">
        <v>73221</v>
      </c>
      <c r="H27" s="1363" t="s">
        <v>3538</v>
      </c>
    </row>
    <row r="28" spans="2:8" x14ac:dyDescent="0.25">
      <c r="B28" s="1358" t="s">
        <v>6897</v>
      </c>
      <c r="C28" s="1359" t="s">
        <v>6908</v>
      </c>
      <c r="D28" s="1360">
        <v>4596</v>
      </c>
      <c r="E28" s="1361" t="s">
        <v>1139</v>
      </c>
      <c r="F28" s="1360" t="s">
        <v>266</v>
      </c>
      <c r="G28" s="1362">
        <v>146062</v>
      </c>
      <c r="H28" s="1363" t="s">
        <v>3538</v>
      </c>
    </row>
    <row r="29" spans="2:8" x14ac:dyDescent="0.25">
      <c r="B29" s="1358" t="s">
        <v>6897</v>
      </c>
      <c r="C29" s="1359" t="s">
        <v>6908</v>
      </c>
      <c r="D29" s="1360">
        <v>4598</v>
      </c>
      <c r="E29" s="1361" t="s">
        <v>1140</v>
      </c>
      <c r="F29" s="1360" t="s">
        <v>266</v>
      </c>
      <c r="G29" s="1362">
        <v>1272799</v>
      </c>
      <c r="H29" s="1363" t="s">
        <v>3538</v>
      </c>
    </row>
    <row r="30" spans="2:8" x14ac:dyDescent="0.25">
      <c r="B30" s="1358" t="s">
        <v>6897</v>
      </c>
      <c r="C30" s="1359" t="s">
        <v>6908</v>
      </c>
      <c r="D30" s="1360">
        <v>4600</v>
      </c>
      <c r="E30" s="1361" t="s">
        <v>1141</v>
      </c>
      <c r="F30" s="1360" t="s">
        <v>266</v>
      </c>
      <c r="G30" s="1362">
        <v>3229502</v>
      </c>
      <c r="H30" s="1363" t="s">
        <v>3538</v>
      </c>
    </row>
    <row r="31" spans="2:8" x14ac:dyDescent="0.25">
      <c r="B31" s="1358" t="s">
        <v>6897</v>
      </c>
      <c r="C31" s="1359" t="s">
        <v>6908</v>
      </c>
      <c r="D31" s="1360">
        <v>4608</v>
      </c>
      <c r="E31" s="1361" t="s">
        <v>1142</v>
      </c>
      <c r="F31" s="1360" t="s">
        <v>266</v>
      </c>
      <c r="G31" s="1362">
        <v>35366</v>
      </c>
      <c r="H31" s="1363" t="s">
        <v>3538</v>
      </c>
    </row>
    <row r="32" spans="2:8" x14ac:dyDescent="0.25">
      <c r="B32" s="1358" t="s">
        <v>6897</v>
      </c>
      <c r="C32" s="1359" t="s">
        <v>6908</v>
      </c>
      <c r="D32" s="1360">
        <v>4609</v>
      </c>
      <c r="E32" s="1361" t="s">
        <v>1143</v>
      </c>
      <c r="F32" s="1360" t="s">
        <v>266</v>
      </c>
      <c r="G32" s="1362">
        <v>58252</v>
      </c>
      <c r="H32" s="1363" t="s">
        <v>3538</v>
      </c>
    </row>
    <row r="33" spans="2:8" x14ac:dyDescent="0.25">
      <c r="B33" s="1358" t="s">
        <v>6897</v>
      </c>
      <c r="C33" s="1359" t="s">
        <v>6908</v>
      </c>
      <c r="D33" s="1360">
        <v>4610</v>
      </c>
      <c r="E33" s="1361" t="s">
        <v>1144</v>
      </c>
      <c r="F33" s="1360" t="s">
        <v>266</v>
      </c>
      <c r="G33" s="1362">
        <v>84840</v>
      </c>
      <c r="H33" s="1363" t="s">
        <v>3538</v>
      </c>
    </row>
    <row r="34" spans="2:8" x14ac:dyDescent="0.25">
      <c r="B34" s="1358" t="s">
        <v>6897</v>
      </c>
      <c r="C34" s="1359" t="s">
        <v>6908</v>
      </c>
      <c r="D34" s="1360">
        <v>4611</v>
      </c>
      <c r="E34" s="1361" t="s">
        <v>1145</v>
      </c>
      <c r="F34" s="1360" t="s">
        <v>266</v>
      </c>
      <c r="G34" s="1362">
        <v>198097</v>
      </c>
      <c r="H34" s="1363" t="s">
        <v>3538</v>
      </c>
    </row>
    <row r="35" spans="2:8" x14ac:dyDescent="0.25">
      <c r="B35" s="1358" t="s">
        <v>6897</v>
      </c>
      <c r="C35" s="1359" t="s">
        <v>6908</v>
      </c>
      <c r="D35" s="1360">
        <v>4612</v>
      </c>
      <c r="E35" s="1361" t="s">
        <v>1146</v>
      </c>
      <c r="F35" s="1360" t="s">
        <v>266</v>
      </c>
      <c r="G35" s="1362">
        <v>363957</v>
      </c>
      <c r="H35" s="1363" t="s">
        <v>3538</v>
      </c>
    </row>
    <row r="36" spans="2:8" x14ac:dyDescent="0.25">
      <c r="B36" s="1358" t="s">
        <v>6897</v>
      </c>
      <c r="C36" s="1359" t="s">
        <v>6908</v>
      </c>
      <c r="D36" s="1360">
        <v>4613</v>
      </c>
      <c r="E36" s="1361" t="s">
        <v>1147</v>
      </c>
      <c r="F36" s="1360" t="s">
        <v>266</v>
      </c>
      <c r="G36" s="1362">
        <v>650279</v>
      </c>
      <c r="H36" s="1363" t="s">
        <v>3538</v>
      </c>
    </row>
    <row r="37" spans="2:8" x14ac:dyDescent="0.25">
      <c r="B37" s="1358" t="s">
        <v>6897</v>
      </c>
      <c r="C37" s="1359" t="s">
        <v>6908</v>
      </c>
      <c r="D37" s="1360">
        <v>4614</v>
      </c>
      <c r="E37" s="1361" t="s">
        <v>1148</v>
      </c>
      <c r="F37" s="1360" t="s">
        <v>266</v>
      </c>
      <c r="G37" s="1362">
        <v>1007787</v>
      </c>
      <c r="H37" s="1363" t="s">
        <v>3538</v>
      </c>
    </row>
    <row r="38" spans="2:8" x14ac:dyDescent="0.25">
      <c r="B38" s="1358" t="s">
        <v>6897</v>
      </c>
      <c r="C38" s="1359" t="s">
        <v>6909</v>
      </c>
      <c r="D38" s="1360">
        <v>4675</v>
      </c>
      <c r="E38" s="1361" t="s">
        <v>1149</v>
      </c>
      <c r="F38" s="1360" t="s">
        <v>266</v>
      </c>
      <c r="G38" s="1362">
        <v>30990</v>
      </c>
      <c r="H38" s="1363" t="s">
        <v>6899</v>
      </c>
    </row>
    <row r="39" spans="2:8" x14ac:dyDescent="0.25">
      <c r="B39" s="1358" t="s">
        <v>6897</v>
      </c>
      <c r="C39" s="1359" t="s">
        <v>6910</v>
      </c>
      <c r="D39" s="1360">
        <v>4694</v>
      </c>
      <c r="E39" s="1361" t="s">
        <v>3540</v>
      </c>
      <c r="F39" s="1360" t="s">
        <v>13</v>
      </c>
      <c r="G39" s="1362">
        <v>36720</v>
      </c>
      <c r="H39" s="1363" t="s">
        <v>6899</v>
      </c>
    </row>
    <row r="40" spans="2:8" x14ac:dyDescent="0.25">
      <c r="B40" s="1358" t="s">
        <v>6897</v>
      </c>
      <c r="C40" s="1359" t="s">
        <v>6910</v>
      </c>
      <c r="D40" s="1360">
        <v>4697</v>
      </c>
      <c r="E40" s="1361" t="s">
        <v>3541</v>
      </c>
      <c r="F40" s="1360" t="s">
        <v>13</v>
      </c>
      <c r="G40" s="1362">
        <v>43372</v>
      </c>
      <c r="H40" s="1363" t="s">
        <v>6899</v>
      </c>
    </row>
    <row r="41" spans="2:8" x14ac:dyDescent="0.25">
      <c r="B41" s="1358" t="s">
        <v>6897</v>
      </c>
      <c r="C41" s="1359" t="s">
        <v>6903</v>
      </c>
      <c r="D41" s="1360">
        <v>5038</v>
      </c>
      <c r="E41" s="1361" t="s">
        <v>1150</v>
      </c>
      <c r="F41" s="1360" t="s">
        <v>6</v>
      </c>
      <c r="G41" s="1362">
        <v>4657</v>
      </c>
      <c r="H41" s="1363" t="s">
        <v>6899</v>
      </c>
    </row>
    <row r="42" spans="2:8" x14ac:dyDescent="0.25">
      <c r="B42" s="1358" t="s">
        <v>6897</v>
      </c>
      <c r="C42" s="1359" t="s">
        <v>6903</v>
      </c>
      <c r="D42" s="1360">
        <v>5041</v>
      </c>
      <c r="E42" s="1361" t="s">
        <v>1151</v>
      </c>
      <c r="F42" s="1360" t="s">
        <v>6</v>
      </c>
      <c r="G42" s="1362">
        <v>4665</v>
      </c>
      <c r="H42" s="1363" t="s">
        <v>6899</v>
      </c>
    </row>
    <row r="43" spans="2:8" x14ac:dyDescent="0.25">
      <c r="B43" s="1358" t="s">
        <v>6897</v>
      </c>
      <c r="C43" s="1359" t="s">
        <v>6903</v>
      </c>
      <c r="D43" s="1360">
        <v>5042</v>
      </c>
      <c r="E43" s="1361" t="s">
        <v>1152</v>
      </c>
      <c r="F43" s="1360" t="s">
        <v>6</v>
      </c>
      <c r="G43" s="1362">
        <v>4665</v>
      </c>
      <c r="H43" s="1363" t="s">
        <v>6899</v>
      </c>
    </row>
    <row r="44" spans="2:8" x14ac:dyDescent="0.25">
      <c r="B44" s="1358" t="s">
        <v>6897</v>
      </c>
      <c r="C44" s="1359" t="s">
        <v>6898</v>
      </c>
      <c r="D44" s="1360">
        <v>5056</v>
      </c>
      <c r="E44" s="1361" t="s">
        <v>1153</v>
      </c>
      <c r="F44" s="1360" t="s">
        <v>3</v>
      </c>
      <c r="G44" s="1362">
        <v>531787</v>
      </c>
      <c r="H44" s="1363" t="s">
        <v>6899</v>
      </c>
    </row>
    <row r="45" spans="2:8" x14ac:dyDescent="0.25">
      <c r="B45" s="1358" t="s">
        <v>6897</v>
      </c>
      <c r="C45" s="1359" t="s">
        <v>6911</v>
      </c>
      <c r="D45" s="1360">
        <v>5115</v>
      </c>
      <c r="E45" s="1361" t="s">
        <v>1154</v>
      </c>
      <c r="F45" s="1360" t="s">
        <v>1155</v>
      </c>
      <c r="G45" s="1362">
        <v>9614</v>
      </c>
      <c r="H45" s="1363" t="s">
        <v>6899</v>
      </c>
    </row>
    <row r="46" spans="2:8" x14ac:dyDescent="0.25">
      <c r="B46" s="1358" t="s">
        <v>6897</v>
      </c>
      <c r="C46" s="1359" t="s">
        <v>6904</v>
      </c>
      <c r="D46" s="1360">
        <v>5481</v>
      </c>
      <c r="E46" s="1361" t="s">
        <v>1156</v>
      </c>
      <c r="F46" s="1360" t="s">
        <v>266</v>
      </c>
      <c r="G46" s="1362">
        <v>9500</v>
      </c>
      <c r="H46" s="1363" t="s">
        <v>6899</v>
      </c>
    </row>
    <row r="47" spans="2:8" x14ac:dyDescent="0.25">
      <c r="B47" s="1358" t="s">
        <v>6897</v>
      </c>
      <c r="C47" s="1359" t="s">
        <v>6912</v>
      </c>
      <c r="D47" s="1360">
        <v>5661</v>
      </c>
      <c r="E47" s="1361" t="s">
        <v>3542</v>
      </c>
      <c r="F47" s="1360" t="s">
        <v>1124</v>
      </c>
      <c r="G47" s="1362">
        <v>57341</v>
      </c>
      <c r="H47" s="1363" t="s">
        <v>6899</v>
      </c>
    </row>
    <row r="48" spans="2:8" x14ac:dyDescent="0.25">
      <c r="B48" s="1358" t="s">
        <v>6897</v>
      </c>
      <c r="C48" s="1359" t="s">
        <v>6900</v>
      </c>
      <c r="D48" s="1360">
        <v>5890</v>
      </c>
      <c r="E48" s="1361" t="s">
        <v>3543</v>
      </c>
      <c r="F48" s="1360" t="s">
        <v>202</v>
      </c>
      <c r="G48" s="1362">
        <v>88387</v>
      </c>
      <c r="H48" s="1363" t="s">
        <v>6899</v>
      </c>
    </row>
    <row r="49" spans="2:8" x14ac:dyDescent="0.25">
      <c r="B49" s="1358" t="s">
        <v>6897</v>
      </c>
      <c r="C49" s="1359" t="s">
        <v>6905</v>
      </c>
      <c r="D49" s="1360">
        <v>5915</v>
      </c>
      <c r="E49" s="1361" t="s">
        <v>1157</v>
      </c>
      <c r="F49" s="1360" t="s">
        <v>3</v>
      </c>
      <c r="G49" s="1362">
        <v>91800</v>
      </c>
      <c r="H49" s="1363" t="s">
        <v>6899</v>
      </c>
    </row>
    <row r="50" spans="2:8" x14ac:dyDescent="0.25">
      <c r="B50" s="1358" t="s">
        <v>6897</v>
      </c>
      <c r="C50" s="1359" t="s">
        <v>6900</v>
      </c>
      <c r="D50" s="1360">
        <v>6013</v>
      </c>
      <c r="E50" s="1361" t="s">
        <v>3544</v>
      </c>
      <c r="F50" s="1360" t="s">
        <v>202</v>
      </c>
      <c r="G50" s="1362">
        <v>297048</v>
      </c>
      <c r="H50" s="1363" t="s">
        <v>6899</v>
      </c>
    </row>
    <row r="51" spans="2:8" x14ac:dyDescent="0.25">
      <c r="B51" s="1358" t="s">
        <v>6897</v>
      </c>
      <c r="C51" s="1359" t="s">
        <v>6900</v>
      </c>
      <c r="D51" s="1360">
        <v>6026</v>
      </c>
      <c r="E51" s="1361" t="s">
        <v>3545</v>
      </c>
      <c r="F51" s="1360" t="s">
        <v>202</v>
      </c>
      <c r="G51" s="1362">
        <v>157602</v>
      </c>
      <c r="H51" s="1363" t="s">
        <v>6899</v>
      </c>
    </row>
    <row r="52" spans="2:8" x14ac:dyDescent="0.25">
      <c r="B52" s="1358" t="s">
        <v>6897</v>
      </c>
      <c r="C52" s="1359" t="s">
        <v>6900</v>
      </c>
      <c r="D52" s="1360">
        <v>6062</v>
      </c>
      <c r="E52" s="1361" t="s">
        <v>3546</v>
      </c>
      <c r="F52" s="1360" t="s">
        <v>202</v>
      </c>
      <c r="G52" s="1362">
        <v>184305</v>
      </c>
      <c r="H52" s="1363" t="s">
        <v>6899</v>
      </c>
    </row>
    <row r="53" spans="2:8" x14ac:dyDescent="0.25">
      <c r="B53" s="1358" t="s">
        <v>6897</v>
      </c>
      <c r="C53" s="1359" t="s">
        <v>6898</v>
      </c>
      <c r="D53" s="1360">
        <v>6072</v>
      </c>
      <c r="E53" s="1361" t="s">
        <v>1158</v>
      </c>
      <c r="F53" s="1360" t="s">
        <v>3</v>
      </c>
      <c r="G53" s="1362">
        <v>632284</v>
      </c>
      <c r="H53" s="1363" t="s">
        <v>6899</v>
      </c>
    </row>
    <row r="54" spans="2:8" x14ac:dyDescent="0.25">
      <c r="B54" s="1358" t="s">
        <v>6897</v>
      </c>
      <c r="C54" s="1359" t="s">
        <v>6898</v>
      </c>
      <c r="D54" s="1360">
        <v>6073</v>
      </c>
      <c r="E54" s="1361" t="s">
        <v>1159</v>
      </c>
      <c r="F54" s="1360" t="s">
        <v>3</v>
      </c>
      <c r="G54" s="1362">
        <v>644370</v>
      </c>
      <c r="H54" s="1363" t="s">
        <v>6899</v>
      </c>
    </row>
    <row r="55" spans="2:8" x14ac:dyDescent="0.25">
      <c r="B55" s="1358" t="s">
        <v>6897</v>
      </c>
      <c r="C55" s="1359" t="s">
        <v>6913</v>
      </c>
      <c r="D55" s="1360">
        <v>6087</v>
      </c>
      <c r="E55" s="1361" t="s">
        <v>3547</v>
      </c>
      <c r="F55" s="1360" t="s">
        <v>342</v>
      </c>
      <c r="G55" s="1362">
        <v>71580</v>
      </c>
      <c r="H55" s="1363" t="s">
        <v>3548</v>
      </c>
    </row>
    <row r="56" spans="2:8" x14ac:dyDescent="0.25">
      <c r="B56" s="1358" t="s">
        <v>6897</v>
      </c>
      <c r="C56" s="1359" t="s">
        <v>6913</v>
      </c>
      <c r="D56" s="1360">
        <v>6088</v>
      </c>
      <c r="E56" s="1361" t="s">
        <v>3549</v>
      </c>
      <c r="F56" s="1360" t="s">
        <v>342</v>
      </c>
      <c r="G56" s="1362">
        <v>102952</v>
      </c>
      <c r="H56" s="1363" t="s">
        <v>3548</v>
      </c>
    </row>
    <row r="57" spans="2:8" x14ac:dyDescent="0.25">
      <c r="B57" s="1358" t="s">
        <v>6897</v>
      </c>
      <c r="C57" s="1359" t="s">
        <v>6912</v>
      </c>
      <c r="D57" s="1360">
        <v>6092</v>
      </c>
      <c r="E57" s="1361" t="s">
        <v>151</v>
      </c>
      <c r="F57" s="1360" t="s">
        <v>816</v>
      </c>
      <c r="G57" s="1362">
        <v>2000</v>
      </c>
      <c r="H57" s="1363" t="s">
        <v>6914</v>
      </c>
    </row>
    <row r="58" spans="2:8" x14ac:dyDescent="0.25">
      <c r="B58" s="1358" t="s">
        <v>6897</v>
      </c>
      <c r="C58" s="1359" t="s">
        <v>6909</v>
      </c>
      <c r="D58" s="1360">
        <v>6098</v>
      </c>
      <c r="E58" s="1361" t="s">
        <v>82</v>
      </c>
      <c r="F58" s="1360" t="s">
        <v>93</v>
      </c>
      <c r="G58" s="1362">
        <v>30</v>
      </c>
      <c r="H58" s="1363" t="s">
        <v>6899</v>
      </c>
    </row>
    <row r="59" spans="2:8" x14ac:dyDescent="0.25">
      <c r="B59" s="1358" t="s">
        <v>6897</v>
      </c>
      <c r="C59" s="1359" t="s">
        <v>6898</v>
      </c>
      <c r="D59" s="1360">
        <v>6107</v>
      </c>
      <c r="E59" s="1361" t="s">
        <v>1160</v>
      </c>
      <c r="F59" s="1360" t="s">
        <v>3</v>
      </c>
      <c r="G59" s="1362">
        <v>619829</v>
      </c>
      <c r="H59" s="1363" t="s">
        <v>6899</v>
      </c>
    </row>
    <row r="60" spans="2:8" x14ac:dyDescent="0.25">
      <c r="B60" s="1358" t="s">
        <v>6897</v>
      </c>
      <c r="C60" s="1359" t="s">
        <v>6915</v>
      </c>
      <c r="D60" s="1360">
        <v>6109</v>
      </c>
      <c r="E60" s="1361" t="s">
        <v>1161</v>
      </c>
      <c r="F60" s="1360" t="s">
        <v>266</v>
      </c>
      <c r="G60" s="1362">
        <v>48991</v>
      </c>
      <c r="H60" s="1363" t="s">
        <v>6899</v>
      </c>
    </row>
    <row r="61" spans="2:8" x14ac:dyDescent="0.25">
      <c r="B61" s="1358" t="s">
        <v>6897</v>
      </c>
      <c r="C61" s="1359" t="s">
        <v>6915</v>
      </c>
      <c r="D61" s="1360">
        <v>6115</v>
      </c>
      <c r="E61" s="1361" t="s">
        <v>1162</v>
      </c>
      <c r="F61" s="1360" t="s">
        <v>12</v>
      </c>
      <c r="G61" s="1362">
        <v>95223</v>
      </c>
      <c r="H61" s="1363" t="s">
        <v>6899</v>
      </c>
    </row>
    <row r="62" spans="2:8" x14ac:dyDescent="0.25">
      <c r="B62" s="1358" t="s">
        <v>6897</v>
      </c>
      <c r="C62" s="1359" t="s">
        <v>6915</v>
      </c>
      <c r="D62" s="1360">
        <v>6116</v>
      </c>
      <c r="E62" s="1361" t="s">
        <v>1163</v>
      </c>
      <c r="F62" s="1360" t="s">
        <v>266</v>
      </c>
      <c r="G62" s="1362">
        <v>40004</v>
      </c>
      <c r="H62" s="1363" t="s">
        <v>6899</v>
      </c>
    </row>
    <row r="63" spans="2:8" x14ac:dyDescent="0.25">
      <c r="B63" s="1358" t="s">
        <v>6897</v>
      </c>
      <c r="C63" s="1359" t="s">
        <v>6915</v>
      </c>
      <c r="D63" s="1360">
        <v>6117</v>
      </c>
      <c r="E63" s="1361" t="s">
        <v>1164</v>
      </c>
      <c r="F63" s="1360" t="s">
        <v>266</v>
      </c>
      <c r="G63" s="1362">
        <v>81601</v>
      </c>
      <c r="H63" s="1363" t="s">
        <v>6899</v>
      </c>
    </row>
    <row r="64" spans="2:8" x14ac:dyDescent="0.25">
      <c r="B64" s="1358" t="s">
        <v>6897</v>
      </c>
      <c r="C64" s="1359" t="s">
        <v>6915</v>
      </c>
      <c r="D64" s="1360">
        <v>6118</v>
      </c>
      <c r="E64" s="1361" t="s">
        <v>1165</v>
      </c>
      <c r="F64" s="1360" t="s">
        <v>266</v>
      </c>
      <c r="G64" s="1362">
        <v>42280</v>
      </c>
      <c r="H64" s="1363" t="s">
        <v>6899</v>
      </c>
    </row>
    <row r="65" spans="2:8" x14ac:dyDescent="0.25">
      <c r="B65" s="1358" t="s">
        <v>6897</v>
      </c>
      <c r="C65" s="1359" t="s">
        <v>6915</v>
      </c>
      <c r="D65" s="1360">
        <v>6122</v>
      </c>
      <c r="E65" s="1361" t="s">
        <v>1166</v>
      </c>
      <c r="F65" s="1360" t="s">
        <v>266</v>
      </c>
      <c r="G65" s="1362">
        <v>380800</v>
      </c>
      <c r="H65" s="1363" t="s">
        <v>6899</v>
      </c>
    </row>
    <row r="66" spans="2:8" x14ac:dyDescent="0.25">
      <c r="B66" s="1358" t="s">
        <v>6897</v>
      </c>
      <c r="C66" s="1359" t="s">
        <v>6916</v>
      </c>
      <c r="D66" s="1360">
        <v>6126</v>
      </c>
      <c r="E66" s="1361" t="s">
        <v>1167</v>
      </c>
      <c r="F66" s="1360" t="s">
        <v>13</v>
      </c>
      <c r="G66" s="1362">
        <v>22050</v>
      </c>
      <c r="H66" s="1363" t="s">
        <v>3538</v>
      </c>
    </row>
    <row r="67" spans="2:8" x14ac:dyDescent="0.25">
      <c r="B67" s="1358" t="s">
        <v>6897</v>
      </c>
      <c r="C67" s="1359" t="s">
        <v>6916</v>
      </c>
      <c r="D67" s="1360">
        <v>6127</v>
      </c>
      <c r="E67" s="1361" t="s">
        <v>1168</v>
      </c>
      <c r="F67" s="1360" t="s">
        <v>13</v>
      </c>
      <c r="G67" s="1362">
        <v>42662</v>
      </c>
      <c r="H67" s="1363" t="s">
        <v>3538</v>
      </c>
    </row>
    <row r="68" spans="2:8" x14ac:dyDescent="0.25">
      <c r="B68" s="1358" t="s">
        <v>6897</v>
      </c>
      <c r="C68" s="1359" t="s">
        <v>6916</v>
      </c>
      <c r="D68" s="1360">
        <v>6128</v>
      </c>
      <c r="E68" s="1361" t="s">
        <v>1169</v>
      </c>
      <c r="F68" s="1360" t="s">
        <v>13</v>
      </c>
      <c r="G68" s="1362">
        <v>60993</v>
      </c>
      <c r="H68" s="1363" t="s">
        <v>3538</v>
      </c>
    </row>
    <row r="69" spans="2:8" x14ac:dyDescent="0.25">
      <c r="B69" s="1358" t="s">
        <v>6897</v>
      </c>
      <c r="C69" s="1359" t="s">
        <v>6916</v>
      </c>
      <c r="D69" s="1360">
        <v>6129</v>
      </c>
      <c r="E69" s="1361" t="s">
        <v>1170</v>
      </c>
      <c r="F69" s="1360" t="s">
        <v>13</v>
      </c>
      <c r="G69" s="1362">
        <v>89083</v>
      </c>
      <c r="H69" s="1363" t="s">
        <v>3538</v>
      </c>
    </row>
    <row r="70" spans="2:8" x14ac:dyDescent="0.25">
      <c r="B70" s="1358" t="s">
        <v>6897</v>
      </c>
      <c r="C70" s="1359" t="s">
        <v>6916</v>
      </c>
      <c r="D70" s="1360">
        <v>6130</v>
      </c>
      <c r="E70" s="1361" t="s">
        <v>1171</v>
      </c>
      <c r="F70" s="1360" t="s">
        <v>13</v>
      </c>
      <c r="G70" s="1362">
        <v>128187</v>
      </c>
      <c r="H70" s="1363" t="s">
        <v>3538</v>
      </c>
    </row>
    <row r="71" spans="2:8" x14ac:dyDescent="0.25">
      <c r="B71" s="1358" t="s">
        <v>6897</v>
      </c>
      <c r="C71" s="1359" t="s">
        <v>6916</v>
      </c>
      <c r="D71" s="1360">
        <v>6131</v>
      </c>
      <c r="E71" s="1361" t="s">
        <v>1172</v>
      </c>
      <c r="F71" s="1360" t="s">
        <v>13</v>
      </c>
      <c r="G71" s="1362">
        <v>234966</v>
      </c>
      <c r="H71" s="1363" t="s">
        <v>3538</v>
      </c>
    </row>
    <row r="72" spans="2:8" x14ac:dyDescent="0.25">
      <c r="B72" s="1358" t="s">
        <v>6897</v>
      </c>
      <c r="C72" s="1359" t="s">
        <v>6916</v>
      </c>
      <c r="D72" s="1360">
        <v>6132</v>
      </c>
      <c r="E72" s="1361" t="s">
        <v>1173</v>
      </c>
      <c r="F72" s="1360" t="s">
        <v>13</v>
      </c>
      <c r="G72" s="1362">
        <v>303458</v>
      </c>
      <c r="H72" s="1363" t="s">
        <v>3538</v>
      </c>
    </row>
    <row r="73" spans="2:8" x14ac:dyDescent="0.25">
      <c r="B73" s="1358" t="s">
        <v>6897</v>
      </c>
      <c r="C73" s="1359" t="s">
        <v>6916</v>
      </c>
      <c r="D73" s="1360">
        <v>6133</v>
      </c>
      <c r="E73" s="1361" t="s">
        <v>1174</v>
      </c>
      <c r="F73" s="1360" t="s">
        <v>13</v>
      </c>
      <c r="G73" s="1362">
        <v>395620</v>
      </c>
      <c r="H73" s="1363" t="s">
        <v>3538</v>
      </c>
    </row>
    <row r="74" spans="2:8" x14ac:dyDescent="0.25">
      <c r="B74" s="1358" t="s">
        <v>6897</v>
      </c>
      <c r="C74" s="1359" t="s">
        <v>6912</v>
      </c>
      <c r="D74" s="1360">
        <v>6140</v>
      </c>
      <c r="E74" s="1361" t="s">
        <v>3550</v>
      </c>
      <c r="F74" s="1360" t="s">
        <v>202</v>
      </c>
      <c r="G74" s="1362">
        <v>61977</v>
      </c>
      <c r="H74" s="1363" t="s">
        <v>6899</v>
      </c>
    </row>
    <row r="75" spans="2:8" x14ac:dyDescent="0.25">
      <c r="B75" s="1358" t="s">
        <v>6897</v>
      </c>
      <c r="C75" s="1359" t="s">
        <v>6917</v>
      </c>
      <c r="D75" s="1360">
        <v>6143</v>
      </c>
      <c r="E75" s="1361" t="s">
        <v>1175</v>
      </c>
      <c r="F75" s="1360" t="s">
        <v>6</v>
      </c>
      <c r="G75" s="1362">
        <v>7449</v>
      </c>
      <c r="H75" s="1363" t="s">
        <v>3538</v>
      </c>
    </row>
    <row r="76" spans="2:8" x14ac:dyDescent="0.25">
      <c r="B76" s="1358" t="s">
        <v>6897</v>
      </c>
      <c r="C76" s="1359" t="s">
        <v>6918</v>
      </c>
      <c r="D76" s="1360">
        <v>6147</v>
      </c>
      <c r="E76" s="1361" t="s">
        <v>1176</v>
      </c>
      <c r="F76" s="1360" t="s">
        <v>13</v>
      </c>
      <c r="G76" s="1362">
        <v>44130</v>
      </c>
      <c r="H76" s="1363" t="s">
        <v>6899</v>
      </c>
    </row>
    <row r="77" spans="2:8" x14ac:dyDescent="0.25">
      <c r="B77" s="1358" t="s">
        <v>6897</v>
      </c>
      <c r="C77" s="1359" t="s">
        <v>6918</v>
      </c>
      <c r="D77" s="1360">
        <v>6148</v>
      </c>
      <c r="E77" s="1361" t="s">
        <v>1177</v>
      </c>
      <c r="F77" s="1360" t="s">
        <v>13</v>
      </c>
      <c r="G77" s="1362">
        <v>73898</v>
      </c>
      <c r="H77" s="1363" t="s">
        <v>6899</v>
      </c>
    </row>
    <row r="78" spans="2:8" x14ac:dyDescent="0.25">
      <c r="B78" s="1358" t="s">
        <v>6897</v>
      </c>
      <c r="C78" s="1359" t="s">
        <v>6918</v>
      </c>
      <c r="D78" s="1360">
        <v>6149</v>
      </c>
      <c r="E78" s="1361" t="s">
        <v>1178</v>
      </c>
      <c r="F78" s="1360" t="s">
        <v>13</v>
      </c>
      <c r="G78" s="1362">
        <v>90681</v>
      </c>
      <c r="H78" s="1363" t="s">
        <v>6899</v>
      </c>
    </row>
    <row r="79" spans="2:8" x14ac:dyDescent="0.25">
      <c r="B79" s="1358" t="s">
        <v>6897</v>
      </c>
      <c r="C79" s="1359" t="s">
        <v>6918</v>
      </c>
      <c r="D79" s="1360">
        <v>6150</v>
      </c>
      <c r="E79" s="1361" t="s">
        <v>1179</v>
      </c>
      <c r="F79" s="1360" t="s">
        <v>13</v>
      </c>
      <c r="G79" s="1362">
        <v>107685</v>
      </c>
      <c r="H79" s="1363" t="s">
        <v>6899</v>
      </c>
    </row>
    <row r="80" spans="2:8" x14ac:dyDescent="0.25">
      <c r="B80" s="1358" t="s">
        <v>6897</v>
      </c>
      <c r="C80" s="1359" t="s">
        <v>6918</v>
      </c>
      <c r="D80" s="1360">
        <v>6151</v>
      </c>
      <c r="E80" s="1361" t="s">
        <v>1180</v>
      </c>
      <c r="F80" s="1360" t="s">
        <v>13</v>
      </c>
      <c r="G80" s="1362">
        <v>135508</v>
      </c>
      <c r="H80" s="1363" t="s">
        <v>6899</v>
      </c>
    </row>
    <row r="81" spans="2:8" x14ac:dyDescent="0.25">
      <c r="B81" s="1358" t="s">
        <v>6897</v>
      </c>
      <c r="C81" s="1359" t="s">
        <v>6918</v>
      </c>
      <c r="D81" s="1360">
        <v>6152</v>
      </c>
      <c r="E81" s="1361" t="s">
        <v>1181</v>
      </c>
      <c r="F81" s="1360" t="s">
        <v>13</v>
      </c>
      <c r="G81" s="1362">
        <v>178543</v>
      </c>
      <c r="H81" s="1363" t="s">
        <v>6899</v>
      </c>
    </row>
    <row r="82" spans="2:8" x14ac:dyDescent="0.25">
      <c r="B82" s="1358" t="s">
        <v>6897</v>
      </c>
      <c r="C82" s="1359" t="s">
        <v>6918</v>
      </c>
      <c r="D82" s="1360">
        <v>6153</v>
      </c>
      <c r="E82" s="1361" t="s">
        <v>1182</v>
      </c>
      <c r="F82" s="1360" t="s">
        <v>13</v>
      </c>
      <c r="G82" s="1362">
        <v>231779</v>
      </c>
      <c r="H82" s="1363" t="s">
        <v>6899</v>
      </c>
    </row>
    <row r="83" spans="2:8" x14ac:dyDescent="0.25">
      <c r="B83" s="1358" t="s">
        <v>6897</v>
      </c>
      <c r="C83" s="1359" t="s">
        <v>6918</v>
      </c>
      <c r="D83" s="1360">
        <v>6154</v>
      </c>
      <c r="E83" s="1361" t="s">
        <v>1183</v>
      </c>
      <c r="F83" s="1360" t="s">
        <v>13</v>
      </c>
      <c r="G83" s="1362">
        <v>300017</v>
      </c>
      <c r="H83" s="1363" t="s">
        <v>6899</v>
      </c>
    </row>
    <row r="84" spans="2:8" x14ac:dyDescent="0.25">
      <c r="B84" s="1358" t="s">
        <v>6897</v>
      </c>
      <c r="C84" s="1359" t="s">
        <v>6918</v>
      </c>
      <c r="D84" s="1360">
        <v>6155</v>
      </c>
      <c r="E84" s="1361" t="s">
        <v>1184</v>
      </c>
      <c r="F84" s="1360" t="s">
        <v>13</v>
      </c>
      <c r="G84" s="1362">
        <v>442101</v>
      </c>
      <c r="H84" s="1363" t="s">
        <v>6899</v>
      </c>
    </row>
    <row r="85" spans="2:8" x14ac:dyDescent="0.25">
      <c r="B85" s="1358" t="s">
        <v>6897</v>
      </c>
      <c r="C85" s="1359" t="s">
        <v>6918</v>
      </c>
      <c r="D85" s="1360">
        <v>6156</v>
      </c>
      <c r="E85" s="1361" t="s">
        <v>1185</v>
      </c>
      <c r="F85" s="1360" t="s">
        <v>13</v>
      </c>
      <c r="G85" s="1362">
        <v>53620</v>
      </c>
      <c r="H85" s="1363" t="s">
        <v>6899</v>
      </c>
    </row>
    <row r="86" spans="2:8" x14ac:dyDescent="0.25">
      <c r="B86" s="1358" t="s">
        <v>6897</v>
      </c>
      <c r="C86" s="1359" t="s">
        <v>6918</v>
      </c>
      <c r="D86" s="1360">
        <v>6157</v>
      </c>
      <c r="E86" s="1361" t="s">
        <v>1186</v>
      </c>
      <c r="F86" s="1360" t="s">
        <v>13</v>
      </c>
      <c r="G86" s="1362">
        <v>90851</v>
      </c>
      <c r="H86" s="1363" t="s">
        <v>6899</v>
      </c>
    </row>
    <row r="87" spans="2:8" x14ac:dyDescent="0.25">
      <c r="B87" s="1358" t="s">
        <v>6897</v>
      </c>
      <c r="C87" s="1359" t="s">
        <v>6918</v>
      </c>
      <c r="D87" s="1360">
        <v>6158</v>
      </c>
      <c r="E87" s="1361" t="s">
        <v>1187</v>
      </c>
      <c r="F87" s="1360" t="s">
        <v>13</v>
      </c>
      <c r="G87" s="1362">
        <v>116377</v>
      </c>
      <c r="H87" s="1363" t="s">
        <v>6899</v>
      </c>
    </row>
    <row r="88" spans="2:8" x14ac:dyDescent="0.25">
      <c r="B88" s="1358" t="s">
        <v>6897</v>
      </c>
      <c r="C88" s="1359" t="s">
        <v>6918</v>
      </c>
      <c r="D88" s="1360">
        <v>6159</v>
      </c>
      <c r="E88" s="1361" t="s">
        <v>1188</v>
      </c>
      <c r="F88" s="1360" t="s">
        <v>13</v>
      </c>
      <c r="G88" s="1362">
        <v>148487</v>
      </c>
      <c r="H88" s="1363" t="s">
        <v>6899</v>
      </c>
    </row>
    <row r="89" spans="2:8" x14ac:dyDescent="0.25">
      <c r="B89" s="1358" t="s">
        <v>6897</v>
      </c>
      <c r="C89" s="1359" t="s">
        <v>6918</v>
      </c>
      <c r="D89" s="1360">
        <v>6160</v>
      </c>
      <c r="E89" s="1361" t="s">
        <v>1189</v>
      </c>
      <c r="F89" s="1360" t="s">
        <v>13</v>
      </c>
      <c r="G89" s="1362">
        <v>197102</v>
      </c>
      <c r="H89" s="1363" t="s">
        <v>6899</v>
      </c>
    </row>
    <row r="90" spans="2:8" x14ac:dyDescent="0.25">
      <c r="B90" s="1358" t="s">
        <v>6897</v>
      </c>
      <c r="C90" s="1359" t="s">
        <v>6918</v>
      </c>
      <c r="D90" s="1360">
        <v>6161</v>
      </c>
      <c r="E90" s="1361" t="s">
        <v>1190</v>
      </c>
      <c r="F90" s="1360" t="s">
        <v>13</v>
      </c>
      <c r="G90" s="1362">
        <v>256418</v>
      </c>
      <c r="H90" s="1363" t="s">
        <v>6899</v>
      </c>
    </row>
    <row r="91" spans="2:8" x14ac:dyDescent="0.25">
      <c r="B91" s="1358" t="s">
        <v>6897</v>
      </c>
      <c r="C91" s="1359" t="s">
        <v>6918</v>
      </c>
      <c r="D91" s="1360">
        <v>6162</v>
      </c>
      <c r="E91" s="1361" t="s">
        <v>1191</v>
      </c>
      <c r="F91" s="1360" t="s">
        <v>13</v>
      </c>
      <c r="G91" s="1362">
        <v>345370</v>
      </c>
      <c r="H91" s="1363" t="s">
        <v>6899</v>
      </c>
    </row>
    <row r="92" spans="2:8" x14ac:dyDescent="0.25">
      <c r="B92" s="1358" t="s">
        <v>6897</v>
      </c>
      <c r="C92" s="1359" t="s">
        <v>6918</v>
      </c>
      <c r="D92" s="1360">
        <v>6163</v>
      </c>
      <c r="E92" s="1361" t="s">
        <v>1192</v>
      </c>
      <c r="F92" s="1360" t="s">
        <v>13</v>
      </c>
      <c r="G92" s="1362">
        <v>413684</v>
      </c>
      <c r="H92" s="1363" t="s">
        <v>6899</v>
      </c>
    </row>
    <row r="93" spans="2:8" x14ac:dyDescent="0.25">
      <c r="B93" s="1358" t="s">
        <v>6897</v>
      </c>
      <c r="C93" s="1359" t="s">
        <v>6918</v>
      </c>
      <c r="D93" s="1360">
        <v>6164</v>
      </c>
      <c r="E93" s="1361" t="s">
        <v>1193</v>
      </c>
      <c r="F93" s="1360" t="s">
        <v>13</v>
      </c>
      <c r="G93" s="1362">
        <v>594829</v>
      </c>
      <c r="H93" s="1363" t="s">
        <v>6899</v>
      </c>
    </row>
    <row r="94" spans="2:8" x14ac:dyDescent="0.25">
      <c r="B94" s="1358" t="s">
        <v>6897</v>
      </c>
      <c r="C94" s="1359" t="s">
        <v>6918</v>
      </c>
      <c r="D94" s="1360">
        <v>6165</v>
      </c>
      <c r="E94" s="1361" t="s">
        <v>1194</v>
      </c>
      <c r="F94" s="1360" t="s">
        <v>13</v>
      </c>
      <c r="G94" s="1362">
        <v>648845</v>
      </c>
      <c r="H94" s="1363" t="s">
        <v>6899</v>
      </c>
    </row>
    <row r="95" spans="2:8" x14ac:dyDescent="0.25">
      <c r="B95" s="1358" t="s">
        <v>6897</v>
      </c>
      <c r="C95" s="1359" t="s">
        <v>6918</v>
      </c>
      <c r="D95" s="1360">
        <v>6166</v>
      </c>
      <c r="E95" s="1361" t="s">
        <v>1195</v>
      </c>
      <c r="F95" s="1360" t="s">
        <v>13</v>
      </c>
      <c r="G95" s="1362">
        <v>792005</v>
      </c>
      <c r="H95" s="1363" t="s">
        <v>6899</v>
      </c>
    </row>
    <row r="96" spans="2:8" x14ac:dyDescent="0.25">
      <c r="B96" s="1358" t="s">
        <v>6897</v>
      </c>
      <c r="C96" s="1359" t="s">
        <v>6918</v>
      </c>
      <c r="D96" s="1360">
        <v>6167</v>
      </c>
      <c r="E96" s="1361" t="s">
        <v>1196</v>
      </c>
      <c r="F96" s="1360" t="s">
        <v>13</v>
      </c>
      <c r="G96" s="1362">
        <v>989123</v>
      </c>
      <c r="H96" s="1363" t="s">
        <v>6899</v>
      </c>
    </row>
    <row r="97" spans="2:8" x14ac:dyDescent="0.25">
      <c r="B97" s="1358" t="s">
        <v>6897</v>
      </c>
      <c r="C97" s="1359" t="s">
        <v>6918</v>
      </c>
      <c r="D97" s="1360">
        <v>6168</v>
      </c>
      <c r="E97" s="1361" t="s">
        <v>1197</v>
      </c>
      <c r="F97" s="1360" t="s">
        <v>13</v>
      </c>
      <c r="G97" s="1362">
        <v>1244345</v>
      </c>
      <c r="H97" s="1363" t="s">
        <v>6899</v>
      </c>
    </row>
    <row r="98" spans="2:8" x14ac:dyDescent="0.25">
      <c r="B98" s="1358" t="s">
        <v>6897</v>
      </c>
      <c r="C98" s="1359" t="s">
        <v>6918</v>
      </c>
      <c r="D98" s="1360">
        <v>6169</v>
      </c>
      <c r="E98" s="1361" t="s">
        <v>1198</v>
      </c>
      <c r="F98" s="1360" t="s">
        <v>13</v>
      </c>
      <c r="G98" s="1362">
        <v>1556421</v>
      </c>
      <c r="H98" s="1363" t="s">
        <v>6899</v>
      </c>
    </row>
    <row r="99" spans="2:8" x14ac:dyDescent="0.25">
      <c r="B99" s="1358" t="s">
        <v>6897</v>
      </c>
      <c r="C99" s="1359" t="s">
        <v>6918</v>
      </c>
      <c r="D99" s="1360">
        <v>6170</v>
      </c>
      <c r="E99" s="1361" t="s">
        <v>1199</v>
      </c>
      <c r="F99" s="1360" t="s">
        <v>13</v>
      </c>
      <c r="G99" s="1362">
        <v>1751438</v>
      </c>
      <c r="H99" s="1363" t="s">
        <v>6899</v>
      </c>
    </row>
    <row r="100" spans="2:8" x14ac:dyDescent="0.25">
      <c r="B100" s="1358" t="s">
        <v>6897</v>
      </c>
      <c r="C100" s="1359" t="s">
        <v>6918</v>
      </c>
      <c r="D100" s="1360">
        <v>6171</v>
      </c>
      <c r="E100" s="1361" t="s">
        <v>1200</v>
      </c>
      <c r="F100" s="1360" t="s">
        <v>13</v>
      </c>
      <c r="G100" s="1362">
        <v>2043447</v>
      </c>
      <c r="H100" s="1363" t="s">
        <v>6899</v>
      </c>
    </row>
    <row r="101" spans="2:8" x14ac:dyDescent="0.25">
      <c r="B101" s="1358" t="s">
        <v>6897</v>
      </c>
      <c r="C101" s="1359" t="s">
        <v>6918</v>
      </c>
      <c r="D101" s="1360">
        <v>6172</v>
      </c>
      <c r="E101" s="1361" t="s">
        <v>1201</v>
      </c>
      <c r="F101" s="1360" t="s">
        <v>13</v>
      </c>
      <c r="G101" s="1362">
        <v>2262678</v>
      </c>
      <c r="H101" s="1363" t="s">
        <v>6899</v>
      </c>
    </row>
    <row r="102" spans="2:8" x14ac:dyDescent="0.25">
      <c r="B102" s="1358" t="s">
        <v>6897</v>
      </c>
      <c r="C102" s="1359" t="s">
        <v>6918</v>
      </c>
      <c r="D102" s="1360">
        <v>6173</v>
      </c>
      <c r="E102" s="1361" t="s">
        <v>1202</v>
      </c>
      <c r="F102" s="1360" t="s">
        <v>13</v>
      </c>
      <c r="G102" s="1362">
        <v>2540568</v>
      </c>
      <c r="H102" s="1363" t="s">
        <v>6899</v>
      </c>
    </row>
    <row r="103" spans="2:8" x14ac:dyDescent="0.25">
      <c r="B103" s="1358" t="s">
        <v>6897</v>
      </c>
      <c r="C103" s="1359" t="s">
        <v>6918</v>
      </c>
      <c r="D103" s="1360">
        <v>6174</v>
      </c>
      <c r="E103" s="1361" t="s">
        <v>1203</v>
      </c>
      <c r="F103" s="1360" t="s">
        <v>13</v>
      </c>
      <c r="G103" s="1362">
        <v>2821574</v>
      </c>
      <c r="H103" s="1363" t="s">
        <v>6899</v>
      </c>
    </row>
    <row r="104" spans="2:8" x14ac:dyDescent="0.25">
      <c r="B104" s="1358" t="s">
        <v>6897</v>
      </c>
      <c r="C104" s="1359" t="s">
        <v>6918</v>
      </c>
      <c r="D104" s="1360">
        <v>6175</v>
      </c>
      <c r="E104" s="1361" t="s">
        <v>1204</v>
      </c>
      <c r="F104" s="1360" t="s">
        <v>13</v>
      </c>
      <c r="G104" s="1362">
        <v>3192330</v>
      </c>
      <c r="H104" s="1363" t="s">
        <v>6899</v>
      </c>
    </row>
    <row r="105" spans="2:8" x14ac:dyDescent="0.25">
      <c r="B105" s="1358" t="s">
        <v>6897</v>
      </c>
      <c r="C105" s="1359" t="s">
        <v>6918</v>
      </c>
      <c r="D105" s="1360">
        <v>6176</v>
      </c>
      <c r="E105" s="1361" t="s">
        <v>1205</v>
      </c>
      <c r="F105" s="1360" t="s">
        <v>13</v>
      </c>
      <c r="G105" s="1362">
        <v>3608323</v>
      </c>
      <c r="H105" s="1363" t="s">
        <v>6899</v>
      </c>
    </row>
    <row r="106" spans="2:8" x14ac:dyDescent="0.25">
      <c r="B106" s="1358" t="s">
        <v>6897</v>
      </c>
      <c r="C106" s="1359" t="s">
        <v>6918</v>
      </c>
      <c r="D106" s="1360">
        <v>6177</v>
      </c>
      <c r="E106" s="1361" t="s">
        <v>1206</v>
      </c>
      <c r="F106" s="1360" t="s">
        <v>13</v>
      </c>
      <c r="G106" s="1362">
        <v>4070931</v>
      </c>
      <c r="H106" s="1363" t="s">
        <v>6899</v>
      </c>
    </row>
    <row r="107" spans="2:8" x14ac:dyDescent="0.25">
      <c r="B107" s="1358" t="s">
        <v>6897</v>
      </c>
      <c r="C107" s="1359" t="s">
        <v>6918</v>
      </c>
      <c r="D107" s="1360">
        <v>6178</v>
      </c>
      <c r="E107" s="1361" t="s">
        <v>1207</v>
      </c>
      <c r="F107" s="1360" t="s">
        <v>13</v>
      </c>
      <c r="G107" s="1362">
        <v>5117635</v>
      </c>
      <c r="H107" s="1363" t="s">
        <v>6899</v>
      </c>
    </row>
    <row r="108" spans="2:8" x14ac:dyDescent="0.25">
      <c r="B108" s="1358" t="s">
        <v>6897</v>
      </c>
      <c r="C108" s="1359" t="s">
        <v>6918</v>
      </c>
      <c r="D108" s="1360">
        <v>6179</v>
      </c>
      <c r="E108" s="1361" t="s">
        <v>1208</v>
      </c>
      <c r="F108" s="1360" t="s">
        <v>13</v>
      </c>
      <c r="G108" s="1362">
        <v>5775207</v>
      </c>
      <c r="H108" s="1363" t="s">
        <v>6899</v>
      </c>
    </row>
    <row r="109" spans="2:8" x14ac:dyDescent="0.25">
      <c r="B109" s="1358" t="s">
        <v>6897</v>
      </c>
      <c r="C109" s="1359" t="s">
        <v>6918</v>
      </c>
      <c r="D109" s="1360">
        <v>6180</v>
      </c>
      <c r="E109" s="1361" t="s">
        <v>1209</v>
      </c>
      <c r="F109" s="1360" t="s">
        <v>13</v>
      </c>
      <c r="G109" s="1362">
        <v>6499643</v>
      </c>
      <c r="H109" s="1363" t="s">
        <v>6899</v>
      </c>
    </row>
    <row r="110" spans="2:8" x14ac:dyDescent="0.25">
      <c r="B110" s="1358" t="s">
        <v>6897</v>
      </c>
      <c r="C110" s="1359" t="s">
        <v>6918</v>
      </c>
      <c r="D110" s="1360">
        <v>6181</v>
      </c>
      <c r="E110" s="1361" t="s">
        <v>1210</v>
      </c>
      <c r="F110" s="1360" t="s">
        <v>13</v>
      </c>
      <c r="G110" s="1362">
        <v>648845</v>
      </c>
      <c r="H110" s="1363" t="s">
        <v>6899</v>
      </c>
    </row>
    <row r="111" spans="2:8" x14ac:dyDescent="0.25">
      <c r="B111" s="1358" t="s">
        <v>6897</v>
      </c>
      <c r="C111" s="1359" t="s">
        <v>6918</v>
      </c>
      <c r="D111" s="1360">
        <v>6182</v>
      </c>
      <c r="E111" s="1361" t="s">
        <v>1211</v>
      </c>
      <c r="F111" s="1360" t="s">
        <v>13</v>
      </c>
      <c r="G111" s="1362">
        <v>815089</v>
      </c>
      <c r="H111" s="1363" t="s">
        <v>6899</v>
      </c>
    </row>
    <row r="112" spans="2:8" x14ac:dyDescent="0.25">
      <c r="B112" s="1358" t="s">
        <v>6897</v>
      </c>
      <c r="C112" s="1359" t="s">
        <v>6918</v>
      </c>
      <c r="D112" s="1360">
        <v>6183</v>
      </c>
      <c r="E112" s="1361" t="s">
        <v>1212</v>
      </c>
      <c r="F112" s="1360" t="s">
        <v>13</v>
      </c>
      <c r="G112" s="1362">
        <v>1017698</v>
      </c>
      <c r="H112" s="1363" t="s">
        <v>6899</v>
      </c>
    </row>
    <row r="113" spans="2:8" x14ac:dyDescent="0.25">
      <c r="B113" s="1358" t="s">
        <v>6897</v>
      </c>
      <c r="C113" s="1359" t="s">
        <v>6918</v>
      </c>
      <c r="D113" s="1360">
        <v>6184</v>
      </c>
      <c r="E113" s="1361" t="s">
        <v>1213</v>
      </c>
      <c r="F113" s="1360" t="s">
        <v>13</v>
      </c>
      <c r="G113" s="1362">
        <v>1276439</v>
      </c>
      <c r="H113" s="1363" t="s">
        <v>6899</v>
      </c>
    </row>
    <row r="114" spans="2:8" x14ac:dyDescent="0.25">
      <c r="B114" s="1358" t="s">
        <v>6897</v>
      </c>
      <c r="C114" s="1359" t="s">
        <v>6918</v>
      </c>
      <c r="D114" s="1360">
        <v>6185</v>
      </c>
      <c r="E114" s="1361" t="s">
        <v>1214</v>
      </c>
      <c r="F114" s="1360" t="s">
        <v>13</v>
      </c>
      <c r="G114" s="1362">
        <v>1597364</v>
      </c>
      <c r="H114" s="1363" t="s">
        <v>6899</v>
      </c>
    </row>
    <row r="115" spans="2:8" x14ac:dyDescent="0.25">
      <c r="B115" s="1358" t="s">
        <v>6897</v>
      </c>
      <c r="C115" s="1359" t="s">
        <v>6918</v>
      </c>
      <c r="D115" s="1360">
        <v>6188</v>
      </c>
      <c r="E115" s="1361" t="s">
        <v>1215</v>
      </c>
      <c r="F115" s="1360" t="s">
        <v>13</v>
      </c>
      <c r="G115" s="1362">
        <v>1788916</v>
      </c>
      <c r="H115" s="1363" t="s">
        <v>6899</v>
      </c>
    </row>
    <row r="116" spans="2:8" x14ac:dyDescent="0.25">
      <c r="B116" s="1358" t="s">
        <v>6897</v>
      </c>
      <c r="C116" s="1359" t="s">
        <v>6918</v>
      </c>
      <c r="D116" s="1360">
        <v>6189</v>
      </c>
      <c r="E116" s="1361" t="s">
        <v>1216</v>
      </c>
      <c r="F116" s="1360" t="s">
        <v>13</v>
      </c>
      <c r="G116" s="1362">
        <v>2096918</v>
      </c>
      <c r="H116" s="1363" t="s">
        <v>6899</v>
      </c>
    </row>
    <row r="117" spans="2:8" x14ac:dyDescent="0.25">
      <c r="B117" s="1358" t="s">
        <v>6897</v>
      </c>
      <c r="C117" s="1359" t="s">
        <v>6918</v>
      </c>
      <c r="D117" s="1360">
        <v>6190</v>
      </c>
      <c r="E117" s="1361" t="s">
        <v>1217</v>
      </c>
      <c r="F117" s="1360" t="s">
        <v>13</v>
      </c>
      <c r="G117" s="1362">
        <v>2326813</v>
      </c>
      <c r="H117" s="1363" t="s">
        <v>6899</v>
      </c>
    </row>
    <row r="118" spans="2:8" x14ac:dyDescent="0.25">
      <c r="B118" s="1358" t="s">
        <v>6897</v>
      </c>
      <c r="C118" s="1359" t="s">
        <v>6918</v>
      </c>
      <c r="D118" s="1360">
        <v>6191</v>
      </c>
      <c r="E118" s="1361" t="s">
        <v>1218</v>
      </c>
      <c r="F118" s="1360" t="s">
        <v>13</v>
      </c>
      <c r="G118" s="1362">
        <v>2578153</v>
      </c>
      <c r="H118" s="1363" t="s">
        <v>6899</v>
      </c>
    </row>
    <row r="119" spans="2:8" x14ac:dyDescent="0.25">
      <c r="B119" s="1358" t="s">
        <v>6897</v>
      </c>
      <c r="C119" s="1359" t="s">
        <v>6918</v>
      </c>
      <c r="D119" s="1360">
        <v>6192</v>
      </c>
      <c r="E119" s="1361" t="s">
        <v>1219</v>
      </c>
      <c r="F119" s="1360" t="s">
        <v>13</v>
      </c>
      <c r="G119" s="1362">
        <v>2880430</v>
      </c>
      <c r="H119" s="1363" t="s">
        <v>6899</v>
      </c>
    </row>
    <row r="120" spans="2:8" x14ac:dyDescent="0.25">
      <c r="B120" s="1358" t="s">
        <v>6897</v>
      </c>
      <c r="C120" s="1359" t="s">
        <v>6918</v>
      </c>
      <c r="D120" s="1360">
        <v>6193</v>
      </c>
      <c r="E120" s="1361" t="s">
        <v>1220</v>
      </c>
      <c r="F120" s="1360" t="s">
        <v>13</v>
      </c>
      <c r="G120" s="1362">
        <v>3274218</v>
      </c>
      <c r="H120" s="1363" t="s">
        <v>6899</v>
      </c>
    </row>
    <row r="121" spans="2:8" x14ac:dyDescent="0.25">
      <c r="B121" s="1358" t="s">
        <v>6897</v>
      </c>
      <c r="C121" s="1359" t="s">
        <v>6918</v>
      </c>
      <c r="D121" s="1360">
        <v>6194</v>
      </c>
      <c r="E121" s="1361" t="s">
        <v>1221</v>
      </c>
      <c r="F121" s="1360" t="s">
        <v>13</v>
      </c>
      <c r="G121" s="1362">
        <v>3700926</v>
      </c>
      <c r="H121" s="1363" t="s">
        <v>6899</v>
      </c>
    </row>
    <row r="122" spans="2:8" x14ac:dyDescent="0.25">
      <c r="B122" s="1358" t="s">
        <v>6897</v>
      </c>
      <c r="C122" s="1359" t="s">
        <v>6918</v>
      </c>
      <c r="D122" s="1360">
        <v>6195</v>
      </c>
      <c r="E122" s="1361" t="s">
        <v>1222</v>
      </c>
      <c r="F122" s="1360" t="s">
        <v>13</v>
      </c>
      <c r="G122" s="1362">
        <v>4090443</v>
      </c>
      <c r="H122" s="1363" t="s">
        <v>6899</v>
      </c>
    </row>
    <row r="123" spans="2:8" x14ac:dyDescent="0.25">
      <c r="B123" s="1358" t="s">
        <v>6897</v>
      </c>
      <c r="C123" s="1359" t="s">
        <v>6918</v>
      </c>
      <c r="D123" s="1360">
        <v>6196</v>
      </c>
      <c r="E123" s="1361" t="s">
        <v>1223</v>
      </c>
      <c r="F123" s="1360" t="s">
        <v>13</v>
      </c>
      <c r="G123" s="1362">
        <v>5142532</v>
      </c>
      <c r="H123" s="1363" t="s">
        <v>6899</v>
      </c>
    </row>
    <row r="124" spans="2:8" x14ac:dyDescent="0.25">
      <c r="B124" s="1358" t="s">
        <v>6897</v>
      </c>
      <c r="C124" s="1359" t="s">
        <v>6918</v>
      </c>
      <c r="D124" s="1360">
        <v>6197</v>
      </c>
      <c r="E124" s="1361" t="s">
        <v>1224</v>
      </c>
      <c r="F124" s="1360" t="s">
        <v>13</v>
      </c>
      <c r="G124" s="1362">
        <v>5871435</v>
      </c>
      <c r="H124" s="1363" t="s">
        <v>6899</v>
      </c>
    </row>
    <row r="125" spans="2:8" x14ac:dyDescent="0.25">
      <c r="B125" s="1358" t="s">
        <v>6897</v>
      </c>
      <c r="C125" s="1359" t="s">
        <v>6918</v>
      </c>
      <c r="D125" s="1360">
        <v>6198</v>
      </c>
      <c r="E125" s="1361" t="s">
        <v>1225</v>
      </c>
      <c r="F125" s="1360" t="s">
        <v>13</v>
      </c>
      <c r="G125" s="1362">
        <v>6606641</v>
      </c>
      <c r="H125" s="1363" t="s">
        <v>6899</v>
      </c>
    </row>
    <row r="126" spans="2:8" x14ac:dyDescent="0.25">
      <c r="B126" s="1358" t="s">
        <v>6897</v>
      </c>
      <c r="C126" s="1359" t="s">
        <v>6918</v>
      </c>
      <c r="D126" s="1360">
        <v>6199</v>
      </c>
      <c r="E126" s="1361" t="s">
        <v>1226</v>
      </c>
      <c r="F126" s="1360" t="s">
        <v>13</v>
      </c>
      <c r="G126" s="1362">
        <v>648845</v>
      </c>
      <c r="H126" s="1363" t="s">
        <v>6899</v>
      </c>
    </row>
    <row r="127" spans="2:8" x14ac:dyDescent="0.25">
      <c r="B127" s="1358" t="s">
        <v>6897</v>
      </c>
      <c r="C127" s="1359" t="s">
        <v>6918</v>
      </c>
      <c r="D127" s="1360">
        <v>6200</v>
      </c>
      <c r="E127" s="1361" t="s">
        <v>1227</v>
      </c>
      <c r="F127" s="1360" t="s">
        <v>13</v>
      </c>
      <c r="G127" s="1362">
        <v>863443</v>
      </c>
      <c r="H127" s="1363" t="s">
        <v>6899</v>
      </c>
    </row>
    <row r="128" spans="2:8" x14ac:dyDescent="0.25">
      <c r="B128" s="1358" t="s">
        <v>6897</v>
      </c>
      <c r="C128" s="1359" t="s">
        <v>6918</v>
      </c>
      <c r="D128" s="1360">
        <v>6201</v>
      </c>
      <c r="E128" s="1361" t="s">
        <v>1228</v>
      </c>
      <c r="F128" s="1360" t="s">
        <v>13</v>
      </c>
      <c r="G128" s="1362">
        <v>1076501</v>
      </c>
      <c r="H128" s="1363" t="s">
        <v>6899</v>
      </c>
    </row>
    <row r="129" spans="2:8" x14ac:dyDescent="0.25">
      <c r="B129" s="1358" t="s">
        <v>6897</v>
      </c>
      <c r="C129" s="1359" t="s">
        <v>6918</v>
      </c>
      <c r="D129" s="1360">
        <v>6202</v>
      </c>
      <c r="E129" s="1361" t="s">
        <v>1229</v>
      </c>
      <c r="F129" s="1360" t="s">
        <v>13</v>
      </c>
      <c r="G129" s="1362">
        <v>1349583</v>
      </c>
      <c r="H129" s="1363" t="s">
        <v>6899</v>
      </c>
    </row>
    <row r="130" spans="2:8" x14ac:dyDescent="0.25">
      <c r="B130" s="1358" t="s">
        <v>6897</v>
      </c>
      <c r="C130" s="1359" t="s">
        <v>6918</v>
      </c>
      <c r="D130" s="1360">
        <v>6203</v>
      </c>
      <c r="E130" s="1361" t="s">
        <v>1230</v>
      </c>
      <c r="F130" s="1360" t="s">
        <v>13</v>
      </c>
      <c r="G130" s="1362">
        <v>1691727</v>
      </c>
      <c r="H130" s="1363" t="s">
        <v>6899</v>
      </c>
    </row>
    <row r="131" spans="2:8" x14ac:dyDescent="0.25">
      <c r="B131" s="1358" t="s">
        <v>6897</v>
      </c>
      <c r="C131" s="1359" t="s">
        <v>6918</v>
      </c>
      <c r="D131" s="1360">
        <v>6204</v>
      </c>
      <c r="E131" s="1361" t="s">
        <v>1231</v>
      </c>
      <c r="F131" s="1360" t="s">
        <v>13</v>
      </c>
      <c r="G131" s="1362">
        <v>1892075</v>
      </c>
      <c r="H131" s="1363" t="s">
        <v>6899</v>
      </c>
    </row>
    <row r="132" spans="2:8" x14ac:dyDescent="0.25">
      <c r="B132" s="1358" t="s">
        <v>6897</v>
      </c>
      <c r="C132" s="1359" t="s">
        <v>6918</v>
      </c>
      <c r="D132" s="1360">
        <v>6205</v>
      </c>
      <c r="E132" s="1361" t="s">
        <v>1232</v>
      </c>
      <c r="F132" s="1360" t="s">
        <v>13</v>
      </c>
      <c r="G132" s="1362">
        <v>2219963</v>
      </c>
      <c r="H132" s="1363" t="s">
        <v>6899</v>
      </c>
    </row>
    <row r="133" spans="2:8" x14ac:dyDescent="0.25">
      <c r="B133" s="1358" t="s">
        <v>6897</v>
      </c>
      <c r="C133" s="1359" t="s">
        <v>6918</v>
      </c>
      <c r="D133" s="1360">
        <v>6206</v>
      </c>
      <c r="E133" s="1361" t="s">
        <v>1233</v>
      </c>
      <c r="F133" s="1360" t="s">
        <v>13</v>
      </c>
      <c r="G133" s="1362">
        <v>2462332</v>
      </c>
      <c r="H133" s="1363" t="s">
        <v>6899</v>
      </c>
    </row>
    <row r="134" spans="2:8" x14ac:dyDescent="0.25">
      <c r="B134" s="1358" t="s">
        <v>6897</v>
      </c>
      <c r="C134" s="1359" t="s">
        <v>6918</v>
      </c>
      <c r="D134" s="1360">
        <v>6207</v>
      </c>
      <c r="E134" s="1361" t="s">
        <v>1234</v>
      </c>
      <c r="F134" s="1360" t="s">
        <v>13</v>
      </c>
      <c r="G134" s="1362">
        <v>2724282</v>
      </c>
      <c r="H134" s="1363" t="s">
        <v>6899</v>
      </c>
    </row>
    <row r="135" spans="2:8" x14ac:dyDescent="0.25">
      <c r="B135" s="1358" t="s">
        <v>6897</v>
      </c>
      <c r="C135" s="1359" t="s">
        <v>6918</v>
      </c>
      <c r="D135" s="1360">
        <v>6208</v>
      </c>
      <c r="E135" s="1361" t="s">
        <v>1235</v>
      </c>
      <c r="F135" s="1360" t="s">
        <v>13</v>
      </c>
      <c r="G135" s="1362">
        <v>3249349</v>
      </c>
      <c r="H135" s="1363" t="s">
        <v>6899</v>
      </c>
    </row>
    <row r="136" spans="2:8" x14ac:dyDescent="0.25">
      <c r="B136" s="1358" t="s">
        <v>6897</v>
      </c>
      <c r="C136" s="1359" t="s">
        <v>6918</v>
      </c>
      <c r="D136" s="1360">
        <v>6209</v>
      </c>
      <c r="E136" s="1361" t="s">
        <v>1236</v>
      </c>
      <c r="F136" s="1360" t="s">
        <v>13</v>
      </c>
      <c r="G136" s="1362">
        <v>3422159</v>
      </c>
      <c r="H136" s="1363" t="s">
        <v>6899</v>
      </c>
    </row>
    <row r="137" spans="2:8" x14ac:dyDescent="0.25">
      <c r="B137" s="1358" t="s">
        <v>6897</v>
      </c>
      <c r="C137" s="1359" t="s">
        <v>6918</v>
      </c>
      <c r="D137" s="1360">
        <v>6210</v>
      </c>
      <c r="E137" s="1361" t="s">
        <v>1237</v>
      </c>
      <c r="F137" s="1360" t="s">
        <v>13</v>
      </c>
      <c r="G137" s="1362">
        <v>3870244</v>
      </c>
      <c r="H137" s="1363" t="s">
        <v>6899</v>
      </c>
    </row>
    <row r="138" spans="2:8" x14ac:dyDescent="0.25">
      <c r="B138" s="1358" t="s">
        <v>6897</v>
      </c>
      <c r="C138" s="1359" t="s">
        <v>6918</v>
      </c>
      <c r="D138" s="1360">
        <v>6211</v>
      </c>
      <c r="E138" s="1361" t="s">
        <v>1238</v>
      </c>
      <c r="F138" s="1360" t="s">
        <v>13</v>
      </c>
      <c r="G138" s="1362">
        <v>4519978</v>
      </c>
      <c r="H138" s="1363" t="s">
        <v>6899</v>
      </c>
    </row>
    <row r="139" spans="2:8" x14ac:dyDescent="0.25">
      <c r="B139" s="1358" t="s">
        <v>6897</v>
      </c>
      <c r="C139" s="1359" t="s">
        <v>6918</v>
      </c>
      <c r="D139" s="1360">
        <v>6212</v>
      </c>
      <c r="E139" s="1361" t="s">
        <v>1239</v>
      </c>
      <c r="F139" s="1360" t="s">
        <v>13</v>
      </c>
      <c r="G139" s="1362">
        <v>5368895</v>
      </c>
      <c r="H139" s="1363" t="s">
        <v>6899</v>
      </c>
    </row>
    <row r="140" spans="2:8" x14ac:dyDescent="0.25">
      <c r="B140" s="1358" t="s">
        <v>6897</v>
      </c>
      <c r="C140" s="1359" t="s">
        <v>6918</v>
      </c>
      <c r="D140" s="1360">
        <v>6213</v>
      </c>
      <c r="E140" s="1361" t="s">
        <v>1240</v>
      </c>
      <c r="F140" s="1360" t="s">
        <v>13</v>
      </c>
      <c r="G140" s="1362">
        <v>6026467</v>
      </c>
      <c r="H140" s="1363" t="s">
        <v>6899</v>
      </c>
    </row>
    <row r="141" spans="2:8" x14ac:dyDescent="0.25">
      <c r="B141" s="1358" t="s">
        <v>6897</v>
      </c>
      <c r="C141" s="1359" t="s">
        <v>6918</v>
      </c>
      <c r="D141" s="1360">
        <v>6214</v>
      </c>
      <c r="E141" s="1361" t="s">
        <v>1241</v>
      </c>
      <c r="F141" s="1360" t="s">
        <v>13</v>
      </c>
      <c r="G141" s="1362">
        <v>6722434</v>
      </c>
      <c r="H141" s="1363" t="s">
        <v>6899</v>
      </c>
    </row>
    <row r="142" spans="2:8" x14ac:dyDescent="0.25">
      <c r="B142" s="1358" t="s">
        <v>6897</v>
      </c>
      <c r="C142" s="1359" t="s">
        <v>6918</v>
      </c>
      <c r="D142" s="1360">
        <v>6215</v>
      </c>
      <c r="E142" s="1361" t="s">
        <v>1242</v>
      </c>
      <c r="F142" s="1360" t="s">
        <v>13</v>
      </c>
      <c r="G142" s="1362">
        <v>736170</v>
      </c>
      <c r="H142" s="1363" t="s">
        <v>6899</v>
      </c>
    </row>
    <row r="143" spans="2:8" x14ac:dyDescent="0.25">
      <c r="B143" s="1358" t="s">
        <v>6897</v>
      </c>
      <c r="C143" s="1359" t="s">
        <v>6918</v>
      </c>
      <c r="D143" s="1360">
        <v>6216</v>
      </c>
      <c r="E143" s="1361" t="s">
        <v>1243</v>
      </c>
      <c r="F143" s="1360" t="s">
        <v>13</v>
      </c>
      <c r="G143" s="1362">
        <v>982649</v>
      </c>
      <c r="H143" s="1363" t="s">
        <v>6899</v>
      </c>
    </row>
    <row r="144" spans="2:8" x14ac:dyDescent="0.25">
      <c r="B144" s="1358" t="s">
        <v>6897</v>
      </c>
      <c r="C144" s="1359" t="s">
        <v>6918</v>
      </c>
      <c r="D144" s="1360">
        <v>6217</v>
      </c>
      <c r="E144" s="1361" t="s">
        <v>1244</v>
      </c>
      <c r="F144" s="1360" t="s">
        <v>13</v>
      </c>
      <c r="G144" s="1362">
        <v>1231426</v>
      </c>
      <c r="H144" s="1363" t="s">
        <v>6899</v>
      </c>
    </row>
    <row r="145" spans="2:8" x14ac:dyDescent="0.25">
      <c r="B145" s="1358" t="s">
        <v>6897</v>
      </c>
      <c r="C145" s="1359" t="s">
        <v>6918</v>
      </c>
      <c r="D145" s="1360">
        <v>6218</v>
      </c>
      <c r="E145" s="1361" t="s">
        <v>1245</v>
      </c>
      <c r="F145" s="1360" t="s">
        <v>13</v>
      </c>
      <c r="G145" s="1362">
        <v>1543586</v>
      </c>
      <c r="H145" s="1363" t="s">
        <v>6899</v>
      </c>
    </row>
    <row r="146" spans="2:8" x14ac:dyDescent="0.25">
      <c r="B146" s="1358" t="s">
        <v>6897</v>
      </c>
      <c r="C146" s="1359" t="s">
        <v>6918</v>
      </c>
      <c r="D146" s="1360">
        <v>6219</v>
      </c>
      <c r="E146" s="1361" t="s">
        <v>1246</v>
      </c>
      <c r="F146" s="1360" t="s">
        <v>13</v>
      </c>
      <c r="G146" s="1362">
        <v>1932430</v>
      </c>
      <c r="H146" s="1363" t="s">
        <v>6899</v>
      </c>
    </row>
    <row r="147" spans="2:8" x14ac:dyDescent="0.25">
      <c r="B147" s="1358" t="s">
        <v>6897</v>
      </c>
      <c r="C147" s="1359" t="s">
        <v>6918</v>
      </c>
      <c r="D147" s="1360">
        <v>6220</v>
      </c>
      <c r="E147" s="1361" t="s">
        <v>1247</v>
      </c>
      <c r="F147" s="1360" t="s">
        <v>13</v>
      </c>
      <c r="G147" s="1362">
        <v>2163007</v>
      </c>
      <c r="H147" s="1363" t="s">
        <v>6899</v>
      </c>
    </row>
    <row r="148" spans="2:8" x14ac:dyDescent="0.25">
      <c r="B148" s="1358" t="s">
        <v>6897</v>
      </c>
      <c r="C148" s="1359" t="s">
        <v>6918</v>
      </c>
      <c r="D148" s="1360">
        <v>6221</v>
      </c>
      <c r="E148" s="1361" t="s">
        <v>1248</v>
      </c>
      <c r="F148" s="1360" t="s">
        <v>13</v>
      </c>
      <c r="G148" s="1362">
        <v>2537382</v>
      </c>
      <c r="H148" s="1363" t="s">
        <v>6899</v>
      </c>
    </row>
    <row r="149" spans="2:8" x14ac:dyDescent="0.25">
      <c r="B149" s="1358" t="s">
        <v>6897</v>
      </c>
      <c r="C149" s="1359" t="s">
        <v>6918</v>
      </c>
      <c r="D149" s="1360">
        <v>6222</v>
      </c>
      <c r="E149" s="1361" t="s">
        <v>1249</v>
      </c>
      <c r="F149" s="1360" t="s">
        <v>13</v>
      </c>
      <c r="G149" s="1362">
        <v>2836529</v>
      </c>
      <c r="H149" s="1363" t="s">
        <v>6899</v>
      </c>
    </row>
    <row r="150" spans="2:8" x14ac:dyDescent="0.25">
      <c r="B150" s="1358" t="s">
        <v>6897</v>
      </c>
      <c r="C150" s="1359" t="s">
        <v>6918</v>
      </c>
      <c r="D150" s="1360">
        <v>6223</v>
      </c>
      <c r="E150" s="1361" t="s">
        <v>1250</v>
      </c>
      <c r="F150" s="1360" t="s">
        <v>13</v>
      </c>
      <c r="G150" s="1362">
        <v>3005769</v>
      </c>
      <c r="H150" s="1363" t="s">
        <v>6899</v>
      </c>
    </row>
    <row r="151" spans="2:8" x14ac:dyDescent="0.25">
      <c r="B151" s="1358" t="s">
        <v>6897</v>
      </c>
      <c r="C151" s="1359" t="s">
        <v>6918</v>
      </c>
      <c r="D151" s="1360">
        <v>6224</v>
      </c>
      <c r="E151" s="1361" t="s">
        <v>1251</v>
      </c>
      <c r="F151" s="1360" t="s">
        <v>13</v>
      </c>
      <c r="G151" s="1362">
        <v>3443512</v>
      </c>
      <c r="H151" s="1363" t="s">
        <v>6899</v>
      </c>
    </row>
    <row r="152" spans="2:8" x14ac:dyDescent="0.25">
      <c r="B152" s="1358" t="s">
        <v>6897</v>
      </c>
      <c r="C152" s="1359" t="s">
        <v>6918</v>
      </c>
      <c r="D152" s="1360">
        <v>6225</v>
      </c>
      <c r="E152" s="1361" t="s">
        <v>1252</v>
      </c>
      <c r="F152" s="1360" t="s">
        <v>13</v>
      </c>
      <c r="G152" s="1362">
        <v>3915828</v>
      </c>
      <c r="H152" s="1363" t="s">
        <v>6899</v>
      </c>
    </row>
    <row r="153" spans="2:8" x14ac:dyDescent="0.25">
      <c r="B153" s="1358" t="s">
        <v>6897</v>
      </c>
      <c r="C153" s="1359" t="s">
        <v>6918</v>
      </c>
      <c r="D153" s="1360">
        <v>6226</v>
      </c>
      <c r="E153" s="1361" t="s">
        <v>1253</v>
      </c>
      <c r="F153" s="1360" t="s">
        <v>13</v>
      </c>
      <c r="G153" s="1362">
        <v>4431620</v>
      </c>
      <c r="H153" s="1363" t="s">
        <v>6899</v>
      </c>
    </row>
    <row r="154" spans="2:8" x14ac:dyDescent="0.25">
      <c r="B154" s="1358" t="s">
        <v>6897</v>
      </c>
      <c r="C154" s="1359" t="s">
        <v>6918</v>
      </c>
      <c r="D154" s="1360">
        <v>6227</v>
      </c>
      <c r="E154" s="1361" t="s">
        <v>1254</v>
      </c>
      <c r="F154" s="1360" t="s">
        <v>13</v>
      </c>
      <c r="G154" s="1362">
        <v>4955004</v>
      </c>
      <c r="H154" s="1363" t="s">
        <v>6899</v>
      </c>
    </row>
    <row r="155" spans="2:8" x14ac:dyDescent="0.25">
      <c r="B155" s="1358" t="s">
        <v>6897</v>
      </c>
      <c r="C155" s="1359" t="s">
        <v>6918</v>
      </c>
      <c r="D155" s="1360">
        <v>6228</v>
      </c>
      <c r="E155" s="1361" t="s">
        <v>1255</v>
      </c>
      <c r="F155" s="1360" t="s">
        <v>13</v>
      </c>
      <c r="G155" s="1362">
        <v>6142452</v>
      </c>
      <c r="H155" s="1363" t="s">
        <v>6899</v>
      </c>
    </row>
    <row r="156" spans="2:8" x14ac:dyDescent="0.25">
      <c r="B156" s="1358" t="s">
        <v>6897</v>
      </c>
      <c r="C156" s="1359" t="s">
        <v>6918</v>
      </c>
      <c r="D156" s="1360">
        <v>6229</v>
      </c>
      <c r="E156" s="1361" t="s">
        <v>1256</v>
      </c>
      <c r="F156" s="1360" t="s">
        <v>13</v>
      </c>
      <c r="G156" s="1362">
        <v>7366570</v>
      </c>
      <c r="H156" s="1363" t="s">
        <v>6899</v>
      </c>
    </row>
    <row r="157" spans="2:8" x14ac:dyDescent="0.25">
      <c r="B157" s="1358" t="s">
        <v>6897</v>
      </c>
      <c r="C157" s="1359" t="s">
        <v>6918</v>
      </c>
      <c r="D157" s="1360">
        <v>6230</v>
      </c>
      <c r="E157" s="1361" t="s">
        <v>1257</v>
      </c>
      <c r="F157" s="1360" t="s">
        <v>13</v>
      </c>
      <c r="G157" s="1362">
        <v>8048304</v>
      </c>
      <c r="H157" s="1363" t="s">
        <v>6899</v>
      </c>
    </row>
    <row r="158" spans="2:8" x14ac:dyDescent="0.25">
      <c r="B158" s="1358" t="s">
        <v>6897</v>
      </c>
      <c r="C158" s="1359" t="s">
        <v>6918</v>
      </c>
      <c r="D158" s="1360">
        <v>6236</v>
      </c>
      <c r="E158" s="1361" t="s">
        <v>1258</v>
      </c>
      <c r="F158" s="1360" t="s">
        <v>266</v>
      </c>
      <c r="G158" s="1362">
        <v>123913</v>
      </c>
      <c r="H158" s="1363" t="s">
        <v>6899</v>
      </c>
    </row>
    <row r="159" spans="2:8" x14ac:dyDescent="0.25">
      <c r="B159" s="1358" t="s">
        <v>6897</v>
      </c>
      <c r="C159" s="1359" t="s">
        <v>6918</v>
      </c>
      <c r="D159" s="1360">
        <v>6237</v>
      </c>
      <c r="E159" s="1361" t="s">
        <v>1259</v>
      </c>
      <c r="F159" s="1360" t="s">
        <v>266</v>
      </c>
      <c r="G159" s="1362">
        <v>218234</v>
      </c>
      <c r="H159" s="1363" t="s">
        <v>6899</v>
      </c>
    </row>
    <row r="160" spans="2:8" x14ac:dyDescent="0.25">
      <c r="B160" s="1358" t="s">
        <v>6897</v>
      </c>
      <c r="C160" s="1359" t="s">
        <v>6918</v>
      </c>
      <c r="D160" s="1360">
        <v>6238</v>
      </c>
      <c r="E160" s="1361" t="s">
        <v>1260</v>
      </c>
      <c r="F160" s="1360" t="s">
        <v>266</v>
      </c>
      <c r="G160" s="1362">
        <v>280144</v>
      </c>
      <c r="H160" s="1363" t="s">
        <v>6899</v>
      </c>
    </row>
    <row r="161" spans="2:8" x14ac:dyDescent="0.25">
      <c r="B161" s="1358" t="s">
        <v>6897</v>
      </c>
      <c r="C161" s="1359" t="s">
        <v>6918</v>
      </c>
      <c r="D161" s="1360">
        <v>6239</v>
      </c>
      <c r="E161" s="1361" t="s">
        <v>1261</v>
      </c>
      <c r="F161" s="1360" t="s">
        <v>266</v>
      </c>
      <c r="G161" s="1362">
        <v>334144</v>
      </c>
      <c r="H161" s="1363" t="s">
        <v>6899</v>
      </c>
    </row>
    <row r="162" spans="2:8" x14ac:dyDescent="0.25">
      <c r="B162" s="1358" t="s">
        <v>6897</v>
      </c>
      <c r="C162" s="1359" t="s">
        <v>6918</v>
      </c>
      <c r="D162" s="1360">
        <v>6240</v>
      </c>
      <c r="E162" s="1361" t="s">
        <v>1262</v>
      </c>
      <c r="F162" s="1360" t="s">
        <v>266</v>
      </c>
      <c r="G162" s="1362">
        <v>426833</v>
      </c>
      <c r="H162" s="1363" t="s">
        <v>6899</v>
      </c>
    </row>
    <row r="163" spans="2:8" x14ac:dyDescent="0.25">
      <c r="B163" s="1358" t="s">
        <v>6897</v>
      </c>
      <c r="C163" s="1359" t="s">
        <v>6918</v>
      </c>
      <c r="D163" s="1360">
        <v>6241</v>
      </c>
      <c r="E163" s="1361" t="s">
        <v>1263</v>
      </c>
      <c r="F163" s="1360" t="s">
        <v>266</v>
      </c>
      <c r="G163" s="1362">
        <v>502603</v>
      </c>
      <c r="H163" s="1363" t="s">
        <v>6899</v>
      </c>
    </row>
    <row r="164" spans="2:8" x14ac:dyDescent="0.25">
      <c r="B164" s="1358" t="s">
        <v>6897</v>
      </c>
      <c r="C164" s="1359" t="s">
        <v>6918</v>
      </c>
      <c r="D164" s="1360">
        <v>6242</v>
      </c>
      <c r="E164" s="1361" t="s">
        <v>1264</v>
      </c>
      <c r="F164" s="1360" t="s">
        <v>266</v>
      </c>
      <c r="G164" s="1362">
        <v>606218</v>
      </c>
      <c r="H164" s="1363" t="s">
        <v>6899</v>
      </c>
    </row>
    <row r="165" spans="2:8" x14ac:dyDescent="0.25">
      <c r="B165" s="1358" t="s">
        <v>6897</v>
      </c>
      <c r="C165" s="1359" t="s">
        <v>6918</v>
      </c>
      <c r="D165" s="1360">
        <v>6243</v>
      </c>
      <c r="E165" s="1361" t="s">
        <v>1265</v>
      </c>
      <c r="F165" s="1360" t="s">
        <v>266</v>
      </c>
      <c r="G165" s="1362">
        <v>901127</v>
      </c>
      <c r="H165" s="1363" t="s">
        <v>6899</v>
      </c>
    </row>
    <row r="166" spans="2:8" x14ac:dyDescent="0.25">
      <c r="B166" s="1358" t="s">
        <v>6897</v>
      </c>
      <c r="C166" s="1359" t="s">
        <v>6908</v>
      </c>
      <c r="D166" s="1360">
        <v>6257</v>
      </c>
      <c r="E166" s="1361" t="s">
        <v>1266</v>
      </c>
      <c r="F166" s="1360" t="s">
        <v>13</v>
      </c>
      <c r="G166" s="1362">
        <v>16242</v>
      </c>
      <c r="H166" s="1363" t="s">
        <v>3538</v>
      </c>
    </row>
    <row r="167" spans="2:8" x14ac:dyDescent="0.25">
      <c r="B167" s="1358" t="s">
        <v>6897</v>
      </c>
      <c r="C167" s="1359" t="s">
        <v>6908</v>
      </c>
      <c r="D167" s="1360">
        <v>6258</v>
      </c>
      <c r="E167" s="1361" t="s">
        <v>1267</v>
      </c>
      <c r="F167" s="1360" t="s">
        <v>13</v>
      </c>
      <c r="G167" s="1362">
        <v>23826</v>
      </c>
      <c r="H167" s="1363" t="s">
        <v>3538</v>
      </c>
    </row>
    <row r="168" spans="2:8" x14ac:dyDescent="0.25">
      <c r="B168" s="1358" t="s">
        <v>6897</v>
      </c>
      <c r="C168" s="1359" t="s">
        <v>6908</v>
      </c>
      <c r="D168" s="1360">
        <v>6259</v>
      </c>
      <c r="E168" s="1361" t="s">
        <v>1268</v>
      </c>
      <c r="F168" s="1360" t="s">
        <v>13</v>
      </c>
      <c r="G168" s="1362">
        <v>40658</v>
      </c>
      <c r="H168" s="1363" t="s">
        <v>3538</v>
      </c>
    </row>
    <row r="169" spans="2:8" x14ac:dyDescent="0.25">
      <c r="B169" s="1358" t="s">
        <v>6897</v>
      </c>
      <c r="C169" s="1359" t="s">
        <v>6908</v>
      </c>
      <c r="D169" s="1360">
        <v>6260</v>
      </c>
      <c r="E169" s="1361" t="s">
        <v>1269</v>
      </c>
      <c r="F169" s="1360" t="s">
        <v>13</v>
      </c>
      <c r="G169" s="1362">
        <v>53703</v>
      </c>
      <c r="H169" s="1363" t="s">
        <v>3538</v>
      </c>
    </row>
    <row r="170" spans="2:8" x14ac:dyDescent="0.25">
      <c r="B170" s="1358" t="s">
        <v>6897</v>
      </c>
      <c r="C170" s="1359" t="s">
        <v>6908</v>
      </c>
      <c r="D170" s="1360">
        <v>6261</v>
      </c>
      <c r="E170" s="1361" t="s">
        <v>1270</v>
      </c>
      <c r="F170" s="1360" t="s">
        <v>13</v>
      </c>
      <c r="G170" s="1362">
        <v>110333</v>
      </c>
      <c r="H170" s="1363" t="s">
        <v>3538</v>
      </c>
    </row>
    <row r="171" spans="2:8" x14ac:dyDescent="0.25">
      <c r="B171" s="1358" t="s">
        <v>6897</v>
      </c>
      <c r="C171" s="1359" t="s">
        <v>6908</v>
      </c>
      <c r="D171" s="1360">
        <v>6262</v>
      </c>
      <c r="E171" s="1361" t="s">
        <v>1271</v>
      </c>
      <c r="F171" s="1360" t="s">
        <v>13</v>
      </c>
      <c r="G171" s="1362">
        <v>186891</v>
      </c>
      <c r="H171" s="1363" t="s">
        <v>3538</v>
      </c>
    </row>
    <row r="172" spans="2:8" x14ac:dyDescent="0.25">
      <c r="B172" s="1358" t="s">
        <v>6897</v>
      </c>
      <c r="C172" s="1359" t="s">
        <v>6908</v>
      </c>
      <c r="D172" s="1360">
        <v>6263</v>
      </c>
      <c r="E172" s="1361" t="s">
        <v>1272</v>
      </c>
      <c r="F172" s="1360" t="s">
        <v>13</v>
      </c>
      <c r="G172" s="1362">
        <v>294205</v>
      </c>
      <c r="H172" s="1363" t="s">
        <v>3538</v>
      </c>
    </row>
    <row r="173" spans="2:8" x14ac:dyDescent="0.25">
      <c r="B173" s="1358" t="s">
        <v>6897</v>
      </c>
      <c r="C173" s="1359" t="s">
        <v>6908</v>
      </c>
      <c r="D173" s="1360">
        <v>6264</v>
      </c>
      <c r="E173" s="1361" t="s">
        <v>1273</v>
      </c>
      <c r="F173" s="1360" t="s">
        <v>13</v>
      </c>
      <c r="G173" s="1362">
        <v>411649</v>
      </c>
      <c r="H173" s="1363" t="s">
        <v>3538</v>
      </c>
    </row>
    <row r="174" spans="2:8" x14ac:dyDescent="0.25">
      <c r="B174" s="1358" t="s">
        <v>6897</v>
      </c>
      <c r="C174" s="1359" t="s">
        <v>6908</v>
      </c>
      <c r="D174" s="1360">
        <v>6265</v>
      </c>
      <c r="E174" s="1361" t="s">
        <v>1274</v>
      </c>
      <c r="F174" s="1360" t="s">
        <v>13</v>
      </c>
      <c r="G174" s="1362">
        <v>13476</v>
      </c>
      <c r="H174" s="1363" t="s">
        <v>3538</v>
      </c>
    </row>
    <row r="175" spans="2:8" x14ac:dyDescent="0.25">
      <c r="B175" s="1358" t="s">
        <v>6897</v>
      </c>
      <c r="C175" s="1359" t="s">
        <v>6908</v>
      </c>
      <c r="D175" s="1360">
        <v>6266</v>
      </c>
      <c r="E175" s="1361" t="s">
        <v>1275</v>
      </c>
      <c r="F175" s="1360" t="s">
        <v>13</v>
      </c>
      <c r="G175" s="1362">
        <v>33717</v>
      </c>
      <c r="H175" s="1363" t="s">
        <v>3538</v>
      </c>
    </row>
    <row r="176" spans="2:8" x14ac:dyDescent="0.25">
      <c r="B176" s="1358" t="s">
        <v>6897</v>
      </c>
      <c r="C176" s="1359" t="s">
        <v>6908</v>
      </c>
      <c r="D176" s="1360">
        <v>6267</v>
      </c>
      <c r="E176" s="1361" t="s">
        <v>1276</v>
      </c>
      <c r="F176" s="1360" t="s">
        <v>13</v>
      </c>
      <c r="G176" s="1362">
        <v>19898</v>
      </c>
      <c r="H176" s="1363" t="s">
        <v>3538</v>
      </c>
    </row>
    <row r="177" spans="2:8" x14ac:dyDescent="0.25">
      <c r="B177" s="1358" t="s">
        <v>6897</v>
      </c>
      <c r="C177" s="1359" t="s">
        <v>6908</v>
      </c>
      <c r="D177" s="1360">
        <v>6268</v>
      </c>
      <c r="E177" s="1361" t="s">
        <v>1277</v>
      </c>
      <c r="F177" s="1360" t="s">
        <v>13</v>
      </c>
      <c r="G177" s="1362">
        <v>45220</v>
      </c>
      <c r="H177" s="1363" t="s">
        <v>3538</v>
      </c>
    </row>
    <row r="178" spans="2:8" x14ac:dyDescent="0.25">
      <c r="B178" s="1358" t="s">
        <v>6897</v>
      </c>
      <c r="C178" s="1359" t="s">
        <v>6908</v>
      </c>
      <c r="D178" s="1360">
        <v>6269</v>
      </c>
      <c r="E178" s="1361" t="s">
        <v>1278</v>
      </c>
      <c r="F178" s="1360" t="s">
        <v>13</v>
      </c>
      <c r="G178" s="1362">
        <v>90368</v>
      </c>
      <c r="H178" s="1363" t="s">
        <v>3538</v>
      </c>
    </row>
    <row r="179" spans="2:8" x14ac:dyDescent="0.25">
      <c r="B179" s="1358" t="s">
        <v>6897</v>
      </c>
      <c r="C179" s="1359" t="s">
        <v>6908</v>
      </c>
      <c r="D179" s="1360">
        <v>6270</v>
      </c>
      <c r="E179" s="1361" t="s">
        <v>1279</v>
      </c>
      <c r="F179" s="1360" t="s">
        <v>13</v>
      </c>
      <c r="G179" s="1362">
        <v>153735</v>
      </c>
      <c r="H179" s="1363" t="s">
        <v>3538</v>
      </c>
    </row>
    <row r="180" spans="2:8" x14ac:dyDescent="0.25">
      <c r="B180" s="1358" t="s">
        <v>6897</v>
      </c>
      <c r="C180" s="1359" t="s">
        <v>6908</v>
      </c>
      <c r="D180" s="1360">
        <v>6271</v>
      </c>
      <c r="E180" s="1361" t="s">
        <v>1280</v>
      </c>
      <c r="F180" s="1360" t="s">
        <v>13</v>
      </c>
      <c r="G180" s="1362">
        <v>239291</v>
      </c>
      <c r="H180" s="1363" t="s">
        <v>3538</v>
      </c>
    </row>
    <row r="181" spans="2:8" x14ac:dyDescent="0.25">
      <c r="B181" s="1358" t="s">
        <v>6897</v>
      </c>
      <c r="C181" s="1359" t="s">
        <v>6908</v>
      </c>
      <c r="D181" s="1360">
        <v>6272</v>
      </c>
      <c r="E181" s="1361" t="s">
        <v>1281</v>
      </c>
      <c r="F181" s="1360" t="s">
        <v>13</v>
      </c>
      <c r="G181" s="1362">
        <v>337318</v>
      </c>
      <c r="H181" s="1363" t="s">
        <v>3538</v>
      </c>
    </row>
    <row r="182" spans="2:8" x14ac:dyDescent="0.25">
      <c r="B182" s="1358" t="s">
        <v>6897</v>
      </c>
      <c r="C182" s="1359" t="s">
        <v>6908</v>
      </c>
      <c r="D182" s="1360">
        <v>6273</v>
      </c>
      <c r="E182" s="1361" t="s">
        <v>1282</v>
      </c>
      <c r="F182" s="1360" t="s">
        <v>13</v>
      </c>
      <c r="G182" s="1362">
        <v>27172</v>
      </c>
      <c r="H182" s="1363" t="s">
        <v>3538</v>
      </c>
    </row>
    <row r="183" spans="2:8" x14ac:dyDescent="0.25">
      <c r="B183" s="1358" t="s">
        <v>6897</v>
      </c>
      <c r="C183" s="1359" t="s">
        <v>6908</v>
      </c>
      <c r="D183" s="1360">
        <v>6274</v>
      </c>
      <c r="E183" s="1361" t="s">
        <v>1283</v>
      </c>
      <c r="F183" s="1360" t="s">
        <v>13</v>
      </c>
      <c r="G183" s="1362">
        <v>36083</v>
      </c>
      <c r="H183" s="1363" t="s">
        <v>3538</v>
      </c>
    </row>
    <row r="184" spans="2:8" x14ac:dyDescent="0.25">
      <c r="B184" s="1358" t="s">
        <v>6897</v>
      </c>
      <c r="C184" s="1359" t="s">
        <v>6908</v>
      </c>
      <c r="D184" s="1360">
        <v>6275</v>
      </c>
      <c r="E184" s="1361" t="s">
        <v>1284</v>
      </c>
      <c r="F184" s="1360" t="s">
        <v>13</v>
      </c>
      <c r="G184" s="1362">
        <v>73717</v>
      </c>
      <c r="H184" s="1363" t="s">
        <v>3538</v>
      </c>
    </row>
    <row r="185" spans="2:8" x14ac:dyDescent="0.25">
      <c r="B185" s="1358" t="s">
        <v>6897</v>
      </c>
      <c r="C185" s="1359" t="s">
        <v>6908</v>
      </c>
      <c r="D185" s="1360">
        <v>6276</v>
      </c>
      <c r="E185" s="1361" t="s">
        <v>1285</v>
      </c>
      <c r="F185" s="1360" t="s">
        <v>13</v>
      </c>
      <c r="G185" s="1362">
        <v>125417</v>
      </c>
      <c r="H185" s="1363" t="s">
        <v>3538</v>
      </c>
    </row>
    <row r="186" spans="2:8" x14ac:dyDescent="0.25">
      <c r="B186" s="1358" t="s">
        <v>6897</v>
      </c>
      <c r="C186" s="1359" t="s">
        <v>6908</v>
      </c>
      <c r="D186" s="1360">
        <v>6277</v>
      </c>
      <c r="E186" s="1361" t="s">
        <v>1286</v>
      </c>
      <c r="F186" s="1360" t="s">
        <v>13</v>
      </c>
      <c r="G186" s="1362">
        <v>196000</v>
      </c>
      <c r="H186" s="1363" t="s">
        <v>3538</v>
      </c>
    </row>
    <row r="187" spans="2:8" x14ac:dyDescent="0.25">
      <c r="B187" s="1358" t="s">
        <v>6897</v>
      </c>
      <c r="C187" s="1359" t="s">
        <v>6908</v>
      </c>
      <c r="D187" s="1360">
        <v>6278</v>
      </c>
      <c r="E187" s="1361" t="s">
        <v>1287</v>
      </c>
      <c r="F187" s="1360" t="s">
        <v>13</v>
      </c>
      <c r="G187" s="1362">
        <v>276261</v>
      </c>
      <c r="H187" s="1363" t="s">
        <v>3538</v>
      </c>
    </row>
    <row r="188" spans="2:8" x14ac:dyDescent="0.25">
      <c r="B188" s="1358" t="s">
        <v>6897</v>
      </c>
      <c r="C188" s="1359" t="s">
        <v>6908</v>
      </c>
      <c r="D188" s="1360">
        <v>6279</v>
      </c>
      <c r="E188" s="1361" t="s">
        <v>1288</v>
      </c>
      <c r="F188" s="1360" t="s">
        <v>13</v>
      </c>
      <c r="G188" s="1362">
        <v>28034</v>
      </c>
      <c r="H188" s="1363" t="s">
        <v>3538</v>
      </c>
    </row>
    <row r="189" spans="2:8" x14ac:dyDescent="0.25">
      <c r="B189" s="1358" t="s">
        <v>6897</v>
      </c>
      <c r="C189" s="1359" t="s">
        <v>6908</v>
      </c>
      <c r="D189" s="1360">
        <v>6280</v>
      </c>
      <c r="E189" s="1361" t="s">
        <v>1289</v>
      </c>
      <c r="F189" s="1360" t="s">
        <v>13</v>
      </c>
      <c r="G189" s="1362">
        <v>59430</v>
      </c>
      <c r="H189" s="1363" t="s">
        <v>3538</v>
      </c>
    </row>
    <row r="190" spans="2:8" x14ac:dyDescent="0.25">
      <c r="B190" s="1358" t="s">
        <v>6897</v>
      </c>
      <c r="C190" s="1359" t="s">
        <v>6908</v>
      </c>
      <c r="D190" s="1360">
        <v>6281</v>
      </c>
      <c r="E190" s="1361" t="s">
        <v>1290</v>
      </c>
      <c r="F190" s="1360" t="s">
        <v>13</v>
      </c>
      <c r="G190" s="1362">
        <v>100381</v>
      </c>
      <c r="H190" s="1363" t="s">
        <v>3538</v>
      </c>
    </row>
    <row r="191" spans="2:8" x14ac:dyDescent="0.25">
      <c r="B191" s="1358" t="s">
        <v>6897</v>
      </c>
      <c r="C191" s="1359" t="s">
        <v>6908</v>
      </c>
      <c r="D191" s="1360">
        <v>6282</v>
      </c>
      <c r="E191" s="1361" t="s">
        <v>1291</v>
      </c>
      <c r="F191" s="1360" t="s">
        <v>13</v>
      </c>
      <c r="G191" s="1362">
        <v>156970</v>
      </c>
      <c r="H191" s="1363" t="s">
        <v>3538</v>
      </c>
    </row>
    <row r="192" spans="2:8" x14ac:dyDescent="0.25">
      <c r="B192" s="1358" t="s">
        <v>6897</v>
      </c>
      <c r="C192" s="1359" t="s">
        <v>6908</v>
      </c>
      <c r="D192" s="1360">
        <v>6283</v>
      </c>
      <c r="E192" s="1361" t="s">
        <v>1292</v>
      </c>
      <c r="F192" s="1360" t="s">
        <v>13</v>
      </c>
      <c r="G192" s="1362">
        <v>218339</v>
      </c>
      <c r="H192" s="1363" t="s">
        <v>3538</v>
      </c>
    </row>
    <row r="193" spans="2:8" x14ac:dyDescent="0.25">
      <c r="B193" s="1358" t="s">
        <v>6897</v>
      </c>
      <c r="C193" s="1359" t="s">
        <v>6898</v>
      </c>
      <c r="D193" s="1360">
        <v>6285</v>
      </c>
      <c r="E193" s="1361" t="s">
        <v>1293</v>
      </c>
      <c r="F193" s="1360" t="s">
        <v>3</v>
      </c>
      <c r="G193" s="1362">
        <v>520030</v>
      </c>
      <c r="H193" s="1363" t="s">
        <v>6899</v>
      </c>
    </row>
    <row r="194" spans="2:8" x14ac:dyDescent="0.25">
      <c r="B194" s="1358" t="s">
        <v>6897</v>
      </c>
      <c r="C194" s="1359" t="s">
        <v>6919</v>
      </c>
      <c r="D194" s="1360">
        <v>6295</v>
      </c>
      <c r="E194" s="1361" t="s">
        <v>1294</v>
      </c>
      <c r="F194" s="1360" t="s">
        <v>266</v>
      </c>
      <c r="G194" s="1362">
        <v>558110</v>
      </c>
      <c r="H194" s="1363" t="s">
        <v>6899</v>
      </c>
    </row>
    <row r="195" spans="2:8" x14ac:dyDescent="0.25">
      <c r="B195" s="1358" t="s">
        <v>6897</v>
      </c>
      <c r="C195" s="1359" t="s">
        <v>6919</v>
      </c>
      <c r="D195" s="1360">
        <v>6296</v>
      </c>
      <c r="E195" s="1361" t="s">
        <v>1295</v>
      </c>
      <c r="F195" s="1360" t="s">
        <v>266</v>
      </c>
      <c r="G195" s="1362">
        <v>716380</v>
      </c>
      <c r="H195" s="1363" t="s">
        <v>6899</v>
      </c>
    </row>
    <row r="196" spans="2:8" x14ac:dyDescent="0.25">
      <c r="B196" s="1358" t="s">
        <v>6897</v>
      </c>
      <c r="C196" s="1359" t="s">
        <v>6919</v>
      </c>
      <c r="D196" s="1360">
        <v>6297</v>
      </c>
      <c r="E196" s="1361" t="s">
        <v>1296</v>
      </c>
      <c r="F196" s="1360" t="s">
        <v>266</v>
      </c>
      <c r="G196" s="1362">
        <v>962710</v>
      </c>
      <c r="H196" s="1363" t="s">
        <v>6899</v>
      </c>
    </row>
    <row r="197" spans="2:8" x14ac:dyDescent="0.25">
      <c r="B197" s="1358" t="s">
        <v>6897</v>
      </c>
      <c r="C197" s="1359" t="s">
        <v>6919</v>
      </c>
      <c r="D197" s="1360">
        <v>6298</v>
      </c>
      <c r="E197" s="1361" t="s">
        <v>1297</v>
      </c>
      <c r="F197" s="1360" t="s">
        <v>266</v>
      </c>
      <c r="G197" s="1362">
        <v>572250</v>
      </c>
      <c r="H197" s="1363" t="s">
        <v>6899</v>
      </c>
    </row>
    <row r="198" spans="2:8" x14ac:dyDescent="0.25">
      <c r="B198" s="1358" t="s">
        <v>6897</v>
      </c>
      <c r="C198" s="1359" t="s">
        <v>6919</v>
      </c>
      <c r="D198" s="1360">
        <v>6303</v>
      </c>
      <c r="E198" s="1361" t="s">
        <v>1298</v>
      </c>
      <c r="F198" s="1360" t="s">
        <v>266</v>
      </c>
      <c r="G198" s="1362">
        <v>741370</v>
      </c>
      <c r="H198" s="1363" t="s">
        <v>6899</v>
      </c>
    </row>
    <row r="199" spans="2:8" x14ac:dyDescent="0.25">
      <c r="B199" s="1358" t="s">
        <v>6897</v>
      </c>
      <c r="C199" s="1359" t="s">
        <v>6919</v>
      </c>
      <c r="D199" s="1360">
        <v>6304</v>
      </c>
      <c r="E199" s="1361" t="s">
        <v>1299</v>
      </c>
      <c r="F199" s="1360" t="s">
        <v>266</v>
      </c>
      <c r="G199" s="1362">
        <v>886550</v>
      </c>
      <c r="H199" s="1363" t="s">
        <v>6899</v>
      </c>
    </row>
    <row r="200" spans="2:8" x14ac:dyDescent="0.25">
      <c r="B200" s="1358" t="s">
        <v>6897</v>
      </c>
      <c r="C200" s="1359" t="s">
        <v>6919</v>
      </c>
      <c r="D200" s="1360">
        <v>6305</v>
      </c>
      <c r="E200" s="1361" t="s">
        <v>1300</v>
      </c>
      <c r="F200" s="1360" t="s">
        <v>266</v>
      </c>
      <c r="G200" s="1362">
        <v>1223320</v>
      </c>
      <c r="H200" s="1363" t="s">
        <v>6899</v>
      </c>
    </row>
    <row r="201" spans="2:8" x14ac:dyDescent="0.25">
      <c r="B201" s="1358" t="s">
        <v>6897</v>
      </c>
      <c r="C201" s="1359" t="s">
        <v>6919</v>
      </c>
      <c r="D201" s="1360">
        <v>6306</v>
      </c>
      <c r="E201" s="1361" t="s">
        <v>1301</v>
      </c>
      <c r="F201" s="1360" t="s">
        <v>266</v>
      </c>
      <c r="G201" s="1362">
        <v>749700</v>
      </c>
      <c r="H201" s="1363" t="s">
        <v>6899</v>
      </c>
    </row>
    <row r="202" spans="2:8" x14ac:dyDescent="0.25">
      <c r="B202" s="1358" t="s">
        <v>6897</v>
      </c>
      <c r="C202" s="1359" t="s">
        <v>6919</v>
      </c>
      <c r="D202" s="1360">
        <v>6307</v>
      </c>
      <c r="E202" s="1361" t="s">
        <v>1302</v>
      </c>
      <c r="F202" s="1360" t="s">
        <v>266</v>
      </c>
      <c r="G202" s="1362">
        <v>985320</v>
      </c>
      <c r="H202" s="1363" t="s">
        <v>6899</v>
      </c>
    </row>
    <row r="203" spans="2:8" x14ac:dyDescent="0.25">
      <c r="B203" s="1358" t="s">
        <v>6897</v>
      </c>
      <c r="C203" s="1359" t="s">
        <v>6919</v>
      </c>
      <c r="D203" s="1360">
        <v>6308</v>
      </c>
      <c r="E203" s="1361" t="s">
        <v>1303</v>
      </c>
      <c r="F203" s="1360" t="s">
        <v>266</v>
      </c>
      <c r="G203" s="1362">
        <v>1122200</v>
      </c>
      <c r="H203" s="1363" t="s">
        <v>6899</v>
      </c>
    </row>
    <row r="204" spans="2:8" x14ac:dyDescent="0.25">
      <c r="B204" s="1358" t="s">
        <v>6897</v>
      </c>
      <c r="C204" s="1359" t="s">
        <v>6919</v>
      </c>
      <c r="D204" s="1360">
        <v>6309</v>
      </c>
      <c r="E204" s="1361" t="s">
        <v>1304</v>
      </c>
      <c r="F204" s="1360" t="s">
        <v>266</v>
      </c>
      <c r="G204" s="1362">
        <v>923440</v>
      </c>
      <c r="H204" s="1363" t="s">
        <v>6899</v>
      </c>
    </row>
    <row r="205" spans="2:8" x14ac:dyDescent="0.25">
      <c r="B205" s="1358" t="s">
        <v>6897</v>
      </c>
      <c r="C205" s="1359" t="s">
        <v>6919</v>
      </c>
      <c r="D205" s="1360">
        <v>6310</v>
      </c>
      <c r="E205" s="1361" t="s">
        <v>1305</v>
      </c>
      <c r="F205" s="1360" t="s">
        <v>266</v>
      </c>
      <c r="G205" s="1362">
        <v>1188810</v>
      </c>
      <c r="H205" s="1363" t="s">
        <v>6899</v>
      </c>
    </row>
    <row r="206" spans="2:8" x14ac:dyDescent="0.25">
      <c r="B206" s="1358" t="s">
        <v>6897</v>
      </c>
      <c r="C206" s="1359" t="s">
        <v>6919</v>
      </c>
      <c r="D206" s="1360">
        <v>6311</v>
      </c>
      <c r="E206" s="1361" t="s">
        <v>1306</v>
      </c>
      <c r="F206" s="1360" t="s">
        <v>266</v>
      </c>
      <c r="G206" s="1362">
        <v>2000000</v>
      </c>
      <c r="H206" s="1363" t="s">
        <v>6899</v>
      </c>
    </row>
    <row r="207" spans="2:8" x14ac:dyDescent="0.25">
      <c r="B207" s="1358" t="s">
        <v>6897</v>
      </c>
      <c r="C207" s="1359" t="s">
        <v>6919</v>
      </c>
      <c r="D207" s="1360">
        <v>6312</v>
      </c>
      <c r="E207" s="1361" t="s">
        <v>1307</v>
      </c>
      <c r="F207" s="1360" t="s">
        <v>266</v>
      </c>
      <c r="G207" s="1362">
        <v>1055292</v>
      </c>
      <c r="H207" s="1363" t="s">
        <v>6899</v>
      </c>
    </row>
    <row r="208" spans="2:8" x14ac:dyDescent="0.25">
      <c r="B208" s="1358" t="s">
        <v>6897</v>
      </c>
      <c r="C208" s="1359" t="s">
        <v>6919</v>
      </c>
      <c r="D208" s="1360">
        <v>6314</v>
      </c>
      <c r="E208" s="1361" t="s">
        <v>1308</v>
      </c>
      <c r="F208" s="1360" t="s">
        <v>266</v>
      </c>
      <c r="G208" s="1362">
        <v>1679150</v>
      </c>
      <c r="H208" s="1363" t="s">
        <v>6899</v>
      </c>
    </row>
    <row r="209" spans="2:8" x14ac:dyDescent="0.25">
      <c r="B209" s="1358" t="s">
        <v>6897</v>
      </c>
      <c r="C209" s="1359" t="s">
        <v>6919</v>
      </c>
      <c r="D209" s="1360">
        <v>6315</v>
      </c>
      <c r="E209" s="1361" t="s">
        <v>1309</v>
      </c>
      <c r="F209" s="1360" t="s">
        <v>266</v>
      </c>
      <c r="G209" s="1362">
        <v>1738590</v>
      </c>
      <c r="H209" s="1363" t="s">
        <v>6899</v>
      </c>
    </row>
    <row r="210" spans="2:8" x14ac:dyDescent="0.25">
      <c r="B210" s="1358" t="s">
        <v>6897</v>
      </c>
      <c r="C210" s="1359" t="s">
        <v>6919</v>
      </c>
      <c r="D210" s="1360">
        <v>6316</v>
      </c>
      <c r="E210" s="1361" t="s">
        <v>1310</v>
      </c>
      <c r="F210" s="1360" t="s">
        <v>266</v>
      </c>
      <c r="G210" s="1362">
        <v>2068220</v>
      </c>
      <c r="H210" s="1363" t="s">
        <v>6899</v>
      </c>
    </row>
    <row r="211" spans="2:8" x14ac:dyDescent="0.25">
      <c r="B211" s="1358" t="s">
        <v>6897</v>
      </c>
      <c r="C211" s="1359" t="s">
        <v>6919</v>
      </c>
      <c r="D211" s="1360">
        <v>6317</v>
      </c>
      <c r="E211" s="1361" t="s">
        <v>1311</v>
      </c>
      <c r="F211" s="1360" t="s">
        <v>266</v>
      </c>
      <c r="G211" s="1362">
        <v>2420460</v>
      </c>
      <c r="H211" s="1363" t="s">
        <v>6899</v>
      </c>
    </row>
    <row r="212" spans="2:8" x14ac:dyDescent="0.25">
      <c r="B212" s="1358" t="s">
        <v>6897</v>
      </c>
      <c r="C212" s="1359" t="s">
        <v>6919</v>
      </c>
      <c r="D212" s="1360">
        <v>6318</v>
      </c>
      <c r="E212" s="1361" t="s">
        <v>1312</v>
      </c>
      <c r="F212" s="1360" t="s">
        <v>266</v>
      </c>
      <c r="G212" s="1362">
        <v>1826650</v>
      </c>
      <c r="H212" s="1363" t="s">
        <v>6899</v>
      </c>
    </row>
    <row r="213" spans="2:8" x14ac:dyDescent="0.25">
      <c r="B213" s="1358" t="s">
        <v>6897</v>
      </c>
      <c r="C213" s="1359" t="s">
        <v>6919</v>
      </c>
      <c r="D213" s="1360">
        <v>6319</v>
      </c>
      <c r="E213" s="1361" t="s">
        <v>1313</v>
      </c>
      <c r="F213" s="1360" t="s">
        <v>266</v>
      </c>
      <c r="G213" s="1362">
        <v>2140250</v>
      </c>
      <c r="H213" s="1363" t="s">
        <v>6899</v>
      </c>
    </row>
    <row r="214" spans="2:8" x14ac:dyDescent="0.25">
      <c r="B214" s="1358" t="s">
        <v>6897</v>
      </c>
      <c r="C214" s="1359" t="s">
        <v>6919</v>
      </c>
      <c r="D214" s="1360">
        <v>6320</v>
      </c>
      <c r="E214" s="1361" t="s">
        <v>1314</v>
      </c>
      <c r="F214" s="1360" t="s">
        <v>266</v>
      </c>
      <c r="G214" s="1362">
        <v>2701776</v>
      </c>
      <c r="H214" s="1363" t="s">
        <v>6899</v>
      </c>
    </row>
    <row r="215" spans="2:8" x14ac:dyDescent="0.25">
      <c r="B215" s="1358" t="s">
        <v>6897</v>
      </c>
      <c r="C215" s="1359" t="s">
        <v>6919</v>
      </c>
      <c r="D215" s="1360">
        <v>6324</v>
      </c>
      <c r="E215" s="1361" t="s">
        <v>1315</v>
      </c>
      <c r="F215" s="1360" t="s">
        <v>266</v>
      </c>
      <c r="G215" s="1362">
        <v>4058495</v>
      </c>
      <c r="H215" s="1363" t="s">
        <v>6899</v>
      </c>
    </row>
    <row r="216" spans="2:8" x14ac:dyDescent="0.25">
      <c r="B216" s="1358" t="s">
        <v>6897</v>
      </c>
      <c r="C216" s="1359" t="s">
        <v>6919</v>
      </c>
      <c r="D216" s="1360">
        <v>6326</v>
      </c>
      <c r="E216" s="1361" t="s">
        <v>1316</v>
      </c>
      <c r="F216" s="1360" t="s">
        <v>266</v>
      </c>
      <c r="G216" s="1362">
        <v>3433864</v>
      </c>
      <c r="H216" s="1363" t="s">
        <v>6899</v>
      </c>
    </row>
    <row r="217" spans="2:8" x14ac:dyDescent="0.25">
      <c r="B217" s="1358" t="s">
        <v>6897</v>
      </c>
      <c r="C217" s="1359" t="s">
        <v>6919</v>
      </c>
      <c r="D217" s="1360">
        <v>6327</v>
      </c>
      <c r="E217" s="1361" t="s">
        <v>1317</v>
      </c>
      <c r="F217" s="1360" t="s">
        <v>266</v>
      </c>
      <c r="G217" s="1362">
        <v>1242539</v>
      </c>
      <c r="H217" s="1363" t="s">
        <v>6899</v>
      </c>
    </row>
    <row r="218" spans="2:8" x14ac:dyDescent="0.25">
      <c r="B218" s="1358" t="s">
        <v>6897</v>
      </c>
      <c r="C218" s="1359" t="s">
        <v>6919</v>
      </c>
      <c r="D218" s="1360">
        <v>6328</v>
      </c>
      <c r="E218" s="1361" t="s">
        <v>1318</v>
      </c>
      <c r="F218" s="1360" t="s">
        <v>266</v>
      </c>
      <c r="G218" s="1362">
        <v>1346069</v>
      </c>
      <c r="H218" s="1363" t="s">
        <v>6899</v>
      </c>
    </row>
    <row r="219" spans="2:8" x14ac:dyDescent="0.25">
      <c r="B219" s="1358" t="s">
        <v>6897</v>
      </c>
      <c r="C219" s="1359" t="s">
        <v>6919</v>
      </c>
      <c r="D219" s="1360">
        <v>6329</v>
      </c>
      <c r="E219" s="1361" t="s">
        <v>1319</v>
      </c>
      <c r="F219" s="1360" t="s">
        <v>266</v>
      </c>
      <c r="G219" s="1362">
        <v>214200</v>
      </c>
      <c r="H219" s="1363" t="s">
        <v>6899</v>
      </c>
    </row>
    <row r="220" spans="2:8" x14ac:dyDescent="0.25">
      <c r="B220" s="1358" t="s">
        <v>6897</v>
      </c>
      <c r="C220" s="1359" t="s">
        <v>6919</v>
      </c>
      <c r="D220" s="1360">
        <v>6330</v>
      </c>
      <c r="E220" s="1361" t="s">
        <v>1320</v>
      </c>
      <c r="F220" s="1360" t="s">
        <v>266</v>
      </c>
      <c r="G220" s="1362">
        <v>333200</v>
      </c>
      <c r="H220" s="1363" t="s">
        <v>6899</v>
      </c>
    </row>
    <row r="221" spans="2:8" x14ac:dyDescent="0.25">
      <c r="B221" s="1358" t="s">
        <v>6897</v>
      </c>
      <c r="C221" s="1359" t="s">
        <v>6919</v>
      </c>
      <c r="D221" s="1360">
        <v>6331</v>
      </c>
      <c r="E221" s="1361" t="s">
        <v>1321</v>
      </c>
      <c r="F221" s="1360" t="s">
        <v>266</v>
      </c>
      <c r="G221" s="1362">
        <v>297500</v>
      </c>
      <c r="H221" s="1363" t="s">
        <v>6899</v>
      </c>
    </row>
    <row r="222" spans="2:8" x14ac:dyDescent="0.25">
      <c r="B222" s="1358" t="s">
        <v>6897</v>
      </c>
      <c r="C222" s="1359" t="s">
        <v>6920</v>
      </c>
      <c r="D222" s="1360">
        <v>6332</v>
      </c>
      <c r="E222" s="1361" t="s">
        <v>1322</v>
      </c>
      <c r="F222" s="1360" t="s">
        <v>266</v>
      </c>
      <c r="G222" s="1362">
        <v>416500</v>
      </c>
      <c r="H222" s="1363" t="s">
        <v>6899</v>
      </c>
    </row>
    <row r="223" spans="2:8" x14ac:dyDescent="0.25">
      <c r="B223" s="1358" t="s">
        <v>6897</v>
      </c>
      <c r="C223" s="1359" t="s">
        <v>6920</v>
      </c>
      <c r="D223" s="1360">
        <v>6333</v>
      </c>
      <c r="E223" s="1361" t="s">
        <v>1323</v>
      </c>
      <c r="F223" s="1360" t="s">
        <v>266</v>
      </c>
      <c r="G223" s="1362">
        <v>630700</v>
      </c>
      <c r="H223" s="1363" t="s">
        <v>6899</v>
      </c>
    </row>
    <row r="224" spans="2:8" x14ac:dyDescent="0.25">
      <c r="B224" s="1358" t="s">
        <v>6897</v>
      </c>
      <c r="C224" s="1359" t="s">
        <v>6920</v>
      </c>
      <c r="D224" s="1360">
        <v>6334</v>
      </c>
      <c r="E224" s="1361" t="s">
        <v>1324</v>
      </c>
      <c r="F224" s="1360" t="s">
        <v>266</v>
      </c>
      <c r="G224" s="1362">
        <v>151033</v>
      </c>
      <c r="H224" s="1363" t="s">
        <v>6899</v>
      </c>
    </row>
    <row r="225" spans="2:8" x14ac:dyDescent="0.25">
      <c r="B225" s="1358" t="s">
        <v>6897</v>
      </c>
      <c r="C225" s="1359" t="s">
        <v>6920</v>
      </c>
      <c r="D225" s="1360">
        <v>6335</v>
      </c>
      <c r="E225" s="1361" t="s">
        <v>1325</v>
      </c>
      <c r="F225" s="1360" t="s">
        <v>266</v>
      </c>
      <c r="G225" s="1362">
        <v>171414</v>
      </c>
      <c r="H225" s="1363" t="s">
        <v>6899</v>
      </c>
    </row>
    <row r="226" spans="2:8" x14ac:dyDescent="0.25">
      <c r="B226" s="1358" t="s">
        <v>6897</v>
      </c>
      <c r="C226" s="1359" t="s">
        <v>6920</v>
      </c>
      <c r="D226" s="1360">
        <v>6337</v>
      </c>
      <c r="E226" s="1361" t="s">
        <v>1326</v>
      </c>
      <c r="F226" s="1360" t="s">
        <v>266</v>
      </c>
      <c r="G226" s="1362">
        <v>511700</v>
      </c>
      <c r="H226" s="1363" t="s">
        <v>6899</v>
      </c>
    </row>
    <row r="227" spans="2:8" x14ac:dyDescent="0.25">
      <c r="B227" s="1358" t="s">
        <v>6897</v>
      </c>
      <c r="C227" s="1359" t="s">
        <v>6912</v>
      </c>
      <c r="D227" s="1360">
        <v>6356</v>
      </c>
      <c r="E227" s="1361" t="s">
        <v>1327</v>
      </c>
      <c r="F227" s="1360" t="s">
        <v>1124</v>
      </c>
      <c r="G227" s="1362">
        <v>53978</v>
      </c>
      <c r="H227" s="1363" t="s">
        <v>6899</v>
      </c>
    </row>
    <row r="228" spans="2:8" x14ac:dyDescent="0.25">
      <c r="B228" s="1358" t="s">
        <v>6897</v>
      </c>
      <c r="C228" s="1359" t="s">
        <v>6921</v>
      </c>
      <c r="D228" s="1360">
        <v>6370</v>
      </c>
      <c r="E228" s="1361" t="s">
        <v>1328</v>
      </c>
      <c r="F228" s="1360" t="s">
        <v>266</v>
      </c>
      <c r="G228" s="1362">
        <v>499800</v>
      </c>
      <c r="H228" s="1363" t="s">
        <v>3538</v>
      </c>
    </row>
    <row r="229" spans="2:8" x14ac:dyDescent="0.25">
      <c r="B229" s="1358" t="s">
        <v>6897</v>
      </c>
      <c r="C229" s="1359" t="s">
        <v>6921</v>
      </c>
      <c r="D229" s="1360">
        <v>6371</v>
      </c>
      <c r="E229" s="1361" t="s">
        <v>1329</v>
      </c>
      <c r="F229" s="1360" t="s">
        <v>266</v>
      </c>
      <c r="G229" s="1362">
        <v>499800</v>
      </c>
      <c r="H229" s="1363" t="s">
        <v>3538</v>
      </c>
    </row>
    <row r="230" spans="2:8" x14ac:dyDescent="0.25">
      <c r="B230" s="1358" t="s">
        <v>6897</v>
      </c>
      <c r="C230" s="1359" t="s">
        <v>6921</v>
      </c>
      <c r="D230" s="1360">
        <v>6372</v>
      </c>
      <c r="E230" s="1361" t="s">
        <v>1330</v>
      </c>
      <c r="F230" s="1360" t="s">
        <v>266</v>
      </c>
      <c r="G230" s="1362">
        <v>523600</v>
      </c>
      <c r="H230" s="1363" t="s">
        <v>3538</v>
      </c>
    </row>
    <row r="231" spans="2:8" x14ac:dyDescent="0.25">
      <c r="B231" s="1358" t="s">
        <v>6897</v>
      </c>
      <c r="C231" s="1359" t="s">
        <v>6921</v>
      </c>
      <c r="D231" s="1360">
        <v>6373</v>
      </c>
      <c r="E231" s="1361" t="s">
        <v>1331</v>
      </c>
      <c r="F231" s="1360" t="s">
        <v>266</v>
      </c>
      <c r="G231" s="1362">
        <v>553350</v>
      </c>
      <c r="H231" s="1363" t="s">
        <v>3538</v>
      </c>
    </row>
    <row r="232" spans="2:8" x14ac:dyDescent="0.25">
      <c r="B232" s="1358" t="s">
        <v>6897</v>
      </c>
      <c r="C232" s="1359" t="s">
        <v>6921</v>
      </c>
      <c r="D232" s="1360">
        <v>6375</v>
      </c>
      <c r="E232" s="1361" t="s">
        <v>1332</v>
      </c>
      <c r="F232" s="1360" t="s">
        <v>266</v>
      </c>
      <c r="G232" s="1362">
        <v>743750</v>
      </c>
      <c r="H232" s="1363" t="s">
        <v>3538</v>
      </c>
    </row>
    <row r="233" spans="2:8" x14ac:dyDescent="0.25">
      <c r="B233" s="1358" t="s">
        <v>6897</v>
      </c>
      <c r="C233" s="1359" t="s">
        <v>6921</v>
      </c>
      <c r="D233" s="1360">
        <v>6376</v>
      </c>
      <c r="E233" s="1361" t="s">
        <v>1333</v>
      </c>
      <c r="F233" s="1360" t="s">
        <v>266</v>
      </c>
      <c r="G233" s="1362">
        <v>827050</v>
      </c>
      <c r="H233" s="1363" t="s">
        <v>3538</v>
      </c>
    </row>
    <row r="234" spans="2:8" x14ac:dyDescent="0.25">
      <c r="B234" s="1358" t="s">
        <v>6897</v>
      </c>
      <c r="C234" s="1359" t="s">
        <v>6921</v>
      </c>
      <c r="D234" s="1360">
        <v>6377</v>
      </c>
      <c r="E234" s="1361" t="s">
        <v>1334</v>
      </c>
      <c r="F234" s="1360" t="s">
        <v>266</v>
      </c>
      <c r="G234" s="1362">
        <v>846717</v>
      </c>
      <c r="H234" s="1363" t="s">
        <v>3538</v>
      </c>
    </row>
    <row r="235" spans="2:8" x14ac:dyDescent="0.25">
      <c r="B235" s="1358" t="s">
        <v>6897</v>
      </c>
      <c r="C235" s="1359" t="s">
        <v>6921</v>
      </c>
      <c r="D235" s="1360">
        <v>6378</v>
      </c>
      <c r="E235" s="1361" t="s">
        <v>1335</v>
      </c>
      <c r="F235" s="1360" t="s">
        <v>266</v>
      </c>
      <c r="G235" s="1362">
        <v>880600</v>
      </c>
      <c r="H235" s="1363" t="s">
        <v>3538</v>
      </c>
    </row>
    <row r="236" spans="2:8" x14ac:dyDescent="0.25">
      <c r="B236" s="1358" t="s">
        <v>6897</v>
      </c>
      <c r="C236" s="1359" t="s">
        <v>6921</v>
      </c>
      <c r="D236" s="1360">
        <v>6379</v>
      </c>
      <c r="E236" s="1361" t="s">
        <v>1336</v>
      </c>
      <c r="F236" s="1360" t="s">
        <v>266</v>
      </c>
      <c r="G236" s="1362">
        <v>925027</v>
      </c>
      <c r="H236" s="1363" t="s">
        <v>3538</v>
      </c>
    </row>
    <row r="237" spans="2:8" x14ac:dyDescent="0.25">
      <c r="B237" s="1358" t="s">
        <v>6897</v>
      </c>
      <c r="C237" s="1359" t="s">
        <v>6921</v>
      </c>
      <c r="D237" s="1360">
        <v>6380</v>
      </c>
      <c r="E237" s="1361" t="s">
        <v>1337</v>
      </c>
      <c r="F237" s="1360" t="s">
        <v>266</v>
      </c>
      <c r="G237" s="1362">
        <v>1256647</v>
      </c>
      <c r="H237" s="1363" t="s">
        <v>3538</v>
      </c>
    </row>
    <row r="238" spans="2:8" x14ac:dyDescent="0.25">
      <c r="B238" s="1358" t="s">
        <v>6897</v>
      </c>
      <c r="C238" s="1359" t="s">
        <v>6921</v>
      </c>
      <c r="D238" s="1360">
        <v>6381</v>
      </c>
      <c r="E238" s="1361" t="s">
        <v>1338</v>
      </c>
      <c r="F238" s="1360" t="s">
        <v>266</v>
      </c>
      <c r="G238" s="1362">
        <v>1348666</v>
      </c>
      <c r="H238" s="1363" t="s">
        <v>3538</v>
      </c>
    </row>
    <row r="239" spans="2:8" x14ac:dyDescent="0.25">
      <c r="B239" s="1358" t="s">
        <v>6897</v>
      </c>
      <c r="C239" s="1359" t="s">
        <v>6921</v>
      </c>
      <c r="D239" s="1360">
        <v>6382</v>
      </c>
      <c r="E239" s="1361" t="s">
        <v>1339</v>
      </c>
      <c r="F239" s="1360" t="s">
        <v>266</v>
      </c>
      <c r="G239" s="1362">
        <v>1388334</v>
      </c>
      <c r="H239" s="1363" t="s">
        <v>3538</v>
      </c>
    </row>
    <row r="240" spans="2:8" x14ac:dyDescent="0.25">
      <c r="B240" s="1358" t="s">
        <v>6897</v>
      </c>
      <c r="C240" s="1359" t="s">
        <v>6921</v>
      </c>
      <c r="D240" s="1360">
        <v>6383</v>
      </c>
      <c r="E240" s="1361" t="s">
        <v>1340</v>
      </c>
      <c r="F240" s="1360" t="s">
        <v>266</v>
      </c>
      <c r="G240" s="1362">
        <v>1557710</v>
      </c>
      <c r="H240" s="1363" t="s">
        <v>3538</v>
      </c>
    </row>
    <row r="241" spans="2:8" x14ac:dyDescent="0.25">
      <c r="B241" s="1358" t="s">
        <v>6897</v>
      </c>
      <c r="C241" s="1359" t="s">
        <v>6921</v>
      </c>
      <c r="D241" s="1360">
        <v>6384</v>
      </c>
      <c r="E241" s="1361" t="s">
        <v>1341</v>
      </c>
      <c r="F241" s="1360" t="s">
        <v>266</v>
      </c>
      <c r="G241" s="1362">
        <v>1804040</v>
      </c>
      <c r="H241" s="1363" t="s">
        <v>3538</v>
      </c>
    </row>
    <row r="242" spans="2:8" x14ac:dyDescent="0.25">
      <c r="B242" s="1358" t="s">
        <v>6897</v>
      </c>
      <c r="C242" s="1359" t="s">
        <v>6921</v>
      </c>
      <c r="D242" s="1360">
        <v>6385</v>
      </c>
      <c r="E242" s="1361" t="s">
        <v>1342</v>
      </c>
      <c r="F242" s="1360" t="s">
        <v>266</v>
      </c>
      <c r="G242" s="1362">
        <v>1998097</v>
      </c>
      <c r="H242" s="1363" t="s">
        <v>3538</v>
      </c>
    </row>
    <row r="243" spans="2:8" x14ac:dyDescent="0.25">
      <c r="B243" s="1358" t="s">
        <v>6897</v>
      </c>
      <c r="C243" s="1359" t="s">
        <v>6921</v>
      </c>
      <c r="D243" s="1360">
        <v>6387</v>
      </c>
      <c r="E243" s="1361" t="s">
        <v>1343</v>
      </c>
      <c r="F243" s="1360" t="s">
        <v>266</v>
      </c>
      <c r="G243" s="1362">
        <v>1810509</v>
      </c>
      <c r="H243" s="1363" t="s">
        <v>3538</v>
      </c>
    </row>
    <row r="244" spans="2:8" x14ac:dyDescent="0.25">
      <c r="B244" s="1358" t="s">
        <v>6897</v>
      </c>
      <c r="C244" s="1359" t="s">
        <v>6921</v>
      </c>
      <c r="D244" s="1360">
        <v>6388</v>
      </c>
      <c r="E244" s="1361" t="s">
        <v>1344</v>
      </c>
      <c r="F244" s="1360" t="s">
        <v>266</v>
      </c>
      <c r="G244" s="1362">
        <v>1911757</v>
      </c>
      <c r="H244" s="1363" t="s">
        <v>3538</v>
      </c>
    </row>
    <row r="245" spans="2:8" x14ac:dyDescent="0.25">
      <c r="B245" s="1358" t="s">
        <v>6897</v>
      </c>
      <c r="C245" s="1359" t="s">
        <v>6921</v>
      </c>
      <c r="D245" s="1360">
        <v>6389</v>
      </c>
      <c r="E245" s="1361" t="s">
        <v>1345</v>
      </c>
      <c r="F245" s="1360" t="s">
        <v>266</v>
      </c>
      <c r="G245" s="1362">
        <v>2120206</v>
      </c>
      <c r="H245" s="1363" t="s">
        <v>3538</v>
      </c>
    </row>
    <row r="246" spans="2:8" x14ac:dyDescent="0.25">
      <c r="B246" s="1358" t="s">
        <v>6897</v>
      </c>
      <c r="C246" s="1359" t="s">
        <v>6921</v>
      </c>
      <c r="D246" s="1360">
        <v>6390</v>
      </c>
      <c r="E246" s="1361" t="s">
        <v>1346</v>
      </c>
      <c r="F246" s="1360" t="s">
        <v>266</v>
      </c>
      <c r="G246" s="1362">
        <v>2319700</v>
      </c>
      <c r="H246" s="1363" t="s">
        <v>3538</v>
      </c>
    </row>
    <row r="247" spans="2:8" x14ac:dyDescent="0.25">
      <c r="B247" s="1358" t="s">
        <v>6897</v>
      </c>
      <c r="C247" s="1359" t="s">
        <v>6921</v>
      </c>
      <c r="D247" s="1360">
        <v>6391</v>
      </c>
      <c r="E247" s="1361" t="s">
        <v>1347</v>
      </c>
      <c r="F247" s="1360" t="s">
        <v>266</v>
      </c>
      <c r="G247" s="1362">
        <v>2602583</v>
      </c>
      <c r="H247" s="1363" t="s">
        <v>3538</v>
      </c>
    </row>
    <row r="248" spans="2:8" x14ac:dyDescent="0.25">
      <c r="B248" s="1358" t="s">
        <v>6897</v>
      </c>
      <c r="C248" s="1359" t="s">
        <v>6921</v>
      </c>
      <c r="D248" s="1360">
        <v>6392</v>
      </c>
      <c r="E248" s="1361" t="s">
        <v>1348</v>
      </c>
      <c r="F248" s="1360" t="s">
        <v>266</v>
      </c>
      <c r="G248" s="1362">
        <v>2930138</v>
      </c>
      <c r="H248" s="1363" t="s">
        <v>3538</v>
      </c>
    </row>
    <row r="249" spans="2:8" x14ac:dyDescent="0.25">
      <c r="B249" s="1358" t="s">
        <v>6897</v>
      </c>
      <c r="C249" s="1359" t="s">
        <v>6921</v>
      </c>
      <c r="D249" s="1360">
        <v>6393</v>
      </c>
      <c r="E249" s="1361" t="s">
        <v>1349</v>
      </c>
      <c r="F249" s="1360" t="s">
        <v>266</v>
      </c>
      <c r="G249" s="1362">
        <v>7126190</v>
      </c>
      <c r="H249" s="1363" t="s">
        <v>3538</v>
      </c>
    </row>
    <row r="250" spans="2:8" x14ac:dyDescent="0.25">
      <c r="B250" s="1358" t="s">
        <v>6897</v>
      </c>
      <c r="C250" s="1359" t="s">
        <v>6921</v>
      </c>
      <c r="D250" s="1360">
        <v>6394</v>
      </c>
      <c r="E250" s="1361" t="s">
        <v>1350</v>
      </c>
      <c r="F250" s="1360" t="s">
        <v>266</v>
      </c>
      <c r="G250" s="1362">
        <v>8116997</v>
      </c>
      <c r="H250" s="1363" t="s">
        <v>3538</v>
      </c>
    </row>
    <row r="251" spans="2:8" x14ac:dyDescent="0.25">
      <c r="B251" s="1358" t="s">
        <v>6897</v>
      </c>
      <c r="C251" s="1359" t="s">
        <v>6921</v>
      </c>
      <c r="D251" s="1360">
        <v>6395</v>
      </c>
      <c r="E251" s="1361" t="s">
        <v>1351</v>
      </c>
      <c r="F251" s="1360" t="s">
        <v>266</v>
      </c>
      <c r="G251" s="1362">
        <v>8879157</v>
      </c>
      <c r="H251" s="1363" t="s">
        <v>3538</v>
      </c>
    </row>
    <row r="252" spans="2:8" x14ac:dyDescent="0.25">
      <c r="B252" s="1358" t="s">
        <v>6897</v>
      </c>
      <c r="C252" s="1359" t="s">
        <v>6921</v>
      </c>
      <c r="D252" s="1360">
        <v>6396</v>
      </c>
      <c r="E252" s="1361" t="s">
        <v>1352</v>
      </c>
      <c r="F252" s="1360" t="s">
        <v>266</v>
      </c>
      <c r="G252" s="1362">
        <v>9450776</v>
      </c>
      <c r="H252" s="1363" t="s">
        <v>3538</v>
      </c>
    </row>
    <row r="253" spans="2:8" x14ac:dyDescent="0.25">
      <c r="B253" s="1358" t="s">
        <v>6897</v>
      </c>
      <c r="C253" s="1359" t="s">
        <v>6921</v>
      </c>
      <c r="D253" s="1360">
        <v>6397</v>
      </c>
      <c r="E253" s="1361" t="s">
        <v>1353</v>
      </c>
      <c r="F253" s="1360" t="s">
        <v>266</v>
      </c>
      <c r="G253" s="1362">
        <v>9908072</v>
      </c>
      <c r="H253" s="1363" t="s">
        <v>3538</v>
      </c>
    </row>
    <row r="254" spans="2:8" x14ac:dyDescent="0.25">
      <c r="B254" s="1358" t="s">
        <v>6897</v>
      </c>
      <c r="C254" s="1359" t="s">
        <v>6921</v>
      </c>
      <c r="D254" s="1360">
        <v>6398</v>
      </c>
      <c r="E254" s="1361" t="s">
        <v>1354</v>
      </c>
      <c r="F254" s="1360" t="s">
        <v>266</v>
      </c>
      <c r="G254" s="1362">
        <v>10708339</v>
      </c>
      <c r="H254" s="1363" t="s">
        <v>3538</v>
      </c>
    </row>
    <row r="255" spans="2:8" x14ac:dyDescent="0.25">
      <c r="B255" s="1358" t="s">
        <v>6897</v>
      </c>
      <c r="C255" s="1359" t="s">
        <v>6921</v>
      </c>
      <c r="D255" s="1360">
        <v>6399</v>
      </c>
      <c r="E255" s="1361" t="s">
        <v>1355</v>
      </c>
      <c r="F255" s="1360" t="s">
        <v>266</v>
      </c>
      <c r="G255" s="1362">
        <v>11279959</v>
      </c>
      <c r="H255" s="1363" t="s">
        <v>3538</v>
      </c>
    </row>
    <row r="256" spans="2:8" x14ac:dyDescent="0.25">
      <c r="B256" s="1358" t="s">
        <v>6897</v>
      </c>
      <c r="C256" s="1359" t="s">
        <v>6921</v>
      </c>
      <c r="D256" s="1360">
        <v>6400</v>
      </c>
      <c r="E256" s="1361" t="s">
        <v>1356</v>
      </c>
      <c r="F256" s="1360" t="s">
        <v>266</v>
      </c>
      <c r="G256" s="1362">
        <v>12880494</v>
      </c>
      <c r="H256" s="1363" t="s">
        <v>3538</v>
      </c>
    </row>
    <row r="257" spans="2:8" x14ac:dyDescent="0.25">
      <c r="B257" s="1358" t="s">
        <v>6897</v>
      </c>
      <c r="C257" s="1359" t="s">
        <v>6921</v>
      </c>
      <c r="D257" s="1360">
        <v>6401</v>
      </c>
      <c r="E257" s="1361" t="s">
        <v>1357</v>
      </c>
      <c r="F257" s="1360" t="s">
        <v>266</v>
      </c>
      <c r="G257" s="1362">
        <v>279650</v>
      </c>
      <c r="H257" s="1363" t="s">
        <v>3538</v>
      </c>
    </row>
    <row r="258" spans="2:8" x14ac:dyDescent="0.25">
      <c r="B258" s="1358" t="s">
        <v>6897</v>
      </c>
      <c r="C258" s="1359" t="s">
        <v>6921</v>
      </c>
      <c r="D258" s="1360">
        <v>6402</v>
      </c>
      <c r="E258" s="1361" t="s">
        <v>1358</v>
      </c>
      <c r="F258" s="1360" t="s">
        <v>266</v>
      </c>
      <c r="G258" s="1362">
        <v>333200</v>
      </c>
      <c r="H258" s="1363" t="s">
        <v>3538</v>
      </c>
    </row>
    <row r="259" spans="2:8" x14ac:dyDescent="0.25">
      <c r="B259" s="1358" t="s">
        <v>6897</v>
      </c>
      <c r="C259" s="1359" t="s">
        <v>6921</v>
      </c>
      <c r="D259" s="1360">
        <v>6404</v>
      </c>
      <c r="E259" s="1361" t="s">
        <v>1359</v>
      </c>
      <c r="F259" s="1360" t="s">
        <v>266</v>
      </c>
      <c r="G259" s="1362">
        <v>115430</v>
      </c>
      <c r="H259" s="1363" t="s">
        <v>3538</v>
      </c>
    </row>
    <row r="260" spans="2:8" x14ac:dyDescent="0.25">
      <c r="B260" s="1358" t="s">
        <v>6897</v>
      </c>
      <c r="C260" s="1359" t="s">
        <v>6921</v>
      </c>
      <c r="D260" s="1360">
        <v>6405</v>
      </c>
      <c r="E260" s="1361" t="s">
        <v>1360</v>
      </c>
      <c r="F260" s="1360" t="s">
        <v>266</v>
      </c>
      <c r="G260" s="1362">
        <v>160650</v>
      </c>
      <c r="H260" s="1363" t="s">
        <v>3538</v>
      </c>
    </row>
    <row r="261" spans="2:8" x14ac:dyDescent="0.25">
      <c r="B261" s="1358" t="s">
        <v>6897</v>
      </c>
      <c r="C261" s="1359" t="s">
        <v>6921</v>
      </c>
      <c r="D261" s="1360">
        <v>6406</v>
      </c>
      <c r="E261" s="1361" t="s">
        <v>1361</v>
      </c>
      <c r="F261" s="1360" t="s">
        <v>266</v>
      </c>
      <c r="G261" s="1362">
        <v>249900</v>
      </c>
      <c r="H261" s="1363" t="s">
        <v>3538</v>
      </c>
    </row>
    <row r="262" spans="2:8" x14ac:dyDescent="0.25">
      <c r="B262" s="1358" t="s">
        <v>6897</v>
      </c>
      <c r="C262" s="1359" t="s">
        <v>6921</v>
      </c>
      <c r="D262" s="1360">
        <v>6407</v>
      </c>
      <c r="E262" s="1361" t="s">
        <v>1362</v>
      </c>
      <c r="F262" s="1360" t="s">
        <v>266</v>
      </c>
      <c r="G262" s="1362">
        <v>529550</v>
      </c>
      <c r="H262" s="1363" t="s">
        <v>3538</v>
      </c>
    </row>
    <row r="263" spans="2:8" x14ac:dyDescent="0.25">
      <c r="B263" s="1358" t="s">
        <v>6897</v>
      </c>
      <c r="C263" s="1359" t="s">
        <v>6921</v>
      </c>
      <c r="D263" s="1360">
        <v>6408</v>
      </c>
      <c r="E263" s="1361" t="s">
        <v>1363</v>
      </c>
      <c r="F263" s="1360" t="s">
        <v>266</v>
      </c>
      <c r="G263" s="1362">
        <v>941909</v>
      </c>
      <c r="H263" s="1363" t="s">
        <v>3538</v>
      </c>
    </row>
    <row r="264" spans="2:8" x14ac:dyDescent="0.25">
      <c r="B264" s="1358" t="s">
        <v>6897</v>
      </c>
      <c r="C264" s="1359" t="s">
        <v>6921</v>
      </c>
      <c r="D264" s="1360">
        <v>6409</v>
      </c>
      <c r="E264" s="1361" t="s">
        <v>1364</v>
      </c>
      <c r="F264" s="1360" t="s">
        <v>266</v>
      </c>
      <c r="G264" s="1362">
        <v>1441222</v>
      </c>
      <c r="H264" s="1363" t="s">
        <v>3538</v>
      </c>
    </row>
    <row r="265" spans="2:8" x14ac:dyDescent="0.25">
      <c r="B265" s="1358" t="s">
        <v>6897</v>
      </c>
      <c r="C265" s="1359" t="s">
        <v>6921</v>
      </c>
      <c r="D265" s="1360">
        <v>6410</v>
      </c>
      <c r="E265" s="1361" t="s">
        <v>1365</v>
      </c>
      <c r="F265" s="1360" t="s">
        <v>266</v>
      </c>
      <c r="G265" s="1362">
        <v>1940877</v>
      </c>
      <c r="H265" s="1363" t="s">
        <v>3538</v>
      </c>
    </row>
    <row r="266" spans="2:8" x14ac:dyDescent="0.25">
      <c r="B266" s="1358" t="s">
        <v>6897</v>
      </c>
      <c r="C266" s="1359" t="s">
        <v>6921</v>
      </c>
      <c r="D266" s="1360">
        <v>6411</v>
      </c>
      <c r="E266" s="1361" t="s">
        <v>1366</v>
      </c>
      <c r="F266" s="1360" t="s">
        <v>266</v>
      </c>
      <c r="G266" s="1362">
        <v>2808512</v>
      </c>
      <c r="H266" s="1363" t="s">
        <v>3538</v>
      </c>
    </row>
    <row r="267" spans="2:8" x14ac:dyDescent="0.25">
      <c r="B267" s="1358" t="s">
        <v>6897</v>
      </c>
      <c r="C267" s="1359" t="s">
        <v>6921</v>
      </c>
      <c r="D267" s="1360">
        <v>6412</v>
      </c>
      <c r="E267" s="1361" t="s">
        <v>1367</v>
      </c>
      <c r="F267" s="1360" t="s">
        <v>266</v>
      </c>
      <c r="G267" s="1362">
        <v>3681938</v>
      </c>
      <c r="H267" s="1363" t="s">
        <v>3538</v>
      </c>
    </row>
    <row r="268" spans="2:8" x14ac:dyDescent="0.25">
      <c r="B268" s="1358" t="s">
        <v>6897</v>
      </c>
      <c r="C268" s="1359" t="s">
        <v>6921</v>
      </c>
      <c r="D268" s="1360">
        <v>6413</v>
      </c>
      <c r="E268" s="1361" t="s">
        <v>1368</v>
      </c>
      <c r="F268" s="1360" t="s">
        <v>266</v>
      </c>
      <c r="G268" s="1362">
        <v>4652323</v>
      </c>
      <c r="H268" s="1363" t="s">
        <v>3538</v>
      </c>
    </row>
    <row r="269" spans="2:8" x14ac:dyDescent="0.25">
      <c r="B269" s="1358" t="s">
        <v>6897</v>
      </c>
      <c r="C269" s="1359" t="s">
        <v>6921</v>
      </c>
      <c r="D269" s="1360">
        <v>6414</v>
      </c>
      <c r="E269" s="1361" t="s">
        <v>1369</v>
      </c>
      <c r="F269" s="1360" t="s">
        <v>266</v>
      </c>
      <c r="G269" s="1362">
        <v>5822577</v>
      </c>
      <c r="H269" s="1363" t="s">
        <v>3538</v>
      </c>
    </row>
    <row r="270" spans="2:8" x14ac:dyDescent="0.25">
      <c r="B270" s="1358" t="s">
        <v>6897</v>
      </c>
      <c r="C270" s="1359" t="s">
        <v>6921</v>
      </c>
      <c r="D270" s="1360">
        <v>6416</v>
      </c>
      <c r="E270" s="1361" t="s">
        <v>1370</v>
      </c>
      <c r="F270" s="1360" t="s">
        <v>266</v>
      </c>
      <c r="G270" s="1362">
        <v>134470</v>
      </c>
      <c r="H270" s="1363" t="s">
        <v>3538</v>
      </c>
    </row>
    <row r="271" spans="2:8" x14ac:dyDescent="0.25">
      <c r="B271" s="1358" t="s">
        <v>6897</v>
      </c>
      <c r="C271" s="1359" t="s">
        <v>6921</v>
      </c>
      <c r="D271" s="1360">
        <v>6417</v>
      </c>
      <c r="E271" s="1361" t="s">
        <v>1371</v>
      </c>
      <c r="F271" s="1360" t="s">
        <v>266</v>
      </c>
      <c r="G271" s="1362">
        <v>160650</v>
      </c>
      <c r="H271" s="1363" t="s">
        <v>3538</v>
      </c>
    </row>
    <row r="272" spans="2:8" x14ac:dyDescent="0.25">
      <c r="B272" s="1358" t="s">
        <v>6897</v>
      </c>
      <c r="C272" s="1359" t="s">
        <v>6921</v>
      </c>
      <c r="D272" s="1360">
        <v>6418</v>
      </c>
      <c r="E272" s="1361" t="s">
        <v>1372</v>
      </c>
      <c r="F272" s="1360" t="s">
        <v>266</v>
      </c>
      <c r="G272" s="1362">
        <v>202300</v>
      </c>
      <c r="H272" s="1363" t="s">
        <v>3538</v>
      </c>
    </row>
    <row r="273" spans="2:8" x14ac:dyDescent="0.25">
      <c r="B273" s="1358" t="s">
        <v>6897</v>
      </c>
      <c r="C273" s="1359" t="s">
        <v>6921</v>
      </c>
      <c r="D273" s="1360">
        <v>6419</v>
      </c>
      <c r="E273" s="1361" t="s">
        <v>1373</v>
      </c>
      <c r="F273" s="1360" t="s">
        <v>266</v>
      </c>
      <c r="G273" s="1362">
        <v>446250</v>
      </c>
      <c r="H273" s="1363" t="s">
        <v>3538</v>
      </c>
    </row>
    <row r="274" spans="2:8" x14ac:dyDescent="0.25">
      <c r="B274" s="1358" t="s">
        <v>6897</v>
      </c>
      <c r="C274" s="1359" t="s">
        <v>6921</v>
      </c>
      <c r="D274" s="1360">
        <v>6420</v>
      </c>
      <c r="E274" s="1361" t="s">
        <v>1374</v>
      </c>
      <c r="F274" s="1360" t="s">
        <v>266</v>
      </c>
      <c r="G274" s="1362">
        <v>770623</v>
      </c>
      <c r="H274" s="1363" t="s">
        <v>3538</v>
      </c>
    </row>
    <row r="275" spans="2:8" x14ac:dyDescent="0.25">
      <c r="B275" s="1358" t="s">
        <v>6897</v>
      </c>
      <c r="C275" s="1359" t="s">
        <v>6921</v>
      </c>
      <c r="D275" s="1360">
        <v>6421</v>
      </c>
      <c r="E275" s="1361" t="s">
        <v>3551</v>
      </c>
      <c r="F275" s="1360" t="s">
        <v>266</v>
      </c>
      <c r="G275" s="1362">
        <v>1223056</v>
      </c>
      <c r="H275" s="1363" t="s">
        <v>3538</v>
      </c>
    </row>
    <row r="276" spans="2:8" x14ac:dyDescent="0.25">
      <c r="B276" s="1358" t="s">
        <v>6897</v>
      </c>
      <c r="C276" s="1359" t="s">
        <v>6921</v>
      </c>
      <c r="D276" s="1360">
        <v>6422</v>
      </c>
      <c r="E276" s="1361" t="s">
        <v>1375</v>
      </c>
      <c r="F276" s="1360" t="s">
        <v>266</v>
      </c>
      <c r="G276" s="1362">
        <v>1675256</v>
      </c>
      <c r="H276" s="1363" t="s">
        <v>3538</v>
      </c>
    </row>
    <row r="277" spans="2:8" x14ac:dyDescent="0.25">
      <c r="B277" s="1358" t="s">
        <v>6897</v>
      </c>
      <c r="C277" s="1359" t="s">
        <v>6921</v>
      </c>
      <c r="D277" s="1360">
        <v>6423</v>
      </c>
      <c r="E277" s="1361" t="s">
        <v>1376</v>
      </c>
      <c r="F277" s="1360" t="s">
        <v>266</v>
      </c>
      <c r="G277" s="1362">
        <v>1997936</v>
      </c>
      <c r="H277" s="1363" t="s">
        <v>3538</v>
      </c>
    </row>
    <row r="278" spans="2:8" x14ac:dyDescent="0.25">
      <c r="B278" s="1358" t="s">
        <v>6897</v>
      </c>
      <c r="C278" s="1359" t="s">
        <v>6921</v>
      </c>
      <c r="D278" s="1360">
        <v>6424</v>
      </c>
      <c r="E278" s="1361" t="s">
        <v>1377</v>
      </c>
      <c r="F278" s="1360" t="s">
        <v>266</v>
      </c>
      <c r="G278" s="1362">
        <v>2584201</v>
      </c>
      <c r="H278" s="1363" t="s">
        <v>3538</v>
      </c>
    </row>
    <row r="279" spans="2:8" x14ac:dyDescent="0.25">
      <c r="B279" s="1358" t="s">
        <v>6897</v>
      </c>
      <c r="C279" s="1359" t="s">
        <v>6921</v>
      </c>
      <c r="D279" s="1360">
        <v>6425</v>
      </c>
      <c r="E279" s="1361" t="s">
        <v>1378</v>
      </c>
      <c r="F279" s="1360" t="s">
        <v>266</v>
      </c>
      <c r="G279" s="1362">
        <v>3510653</v>
      </c>
      <c r="H279" s="1363" t="s">
        <v>3538</v>
      </c>
    </row>
    <row r="280" spans="2:8" x14ac:dyDescent="0.25">
      <c r="B280" s="1358" t="s">
        <v>6897</v>
      </c>
      <c r="C280" s="1359" t="s">
        <v>6921</v>
      </c>
      <c r="D280" s="1360">
        <v>6426</v>
      </c>
      <c r="E280" s="1361" t="s">
        <v>1379</v>
      </c>
      <c r="F280" s="1360" t="s">
        <v>266</v>
      </c>
      <c r="G280" s="1362">
        <v>5055702</v>
      </c>
      <c r="H280" s="1363" t="s">
        <v>3538</v>
      </c>
    </row>
    <row r="281" spans="2:8" x14ac:dyDescent="0.25">
      <c r="B281" s="1358" t="s">
        <v>6897</v>
      </c>
      <c r="C281" s="1359" t="s">
        <v>6921</v>
      </c>
      <c r="D281" s="1360">
        <v>6430</v>
      </c>
      <c r="E281" s="1361" t="s">
        <v>1380</v>
      </c>
      <c r="F281" s="1360" t="s">
        <v>266</v>
      </c>
      <c r="G281" s="1362">
        <v>202300</v>
      </c>
      <c r="H281" s="1363" t="s">
        <v>3538</v>
      </c>
    </row>
    <row r="282" spans="2:8" x14ac:dyDescent="0.25">
      <c r="B282" s="1358" t="s">
        <v>6897</v>
      </c>
      <c r="C282" s="1359" t="s">
        <v>6921</v>
      </c>
      <c r="D282" s="1360">
        <v>6431</v>
      </c>
      <c r="E282" s="1361" t="s">
        <v>1381</v>
      </c>
      <c r="F282" s="1360" t="s">
        <v>266</v>
      </c>
      <c r="G282" s="1362">
        <v>368900</v>
      </c>
      <c r="H282" s="1363" t="s">
        <v>3538</v>
      </c>
    </row>
    <row r="283" spans="2:8" x14ac:dyDescent="0.25">
      <c r="B283" s="1358" t="s">
        <v>6897</v>
      </c>
      <c r="C283" s="1359" t="s">
        <v>6921</v>
      </c>
      <c r="D283" s="1360">
        <v>6434</v>
      </c>
      <c r="E283" s="1361" t="s">
        <v>1382</v>
      </c>
      <c r="F283" s="1360" t="s">
        <v>266</v>
      </c>
      <c r="G283" s="1362">
        <v>1454444</v>
      </c>
      <c r="H283" s="1363" t="s">
        <v>3538</v>
      </c>
    </row>
    <row r="284" spans="2:8" x14ac:dyDescent="0.25">
      <c r="B284" s="1358" t="s">
        <v>6897</v>
      </c>
      <c r="C284" s="1359" t="s">
        <v>6921</v>
      </c>
      <c r="D284" s="1360">
        <v>6440</v>
      </c>
      <c r="E284" s="1361" t="s">
        <v>1383</v>
      </c>
      <c r="F284" s="1360" t="s">
        <v>266</v>
      </c>
      <c r="G284" s="1362">
        <v>103530</v>
      </c>
      <c r="H284" s="1363" t="s">
        <v>3538</v>
      </c>
    </row>
    <row r="285" spans="2:8" x14ac:dyDescent="0.25">
      <c r="B285" s="1358" t="s">
        <v>6897</v>
      </c>
      <c r="C285" s="1359" t="s">
        <v>6921</v>
      </c>
      <c r="D285" s="1360">
        <v>6441</v>
      </c>
      <c r="E285" s="1361" t="s">
        <v>1384</v>
      </c>
      <c r="F285" s="1360" t="s">
        <v>266</v>
      </c>
      <c r="G285" s="1362">
        <v>148750</v>
      </c>
      <c r="H285" s="1363" t="s">
        <v>3538</v>
      </c>
    </row>
    <row r="286" spans="2:8" x14ac:dyDescent="0.25">
      <c r="B286" s="1358" t="s">
        <v>6897</v>
      </c>
      <c r="C286" s="1359" t="s">
        <v>6921</v>
      </c>
      <c r="D286" s="1360">
        <v>6442</v>
      </c>
      <c r="E286" s="1361" t="s">
        <v>1385</v>
      </c>
      <c r="F286" s="1360" t="s">
        <v>266</v>
      </c>
      <c r="G286" s="1362">
        <v>196350</v>
      </c>
      <c r="H286" s="1363" t="s">
        <v>3538</v>
      </c>
    </row>
    <row r="287" spans="2:8" x14ac:dyDescent="0.25">
      <c r="B287" s="1358" t="s">
        <v>6897</v>
      </c>
      <c r="C287" s="1359" t="s">
        <v>6921</v>
      </c>
      <c r="D287" s="1360">
        <v>6443</v>
      </c>
      <c r="E287" s="1361" t="s">
        <v>1386</v>
      </c>
      <c r="F287" s="1360" t="s">
        <v>266</v>
      </c>
      <c r="G287" s="1362">
        <v>357000</v>
      </c>
      <c r="H287" s="1363" t="s">
        <v>3538</v>
      </c>
    </row>
    <row r="288" spans="2:8" x14ac:dyDescent="0.25">
      <c r="B288" s="1358" t="s">
        <v>6897</v>
      </c>
      <c r="C288" s="1359" t="s">
        <v>6921</v>
      </c>
      <c r="D288" s="1360">
        <v>6446</v>
      </c>
      <c r="E288" s="1361" t="s">
        <v>1387</v>
      </c>
      <c r="F288" s="1360" t="s">
        <v>266</v>
      </c>
      <c r="G288" s="1362">
        <v>1252144</v>
      </c>
      <c r="H288" s="1363" t="s">
        <v>3538</v>
      </c>
    </row>
    <row r="289" spans="2:8" x14ac:dyDescent="0.25">
      <c r="B289" s="1358" t="s">
        <v>6897</v>
      </c>
      <c r="C289" s="1359" t="s">
        <v>6921</v>
      </c>
      <c r="D289" s="1360">
        <v>6454</v>
      </c>
      <c r="E289" s="1361" t="s">
        <v>1388</v>
      </c>
      <c r="F289" s="1360" t="s">
        <v>266</v>
      </c>
      <c r="G289" s="1362">
        <v>255188</v>
      </c>
      <c r="H289" s="1363" t="s">
        <v>3538</v>
      </c>
    </row>
    <row r="290" spans="2:8" x14ac:dyDescent="0.25">
      <c r="B290" s="1358" t="s">
        <v>6897</v>
      </c>
      <c r="C290" s="1359" t="s">
        <v>6921</v>
      </c>
      <c r="D290" s="1360">
        <v>6455</v>
      </c>
      <c r="E290" s="1361" t="s">
        <v>1389</v>
      </c>
      <c r="F290" s="1360" t="s">
        <v>266</v>
      </c>
      <c r="G290" s="1362">
        <v>407031</v>
      </c>
      <c r="H290" s="1363" t="s">
        <v>3538</v>
      </c>
    </row>
    <row r="291" spans="2:8" x14ac:dyDescent="0.25">
      <c r="B291" s="1358" t="s">
        <v>6897</v>
      </c>
      <c r="C291" s="1359" t="s">
        <v>6921</v>
      </c>
      <c r="D291" s="1360">
        <v>6456</v>
      </c>
      <c r="E291" s="1361" t="s">
        <v>1390</v>
      </c>
      <c r="F291" s="1360" t="s">
        <v>266</v>
      </c>
      <c r="G291" s="1362">
        <v>703857</v>
      </c>
      <c r="H291" s="1363" t="s">
        <v>3538</v>
      </c>
    </row>
    <row r="292" spans="2:8" x14ac:dyDescent="0.25">
      <c r="B292" s="1358" t="s">
        <v>6897</v>
      </c>
      <c r="C292" s="1359" t="s">
        <v>6921</v>
      </c>
      <c r="D292" s="1360">
        <v>6457</v>
      </c>
      <c r="E292" s="1361" t="s">
        <v>1391</v>
      </c>
      <c r="F292" s="1360" t="s">
        <v>266</v>
      </c>
      <c r="G292" s="1362">
        <v>864734</v>
      </c>
      <c r="H292" s="1363" t="s">
        <v>3538</v>
      </c>
    </row>
    <row r="293" spans="2:8" x14ac:dyDescent="0.25">
      <c r="B293" s="1358" t="s">
        <v>6897</v>
      </c>
      <c r="C293" s="1359" t="s">
        <v>6921</v>
      </c>
      <c r="D293" s="1360">
        <v>6458</v>
      </c>
      <c r="E293" s="1361" t="s">
        <v>1392</v>
      </c>
      <c r="F293" s="1360" t="s">
        <v>266</v>
      </c>
      <c r="G293" s="1362">
        <v>1307164</v>
      </c>
      <c r="H293" s="1363" t="s">
        <v>3538</v>
      </c>
    </row>
    <row r="294" spans="2:8" x14ac:dyDescent="0.25">
      <c r="B294" s="1358" t="s">
        <v>6897</v>
      </c>
      <c r="C294" s="1359" t="s">
        <v>6921</v>
      </c>
      <c r="D294" s="1360">
        <v>6459</v>
      </c>
      <c r="E294" s="1361" t="s">
        <v>1393</v>
      </c>
      <c r="F294" s="1360" t="s">
        <v>266</v>
      </c>
      <c r="G294" s="1362">
        <v>1407715</v>
      </c>
      <c r="H294" s="1363" t="s">
        <v>3538</v>
      </c>
    </row>
    <row r="295" spans="2:8" x14ac:dyDescent="0.25">
      <c r="B295" s="1358" t="s">
        <v>6897</v>
      </c>
      <c r="C295" s="1359" t="s">
        <v>6921</v>
      </c>
      <c r="D295" s="1360">
        <v>6462</v>
      </c>
      <c r="E295" s="1361" t="s">
        <v>1394</v>
      </c>
      <c r="F295" s="1360" t="s">
        <v>266</v>
      </c>
      <c r="G295" s="1362">
        <v>111169</v>
      </c>
      <c r="H295" s="1363" t="s">
        <v>3538</v>
      </c>
    </row>
    <row r="296" spans="2:8" x14ac:dyDescent="0.25">
      <c r="B296" s="1358" t="s">
        <v>6897</v>
      </c>
      <c r="C296" s="1359" t="s">
        <v>6921</v>
      </c>
      <c r="D296" s="1360">
        <v>6463</v>
      </c>
      <c r="E296" s="1361" t="s">
        <v>1395</v>
      </c>
      <c r="F296" s="1360" t="s">
        <v>266</v>
      </c>
      <c r="G296" s="1362">
        <v>279505</v>
      </c>
      <c r="H296" s="1363" t="s">
        <v>3538</v>
      </c>
    </row>
    <row r="297" spans="2:8" x14ac:dyDescent="0.25">
      <c r="B297" s="1358" t="s">
        <v>6897</v>
      </c>
      <c r="C297" s="1359" t="s">
        <v>6921</v>
      </c>
      <c r="D297" s="1360">
        <v>6464</v>
      </c>
      <c r="E297" s="1361" t="s">
        <v>1396</v>
      </c>
      <c r="F297" s="1360" t="s">
        <v>266</v>
      </c>
      <c r="G297" s="1362">
        <v>561048</v>
      </c>
      <c r="H297" s="1363" t="s">
        <v>3538</v>
      </c>
    </row>
    <row r="298" spans="2:8" x14ac:dyDescent="0.25">
      <c r="B298" s="1358" t="s">
        <v>6897</v>
      </c>
      <c r="C298" s="1359" t="s">
        <v>6907</v>
      </c>
      <c r="D298" s="1360">
        <v>6472</v>
      </c>
      <c r="E298" s="1361" t="s">
        <v>1397</v>
      </c>
      <c r="F298" s="1360" t="s">
        <v>13</v>
      </c>
      <c r="G298" s="1362">
        <v>4523</v>
      </c>
      <c r="H298" s="1363" t="s">
        <v>3535</v>
      </c>
    </row>
    <row r="299" spans="2:8" x14ac:dyDescent="0.25">
      <c r="B299" s="1358" t="s">
        <v>6897</v>
      </c>
      <c r="C299" s="1359" t="s">
        <v>6907</v>
      </c>
      <c r="D299" s="1360">
        <v>6473</v>
      </c>
      <c r="E299" s="1361" t="s">
        <v>1398</v>
      </c>
      <c r="F299" s="1360" t="s">
        <v>13</v>
      </c>
      <c r="G299" s="1362">
        <v>6987</v>
      </c>
      <c r="H299" s="1363" t="s">
        <v>3535</v>
      </c>
    </row>
    <row r="300" spans="2:8" x14ac:dyDescent="0.25">
      <c r="B300" s="1358" t="s">
        <v>6897</v>
      </c>
      <c r="C300" s="1359" t="s">
        <v>6907</v>
      </c>
      <c r="D300" s="1360">
        <v>6474</v>
      </c>
      <c r="E300" s="1361" t="s">
        <v>1399</v>
      </c>
      <c r="F300" s="1360" t="s">
        <v>13</v>
      </c>
      <c r="G300" s="1362">
        <v>8908</v>
      </c>
      <c r="H300" s="1363" t="s">
        <v>3535</v>
      </c>
    </row>
    <row r="301" spans="2:8" x14ac:dyDescent="0.25">
      <c r="B301" s="1358" t="s">
        <v>6897</v>
      </c>
      <c r="C301" s="1359" t="s">
        <v>6907</v>
      </c>
      <c r="D301" s="1360">
        <v>6475</v>
      </c>
      <c r="E301" s="1361" t="s">
        <v>1400</v>
      </c>
      <c r="F301" s="1360" t="s">
        <v>13</v>
      </c>
      <c r="G301" s="1362">
        <v>13701</v>
      </c>
      <c r="H301" s="1363" t="s">
        <v>3535</v>
      </c>
    </row>
    <row r="302" spans="2:8" x14ac:dyDescent="0.25">
      <c r="B302" s="1358" t="s">
        <v>6897</v>
      </c>
      <c r="C302" s="1359" t="s">
        <v>6921</v>
      </c>
      <c r="D302" s="1360">
        <v>6476</v>
      </c>
      <c r="E302" s="1361" t="s">
        <v>1401</v>
      </c>
      <c r="F302" s="1360" t="s">
        <v>266</v>
      </c>
      <c r="G302" s="1362">
        <v>547400</v>
      </c>
      <c r="H302" s="1363" t="s">
        <v>3538</v>
      </c>
    </row>
    <row r="303" spans="2:8" x14ac:dyDescent="0.25">
      <c r="B303" s="1358" t="s">
        <v>6897</v>
      </c>
      <c r="C303" s="1359" t="s">
        <v>6921</v>
      </c>
      <c r="D303" s="1360">
        <v>6477</v>
      </c>
      <c r="E303" s="1361" t="s">
        <v>1402</v>
      </c>
      <c r="F303" s="1360" t="s">
        <v>266</v>
      </c>
      <c r="G303" s="1362">
        <v>779450</v>
      </c>
      <c r="H303" s="1363" t="s">
        <v>3538</v>
      </c>
    </row>
    <row r="304" spans="2:8" x14ac:dyDescent="0.25">
      <c r="B304" s="1358" t="s">
        <v>6897</v>
      </c>
      <c r="C304" s="1359" t="s">
        <v>6921</v>
      </c>
      <c r="D304" s="1360">
        <v>6479</v>
      </c>
      <c r="E304" s="1361" t="s">
        <v>1403</v>
      </c>
      <c r="F304" s="1360" t="s">
        <v>266</v>
      </c>
      <c r="G304" s="1362">
        <v>1993250</v>
      </c>
      <c r="H304" s="1363" t="s">
        <v>3538</v>
      </c>
    </row>
    <row r="305" spans="2:8" x14ac:dyDescent="0.25">
      <c r="B305" s="1358" t="s">
        <v>6897</v>
      </c>
      <c r="C305" s="1359" t="s">
        <v>6921</v>
      </c>
      <c r="D305" s="1360">
        <v>6480</v>
      </c>
      <c r="E305" s="1361" t="s">
        <v>1404</v>
      </c>
      <c r="F305" s="1360" t="s">
        <v>266</v>
      </c>
      <c r="G305" s="1362">
        <v>3712800</v>
      </c>
      <c r="H305" s="1363" t="s">
        <v>3538</v>
      </c>
    </row>
    <row r="306" spans="2:8" x14ac:dyDescent="0.25">
      <c r="B306" s="1358" t="s">
        <v>6897</v>
      </c>
      <c r="C306" s="1359" t="s">
        <v>6921</v>
      </c>
      <c r="D306" s="1360">
        <v>6481</v>
      </c>
      <c r="E306" s="1361" t="s">
        <v>1405</v>
      </c>
      <c r="F306" s="1360" t="s">
        <v>266</v>
      </c>
      <c r="G306" s="1362">
        <v>3396856</v>
      </c>
      <c r="H306" s="1363" t="s">
        <v>3538</v>
      </c>
    </row>
    <row r="307" spans="2:8" x14ac:dyDescent="0.25">
      <c r="B307" s="1358" t="s">
        <v>6897</v>
      </c>
      <c r="C307" s="1359" t="s">
        <v>6921</v>
      </c>
      <c r="D307" s="1360">
        <v>6482</v>
      </c>
      <c r="E307" s="1361" t="s">
        <v>1406</v>
      </c>
      <c r="F307" s="1360" t="s">
        <v>266</v>
      </c>
      <c r="G307" s="1362">
        <v>4616876</v>
      </c>
      <c r="H307" s="1363" t="s">
        <v>3538</v>
      </c>
    </row>
    <row r="308" spans="2:8" x14ac:dyDescent="0.25">
      <c r="B308" s="1358" t="s">
        <v>6897</v>
      </c>
      <c r="C308" s="1359" t="s">
        <v>6921</v>
      </c>
      <c r="D308" s="1360">
        <v>6483</v>
      </c>
      <c r="E308" s="1361" t="s">
        <v>1407</v>
      </c>
      <c r="F308" s="1360" t="s">
        <v>266</v>
      </c>
      <c r="G308" s="1362">
        <v>6191907</v>
      </c>
      <c r="H308" s="1363" t="s">
        <v>3538</v>
      </c>
    </row>
    <row r="309" spans="2:8" x14ac:dyDescent="0.25">
      <c r="B309" s="1358" t="s">
        <v>6897</v>
      </c>
      <c r="C309" s="1359" t="s">
        <v>6921</v>
      </c>
      <c r="D309" s="1360">
        <v>6484</v>
      </c>
      <c r="E309" s="1361" t="s">
        <v>1408</v>
      </c>
      <c r="F309" s="1360" t="s">
        <v>266</v>
      </c>
      <c r="G309" s="1362">
        <v>2697730</v>
      </c>
      <c r="H309" s="1363" t="s">
        <v>3538</v>
      </c>
    </row>
    <row r="310" spans="2:8" x14ac:dyDescent="0.25">
      <c r="B310" s="1358" t="s">
        <v>6897</v>
      </c>
      <c r="C310" s="1359" t="s">
        <v>6921</v>
      </c>
      <c r="D310" s="1360">
        <v>6485</v>
      </c>
      <c r="E310" s="1361" t="s">
        <v>1409</v>
      </c>
      <c r="F310" s="1360" t="s">
        <v>266</v>
      </c>
      <c r="G310" s="1362">
        <v>3015460</v>
      </c>
      <c r="H310" s="1363" t="s">
        <v>3538</v>
      </c>
    </row>
    <row r="311" spans="2:8" x14ac:dyDescent="0.25">
      <c r="B311" s="1358" t="s">
        <v>6897</v>
      </c>
      <c r="C311" s="1359" t="s">
        <v>6900</v>
      </c>
      <c r="D311" s="1360">
        <v>6507</v>
      </c>
      <c r="E311" s="1361" t="s">
        <v>3552</v>
      </c>
      <c r="F311" s="1360" t="s">
        <v>202</v>
      </c>
      <c r="G311" s="1362">
        <v>212704</v>
      </c>
      <c r="H311" s="1363" t="s">
        <v>6899</v>
      </c>
    </row>
    <row r="312" spans="2:8" x14ac:dyDescent="0.25">
      <c r="B312" s="1358" t="s">
        <v>6897</v>
      </c>
      <c r="C312" s="1359" t="s">
        <v>6908</v>
      </c>
      <c r="D312" s="1360">
        <v>6527</v>
      </c>
      <c r="E312" s="1361" t="s">
        <v>1410</v>
      </c>
      <c r="F312" s="1360" t="s">
        <v>266</v>
      </c>
      <c r="G312" s="1362">
        <v>220990</v>
      </c>
      <c r="H312" s="1363" t="s">
        <v>3538</v>
      </c>
    </row>
    <row r="313" spans="2:8" x14ac:dyDescent="0.25">
      <c r="B313" s="1358" t="s">
        <v>6897</v>
      </c>
      <c r="C313" s="1359" t="s">
        <v>6908</v>
      </c>
      <c r="D313" s="1360">
        <v>6528</v>
      </c>
      <c r="E313" s="1361" t="s">
        <v>1411</v>
      </c>
      <c r="F313" s="1360" t="s">
        <v>266</v>
      </c>
      <c r="G313" s="1362">
        <v>406334</v>
      </c>
      <c r="H313" s="1363" t="s">
        <v>3538</v>
      </c>
    </row>
    <row r="314" spans="2:8" x14ac:dyDescent="0.25">
      <c r="B314" s="1358" t="s">
        <v>6897</v>
      </c>
      <c r="C314" s="1359" t="s">
        <v>6908</v>
      </c>
      <c r="D314" s="1360">
        <v>6530</v>
      </c>
      <c r="E314" s="1361" t="s">
        <v>1412</v>
      </c>
      <c r="F314" s="1360" t="s">
        <v>266</v>
      </c>
      <c r="G314" s="1362">
        <v>1270461</v>
      </c>
      <c r="H314" s="1363" t="s">
        <v>3538</v>
      </c>
    </row>
    <row r="315" spans="2:8" x14ac:dyDescent="0.25">
      <c r="B315" s="1358" t="s">
        <v>6897</v>
      </c>
      <c r="C315" s="1359" t="s">
        <v>6920</v>
      </c>
      <c r="D315" s="1360">
        <v>6534</v>
      </c>
      <c r="E315" s="1361" t="s">
        <v>1413</v>
      </c>
      <c r="F315" s="1360" t="s">
        <v>266</v>
      </c>
      <c r="G315" s="1362">
        <v>416500</v>
      </c>
      <c r="H315" s="1363" t="s">
        <v>6899</v>
      </c>
    </row>
    <row r="316" spans="2:8" x14ac:dyDescent="0.25">
      <c r="B316" s="1358" t="s">
        <v>6897</v>
      </c>
      <c r="C316" s="1359" t="s">
        <v>6920</v>
      </c>
      <c r="D316" s="1360">
        <v>6535</v>
      </c>
      <c r="E316" s="1361" t="s">
        <v>1414</v>
      </c>
      <c r="F316" s="1360" t="s">
        <v>266</v>
      </c>
      <c r="G316" s="1362">
        <v>208250</v>
      </c>
      <c r="H316" s="1363" t="s">
        <v>6899</v>
      </c>
    </row>
    <row r="317" spans="2:8" x14ac:dyDescent="0.25">
      <c r="B317" s="1358" t="s">
        <v>6897</v>
      </c>
      <c r="C317" s="1359" t="s">
        <v>6907</v>
      </c>
      <c r="D317" s="1360">
        <v>6539</v>
      </c>
      <c r="E317" s="1361" t="s">
        <v>1415</v>
      </c>
      <c r="F317" s="1360" t="s">
        <v>266</v>
      </c>
      <c r="G317" s="1362">
        <v>8197</v>
      </c>
      <c r="H317" s="1363" t="s">
        <v>3535</v>
      </c>
    </row>
    <row r="318" spans="2:8" x14ac:dyDescent="0.25">
      <c r="B318" s="1358" t="s">
        <v>6897</v>
      </c>
      <c r="C318" s="1359" t="s">
        <v>6907</v>
      </c>
      <c r="D318" s="1360">
        <v>6540</v>
      </c>
      <c r="E318" s="1361" t="s">
        <v>1416</v>
      </c>
      <c r="F318" s="1360" t="s">
        <v>266</v>
      </c>
      <c r="G318" s="1362">
        <v>15913</v>
      </c>
      <c r="H318" s="1363" t="s">
        <v>3535</v>
      </c>
    </row>
    <row r="319" spans="2:8" x14ac:dyDescent="0.25">
      <c r="B319" s="1358" t="s">
        <v>6897</v>
      </c>
      <c r="C319" s="1359" t="s">
        <v>6906</v>
      </c>
      <c r="D319" s="1360">
        <v>6543</v>
      </c>
      <c r="E319" s="1361" t="s">
        <v>1417</v>
      </c>
      <c r="F319" s="1360" t="s">
        <v>266</v>
      </c>
      <c r="G319" s="1362">
        <v>381540</v>
      </c>
      <c r="H319" s="1363" t="s">
        <v>3535</v>
      </c>
    </row>
    <row r="320" spans="2:8" x14ac:dyDescent="0.25">
      <c r="B320" s="1358" t="s">
        <v>6897</v>
      </c>
      <c r="C320" s="1359" t="s">
        <v>6906</v>
      </c>
      <c r="D320" s="1360">
        <v>6545</v>
      </c>
      <c r="E320" s="1361" t="s">
        <v>1418</v>
      </c>
      <c r="F320" s="1360" t="s">
        <v>266</v>
      </c>
      <c r="G320" s="1362">
        <v>651064</v>
      </c>
      <c r="H320" s="1363" t="s">
        <v>3535</v>
      </c>
    </row>
    <row r="321" spans="2:8" x14ac:dyDescent="0.25">
      <c r="B321" s="1358" t="s">
        <v>6897</v>
      </c>
      <c r="C321" s="1359" t="s">
        <v>6922</v>
      </c>
      <c r="D321" s="1360">
        <v>6551</v>
      </c>
      <c r="E321" s="1361" t="s">
        <v>1419</v>
      </c>
      <c r="F321" s="1360" t="s">
        <v>266</v>
      </c>
      <c r="G321" s="1362">
        <v>556052</v>
      </c>
      <c r="H321" s="1363" t="s">
        <v>3538</v>
      </c>
    </row>
    <row r="322" spans="2:8" x14ac:dyDescent="0.25">
      <c r="B322" s="1358" t="s">
        <v>6897</v>
      </c>
      <c r="C322" s="1359" t="s">
        <v>6922</v>
      </c>
      <c r="D322" s="1360">
        <v>6552</v>
      </c>
      <c r="E322" s="1361" t="s">
        <v>1420</v>
      </c>
      <c r="F322" s="1360" t="s">
        <v>266</v>
      </c>
      <c r="G322" s="1362">
        <v>386892</v>
      </c>
      <c r="H322" s="1363" t="s">
        <v>3538</v>
      </c>
    </row>
    <row r="323" spans="2:8" x14ac:dyDescent="0.25">
      <c r="B323" s="1358" t="s">
        <v>6897</v>
      </c>
      <c r="C323" s="1359" t="s">
        <v>6922</v>
      </c>
      <c r="D323" s="1360">
        <v>6553</v>
      </c>
      <c r="E323" s="1361" t="s">
        <v>1421</v>
      </c>
      <c r="F323" s="1360" t="s">
        <v>266</v>
      </c>
      <c r="G323" s="1362">
        <v>503446</v>
      </c>
      <c r="H323" s="1363" t="s">
        <v>3538</v>
      </c>
    </row>
    <row r="324" spans="2:8" x14ac:dyDescent="0.25">
      <c r="B324" s="1358" t="s">
        <v>6897</v>
      </c>
      <c r="C324" s="1359" t="s">
        <v>6922</v>
      </c>
      <c r="D324" s="1360">
        <v>6554</v>
      </c>
      <c r="E324" s="1361" t="s">
        <v>1422</v>
      </c>
      <c r="F324" s="1360" t="s">
        <v>266</v>
      </c>
      <c r="G324" s="1362">
        <v>602438</v>
      </c>
      <c r="H324" s="1363" t="s">
        <v>3538</v>
      </c>
    </row>
    <row r="325" spans="2:8" x14ac:dyDescent="0.25">
      <c r="B325" s="1358" t="s">
        <v>6897</v>
      </c>
      <c r="C325" s="1359" t="s">
        <v>6922</v>
      </c>
      <c r="D325" s="1360">
        <v>6555</v>
      </c>
      <c r="E325" s="1361" t="s">
        <v>3553</v>
      </c>
      <c r="F325" s="1360" t="s">
        <v>266</v>
      </c>
      <c r="G325" s="1362">
        <v>53550</v>
      </c>
      <c r="H325" s="1363" t="s">
        <v>3538</v>
      </c>
    </row>
    <row r="326" spans="2:8" x14ac:dyDescent="0.25">
      <c r="B326" s="1358" t="s">
        <v>6897</v>
      </c>
      <c r="C326" s="1359" t="s">
        <v>6922</v>
      </c>
      <c r="D326" s="1360">
        <v>6556</v>
      </c>
      <c r="E326" s="1361" t="s">
        <v>3554</v>
      </c>
      <c r="F326" s="1360" t="s">
        <v>266</v>
      </c>
      <c r="G326" s="1362">
        <v>6694</v>
      </c>
      <c r="H326" s="1363" t="s">
        <v>3538</v>
      </c>
    </row>
    <row r="327" spans="2:8" x14ac:dyDescent="0.25">
      <c r="B327" s="1358" t="s">
        <v>6897</v>
      </c>
      <c r="C327" s="1359" t="s">
        <v>6908</v>
      </c>
      <c r="D327" s="1360">
        <v>6559</v>
      </c>
      <c r="E327" s="1361" t="s">
        <v>1423</v>
      </c>
      <c r="F327" s="1360" t="s">
        <v>266</v>
      </c>
      <c r="G327" s="1362">
        <v>7203</v>
      </c>
      <c r="H327" s="1363" t="s">
        <v>3538</v>
      </c>
    </row>
    <row r="328" spans="2:8" x14ac:dyDescent="0.25">
      <c r="B328" s="1358" t="s">
        <v>6897</v>
      </c>
      <c r="C328" s="1359" t="s">
        <v>6908</v>
      </c>
      <c r="D328" s="1360">
        <v>6560</v>
      </c>
      <c r="E328" s="1361" t="s">
        <v>1424</v>
      </c>
      <c r="F328" s="1360" t="s">
        <v>266</v>
      </c>
      <c r="G328" s="1362">
        <v>28314</v>
      </c>
      <c r="H328" s="1363" t="s">
        <v>3538</v>
      </c>
    </row>
    <row r="329" spans="2:8" x14ac:dyDescent="0.25">
      <c r="B329" s="1358" t="s">
        <v>6897</v>
      </c>
      <c r="C329" s="1359" t="s">
        <v>6908</v>
      </c>
      <c r="D329" s="1360">
        <v>6561</v>
      </c>
      <c r="E329" s="1361" t="s">
        <v>1425</v>
      </c>
      <c r="F329" s="1360" t="s">
        <v>266</v>
      </c>
      <c r="G329" s="1362">
        <v>52084</v>
      </c>
      <c r="H329" s="1363" t="s">
        <v>3538</v>
      </c>
    </row>
    <row r="330" spans="2:8" x14ac:dyDescent="0.25">
      <c r="B330" s="1358" t="s">
        <v>6897</v>
      </c>
      <c r="C330" s="1359" t="s">
        <v>6900</v>
      </c>
      <c r="D330" s="1360">
        <v>6567</v>
      </c>
      <c r="E330" s="1361" t="s">
        <v>1426</v>
      </c>
      <c r="F330" s="1360" t="s">
        <v>202</v>
      </c>
      <c r="G330" s="1362">
        <v>107100</v>
      </c>
      <c r="H330" s="1363" t="s">
        <v>6899</v>
      </c>
    </row>
    <row r="331" spans="2:8" x14ac:dyDescent="0.25">
      <c r="B331" s="1358" t="s">
        <v>6897</v>
      </c>
      <c r="C331" s="1359" t="s">
        <v>6905</v>
      </c>
      <c r="D331" s="1360">
        <v>6578</v>
      </c>
      <c r="E331" s="1361" t="s">
        <v>1427</v>
      </c>
      <c r="F331" s="1360" t="s">
        <v>3</v>
      </c>
      <c r="G331" s="1362">
        <v>84490</v>
      </c>
      <c r="H331" s="1363" t="s">
        <v>6899</v>
      </c>
    </row>
    <row r="332" spans="2:8" x14ac:dyDescent="0.25">
      <c r="B332" s="1358" t="s">
        <v>6897</v>
      </c>
      <c r="C332" s="1359" t="s">
        <v>6905</v>
      </c>
      <c r="D332" s="1360">
        <v>6624</v>
      </c>
      <c r="E332" s="1361" t="s">
        <v>1428</v>
      </c>
      <c r="F332" s="1360" t="s">
        <v>3</v>
      </c>
      <c r="G332" s="1362">
        <v>60571</v>
      </c>
      <c r="H332" s="1363" t="s">
        <v>6899</v>
      </c>
    </row>
    <row r="333" spans="2:8" x14ac:dyDescent="0.25">
      <c r="B333" s="1358" t="s">
        <v>6897</v>
      </c>
      <c r="C333" s="1359" t="s">
        <v>6912</v>
      </c>
      <c r="D333" s="1360">
        <v>6625</v>
      </c>
      <c r="E333" s="1361" t="s">
        <v>3555</v>
      </c>
      <c r="F333" s="1360" t="s">
        <v>1124</v>
      </c>
      <c r="G333" s="1362">
        <v>61648</v>
      </c>
      <c r="H333" s="1363" t="s">
        <v>6899</v>
      </c>
    </row>
    <row r="334" spans="2:8" x14ac:dyDescent="0.25">
      <c r="B334" s="1358" t="s">
        <v>6897</v>
      </c>
      <c r="C334" s="1359" t="s">
        <v>6919</v>
      </c>
      <c r="D334" s="1360">
        <v>6628</v>
      </c>
      <c r="E334" s="1361" t="s">
        <v>1429</v>
      </c>
      <c r="F334" s="1360" t="s">
        <v>266</v>
      </c>
      <c r="G334" s="1362">
        <v>416500</v>
      </c>
      <c r="H334" s="1363" t="s">
        <v>6899</v>
      </c>
    </row>
    <row r="335" spans="2:8" x14ac:dyDescent="0.25">
      <c r="B335" s="1358" t="s">
        <v>6897</v>
      </c>
      <c r="C335" s="1359" t="s">
        <v>6919</v>
      </c>
      <c r="D335" s="1360">
        <v>6629</v>
      </c>
      <c r="E335" s="1361" t="s">
        <v>1430</v>
      </c>
      <c r="F335" s="1360" t="s">
        <v>266</v>
      </c>
      <c r="G335" s="1362">
        <v>47600</v>
      </c>
      <c r="H335" s="1363" t="s">
        <v>6899</v>
      </c>
    </row>
    <row r="336" spans="2:8" x14ac:dyDescent="0.25">
      <c r="B336" s="1358" t="s">
        <v>6897</v>
      </c>
      <c r="C336" s="1359" t="s">
        <v>6919</v>
      </c>
      <c r="D336" s="1360">
        <v>6630</v>
      </c>
      <c r="E336" s="1361" t="s">
        <v>1431</v>
      </c>
      <c r="F336" s="1360" t="s">
        <v>266</v>
      </c>
      <c r="G336" s="1362">
        <v>27370</v>
      </c>
      <c r="H336" s="1363" t="s">
        <v>6899</v>
      </c>
    </row>
    <row r="337" spans="2:8" x14ac:dyDescent="0.25">
      <c r="B337" s="1358" t="s">
        <v>6897</v>
      </c>
      <c r="C337" s="1359" t="s">
        <v>6919</v>
      </c>
      <c r="D337" s="1360">
        <v>6631</v>
      </c>
      <c r="E337" s="1361" t="s">
        <v>1432</v>
      </c>
      <c r="F337" s="1360" t="s">
        <v>266</v>
      </c>
      <c r="G337" s="1362">
        <v>35105</v>
      </c>
      <c r="H337" s="1363" t="s">
        <v>6899</v>
      </c>
    </row>
    <row r="338" spans="2:8" x14ac:dyDescent="0.25">
      <c r="B338" s="1358" t="s">
        <v>6897</v>
      </c>
      <c r="C338" s="1359" t="s">
        <v>6919</v>
      </c>
      <c r="D338" s="1360">
        <v>6632</v>
      </c>
      <c r="E338" s="1361" t="s">
        <v>1433</v>
      </c>
      <c r="F338" s="1360" t="s">
        <v>266</v>
      </c>
      <c r="G338" s="1362">
        <v>44030</v>
      </c>
      <c r="H338" s="1363" t="s">
        <v>6899</v>
      </c>
    </row>
    <row r="339" spans="2:8" x14ac:dyDescent="0.25">
      <c r="B339" s="1358" t="s">
        <v>6897</v>
      </c>
      <c r="C339" s="1359" t="s">
        <v>6919</v>
      </c>
      <c r="D339" s="1360">
        <v>6633</v>
      </c>
      <c r="E339" s="1361" t="s">
        <v>1434</v>
      </c>
      <c r="F339" s="1360" t="s">
        <v>266</v>
      </c>
      <c r="G339" s="1362">
        <v>49980</v>
      </c>
      <c r="H339" s="1363" t="s">
        <v>6899</v>
      </c>
    </row>
    <row r="340" spans="2:8" x14ac:dyDescent="0.25">
      <c r="B340" s="1358" t="s">
        <v>6897</v>
      </c>
      <c r="C340" s="1359" t="s">
        <v>6919</v>
      </c>
      <c r="D340" s="1360">
        <v>6636</v>
      </c>
      <c r="E340" s="1361" t="s">
        <v>1435</v>
      </c>
      <c r="F340" s="1360" t="s">
        <v>266</v>
      </c>
      <c r="G340" s="1362">
        <v>3304273</v>
      </c>
      <c r="H340" s="1363" t="s">
        <v>6899</v>
      </c>
    </row>
    <row r="341" spans="2:8" x14ac:dyDescent="0.25">
      <c r="B341" s="1358" t="s">
        <v>6897</v>
      </c>
      <c r="C341" s="1359" t="s">
        <v>6908</v>
      </c>
      <c r="D341" s="1360">
        <v>6645</v>
      </c>
      <c r="E341" s="1361" t="s">
        <v>1436</v>
      </c>
      <c r="F341" s="1360" t="s">
        <v>266</v>
      </c>
      <c r="G341" s="1362">
        <v>75868</v>
      </c>
      <c r="H341" s="1363" t="s">
        <v>3538</v>
      </c>
    </row>
    <row r="342" spans="2:8" x14ac:dyDescent="0.25">
      <c r="B342" s="1358" t="s">
        <v>6897</v>
      </c>
      <c r="C342" s="1359" t="s">
        <v>6908</v>
      </c>
      <c r="D342" s="1360">
        <v>6646</v>
      </c>
      <c r="E342" s="1361" t="s">
        <v>1437</v>
      </c>
      <c r="F342" s="1360" t="s">
        <v>266</v>
      </c>
      <c r="G342" s="1362">
        <v>110257</v>
      </c>
      <c r="H342" s="1363" t="s">
        <v>3538</v>
      </c>
    </row>
    <row r="343" spans="2:8" x14ac:dyDescent="0.25">
      <c r="B343" s="1358" t="s">
        <v>6897</v>
      </c>
      <c r="C343" s="1359" t="s">
        <v>6908</v>
      </c>
      <c r="D343" s="1360">
        <v>6647</v>
      </c>
      <c r="E343" s="1361" t="s">
        <v>1438</v>
      </c>
      <c r="F343" s="1360" t="s">
        <v>266</v>
      </c>
      <c r="G343" s="1362">
        <v>298665</v>
      </c>
      <c r="H343" s="1363" t="s">
        <v>3538</v>
      </c>
    </row>
    <row r="344" spans="2:8" x14ac:dyDescent="0.25">
      <c r="B344" s="1358" t="s">
        <v>6897</v>
      </c>
      <c r="C344" s="1359" t="s">
        <v>6908</v>
      </c>
      <c r="D344" s="1360">
        <v>6648</v>
      </c>
      <c r="E344" s="1361" t="s">
        <v>1439</v>
      </c>
      <c r="F344" s="1360" t="s">
        <v>266</v>
      </c>
      <c r="G344" s="1362">
        <v>2379564</v>
      </c>
      <c r="H344" s="1363" t="s">
        <v>3538</v>
      </c>
    </row>
    <row r="345" spans="2:8" x14ac:dyDescent="0.25">
      <c r="B345" s="1358" t="s">
        <v>6897</v>
      </c>
      <c r="C345" s="1359" t="s">
        <v>6908</v>
      </c>
      <c r="D345" s="1360">
        <v>6649</v>
      </c>
      <c r="E345" s="1361" t="s">
        <v>1440</v>
      </c>
      <c r="F345" s="1360" t="s">
        <v>266</v>
      </c>
      <c r="G345" s="1362">
        <v>70509</v>
      </c>
      <c r="H345" s="1363" t="s">
        <v>3538</v>
      </c>
    </row>
    <row r="346" spans="2:8" x14ac:dyDescent="0.25">
      <c r="B346" s="1358" t="s">
        <v>6897</v>
      </c>
      <c r="C346" s="1359" t="s">
        <v>6908</v>
      </c>
      <c r="D346" s="1360">
        <v>6650</v>
      </c>
      <c r="E346" s="1361" t="s">
        <v>1441</v>
      </c>
      <c r="F346" s="1360" t="s">
        <v>266</v>
      </c>
      <c r="G346" s="1362">
        <v>70265</v>
      </c>
      <c r="H346" s="1363" t="s">
        <v>3538</v>
      </c>
    </row>
    <row r="347" spans="2:8" x14ac:dyDescent="0.25">
      <c r="B347" s="1358" t="s">
        <v>6897</v>
      </c>
      <c r="C347" s="1359" t="s">
        <v>6908</v>
      </c>
      <c r="D347" s="1360">
        <v>6651</v>
      </c>
      <c r="E347" s="1361" t="s">
        <v>1442</v>
      </c>
      <c r="F347" s="1360" t="s">
        <v>266</v>
      </c>
      <c r="G347" s="1362">
        <v>104639</v>
      </c>
      <c r="H347" s="1363" t="s">
        <v>3538</v>
      </c>
    </row>
    <row r="348" spans="2:8" x14ac:dyDescent="0.25">
      <c r="B348" s="1358" t="s">
        <v>6897</v>
      </c>
      <c r="C348" s="1359" t="s">
        <v>6908</v>
      </c>
      <c r="D348" s="1360">
        <v>6652</v>
      </c>
      <c r="E348" s="1361" t="s">
        <v>1443</v>
      </c>
      <c r="F348" s="1360" t="s">
        <v>266</v>
      </c>
      <c r="G348" s="1362">
        <v>138096</v>
      </c>
      <c r="H348" s="1363" t="s">
        <v>3538</v>
      </c>
    </row>
    <row r="349" spans="2:8" x14ac:dyDescent="0.25">
      <c r="B349" s="1358" t="s">
        <v>6897</v>
      </c>
      <c r="C349" s="1359" t="s">
        <v>6908</v>
      </c>
      <c r="D349" s="1360">
        <v>6653</v>
      </c>
      <c r="E349" s="1361" t="s">
        <v>1444</v>
      </c>
      <c r="F349" s="1360" t="s">
        <v>266</v>
      </c>
      <c r="G349" s="1362">
        <v>259237</v>
      </c>
      <c r="H349" s="1363" t="s">
        <v>3538</v>
      </c>
    </row>
    <row r="350" spans="2:8" x14ac:dyDescent="0.25">
      <c r="B350" s="1358" t="s">
        <v>6897</v>
      </c>
      <c r="C350" s="1359" t="s">
        <v>6908</v>
      </c>
      <c r="D350" s="1360">
        <v>6654</v>
      </c>
      <c r="E350" s="1361" t="s">
        <v>1445</v>
      </c>
      <c r="F350" s="1360" t="s">
        <v>266</v>
      </c>
      <c r="G350" s="1362">
        <v>726883</v>
      </c>
      <c r="H350" s="1363" t="s">
        <v>3538</v>
      </c>
    </row>
    <row r="351" spans="2:8" x14ac:dyDescent="0.25">
      <c r="B351" s="1358" t="s">
        <v>6897</v>
      </c>
      <c r="C351" s="1359" t="s">
        <v>6908</v>
      </c>
      <c r="D351" s="1360">
        <v>6655</v>
      </c>
      <c r="E351" s="1361" t="s">
        <v>1446</v>
      </c>
      <c r="F351" s="1360" t="s">
        <v>266</v>
      </c>
      <c r="G351" s="1362">
        <v>1556693</v>
      </c>
      <c r="H351" s="1363" t="s">
        <v>3538</v>
      </c>
    </row>
    <row r="352" spans="2:8" x14ac:dyDescent="0.25">
      <c r="B352" s="1358" t="s">
        <v>6897</v>
      </c>
      <c r="C352" s="1359" t="s">
        <v>6908</v>
      </c>
      <c r="D352" s="1360">
        <v>6656</v>
      </c>
      <c r="E352" s="1361" t="s">
        <v>1447</v>
      </c>
      <c r="F352" s="1360" t="s">
        <v>266</v>
      </c>
      <c r="G352" s="1362">
        <v>2185141</v>
      </c>
      <c r="H352" s="1363" t="s">
        <v>3538</v>
      </c>
    </row>
    <row r="353" spans="2:8" x14ac:dyDescent="0.25">
      <c r="B353" s="1358" t="s">
        <v>6897</v>
      </c>
      <c r="C353" s="1359" t="s">
        <v>6908</v>
      </c>
      <c r="D353" s="1360">
        <v>6657</v>
      </c>
      <c r="E353" s="1361" t="s">
        <v>1448</v>
      </c>
      <c r="F353" s="1360" t="s">
        <v>266</v>
      </c>
      <c r="G353" s="1362">
        <v>34021</v>
      </c>
      <c r="H353" s="1363" t="s">
        <v>3538</v>
      </c>
    </row>
    <row r="354" spans="2:8" x14ac:dyDescent="0.25">
      <c r="B354" s="1358" t="s">
        <v>6897</v>
      </c>
      <c r="C354" s="1359" t="s">
        <v>6908</v>
      </c>
      <c r="D354" s="1360">
        <v>6658</v>
      </c>
      <c r="E354" s="1361" t="s">
        <v>1449</v>
      </c>
      <c r="F354" s="1360" t="s">
        <v>266</v>
      </c>
      <c r="G354" s="1362">
        <v>45984</v>
      </c>
      <c r="H354" s="1363" t="s">
        <v>3538</v>
      </c>
    </row>
    <row r="355" spans="2:8" x14ac:dyDescent="0.25">
      <c r="B355" s="1358" t="s">
        <v>6897</v>
      </c>
      <c r="C355" s="1359" t="s">
        <v>6908</v>
      </c>
      <c r="D355" s="1360">
        <v>6659</v>
      </c>
      <c r="E355" s="1361" t="s">
        <v>1450</v>
      </c>
      <c r="F355" s="1360" t="s">
        <v>266</v>
      </c>
      <c r="G355" s="1362">
        <v>66234</v>
      </c>
      <c r="H355" s="1363" t="s">
        <v>3538</v>
      </c>
    </row>
    <row r="356" spans="2:8" x14ac:dyDescent="0.25">
      <c r="B356" s="1358" t="s">
        <v>6897</v>
      </c>
      <c r="C356" s="1359" t="s">
        <v>6908</v>
      </c>
      <c r="D356" s="1360">
        <v>6660</v>
      </c>
      <c r="E356" s="1361" t="s">
        <v>1451</v>
      </c>
      <c r="F356" s="1360" t="s">
        <v>266</v>
      </c>
      <c r="G356" s="1362">
        <v>108806</v>
      </c>
      <c r="H356" s="1363" t="s">
        <v>3538</v>
      </c>
    </row>
    <row r="357" spans="2:8" x14ac:dyDescent="0.25">
      <c r="B357" s="1358" t="s">
        <v>6897</v>
      </c>
      <c r="C357" s="1359" t="s">
        <v>6908</v>
      </c>
      <c r="D357" s="1360">
        <v>6661</v>
      </c>
      <c r="E357" s="1361" t="s">
        <v>1452</v>
      </c>
      <c r="F357" s="1360" t="s">
        <v>266</v>
      </c>
      <c r="G357" s="1362">
        <v>267348</v>
      </c>
      <c r="H357" s="1363" t="s">
        <v>3538</v>
      </c>
    </row>
    <row r="358" spans="2:8" x14ac:dyDescent="0.25">
      <c r="B358" s="1358" t="s">
        <v>6897</v>
      </c>
      <c r="C358" s="1359" t="s">
        <v>6908</v>
      </c>
      <c r="D358" s="1360">
        <v>6662</v>
      </c>
      <c r="E358" s="1361" t="s">
        <v>1453</v>
      </c>
      <c r="F358" s="1360" t="s">
        <v>266</v>
      </c>
      <c r="G358" s="1362">
        <v>565670</v>
      </c>
      <c r="H358" s="1363" t="s">
        <v>3538</v>
      </c>
    </row>
    <row r="359" spans="2:8" x14ac:dyDescent="0.25">
      <c r="B359" s="1358" t="s">
        <v>6897</v>
      </c>
      <c r="C359" s="1359" t="s">
        <v>6908</v>
      </c>
      <c r="D359" s="1360">
        <v>6663</v>
      </c>
      <c r="E359" s="1361" t="s">
        <v>1454</v>
      </c>
      <c r="F359" s="1360" t="s">
        <v>266</v>
      </c>
      <c r="G359" s="1362">
        <v>1267533</v>
      </c>
      <c r="H359" s="1363" t="s">
        <v>3538</v>
      </c>
    </row>
    <row r="360" spans="2:8" x14ac:dyDescent="0.25">
      <c r="B360" s="1358" t="s">
        <v>6897</v>
      </c>
      <c r="C360" s="1359" t="s">
        <v>6908</v>
      </c>
      <c r="D360" s="1360">
        <v>6664</v>
      </c>
      <c r="E360" s="1361" t="s">
        <v>1455</v>
      </c>
      <c r="F360" s="1360" t="s">
        <v>266</v>
      </c>
      <c r="G360" s="1362">
        <v>1706896</v>
      </c>
      <c r="H360" s="1363" t="s">
        <v>3538</v>
      </c>
    </row>
    <row r="361" spans="2:8" x14ac:dyDescent="0.25">
      <c r="B361" s="1358" t="s">
        <v>6897</v>
      </c>
      <c r="C361" s="1359" t="s">
        <v>6908</v>
      </c>
      <c r="D361" s="1360">
        <v>6665</v>
      </c>
      <c r="E361" s="1361" t="s">
        <v>1456</v>
      </c>
      <c r="F361" s="1360" t="s">
        <v>266</v>
      </c>
      <c r="G361" s="1362">
        <v>39333</v>
      </c>
      <c r="H361" s="1363" t="s">
        <v>3538</v>
      </c>
    </row>
    <row r="362" spans="2:8" x14ac:dyDescent="0.25">
      <c r="B362" s="1358" t="s">
        <v>6897</v>
      </c>
      <c r="C362" s="1359" t="s">
        <v>6908</v>
      </c>
      <c r="D362" s="1360">
        <v>6666</v>
      </c>
      <c r="E362" s="1361" t="s">
        <v>1457</v>
      </c>
      <c r="F362" s="1360" t="s">
        <v>266</v>
      </c>
      <c r="G362" s="1362">
        <v>43479</v>
      </c>
      <c r="H362" s="1363" t="s">
        <v>3538</v>
      </c>
    </row>
    <row r="363" spans="2:8" x14ac:dyDescent="0.25">
      <c r="B363" s="1358" t="s">
        <v>6897</v>
      </c>
      <c r="C363" s="1359" t="s">
        <v>6908</v>
      </c>
      <c r="D363" s="1360">
        <v>6667</v>
      </c>
      <c r="E363" s="1361" t="s">
        <v>1458</v>
      </c>
      <c r="F363" s="1360" t="s">
        <v>266</v>
      </c>
      <c r="G363" s="1362">
        <v>60370</v>
      </c>
      <c r="H363" s="1363" t="s">
        <v>3538</v>
      </c>
    </row>
    <row r="364" spans="2:8" x14ac:dyDescent="0.25">
      <c r="B364" s="1358" t="s">
        <v>6897</v>
      </c>
      <c r="C364" s="1359" t="s">
        <v>6908</v>
      </c>
      <c r="D364" s="1360">
        <v>6668</v>
      </c>
      <c r="E364" s="1361" t="s">
        <v>1459</v>
      </c>
      <c r="F364" s="1360" t="s">
        <v>266</v>
      </c>
      <c r="G364" s="1362">
        <v>103375</v>
      </c>
      <c r="H364" s="1363" t="s">
        <v>3538</v>
      </c>
    </row>
    <row r="365" spans="2:8" x14ac:dyDescent="0.25">
      <c r="B365" s="1358" t="s">
        <v>6897</v>
      </c>
      <c r="C365" s="1359" t="s">
        <v>6908</v>
      </c>
      <c r="D365" s="1360">
        <v>6669</v>
      </c>
      <c r="E365" s="1361" t="s">
        <v>1460</v>
      </c>
      <c r="F365" s="1360" t="s">
        <v>266</v>
      </c>
      <c r="G365" s="1362">
        <v>239053</v>
      </c>
      <c r="H365" s="1363" t="s">
        <v>3538</v>
      </c>
    </row>
    <row r="366" spans="2:8" x14ac:dyDescent="0.25">
      <c r="B366" s="1358" t="s">
        <v>6897</v>
      </c>
      <c r="C366" s="1359" t="s">
        <v>6908</v>
      </c>
      <c r="D366" s="1360">
        <v>6670</v>
      </c>
      <c r="E366" s="1361" t="s">
        <v>1461</v>
      </c>
      <c r="F366" s="1360" t="s">
        <v>266</v>
      </c>
      <c r="G366" s="1362">
        <v>485734</v>
      </c>
      <c r="H366" s="1363" t="s">
        <v>3538</v>
      </c>
    </row>
    <row r="367" spans="2:8" x14ac:dyDescent="0.25">
      <c r="B367" s="1358" t="s">
        <v>6897</v>
      </c>
      <c r="C367" s="1359" t="s">
        <v>6908</v>
      </c>
      <c r="D367" s="1360">
        <v>6671</v>
      </c>
      <c r="E367" s="1361" t="s">
        <v>1462</v>
      </c>
      <c r="F367" s="1360" t="s">
        <v>266</v>
      </c>
      <c r="G367" s="1362">
        <v>1036952</v>
      </c>
      <c r="H367" s="1363" t="s">
        <v>3538</v>
      </c>
    </row>
    <row r="368" spans="2:8" x14ac:dyDescent="0.25">
      <c r="B368" s="1358" t="s">
        <v>6897</v>
      </c>
      <c r="C368" s="1359" t="s">
        <v>6908</v>
      </c>
      <c r="D368" s="1360">
        <v>6672</v>
      </c>
      <c r="E368" s="1361" t="s">
        <v>1463</v>
      </c>
      <c r="F368" s="1360" t="s">
        <v>266</v>
      </c>
      <c r="G368" s="1362">
        <v>1372571</v>
      </c>
      <c r="H368" s="1363" t="s">
        <v>3538</v>
      </c>
    </row>
    <row r="369" spans="2:8" x14ac:dyDescent="0.25">
      <c r="B369" s="1358" t="s">
        <v>6897</v>
      </c>
      <c r="C369" s="1359" t="s">
        <v>6920</v>
      </c>
      <c r="D369" s="1360">
        <v>6673</v>
      </c>
      <c r="E369" s="1361" t="s">
        <v>1464</v>
      </c>
      <c r="F369" s="1360" t="s">
        <v>266</v>
      </c>
      <c r="G369" s="1362">
        <v>7345632</v>
      </c>
      <c r="H369" s="1363" t="s">
        <v>6899</v>
      </c>
    </row>
    <row r="370" spans="2:8" x14ac:dyDescent="0.25">
      <c r="B370" s="1358" t="s">
        <v>6897</v>
      </c>
      <c r="C370" s="1359" t="s">
        <v>6920</v>
      </c>
      <c r="D370" s="1360">
        <v>6674</v>
      </c>
      <c r="E370" s="1361" t="s">
        <v>1465</v>
      </c>
      <c r="F370" s="1360" t="s">
        <v>266</v>
      </c>
      <c r="G370" s="1362">
        <v>8925000</v>
      </c>
      <c r="H370" s="1363" t="s">
        <v>6899</v>
      </c>
    </row>
    <row r="371" spans="2:8" x14ac:dyDescent="0.25">
      <c r="B371" s="1358" t="s">
        <v>6897</v>
      </c>
      <c r="C371" s="1359" t="s">
        <v>6920</v>
      </c>
      <c r="D371" s="1360">
        <v>6675</v>
      </c>
      <c r="E371" s="1361" t="s">
        <v>1466</v>
      </c>
      <c r="F371" s="1360" t="s">
        <v>266</v>
      </c>
      <c r="G371" s="1362">
        <v>928200</v>
      </c>
      <c r="H371" s="1363" t="s">
        <v>6899</v>
      </c>
    </row>
    <row r="372" spans="2:8" x14ac:dyDescent="0.25">
      <c r="B372" s="1358" t="s">
        <v>6897</v>
      </c>
      <c r="C372" s="1359" t="s">
        <v>6920</v>
      </c>
      <c r="D372" s="1360">
        <v>6677</v>
      </c>
      <c r="E372" s="1361" t="s">
        <v>1467</v>
      </c>
      <c r="F372" s="1360" t="s">
        <v>266</v>
      </c>
      <c r="G372" s="1362">
        <v>654500</v>
      </c>
      <c r="H372" s="1363" t="s">
        <v>6899</v>
      </c>
    </row>
    <row r="373" spans="2:8" x14ac:dyDescent="0.25">
      <c r="B373" s="1358" t="s">
        <v>6897</v>
      </c>
      <c r="C373" s="1359" t="s">
        <v>6920</v>
      </c>
      <c r="D373" s="1360">
        <v>6679</v>
      </c>
      <c r="E373" s="1361" t="s">
        <v>1468</v>
      </c>
      <c r="F373" s="1360" t="s">
        <v>266</v>
      </c>
      <c r="G373" s="1362">
        <v>722211</v>
      </c>
      <c r="H373" s="1363" t="s">
        <v>6899</v>
      </c>
    </row>
    <row r="374" spans="2:8" x14ac:dyDescent="0.25">
      <c r="B374" s="1358" t="s">
        <v>6897</v>
      </c>
      <c r="C374" s="1359" t="s">
        <v>6920</v>
      </c>
      <c r="D374" s="1360">
        <v>6680</v>
      </c>
      <c r="E374" s="1361" t="s">
        <v>1469</v>
      </c>
      <c r="F374" s="1360" t="s">
        <v>266</v>
      </c>
      <c r="G374" s="1362">
        <v>226100</v>
      </c>
      <c r="H374" s="1363" t="s">
        <v>6899</v>
      </c>
    </row>
    <row r="375" spans="2:8" x14ac:dyDescent="0.25">
      <c r="B375" s="1358" t="s">
        <v>6897</v>
      </c>
      <c r="C375" s="1359" t="s">
        <v>6920</v>
      </c>
      <c r="D375" s="1360">
        <v>6681</v>
      </c>
      <c r="E375" s="1361" t="s">
        <v>1470</v>
      </c>
      <c r="F375" s="1360" t="s">
        <v>266</v>
      </c>
      <c r="G375" s="1362">
        <v>4713114</v>
      </c>
      <c r="H375" s="1363" t="s">
        <v>6899</v>
      </c>
    </row>
    <row r="376" spans="2:8" x14ac:dyDescent="0.25">
      <c r="B376" s="1358" t="s">
        <v>6897</v>
      </c>
      <c r="C376" s="1359" t="s">
        <v>6920</v>
      </c>
      <c r="D376" s="1360">
        <v>6682</v>
      </c>
      <c r="E376" s="1361" t="s">
        <v>1471</v>
      </c>
      <c r="F376" s="1360" t="s">
        <v>266</v>
      </c>
      <c r="G376" s="1362">
        <v>190400</v>
      </c>
      <c r="H376" s="1363" t="s">
        <v>6899</v>
      </c>
    </row>
    <row r="377" spans="2:8" x14ac:dyDescent="0.25">
      <c r="B377" s="1358" t="s">
        <v>6897</v>
      </c>
      <c r="C377" s="1359" t="s">
        <v>6920</v>
      </c>
      <c r="D377" s="1360">
        <v>6683</v>
      </c>
      <c r="E377" s="1361" t="s">
        <v>1472</v>
      </c>
      <c r="F377" s="1360" t="s">
        <v>266</v>
      </c>
      <c r="G377" s="1362">
        <v>122166</v>
      </c>
      <c r="H377" s="1363" t="s">
        <v>6899</v>
      </c>
    </row>
    <row r="378" spans="2:8" x14ac:dyDescent="0.25">
      <c r="B378" s="1358" t="s">
        <v>6897</v>
      </c>
      <c r="C378" s="1359" t="s">
        <v>6904</v>
      </c>
      <c r="D378" s="1360">
        <v>6684</v>
      </c>
      <c r="E378" s="1361" t="s">
        <v>1473</v>
      </c>
      <c r="F378" s="1360" t="s">
        <v>266</v>
      </c>
      <c r="G378" s="1362">
        <v>6000</v>
      </c>
      <c r="H378" s="1363" t="s">
        <v>6899</v>
      </c>
    </row>
    <row r="379" spans="2:8" x14ac:dyDescent="0.25">
      <c r="B379" s="1358" t="s">
        <v>6897</v>
      </c>
      <c r="C379" s="1359" t="s">
        <v>1474</v>
      </c>
      <c r="D379" s="1360">
        <v>6698</v>
      </c>
      <c r="E379" s="1361" t="s">
        <v>1475</v>
      </c>
      <c r="F379" s="1360" t="s">
        <v>12</v>
      </c>
      <c r="G379" s="1362">
        <v>7029</v>
      </c>
      <c r="H379" s="1363" t="s">
        <v>6899</v>
      </c>
    </row>
    <row r="380" spans="2:8" x14ac:dyDescent="0.25">
      <c r="B380" s="1358" t="s">
        <v>6897</v>
      </c>
      <c r="C380" s="1359" t="s">
        <v>1474</v>
      </c>
      <c r="D380" s="1360">
        <v>6700</v>
      </c>
      <c r="E380" s="1361" t="s">
        <v>1476</v>
      </c>
      <c r="F380" s="1360" t="s">
        <v>12</v>
      </c>
      <c r="G380" s="1362">
        <v>7973</v>
      </c>
      <c r="H380" s="1363" t="s">
        <v>6899</v>
      </c>
    </row>
    <row r="381" spans="2:8" x14ac:dyDescent="0.25">
      <c r="B381" s="1358" t="s">
        <v>6897</v>
      </c>
      <c r="C381" s="1359" t="s">
        <v>1474</v>
      </c>
      <c r="D381" s="1360">
        <v>6701</v>
      </c>
      <c r="E381" s="1361" t="s">
        <v>1477</v>
      </c>
      <c r="F381" s="1360" t="s">
        <v>12</v>
      </c>
      <c r="G381" s="1362">
        <v>9499</v>
      </c>
      <c r="H381" s="1363" t="s">
        <v>6899</v>
      </c>
    </row>
    <row r="382" spans="2:8" x14ac:dyDescent="0.25">
      <c r="B382" s="1358" t="s">
        <v>6897</v>
      </c>
      <c r="C382" s="1359" t="s">
        <v>1474</v>
      </c>
      <c r="D382" s="1360">
        <v>6702</v>
      </c>
      <c r="E382" s="1361" t="s">
        <v>1478</v>
      </c>
      <c r="F382" s="1360" t="s">
        <v>12</v>
      </c>
      <c r="G382" s="1362">
        <v>13514</v>
      </c>
      <c r="H382" s="1363" t="s">
        <v>6899</v>
      </c>
    </row>
    <row r="383" spans="2:8" x14ac:dyDescent="0.25">
      <c r="B383" s="1358" t="s">
        <v>6897</v>
      </c>
      <c r="C383" s="1359" t="s">
        <v>1474</v>
      </c>
      <c r="D383" s="1360">
        <v>6703</v>
      </c>
      <c r="E383" s="1361" t="s">
        <v>1479</v>
      </c>
      <c r="F383" s="1360" t="s">
        <v>12</v>
      </c>
      <c r="G383" s="1362">
        <v>16440</v>
      </c>
      <c r="H383" s="1363" t="s">
        <v>6899</v>
      </c>
    </row>
    <row r="384" spans="2:8" x14ac:dyDescent="0.25">
      <c r="B384" s="1358" t="s">
        <v>6897</v>
      </c>
      <c r="C384" s="1359" t="s">
        <v>1474</v>
      </c>
      <c r="D384" s="1360">
        <v>6704</v>
      </c>
      <c r="E384" s="1361" t="s">
        <v>1480</v>
      </c>
      <c r="F384" s="1360" t="s">
        <v>12</v>
      </c>
      <c r="G384" s="1362">
        <v>20532</v>
      </c>
      <c r="H384" s="1363" t="s">
        <v>6899</v>
      </c>
    </row>
    <row r="385" spans="2:8" x14ac:dyDescent="0.25">
      <c r="B385" s="1358" t="s">
        <v>6897</v>
      </c>
      <c r="C385" s="1359" t="s">
        <v>1474</v>
      </c>
      <c r="D385" s="1360">
        <v>6710</v>
      </c>
      <c r="E385" s="1361" t="s">
        <v>1481</v>
      </c>
      <c r="F385" s="1360" t="s">
        <v>12</v>
      </c>
      <c r="G385" s="1362">
        <v>6018</v>
      </c>
      <c r="H385" s="1363" t="s">
        <v>6899</v>
      </c>
    </row>
    <row r="386" spans="2:8" x14ac:dyDescent="0.25">
      <c r="B386" s="1358" t="s">
        <v>6897</v>
      </c>
      <c r="C386" s="1359" t="s">
        <v>6908</v>
      </c>
      <c r="D386" s="1360">
        <v>6715</v>
      </c>
      <c r="E386" s="1361" t="s">
        <v>6923</v>
      </c>
      <c r="F386" s="1360" t="s">
        <v>266</v>
      </c>
      <c r="G386" s="1362">
        <v>20988</v>
      </c>
      <c r="H386" s="1363" t="s">
        <v>3538</v>
      </c>
    </row>
    <row r="387" spans="2:8" x14ac:dyDescent="0.25">
      <c r="B387" s="1358" t="s">
        <v>6897</v>
      </c>
      <c r="C387" s="1359" t="s">
        <v>6905</v>
      </c>
      <c r="D387" s="1360">
        <v>6722</v>
      </c>
      <c r="E387" s="1361" t="s">
        <v>1482</v>
      </c>
      <c r="F387" s="1360" t="s">
        <v>3</v>
      </c>
      <c r="G387" s="1362">
        <v>23800</v>
      </c>
      <c r="H387" s="1363" t="s">
        <v>6899</v>
      </c>
    </row>
    <row r="388" spans="2:8" x14ac:dyDescent="0.25">
      <c r="B388" s="1358" t="s">
        <v>6897</v>
      </c>
      <c r="C388" s="1359" t="s">
        <v>6904</v>
      </c>
      <c r="D388" s="1360">
        <v>6733</v>
      </c>
      <c r="E388" s="1361" t="s">
        <v>1483</v>
      </c>
      <c r="F388" s="1360" t="s">
        <v>266</v>
      </c>
      <c r="G388" s="1362">
        <v>968</v>
      </c>
      <c r="H388" s="1363" t="s">
        <v>6899</v>
      </c>
    </row>
    <row r="389" spans="2:8" x14ac:dyDescent="0.25">
      <c r="B389" s="1358" t="s">
        <v>6897</v>
      </c>
      <c r="C389" s="1359" t="s">
        <v>6898</v>
      </c>
      <c r="D389" s="1360">
        <v>6739</v>
      </c>
      <c r="E389" s="1361" t="s">
        <v>1484</v>
      </c>
      <c r="F389" s="1360" t="s">
        <v>3</v>
      </c>
      <c r="G389" s="1362">
        <v>55930</v>
      </c>
      <c r="H389" s="1363" t="s">
        <v>6899</v>
      </c>
    </row>
    <row r="390" spans="2:8" x14ac:dyDescent="0.25">
      <c r="B390" s="1358" t="s">
        <v>6897</v>
      </c>
      <c r="C390" s="1359" t="s">
        <v>6912</v>
      </c>
      <c r="D390" s="1360">
        <v>6780</v>
      </c>
      <c r="E390" s="1361" t="s">
        <v>6924</v>
      </c>
      <c r="F390" s="1360" t="s">
        <v>1124</v>
      </c>
      <c r="G390" s="1362">
        <v>79000</v>
      </c>
      <c r="H390" s="1363" t="s">
        <v>6899</v>
      </c>
    </row>
    <row r="391" spans="2:8" x14ac:dyDescent="0.25">
      <c r="B391" s="1358" t="s">
        <v>6897</v>
      </c>
      <c r="C391" s="1359" t="s">
        <v>6903</v>
      </c>
      <c r="D391" s="1360">
        <v>6789</v>
      </c>
      <c r="E391" s="1361" t="s">
        <v>1485</v>
      </c>
      <c r="F391" s="1360" t="s">
        <v>6</v>
      </c>
      <c r="G391" s="1362">
        <v>4665</v>
      </c>
      <c r="H391" s="1363" t="s">
        <v>6899</v>
      </c>
    </row>
    <row r="392" spans="2:8" x14ac:dyDescent="0.25">
      <c r="B392" s="1358" t="s">
        <v>6897</v>
      </c>
      <c r="C392" s="1359" t="s">
        <v>6906</v>
      </c>
      <c r="D392" s="1360">
        <v>6792</v>
      </c>
      <c r="E392" s="1361" t="s">
        <v>1486</v>
      </c>
      <c r="F392" s="1360" t="s">
        <v>266</v>
      </c>
      <c r="G392" s="1362">
        <v>503115</v>
      </c>
      <c r="H392" s="1363" t="s">
        <v>3535</v>
      </c>
    </row>
    <row r="393" spans="2:8" x14ac:dyDescent="0.25">
      <c r="B393" s="1358" t="s">
        <v>6897</v>
      </c>
      <c r="C393" s="1359" t="s">
        <v>6906</v>
      </c>
      <c r="D393" s="1360">
        <v>6793</v>
      </c>
      <c r="E393" s="1361" t="s">
        <v>1487</v>
      </c>
      <c r="F393" s="1360" t="s">
        <v>266</v>
      </c>
      <c r="G393" s="1362">
        <v>514983</v>
      </c>
      <c r="H393" s="1363" t="s">
        <v>3535</v>
      </c>
    </row>
    <row r="394" spans="2:8" x14ac:dyDescent="0.25">
      <c r="B394" s="1358" t="s">
        <v>6897</v>
      </c>
      <c r="C394" s="1359" t="s">
        <v>6902</v>
      </c>
      <c r="D394" s="1360">
        <v>6807</v>
      </c>
      <c r="E394" s="1361" t="s">
        <v>1488</v>
      </c>
      <c r="F394" s="1360" t="s">
        <v>12</v>
      </c>
      <c r="G394" s="1362">
        <v>44955</v>
      </c>
      <c r="H394" s="1363" t="s">
        <v>3538</v>
      </c>
    </row>
    <row r="395" spans="2:8" x14ac:dyDescent="0.25">
      <c r="B395" s="1358" t="s">
        <v>6897</v>
      </c>
      <c r="C395" s="1359" t="s">
        <v>6925</v>
      </c>
      <c r="D395" s="1360">
        <v>6824</v>
      </c>
      <c r="E395" s="1361" t="s">
        <v>1489</v>
      </c>
      <c r="F395" s="1360" t="s">
        <v>6</v>
      </c>
      <c r="G395" s="1362">
        <v>36</v>
      </c>
      <c r="H395" s="1363" t="s">
        <v>6899</v>
      </c>
    </row>
    <row r="396" spans="2:8" x14ac:dyDescent="0.25">
      <c r="B396" s="1358" t="s">
        <v>6897</v>
      </c>
      <c r="C396" s="1359" t="s">
        <v>6922</v>
      </c>
      <c r="D396" s="1360">
        <v>6825</v>
      </c>
      <c r="E396" s="1361" t="s">
        <v>1490</v>
      </c>
      <c r="F396" s="1360" t="s">
        <v>266</v>
      </c>
      <c r="G396" s="1362">
        <v>258081</v>
      </c>
      <c r="H396" s="1363" t="s">
        <v>3538</v>
      </c>
    </row>
    <row r="397" spans="2:8" x14ac:dyDescent="0.25">
      <c r="B397" s="1358" t="s">
        <v>6897</v>
      </c>
      <c r="C397" s="1359" t="s">
        <v>6922</v>
      </c>
      <c r="D397" s="1360">
        <v>6826</v>
      </c>
      <c r="E397" s="1361" t="s">
        <v>1491</v>
      </c>
      <c r="F397" s="1360" t="s">
        <v>266</v>
      </c>
      <c r="G397" s="1362">
        <v>398620</v>
      </c>
      <c r="H397" s="1363" t="s">
        <v>3538</v>
      </c>
    </row>
    <row r="398" spans="2:8" x14ac:dyDescent="0.25">
      <c r="B398" s="1358" t="s">
        <v>6897</v>
      </c>
      <c r="C398" s="1359" t="s">
        <v>6898</v>
      </c>
      <c r="D398" s="1360">
        <v>6830</v>
      </c>
      <c r="E398" s="1361" t="s">
        <v>1492</v>
      </c>
      <c r="F398" s="1360" t="s">
        <v>3</v>
      </c>
      <c r="G398" s="1362">
        <v>596965</v>
      </c>
      <c r="H398" s="1363" t="s">
        <v>6899</v>
      </c>
    </row>
    <row r="399" spans="2:8" x14ac:dyDescent="0.25">
      <c r="B399" s="1358" t="s">
        <v>6897</v>
      </c>
      <c r="C399" s="1359" t="s">
        <v>6898</v>
      </c>
      <c r="D399" s="1360">
        <v>6831</v>
      </c>
      <c r="E399" s="1361" t="s">
        <v>1493</v>
      </c>
      <c r="F399" s="1360" t="s">
        <v>3</v>
      </c>
      <c r="G399" s="1362">
        <v>617224</v>
      </c>
      <c r="H399" s="1363" t="s">
        <v>6899</v>
      </c>
    </row>
    <row r="400" spans="2:8" x14ac:dyDescent="0.25">
      <c r="B400" s="1358" t="s">
        <v>6897</v>
      </c>
      <c r="C400" s="1359" t="s">
        <v>6898</v>
      </c>
      <c r="D400" s="1360">
        <v>6832</v>
      </c>
      <c r="E400" s="1361" t="s">
        <v>1494</v>
      </c>
      <c r="F400" s="1360" t="s">
        <v>3</v>
      </c>
      <c r="G400" s="1362">
        <v>637483</v>
      </c>
      <c r="H400" s="1363" t="s">
        <v>6899</v>
      </c>
    </row>
    <row r="401" spans="2:8" x14ac:dyDescent="0.25">
      <c r="B401" s="1358" t="s">
        <v>6897</v>
      </c>
      <c r="C401" s="1359" t="s">
        <v>6908</v>
      </c>
      <c r="D401" s="1360">
        <v>6834</v>
      </c>
      <c r="E401" s="1361" t="s">
        <v>1495</v>
      </c>
      <c r="F401" s="1360" t="s">
        <v>13</v>
      </c>
      <c r="G401" s="1362">
        <v>4732</v>
      </c>
      <c r="H401" s="1363" t="s">
        <v>3538</v>
      </c>
    </row>
    <row r="402" spans="2:8" x14ac:dyDescent="0.25">
      <c r="B402" s="1358" t="s">
        <v>6897</v>
      </c>
      <c r="C402" s="1359" t="s">
        <v>6908</v>
      </c>
      <c r="D402" s="1360">
        <v>6835</v>
      </c>
      <c r="E402" s="1361" t="s">
        <v>1496</v>
      </c>
      <c r="F402" s="1360" t="s">
        <v>266</v>
      </c>
      <c r="G402" s="1362">
        <v>501</v>
      </c>
      <c r="H402" s="1363" t="s">
        <v>3538</v>
      </c>
    </row>
    <row r="403" spans="2:8" x14ac:dyDescent="0.25">
      <c r="B403" s="1358" t="s">
        <v>6897</v>
      </c>
      <c r="C403" s="1359" t="s">
        <v>6904</v>
      </c>
      <c r="D403" s="1360">
        <v>6846</v>
      </c>
      <c r="E403" s="1361" t="s">
        <v>1497</v>
      </c>
      <c r="F403" s="1360" t="s">
        <v>266</v>
      </c>
      <c r="G403" s="1362">
        <v>1637</v>
      </c>
      <c r="H403" s="1363" t="s">
        <v>6899</v>
      </c>
    </row>
    <row r="404" spans="2:8" x14ac:dyDescent="0.25">
      <c r="B404" s="1358" t="s">
        <v>6897</v>
      </c>
      <c r="C404" s="1359" t="s">
        <v>6904</v>
      </c>
      <c r="D404" s="1360">
        <v>6847</v>
      </c>
      <c r="E404" s="1361" t="s">
        <v>1498</v>
      </c>
      <c r="F404" s="1360" t="s">
        <v>266</v>
      </c>
      <c r="G404" s="1362">
        <v>1700</v>
      </c>
      <c r="H404" s="1363" t="s">
        <v>6899</v>
      </c>
    </row>
    <row r="405" spans="2:8" x14ac:dyDescent="0.25">
      <c r="B405" s="1358" t="s">
        <v>6897</v>
      </c>
      <c r="C405" s="1359" t="s">
        <v>6904</v>
      </c>
      <c r="D405" s="1360">
        <v>6853</v>
      </c>
      <c r="E405" s="1361" t="s">
        <v>3556</v>
      </c>
      <c r="F405" s="1360" t="s">
        <v>266</v>
      </c>
      <c r="G405" s="1362">
        <v>1397</v>
      </c>
      <c r="H405" s="1363" t="s">
        <v>6899</v>
      </c>
    </row>
    <row r="406" spans="2:8" x14ac:dyDescent="0.25">
      <c r="B406" s="1358" t="s">
        <v>6897</v>
      </c>
      <c r="C406" s="1359" t="s">
        <v>6898</v>
      </c>
      <c r="D406" s="1360">
        <v>6858</v>
      </c>
      <c r="E406" s="1361" t="s">
        <v>1499</v>
      </c>
      <c r="F406" s="1360" t="s">
        <v>3</v>
      </c>
      <c r="G406" s="1362">
        <v>688522</v>
      </c>
      <c r="H406" s="1363" t="s">
        <v>6899</v>
      </c>
    </row>
    <row r="407" spans="2:8" x14ac:dyDescent="0.25">
      <c r="B407" s="1358" t="s">
        <v>6897</v>
      </c>
      <c r="C407" s="1359" t="s">
        <v>6898</v>
      </c>
      <c r="D407" s="1360">
        <v>6859</v>
      </c>
      <c r="E407" s="1361" t="s">
        <v>1500</v>
      </c>
      <c r="F407" s="1360" t="s">
        <v>3</v>
      </c>
      <c r="G407" s="1362">
        <v>646297</v>
      </c>
      <c r="H407" s="1363" t="s">
        <v>6899</v>
      </c>
    </row>
    <row r="408" spans="2:8" x14ac:dyDescent="0.25">
      <c r="B408" s="1358" t="s">
        <v>6897</v>
      </c>
      <c r="C408" s="1359" t="s">
        <v>6915</v>
      </c>
      <c r="D408" s="1360">
        <v>6861</v>
      </c>
      <c r="E408" s="1361" t="s">
        <v>1501</v>
      </c>
      <c r="F408" s="1360" t="s">
        <v>12</v>
      </c>
      <c r="G408" s="1362">
        <v>82490</v>
      </c>
      <c r="H408" s="1363" t="s">
        <v>6899</v>
      </c>
    </row>
    <row r="409" spans="2:8" x14ac:dyDescent="0.25">
      <c r="B409" s="1358" t="s">
        <v>6897</v>
      </c>
      <c r="C409" s="1359" t="s">
        <v>6915</v>
      </c>
      <c r="D409" s="1360">
        <v>6863</v>
      </c>
      <c r="E409" s="1361" t="s">
        <v>1502</v>
      </c>
      <c r="F409" s="1360" t="s">
        <v>266</v>
      </c>
      <c r="G409" s="1362">
        <v>46627</v>
      </c>
      <c r="H409" s="1363" t="s">
        <v>6899</v>
      </c>
    </row>
    <row r="410" spans="2:8" x14ac:dyDescent="0.25">
      <c r="B410" s="1358" t="s">
        <v>6897</v>
      </c>
      <c r="C410" s="1359" t="s">
        <v>6898</v>
      </c>
      <c r="D410" s="1360">
        <v>6865</v>
      </c>
      <c r="E410" s="1361" t="s">
        <v>1503</v>
      </c>
      <c r="F410" s="1360" t="s">
        <v>3</v>
      </c>
      <c r="G410" s="1362">
        <v>575621</v>
      </c>
      <c r="H410" s="1363" t="s">
        <v>6899</v>
      </c>
    </row>
    <row r="411" spans="2:8" x14ac:dyDescent="0.25">
      <c r="B411" s="1358" t="s">
        <v>6897</v>
      </c>
      <c r="C411" s="1359" t="s">
        <v>6900</v>
      </c>
      <c r="D411" s="1360">
        <v>6867</v>
      </c>
      <c r="E411" s="1361" t="s">
        <v>3557</v>
      </c>
      <c r="F411" s="1360" t="s">
        <v>202</v>
      </c>
      <c r="G411" s="1362">
        <v>600794</v>
      </c>
      <c r="H411" s="1363" t="s">
        <v>6899</v>
      </c>
    </row>
    <row r="412" spans="2:8" x14ac:dyDescent="0.25">
      <c r="B412" s="1358" t="s">
        <v>6897</v>
      </c>
      <c r="C412" s="1359" t="s">
        <v>6926</v>
      </c>
      <c r="D412" s="1360">
        <v>6875</v>
      </c>
      <c r="E412" s="1361" t="s">
        <v>1504</v>
      </c>
      <c r="F412" s="1360" t="s">
        <v>6</v>
      </c>
      <c r="G412" s="1362">
        <v>5691</v>
      </c>
      <c r="H412" s="1363" t="s">
        <v>6899</v>
      </c>
    </row>
    <row r="413" spans="2:8" x14ac:dyDescent="0.25">
      <c r="B413" s="1358" t="s">
        <v>6897</v>
      </c>
      <c r="C413" s="1359" t="s">
        <v>6925</v>
      </c>
      <c r="D413" s="1360">
        <v>6878</v>
      </c>
      <c r="E413" s="1361" t="s">
        <v>1505</v>
      </c>
      <c r="F413" s="1360" t="s">
        <v>812</v>
      </c>
      <c r="G413" s="1362">
        <v>1782</v>
      </c>
      <c r="H413" s="1363" t="s">
        <v>6899</v>
      </c>
    </row>
    <row r="414" spans="2:8" x14ac:dyDescent="0.25">
      <c r="B414" s="1358" t="s">
        <v>6897</v>
      </c>
      <c r="C414" s="1359" t="s">
        <v>6919</v>
      </c>
      <c r="D414" s="1360">
        <v>6884</v>
      </c>
      <c r="E414" s="1361" t="s">
        <v>1506</v>
      </c>
      <c r="F414" s="1360" t="s">
        <v>266</v>
      </c>
      <c r="G414" s="1362">
        <v>3093167</v>
      </c>
      <c r="H414" s="1363" t="s">
        <v>6899</v>
      </c>
    </row>
    <row r="415" spans="2:8" x14ac:dyDescent="0.25">
      <c r="B415" s="1358" t="s">
        <v>6897</v>
      </c>
      <c r="C415" s="1359" t="s">
        <v>6927</v>
      </c>
      <c r="D415" s="1360">
        <v>6889</v>
      </c>
      <c r="E415" s="1361" t="s">
        <v>1507</v>
      </c>
      <c r="F415" s="1360" t="s">
        <v>13</v>
      </c>
      <c r="G415" s="1362">
        <v>915</v>
      </c>
      <c r="H415" s="1363" t="s">
        <v>6899</v>
      </c>
    </row>
    <row r="416" spans="2:8" x14ac:dyDescent="0.25">
      <c r="B416" s="1358" t="s">
        <v>6897</v>
      </c>
      <c r="C416" s="1359" t="s">
        <v>6927</v>
      </c>
      <c r="D416" s="1360">
        <v>6914</v>
      </c>
      <c r="E416" s="1361" t="s">
        <v>1508</v>
      </c>
      <c r="F416" s="1360" t="s">
        <v>6</v>
      </c>
      <c r="G416" s="1362">
        <v>9758</v>
      </c>
      <c r="H416" s="1363" t="s">
        <v>6899</v>
      </c>
    </row>
    <row r="417" spans="2:8" x14ac:dyDescent="0.25">
      <c r="B417" s="1358" t="s">
        <v>6897</v>
      </c>
      <c r="C417" s="1359" t="s">
        <v>6917</v>
      </c>
      <c r="D417" s="1360">
        <v>6919</v>
      </c>
      <c r="E417" s="1361" t="s">
        <v>1509</v>
      </c>
      <c r="F417" s="1360" t="s">
        <v>1155</v>
      </c>
      <c r="G417" s="1362">
        <v>218509</v>
      </c>
      <c r="H417" s="1363" t="s">
        <v>3538</v>
      </c>
    </row>
    <row r="418" spans="2:8" x14ac:dyDescent="0.25">
      <c r="B418" s="1358" t="s">
        <v>6897</v>
      </c>
      <c r="C418" s="1359" t="s">
        <v>6906</v>
      </c>
      <c r="D418" s="1360">
        <v>6944</v>
      </c>
      <c r="E418" s="1361" t="s">
        <v>1510</v>
      </c>
      <c r="F418" s="1360" t="s">
        <v>266</v>
      </c>
      <c r="G418" s="1362">
        <v>475120</v>
      </c>
      <c r="H418" s="1363" t="s">
        <v>3535</v>
      </c>
    </row>
    <row r="419" spans="2:8" x14ac:dyDescent="0.25">
      <c r="B419" s="1358" t="s">
        <v>6897</v>
      </c>
      <c r="C419" s="1359" t="s">
        <v>1474</v>
      </c>
      <c r="D419" s="1360">
        <v>6958</v>
      </c>
      <c r="E419" s="1361" t="s">
        <v>1511</v>
      </c>
      <c r="F419" s="1360" t="s">
        <v>12</v>
      </c>
      <c r="G419" s="1362">
        <v>12399</v>
      </c>
      <c r="H419" s="1363" t="s">
        <v>6899</v>
      </c>
    </row>
    <row r="420" spans="2:8" x14ac:dyDescent="0.25">
      <c r="B420" s="1358" t="s">
        <v>6897</v>
      </c>
      <c r="C420" s="1359" t="s">
        <v>6926</v>
      </c>
      <c r="D420" s="1360">
        <v>6962</v>
      </c>
      <c r="E420" s="1361" t="s">
        <v>1512</v>
      </c>
      <c r="F420" s="1360" t="s">
        <v>93</v>
      </c>
      <c r="G420" s="1362">
        <v>2353</v>
      </c>
      <c r="H420" s="1363" t="s">
        <v>6899</v>
      </c>
    </row>
    <row r="421" spans="2:8" x14ac:dyDescent="0.25">
      <c r="B421" s="1358" t="s">
        <v>6897</v>
      </c>
      <c r="C421" s="1359" t="s">
        <v>6926</v>
      </c>
      <c r="D421" s="1360">
        <v>6963</v>
      </c>
      <c r="E421" s="1361" t="s">
        <v>1513</v>
      </c>
      <c r="F421" s="1360" t="s">
        <v>93</v>
      </c>
      <c r="G421" s="1362">
        <v>2292</v>
      </c>
      <c r="H421" s="1363" t="s">
        <v>6899</v>
      </c>
    </row>
    <row r="422" spans="2:8" x14ac:dyDescent="0.25">
      <c r="B422" s="1358" t="s">
        <v>6897</v>
      </c>
      <c r="C422" s="1359" t="s">
        <v>6926</v>
      </c>
      <c r="D422" s="1360">
        <v>6964</v>
      </c>
      <c r="E422" s="1361" t="s">
        <v>1514</v>
      </c>
      <c r="F422" s="1360" t="s">
        <v>93</v>
      </c>
      <c r="G422" s="1362">
        <v>2410</v>
      </c>
      <c r="H422" s="1363" t="s">
        <v>6899</v>
      </c>
    </row>
    <row r="423" spans="2:8" x14ac:dyDescent="0.25">
      <c r="B423" s="1358" t="s">
        <v>6897</v>
      </c>
      <c r="C423" s="1359" t="s">
        <v>6905</v>
      </c>
      <c r="D423" s="1360">
        <v>7004</v>
      </c>
      <c r="E423" s="1361" t="s">
        <v>1515</v>
      </c>
      <c r="F423" s="1360" t="s">
        <v>3</v>
      </c>
      <c r="G423" s="1362">
        <v>46410</v>
      </c>
      <c r="H423" s="1363" t="s">
        <v>6899</v>
      </c>
    </row>
    <row r="424" spans="2:8" x14ac:dyDescent="0.25">
      <c r="B424" s="1358" t="s">
        <v>6897</v>
      </c>
      <c r="C424" s="1359" t="s">
        <v>6905</v>
      </c>
      <c r="D424" s="1360">
        <v>7005</v>
      </c>
      <c r="E424" s="1361" t="s">
        <v>1516</v>
      </c>
      <c r="F424" s="1360" t="s">
        <v>3</v>
      </c>
      <c r="G424" s="1362">
        <v>19040</v>
      </c>
      <c r="H424" s="1363" t="s">
        <v>6899</v>
      </c>
    </row>
    <row r="425" spans="2:8" x14ac:dyDescent="0.25">
      <c r="B425" s="1358" t="s">
        <v>6897</v>
      </c>
      <c r="C425" s="1359" t="s">
        <v>6912</v>
      </c>
      <c r="D425" s="1360">
        <v>7009</v>
      </c>
      <c r="E425" s="1361" t="s">
        <v>3558</v>
      </c>
      <c r="F425" s="1360" t="s">
        <v>1124</v>
      </c>
      <c r="G425" s="1362">
        <v>101829</v>
      </c>
      <c r="H425" s="1363" t="s">
        <v>6899</v>
      </c>
    </row>
    <row r="426" spans="2:8" x14ac:dyDescent="0.25">
      <c r="B426" s="1358" t="s">
        <v>6897</v>
      </c>
      <c r="C426" s="1359" t="s">
        <v>6904</v>
      </c>
      <c r="D426" s="1360">
        <v>7012</v>
      </c>
      <c r="E426" s="1361" t="s">
        <v>1517</v>
      </c>
      <c r="F426" s="1360" t="s">
        <v>266</v>
      </c>
      <c r="G426" s="1362">
        <v>1095</v>
      </c>
      <c r="H426" s="1363" t="s">
        <v>6899</v>
      </c>
    </row>
    <row r="427" spans="2:8" x14ac:dyDescent="0.25">
      <c r="B427" s="1358" t="s">
        <v>6897</v>
      </c>
      <c r="C427" s="1359" t="s">
        <v>6927</v>
      </c>
      <c r="D427" s="1360">
        <v>7018</v>
      </c>
      <c r="E427" s="1361" t="s">
        <v>1518</v>
      </c>
      <c r="F427" s="1360" t="s">
        <v>1155</v>
      </c>
      <c r="G427" s="1362">
        <v>341217</v>
      </c>
      <c r="H427" s="1363" t="s">
        <v>6899</v>
      </c>
    </row>
    <row r="428" spans="2:8" x14ac:dyDescent="0.25">
      <c r="B428" s="1358" t="s">
        <v>6897</v>
      </c>
      <c r="C428" s="1359" t="s">
        <v>6911</v>
      </c>
      <c r="D428" s="1360">
        <v>7019</v>
      </c>
      <c r="E428" s="1361" t="s">
        <v>1519</v>
      </c>
      <c r="F428" s="1360" t="s">
        <v>1155</v>
      </c>
      <c r="G428" s="1362">
        <v>15861</v>
      </c>
      <c r="H428" s="1363" t="s">
        <v>6899</v>
      </c>
    </row>
    <row r="429" spans="2:8" x14ac:dyDescent="0.25">
      <c r="B429" s="1358" t="s">
        <v>6897</v>
      </c>
      <c r="C429" s="1359" t="s">
        <v>6921</v>
      </c>
      <c r="D429" s="1360">
        <v>7020</v>
      </c>
      <c r="E429" s="1361" t="s">
        <v>1520</v>
      </c>
      <c r="F429" s="1360" t="s">
        <v>266</v>
      </c>
      <c r="G429" s="1362">
        <v>140420</v>
      </c>
      <c r="H429" s="1363" t="s">
        <v>3538</v>
      </c>
    </row>
    <row r="430" spans="2:8" x14ac:dyDescent="0.25">
      <c r="B430" s="1358" t="s">
        <v>6897</v>
      </c>
      <c r="C430" s="1359" t="s">
        <v>6921</v>
      </c>
      <c r="D430" s="1360">
        <v>7021</v>
      </c>
      <c r="E430" s="1361" t="s">
        <v>1521</v>
      </c>
      <c r="F430" s="1360" t="s">
        <v>266</v>
      </c>
      <c r="G430" s="1362">
        <v>154700</v>
      </c>
      <c r="H430" s="1363" t="s">
        <v>3538</v>
      </c>
    </row>
    <row r="431" spans="2:8" x14ac:dyDescent="0.25">
      <c r="B431" s="1358" t="s">
        <v>6897</v>
      </c>
      <c r="C431" s="1359" t="s">
        <v>6921</v>
      </c>
      <c r="D431" s="1360">
        <v>7022</v>
      </c>
      <c r="E431" s="1361" t="s">
        <v>1522</v>
      </c>
      <c r="F431" s="1360" t="s">
        <v>266</v>
      </c>
      <c r="G431" s="1362">
        <v>186434</v>
      </c>
      <c r="H431" s="1363" t="s">
        <v>3538</v>
      </c>
    </row>
    <row r="432" spans="2:8" x14ac:dyDescent="0.25">
      <c r="B432" s="1358" t="s">
        <v>6897</v>
      </c>
      <c r="C432" s="1359" t="s">
        <v>6921</v>
      </c>
      <c r="D432" s="1360">
        <v>7023</v>
      </c>
      <c r="E432" s="1361" t="s">
        <v>1523</v>
      </c>
      <c r="F432" s="1360" t="s">
        <v>266</v>
      </c>
      <c r="G432" s="1362">
        <v>275306</v>
      </c>
      <c r="H432" s="1363" t="s">
        <v>3538</v>
      </c>
    </row>
    <row r="433" spans="2:8" x14ac:dyDescent="0.25">
      <c r="B433" s="1358" t="s">
        <v>6897</v>
      </c>
      <c r="C433" s="1359" t="s">
        <v>6921</v>
      </c>
      <c r="D433" s="1360">
        <v>7024</v>
      </c>
      <c r="E433" s="1361" t="s">
        <v>1524</v>
      </c>
      <c r="F433" s="1360" t="s">
        <v>266</v>
      </c>
      <c r="G433" s="1362">
        <v>268412</v>
      </c>
      <c r="H433" s="1363" t="s">
        <v>3538</v>
      </c>
    </row>
    <row r="434" spans="2:8" x14ac:dyDescent="0.25">
      <c r="B434" s="1358" t="s">
        <v>6897</v>
      </c>
      <c r="C434" s="1359" t="s">
        <v>6921</v>
      </c>
      <c r="D434" s="1360">
        <v>7025</v>
      </c>
      <c r="E434" s="1361" t="s">
        <v>1525</v>
      </c>
      <c r="F434" s="1360" t="s">
        <v>266</v>
      </c>
      <c r="G434" s="1362">
        <v>543333</v>
      </c>
      <c r="H434" s="1363" t="s">
        <v>3538</v>
      </c>
    </row>
    <row r="435" spans="2:8" x14ac:dyDescent="0.25">
      <c r="B435" s="1358" t="s">
        <v>6897</v>
      </c>
      <c r="C435" s="1359" t="s">
        <v>6921</v>
      </c>
      <c r="D435" s="1360">
        <v>7026</v>
      </c>
      <c r="E435" s="1361" t="s">
        <v>1526</v>
      </c>
      <c r="F435" s="1360" t="s">
        <v>266</v>
      </c>
      <c r="G435" s="1362">
        <v>798889</v>
      </c>
      <c r="H435" s="1363" t="s">
        <v>3538</v>
      </c>
    </row>
    <row r="436" spans="2:8" x14ac:dyDescent="0.25">
      <c r="B436" s="1358" t="s">
        <v>6897</v>
      </c>
      <c r="C436" s="1359" t="s">
        <v>6906</v>
      </c>
      <c r="D436" s="1360">
        <v>7041</v>
      </c>
      <c r="E436" s="1361" t="s">
        <v>1527</v>
      </c>
      <c r="F436" s="1360" t="s">
        <v>266</v>
      </c>
      <c r="G436" s="1362">
        <v>1393335</v>
      </c>
      <c r="H436" s="1363" t="s">
        <v>3535</v>
      </c>
    </row>
    <row r="437" spans="2:8" x14ac:dyDescent="0.25">
      <c r="B437" s="1358" t="s">
        <v>6897</v>
      </c>
      <c r="C437" s="1359" t="s">
        <v>6913</v>
      </c>
      <c r="D437" s="1360">
        <v>7050</v>
      </c>
      <c r="E437" s="1361" t="s">
        <v>3559</v>
      </c>
      <c r="F437" s="1360" t="s">
        <v>202</v>
      </c>
      <c r="G437" s="1362">
        <v>13143</v>
      </c>
      <c r="H437" s="1363" t="s">
        <v>3548</v>
      </c>
    </row>
    <row r="438" spans="2:8" x14ac:dyDescent="0.25">
      <c r="B438" s="1358" t="s">
        <v>6897</v>
      </c>
      <c r="C438" s="1359" t="s">
        <v>6909</v>
      </c>
      <c r="D438" s="1360">
        <v>7055</v>
      </c>
      <c r="E438" s="1361" t="s">
        <v>1528</v>
      </c>
      <c r="F438" s="1360" t="s">
        <v>6</v>
      </c>
      <c r="G438" s="1362">
        <v>1012</v>
      </c>
      <c r="H438" s="1363" t="s">
        <v>6899</v>
      </c>
    </row>
    <row r="439" spans="2:8" x14ac:dyDescent="0.25">
      <c r="B439" s="1358" t="s">
        <v>6897</v>
      </c>
      <c r="C439" s="1359" t="s">
        <v>6913</v>
      </c>
      <c r="D439" s="1360">
        <v>7057</v>
      </c>
      <c r="E439" s="1361" t="s">
        <v>3560</v>
      </c>
      <c r="F439" s="1360" t="s">
        <v>202</v>
      </c>
      <c r="G439" s="1362">
        <v>9138</v>
      </c>
      <c r="H439" s="1363" t="s">
        <v>3548</v>
      </c>
    </row>
    <row r="440" spans="2:8" x14ac:dyDescent="0.25">
      <c r="B440" s="1358" t="s">
        <v>6897</v>
      </c>
      <c r="C440" s="1359" t="s">
        <v>6926</v>
      </c>
      <c r="D440" s="1360">
        <v>7071</v>
      </c>
      <c r="E440" s="1361" t="s">
        <v>1529</v>
      </c>
      <c r="F440" s="1360" t="s">
        <v>93</v>
      </c>
      <c r="G440" s="1362">
        <v>1944</v>
      </c>
      <c r="H440" s="1363" t="s">
        <v>6899</v>
      </c>
    </row>
    <row r="441" spans="2:8" x14ac:dyDescent="0.25">
      <c r="B441" s="1358" t="s">
        <v>6897</v>
      </c>
      <c r="C441" s="1359" t="s">
        <v>6916</v>
      </c>
      <c r="D441" s="1360">
        <v>7080</v>
      </c>
      <c r="E441" s="1361" t="s">
        <v>1530</v>
      </c>
      <c r="F441" s="1360" t="s">
        <v>13</v>
      </c>
      <c r="G441" s="1362">
        <v>31765</v>
      </c>
      <c r="H441" s="1363" t="s">
        <v>3538</v>
      </c>
    </row>
    <row r="442" spans="2:8" x14ac:dyDescent="0.25">
      <c r="B442" s="1358" t="s">
        <v>6897</v>
      </c>
      <c r="C442" s="1359" t="s">
        <v>6916</v>
      </c>
      <c r="D442" s="1360">
        <v>7081</v>
      </c>
      <c r="E442" s="1361" t="s">
        <v>1531</v>
      </c>
      <c r="F442" s="1360" t="s">
        <v>13</v>
      </c>
      <c r="G442" s="1362">
        <v>66655</v>
      </c>
      <c r="H442" s="1363" t="s">
        <v>3538</v>
      </c>
    </row>
    <row r="443" spans="2:8" x14ac:dyDescent="0.25">
      <c r="B443" s="1358" t="s">
        <v>6897</v>
      </c>
      <c r="C443" s="1359" t="s">
        <v>6928</v>
      </c>
      <c r="D443" s="1360">
        <v>7082</v>
      </c>
      <c r="E443" s="1361" t="s">
        <v>1532</v>
      </c>
      <c r="F443" s="1360" t="s">
        <v>266</v>
      </c>
      <c r="G443" s="1362">
        <v>1585410</v>
      </c>
      <c r="H443" s="1363" t="s">
        <v>6899</v>
      </c>
    </row>
    <row r="444" spans="2:8" x14ac:dyDescent="0.25">
      <c r="B444" s="1358" t="s">
        <v>6897</v>
      </c>
      <c r="C444" s="1359" t="s">
        <v>6928</v>
      </c>
      <c r="D444" s="1360">
        <v>7084</v>
      </c>
      <c r="E444" s="1361" t="s">
        <v>1533</v>
      </c>
      <c r="F444" s="1360" t="s">
        <v>266</v>
      </c>
      <c r="G444" s="1362">
        <v>1088510</v>
      </c>
      <c r="H444" s="1363" t="s">
        <v>6899</v>
      </c>
    </row>
    <row r="445" spans="2:8" x14ac:dyDescent="0.25">
      <c r="B445" s="1358" t="s">
        <v>6897</v>
      </c>
      <c r="C445" s="1359" t="s">
        <v>6928</v>
      </c>
      <c r="D445" s="1360">
        <v>7085</v>
      </c>
      <c r="E445" s="1361" t="s">
        <v>1534</v>
      </c>
      <c r="F445" s="1360" t="s">
        <v>266</v>
      </c>
      <c r="G445" s="1362">
        <v>1457296</v>
      </c>
      <c r="H445" s="1363" t="s">
        <v>6899</v>
      </c>
    </row>
    <row r="446" spans="2:8" x14ac:dyDescent="0.25">
      <c r="B446" s="1358" t="s">
        <v>6897</v>
      </c>
      <c r="C446" s="1359" t="s">
        <v>6928</v>
      </c>
      <c r="D446" s="1360">
        <v>7086</v>
      </c>
      <c r="E446" s="1361" t="s">
        <v>1535</v>
      </c>
      <c r="F446" s="1360" t="s">
        <v>266</v>
      </c>
      <c r="G446" s="1362">
        <v>805271</v>
      </c>
      <c r="H446" s="1363" t="s">
        <v>6899</v>
      </c>
    </row>
    <row r="447" spans="2:8" x14ac:dyDescent="0.25">
      <c r="B447" s="1358" t="s">
        <v>6897</v>
      </c>
      <c r="C447" s="1359" t="s">
        <v>6928</v>
      </c>
      <c r="D447" s="1360">
        <v>7087</v>
      </c>
      <c r="E447" s="1361" t="s">
        <v>1536</v>
      </c>
      <c r="F447" s="1360" t="s">
        <v>266</v>
      </c>
      <c r="G447" s="1362">
        <v>559313</v>
      </c>
      <c r="H447" s="1363" t="s">
        <v>6899</v>
      </c>
    </row>
    <row r="448" spans="2:8" x14ac:dyDescent="0.25">
      <c r="B448" s="1358" t="s">
        <v>6897</v>
      </c>
      <c r="C448" s="1359" t="s">
        <v>6903</v>
      </c>
      <c r="D448" s="1360">
        <v>7088</v>
      </c>
      <c r="E448" s="1361" t="s">
        <v>1537</v>
      </c>
      <c r="F448" s="1360" t="s">
        <v>6</v>
      </c>
      <c r="G448" s="1362">
        <v>4665</v>
      </c>
      <c r="H448" s="1363" t="s">
        <v>6899</v>
      </c>
    </row>
    <row r="449" spans="2:8" x14ac:dyDescent="0.25">
      <c r="B449" s="1358" t="s">
        <v>6897</v>
      </c>
      <c r="C449" s="1359" t="s">
        <v>6906</v>
      </c>
      <c r="D449" s="1360">
        <v>7089</v>
      </c>
      <c r="E449" s="1361" t="s">
        <v>1538</v>
      </c>
      <c r="F449" s="1360" t="s">
        <v>266</v>
      </c>
      <c r="G449" s="1362">
        <v>596032</v>
      </c>
      <c r="H449" s="1363" t="s">
        <v>3535</v>
      </c>
    </row>
    <row r="450" spans="2:8" x14ac:dyDescent="0.25">
      <c r="B450" s="1358" t="s">
        <v>6897</v>
      </c>
      <c r="C450" s="1359" t="s">
        <v>6929</v>
      </c>
      <c r="D450" s="1360">
        <v>7091</v>
      </c>
      <c r="E450" s="1361" t="s">
        <v>1539</v>
      </c>
      <c r="F450" s="1360" t="s">
        <v>266</v>
      </c>
      <c r="G450" s="1362">
        <v>1681487</v>
      </c>
      <c r="H450" s="1363" t="s">
        <v>6899</v>
      </c>
    </row>
    <row r="451" spans="2:8" x14ac:dyDescent="0.25">
      <c r="B451" s="1358" t="s">
        <v>6897</v>
      </c>
      <c r="C451" s="1359" t="s">
        <v>6929</v>
      </c>
      <c r="D451" s="1360">
        <v>7092</v>
      </c>
      <c r="E451" s="1361" t="s">
        <v>1540</v>
      </c>
      <c r="F451" s="1360" t="s">
        <v>266</v>
      </c>
      <c r="G451" s="1362">
        <v>2257149</v>
      </c>
      <c r="H451" s="1363" t="s">
        <v>6899</v>
      </c>
    </row>
    <row r="452" spans="2:8" x14ac:dyDescent="0.25">
      <c r="B452" s="1358" t="s">
        <v>6897</v>
      </c>
      <c r="C452" s="1359" t="s">
        <v>6929</v>
      </c>
      <c r="D452" s="1360">
        <v>7093</v>
      </c>
      <c r="E452" s="1361" t="s">
        <v>1541</v>
      </c>
      <c r="F452" s="1360" t="s">
        <v>266</v>
      </c>
      <c r="G452" s="1362">
        <v>2612674</v>
      </c>
      <c r="H452" s="1363" t="s">
        <v>6899</v>
      </c>
    </row>
    <row r="453" spans="2:8" x14ac:dyDescent="0.25">
      <c r="B453" s="1358" t="s">
        <v>6897</v>
      </c>
      <c r="C453" s="1359" t="s">
        <v>6929</v>
      </c>
      <c r="D453" s="1360">
        <v>7094</v>
      </c>
      <c r="E453" s="1361" t="s">
        <v>1542</v>
      </c>
      <c r="F453" s="1360" t="s">
        <v>266</v>
      </c>
      <c r="G453" s="1362">
        <v>3617932</v>
      </c>
      <c r="H453" s="1363" t="s">
        <v>6899</v>
      </c>
    </row>
    <row r="454" spans="2:8" x14ac:dyDescent="0.25">
      <c r="B454" s="1358" t="s">
        <v>6897</v>
      </c>
      <c r="C454" s="1359" t="s">
        <v>6929</v>
      </c>
      <c r="D454" s="1360">
        <v>7096</v>
      </c>
      <c r="E454" s="1361" t="s">
        <v>1543</v>
      </c>
      <c r="F454" s="1360" t="s">
        <v>266</v>
      </c>
      <c r="G454" s="1362">
        <v>1709439</v>
      </c>
      <c r="H454" s="1363" t="s">
        <v>6899</v>
      </c>
    </row>
    <row r="455" spans="2:8" x14ac:dyDescent="0.25">
      <c r="B455" s="1358" t="s">
        <v>6897</v>
      </c>
      <c r="C455" s="1359" t="s">
        <v>6929</v>
      </c>
      <c r="D455" s="1360">
        <v>7097</v>
      </c>
      <c r="E455" s="1361" t="s">
        <v>1544</v>
      </c>
      <c r="F455" s="1360" t="s">
        <v>266</v>
      </c>
      <c r="G455" s="1362">
        <v>2641434</v>
      </c>
      <c r="H455" s="1363" t="s">
        <v>6899</v>
      </c>
    </row>
    <row r="456" spans="2:8" x14ac:dyDescent="0.25">
      <c r="B456" s="1358" t="s">
        <v>6897</v>
      </c>
      <c r="C456" s="1359" t="s">
        <v>6929</v>
      </c>
      <c r="D456" s="1360">
        <v>7098</v>
      </c>
      <c r="E456" s="1361" t="s">
        <v>1545</v>
      </c>
      <c r="F456" s="1360" t="s">
        <v>266</v>
      </c>
      <c r="G456" s="1362">
        <v>3355822</v>
      </c>
      <c r="H456" s="1363" t="s">
        <v>6899</v>
      </c>
    </row>
    <row r="457" spans="2:8" x14ac:dyDescent="0.25">
      <c r="B457" s="1358" t="s">
        <v>6897</v>
      </c>
      <c r="C457" s="1359" t="s">
        <v>6929</v>
      </c>
      <c r="D457" s="1360">
        <v>7099</v>
      </c>
      <c r="E457" s="1361" t="s">
        <v>1546</v>
      </c>
      <c r="F457" s="1360" t="s">
        <v>266</v>
      </c>
      <c r="G457" s="1362">
        <v>3472159</v>
      </c>
      <c r="H457" s="1363" t="s">
        <v>6899</v>
      </c>
    </row>
    <row r="458" spans="2:8" x14ac:dyDescent="0.25">
      <c r="B458" s="1358" t="s">
        <v>6897</v>
      </c>
      <c r="C458" s="1359" t="s">
        <v>6929</v>
      </c>
      <c r="D458" s="1360">
        <v>7101</v>
      </c>
      <c r="E458" s="1361" t="s">
        <v>1547</v>
      </c>
      <c r="F458" s="1360" t="s">
        <v>266</v>
      </c>
      <c r="G458" s="1362">
        <v>936304</v>
      </c>
      <c r="H458" s="1363" t="s">
        <v>6899</v>
      </c>
    </row>
    <row r="459" spans="2:8" x14ac:dyDescent="0.25">
      <c r="B459" s="1358" t="s">
        <v>6897</v>
      </c>
      <c r="C459" s="1359" t="s">
        <v>6929</v>
      </c>
      <c r="D459" s="1360">
        <v>7104</v>
      </c>
      <c r="E459" s="1361" t="s">
        <v>1548</v>
      </c>
      <c r="F459" s="1360" t="s">
        <v>266</v>
      </c>
      <c r="G459" s="1362">
        <v>350035</v>
      </c>
      <c r="H459" s="1363" t="s">
        <v>6899</v>
      </c>
    </row>
    <row r="460" spans="2:8" x14ac:dyDescent="0.25">
      <c r="B460" s="1358" t="s">
        <v>6897</v>
      </c>
      <c r="C460" s="1359" t="s">
        <v>6916</v>
      </c>
      <c r="D460" s="1360">
        <v>7105</v>
      </c>
      <c r="E460" s="1361" t="s">
        <v>1549</v>
      </c>
      <c r="F460" s="1360" t="s">
        <v>13</v>
      </c>
      <c r="G460" s="1362">
        <v>12894</v>
      </c>
      <c r="H460" s="1363" t="s">
        <v>3538</v>
      </c>
    </row>
    <row r="461" spans="2:8" x14ac:dyDescent="0.25">
      <c r="B461" s="1358" t="s">
        <v>6897</v>
      </c>
      <c r="C461" s="1359" t="s">
        <v>6916</v>
      </c>
      <c r="D461" s="1360">
        <v>7106</v>
      </c>
      <c r="E461" s="1361" t="s">
        <v>1550</v>
      </c>
      <c r="F461" s="1360" t="s">
        <v>13</v>
      </c>
      <c r="G461" s="1362">
        <v>22050</v>
      </c>
      <c r="H461" s="1363" t="s">
        <v>3538</v>
      </c>
    </row>
    <row r="462" spans="2:8" x14ac:dyDescent="0.25">
      <c r="B462" s="1358" t="s">
        <v>6897</v>
      </c>
      <c r="C462" s="1359" t="s">
        <v>6916</v>
      </c>
      <c r="D462" s="1360">
        <v>7107</v>
      </c>
      <c r="E462" s="1361" t="s">
        <v>1551</v>
      </c>
      <c r="F462" s="1360" t="s">
        <v>13</v>
      </c>
      <c r="G462" s="1362">
        <v>47990</v>
      </c>
      <c r="H462" s="1363" t="s">
        <v>3538</v>
      </c>
    </row>
    <row r="463" spans="2:8" x14ac:dyDescent="0.25">
      <c r="B463" s="1358" t="s">
        <v>6897</v>
      </c>
      <c r="C463" s="1359" t="s">
        <v>6916</v>
      </c>
      <c r="D463" s="1360">
        <v>7109</v>
      </c>
      <c r="E463" s="1361" t="s">
        <v>1552</v>
      </c>
      <c r="F463" s="1360" t="s">
        <v>13</v>
      </c>
      <c r="G463" s="1362">
        <v>16699</v>
      </c>
      <c r="H463" s="1363" t="s">
        <v>3538</v>
      </c>
    </row>
    <row r="464" spans="2:8" x14ac:dyDescent="0.25">
      <c r="B464" s="1358" t="s">
        <v>6897</v>
      </c>
      <c r="C464" s="1359" t="s">
        <v>6916</v>
      </c>
      <c r="D464" s="1360">
        <v>7110</v>
      </c>
      <c r="E464" s="1361" t="s">
        <v>1553</v>
      </c>
      <c r="F464" s="1360" t="s">
        <v>13</v>
      </c>
      <c r="G464" s="1362">
        <v>29032</v>
      </c>
      <c r="H464" s="1363" t="s">
        <v>3538</v>
      </c>
    </row>
    <row r="465" spans="2:8" x14ac:dyDescent="0.25">
      <c r="B465" s="1358" t="s">
        <v>6897</v>
      </c>
      <c r="C465" s="1359" t="s">
        <v>6916</v>
      </c>
      <c r="D465" s="1360">
        <v>7111</v>
      </c>
      <c r="E465" s="1361" t="s">
        <v>1554</v>
      </c>
      <c r="F465" s="1360" t="s">
        <v>13</v>
      </c>
      <c r="G465" s="1362">
        <v>66488</v>
      </c>
      <c r="H465" s="1363" t="s">
        <v>3538</v>
      </c>
    </row>
    <row r="466" spans="2:8" x14ac:dyDescent="0.25">
      <c r="B466" s="1358" t="s">
        <v>6897</v>
      </c>
      <c r="C466" s="1359" t="s">
        <v>6898</v>
      </c>
      <c r="D466" s="1360">
        <v>7114</v>
      </c>
      <c r="E466" s="1361" t="s">
        <v>1555</v>
      </c>
      <c r="F466" s="1360" t="s">
        <v>3</v>
      </c>
      <c r="G466" s="1362">
        <v>643790</v>
      </c>
      <c r="H466" s="1363" t="s">
        <v>6899</v>
      </c>
    </row>
    <row r="467" spans="2:8" x14ac:dyDescent="0.25">
      <c r="B467" s="1358" t="s">
        <v>6897</v>
      </c>
      <c r="C467" s="1359" t="s">
        <v>6927</v>
      </c>
      <c r="D467" s="1360">
        <v>7115</v>
      </c>
      <c r="E467" s="1361" t="s">
        <v>1556</v>
      </c>
      <c r="F467" s="1360" t="s">
        <v>6</v>
      </c>
      <c r="G467" s="1362">
        <v>10703</v>
      </c>
      <c r="H467" s="1363" t="s">
        <v>6899</v>
      </c>
    </row>
    <row r="468" spans="2:8" x14ac:dyDescent="0.25">
      <c r="B468" s="1358" t="s">
        <v>6897</v>
      </c>
      <c r="C468" s="1359" t="s">
        <v>6916</v>
      </c>
      <c r="D468" s="1360">
        <v>7119</v>
      </c>
      <c r="E468" s="1361" t="s">
        <v>1557</v>
      </c>
      <c r="F468" s="1360" t="s">
        <v>13</v>
      </c>
      <c r="G468" s="1362">
        <v>542118</v>
      </c>
      <c r="H468" s="1363" t="s">
        <v>3538</v>
      </c>
    </row>
    <row r="469" spans="2:8" x14ac:dyDescent="0.25">
      <c r="B469" s="1358" t="s">
        <v>6897</v>
      </c>
      <c r="C469" s="1359" t="s">
        <v>6916</v>
      </c>
      <c r="D469" s="1360">
        <v>7120</v>
      </c>
      <c r="E469" s="1361" t="s">
        <v>1558</v>
      </c>
      <c r="F469" s="1360" t="s">
        <v>13</v>
      </c>
      <c r="G469" s="1362">
        <v>649119</v>
      </c>
      <c r="H469" s="1363" t="s">
        <v>3538</v>
      </c>
    </row>
    <row r="470" spans="2:8" x14ac:dyDescent="0.25">
      <c r="B470" s="1358" t="s">
        <v>6897</v>
      </c>
      <c r="C470" s="1359" t="s">
        <v>6916</v>
      </c>
      <c r="D470" s="1360">
        <v>7121</v>
      </c>
      <c r="E470" s="1361" t="s">
        <v>1559</v>
      </c>
      <c r="F470" s="1360" t="s">
        <v>13</v>
      </c>
      <c r="G470" s="1362">
        <v>810038</v>
      </c>
      <c r="H470" s="1363" t="s">
        <v>3538</v>
      </c>
    </row>
    <row r="471" spans="2:8" x14ac:dyDescent="0.25">
      <c r="B471" s="1358" t="s">
        <v>6897</v>
      </c>
      <c r="C471" s="1359" t="s">
        <v>6916</v>
      </c>
      <c r="D471" s="1360">
        <v>7122</v>
      </c>
      <c r="E471" s="1361" t="s">
        <v>1560</v>
      </c>
      <c r="F471" s="1360" t="s">
        <v>13</v>
      </c>
      <c r="G471" s="1362">
        <v>1077829</v>
      </c>
      <c r="H471" s="1363" t="s">
        <v>3538</v>
      </c>
    </row>
    <row r="472" spans="2:8" x14ac:dyDescent="0.25">
      <c r="B472" s="1358" t="s">
        <v>6897</v>
      </c>
      <c r="C472" s="1359" t="s">
        <v>6916</v>
      </c>
      <c r="D472" s="1360">
        <v>7123</v>
      </c>
      <c r="E472" s="1361" t="s">
        <v>1561</v>
      </c>
      <c r="F472" s="1360" t="s">
        <v>13</v>
      </c>
      <c r="G472" s="1362">
        <v>1503529</v>
      </c>
      <c r="H472" s="1363" t="s">
        <v>3538</v>
      </c>
    </row>
    <row r="473" spans="2:8" x14ac:dyDescent="0.25">
      <c r="B473" s="1358" t="s">
        <v>6897</v>
      </c>
      <c r="C473" s="1359" t="s">
        <v>6916</v>
      </c>
      <c r="D473" s="1360">
        <v>7124</v>
      </c>
      <c r="E473" s="1361" t="s">
        <v>1562</v>
      </c>
      <c r="F473" s="1360" t="s">
        <v>13</v>
      </c>
      <c r="G473" s="1362">
        <v>2011658</v>
      </c>
      <c r="H473" s="1363" t="s">
        <v>3538</v>
      </c>
    </row>
    <row r="474" spans="2:8" x14ac:dyDescent="0.25">
      <c r="B474" s="1358" t="s">
        <v>6897</v>
      </c>
      <c r="C474" s="1359" t="s">
        <v>6916</v>
      </c>
      <c r="D474" s="1360">
        <v>7125</v>
      </c>
      <c r="E474" s="1361" t="s">
        <v>1563</v>
      </c>
      <c r="F474" s="1360" t="s">
        <v>13</v>
      </c>
      <c r="G474" s="1362">
        <v>2361667</v>
      </c>
      <c r="H474" s="1363" t="s">
        <v>3538</v>
      </c>
    </row>
    <row r="475" spans="2:8" x14ac:dyDescent="0.25">
      <c r="B475" s="1358" t="s">
        <v>6897</v>
      </c>
      <c r="C475" s="1359" t="s">
        <v>1474</v>
      </c>
      <c r="D475" s="1360">
        <v>7131</v>
      </c>
      <c r="E475" s="1361" t="s">
        <v>1564</v>
      </c>
      <c r="F475" s="1360" t="s">
        <v>12</v>
      </c>
      <c r="G475" s="1362">
        <v>6638</v>
      </c>
      <c r="H475" s="1363" t="s">
        <v>6899</v>
      </c>
    </row>
    <row r="476" spans="2:8" x14ac:dyDescent="0.25">
      <c r="B476" s="1358" t="s">
        <v>6897</v>
      </c>
      <c r="C476" s="1359" t="s">
        <v>1474</v>
      </c>
      <c r="D476" s="1360">
        <v>7133</v>
      </c>
      <c r="E476" s="1361" t="s">
        <v>1565</v>
      </c>
      <c r="F476" s="1360" t="s">
        <v>12</v>
      </c>
      <c r="G476" s="1362">
        <v>24961</v>
      </c>
      <c r="H476" s="1363" t="s">
        <v>6899</v>
      </c>
    </row>
    <row r="477" spans="2:8" x14ac:dyDescent="0.25">
      <c r="B477" s="1358" t="s">
        <v>6897</v>
      </c>
      <c r="C477" s="1359" t="s">
        <v>1474</v>
      </c>
      <c r="D477" s="1360">
        <v>7134</v>
      </c>
      <c r="E477" s="1361" t="s">
        <v>1566</v>
      </c>
      <c r="F477" s="1360" t="s">
        <v>12</v>
      </c>
      <c r="G477" s="1362">
        <v>8350</v>
      </c>
      <c r="H477" s="1363" t="s">
        <v>6899</v>
      </c>
    </row>
    <row r="478" spans="2:8" x14ac:dyDescent="0.25">
      <c r="B478" s="1358" t="s">
        <v>6897</v>
      </c>
      <c r="C478" s="1359" t="s">
        <v>6904</v>
      </c>
      <c r="D478" s="1360">
        <v>7135</v>
      </c>
      <c r="E478" s="1361" t="s">
        <v>1567</v>
      </c>
      <c r="F478" s="1360" t="s">
        <v>266</v>
      </c>
      <c r="G478" s="1362">
        <v>967</v>
      </c>
      <c r="H478" s="1363" t="s">
        <v>6899</v>
      </c>
    </row>
    <row r="479" spans="2:8" x14ac:dyDescent="0.25">
      <c r="B479" s="1358" t="s">
        <v>6897</v>
      </c>
      <c r="C479" s="1359" t="s">
        <v>6915</v>
      </c>
      <c r="D479" s="1360">
        <v>7138</v>
      </c>
      <c r="E479" s="1361" t="s">
        <v>1568</v>
      </c>
      <c r="F479" s="1360" t="s">
        <v>266</v>
      </c>
      <c r="G479" s="1362">
        <v>26197</v>
      </c>
      <c r="H479" s="1363" t="s">
        <v>6899</v>
      </c>
    </row>
    <row r="480" spans="2:8" x14ac:dyDescent="0.25">
      <c r="B480" s="1358" t="s">
        <v>6897</v>
      </c>
      <c r="C480" s="1359" t="s">
        <v>6915</v>
      </c>
      <c r="D480" s="1360">
        <v>7141</v>
      </c>
      <c r="E480" s="1361" t="s">
        <v>1569</v>
      </c>
      <c r="F480" s="1360" t="s">
        <v>266</v>
      </c>
      <c r="G480" s="1362">
        <v>37163</v>
      </c>
      <c r="H480" s="1363" t="s">
        <v>6899</v>
      </c>
    </row>
    <row r="481" spans="2:8" x14ac:dyDescent="0.25">
      <c r="B481" s="1358" t="s">
        <v>6897</v>
      </c>
      <c r="C481" s="1359" t="s">
        <v>6907</v>
      </c>
      <c r="D481" s="1360">
        <v>7142</v>
      </c>
      <c r="E481" s="1361" t="s">
        <v>1570</v>
      </c>
      <c r="F481" s="1360" t="s">
        <v>13</v>
      </c>
      <c r="G481" s="1362">
        <v>52199</v>
      </c>
      <c r="H481" s="1363" t="s">
        <v>3535</v>
      </c>
    </row>
    <row r="482" spans="2:8" x14ac:dyDescent="0.25">
      <c r="B482" s="1358" t="s">
        <v>6897</v>
      </c>
      <c r="C482" s="1359" t="s">
        <v>6906</v>
      </c>
      <c r="D482" s="1360">
        <v>7145</v>
      </c>
      <c r="E482" s="1361" t="s">
        <v>1571</v>
      </c>
      <c r="F482" s="1360" t="s">
        <v>266</v>
      </c>
      <c r="G482" s="1362">
        <v>298435</v>
      </c>
      <c r="H482" s="1363" t="s">
        <v>3535</v>
      </c>
    </row>
    <row r="483" spans="2:8" x14ac:dyDescent="0.25">
      <c r="B483" s="1358" t="s">
        <v>6897</v>
      </c>
      <c r="C483" s="1359" t="s">
        <v>6900</v>
      </c>
      <c r="D483" s="1360">
        <v>7146</v>
      </c>
      <c r="E483" s="1361" t="s">
        <v>3561</v>
      </c>
      <c r="F483" s="1360" t="s">
        <v>202</v>
      </c>
      <c r="G483" s="1362">
        <v>95200</v>
      </c>
      <c r="H483" s="1363" t="s">
        <v>6899</v>
      </c>
    </row>
    <row r="484" spans="2:8" x14ac:dyDescent="0.25">
      <c r="B484" s="1358" t="s">
        <v>6897</v>
      </c>
      <c r="C484" s="1359" t="s">
        <v>6919</v>
      </c>
      <c r="D484" s="1360">
        <v>7147</v>
      </c>
      <c r="E484" s="1361" t="s">
        <v>1572</v>
      </c>
      <c r="F484" s="1360" t="s">
        <v>266</v>
      </c>
      <c r="G484" s="1362">
        <v>589186</v>
      </c>
      <c r="H484" s="1363" t="s">
        <v>6899</v>
      </c>
    </row>
    <row r="485" spans="2:8" x14ac:dyDescent="0.25">
      <c r="B485" s="1358" t="s">
        <v>6897</v>
      </c>
      <c r="C485" s="1359" t="s">
        <v>6906</v>
      </c>
      <c r="D485" s="1360">
        <v>7151</v>
      </c>
      <c r="E485" s="1361" t="s">
        <v>1573</v>
      </c>
      <c r="F485" s="1360" t="s">
        <v>266</v>
      </c>
      <c r="G485" s="1362">
        <v>383641</v>
      </c>
      <c r="H485" s="1363" t="s">
        <v>3535</v>
      </c>
    </row>
    <row r="486" spans="2:8" x14ac:dyDescent="0.25">
      <c r="B486" s="1358" t="s">
        <v>6897</v>
      </c>
      <c r="C486" s="1359" t="s">
        <v>6906</v>
      </c>
      <c r="D486" s="1360">
        <v>7152</v>
      </c>
      <c r="E486" s="1361" t="s">
        <v>1574</v>
      </c>
      <c r="F486" s="1360" t="s">
        <v>266</v>
      </c>
      <c r="G486" s="1362">
        <v>636499</v>
      </c>
      <c r="H486" s="1363" t="s">
        <v>3535</v>
      </c>
    </row>
    <row r="487" spans="2:8" x14ac:dyDescent="0.25">
      <c r="B487" s="1358" t="s">
        <v>6897</v>
      </c>
      <c r="C487" s="1359" t="s">
        <v>6926</v>
      </c>
      <c r="D487" s="1360">
        <v>7153</v>
      </c>
      <c r="E487" s="1361" t="s">
        <v>1575</v>
      </c>
      <c r="F487" s="1360" t="s">
        <v>93</v>
      </c>
      <c r="G487" s="1362">
        <v>3420</v>
      </c>
      <c r="H487" s="1363" t="s">
        <v>6899</v>
      </c>
    </row>
    <row r="488" spans="2:8" x14ac:dyDescent="0.25">
      <c r="B488" s="1358" t="s">
        <v>6897</v>
      </c>
      <c r="C488" s="1359" t="s">
        <v>6926</v>
      </c>
      <c r="D488" s="1360">
        <v>7154</v>
      </c>
      <c r="E488" s="1361" t="s">
        <v>1576</v>
      </c>
      <c r="F488" s="1360" t="s">
        <v>93</v>
      </c>
      <c r="G488" s="1362">
        <v>3643</v>
      </c>
      <c r="H488" s="1363" t="s">
        <v>6899</v>
      </c>
    </row>
    <row r="489" spans="2:8" x14ac:dyDescent="0.25">
      <c r="B489" s="1358" t="s">
        <v>6897</v>
      </c>
      <c r="C489" s="1359" t="s">
        <v>6905</v>
      </c>
      <c r="D489" s="1360">
        <v>7157</v>
      </c>
      <c r="E489" s="1361" t="s">
        <v>1577</v>
      </c>
      <c r="F489" s="1360" t="s">
        <v>3</v>
      </c>
      <c r="G489" s="1362">
        <v>73780</v>
      </c>
      <c r="H489" s="1363" t="s">
        <v>6899</v>
      </c>
    </row>
    <row r="490" spans="2:8" x14ac:dyDescent="0.25">
      <c r="B490" s="1358" t="s">
        <v>6897</v>
      </c>
      <c r="C490" s="1359" t="s">
        <v>6905</v>
      </c>
      <c r="D490" s="1360">
        <v>7158</v>
      </c>
      <c r="E490" s="1361" t="s">
        <v>1578</v>
      </c>
      <c r="F490" s="1360" t="s">
        <v>3</v>
      </c>
      <c r="G490" s="1362">
        <v>85680</v>
      </c>
      <c r="H490" s="1363" t="s">
        <v>6899</v>
      </c>
    </row>
    <row r="491" spans="2:8" x14ac:dyDescent="0.25">
      <c r="B491" s="1358" t="s">
        <v>6897</v>
      </c>
      <c r="C491" s="1359" t="s">
        <v>6905</v>
      </c>
      <c r="D491" s="1360">
        <v>7159</v>
      </c>
      <c r="E491" s="1361" t="s">
        <v>1579</v>
      </c>
      <c r="F491" s="1360" t="s">
        <v>3</v>
      </c>
      <c r="G491" s="1362">
        <v>78540</v>
      </c>
      <c r="H491" s="1363" t="s">
        <v>6899</v>
      </c>
    </row>
    <row r="492" spans="2:8" x14ac:dyDescent="0.25">
      <c r="B492" s="1358" t="s">
        <v>6897</v>
      </c>
      <c r="C492" s="1359" t="s">
        <v>6905</v>
      </c>
      <c r="D492" s="1360">
        <v>7160</v>
      </c>
      <c r="E492" s="1361" t="s">
        <v>1580</v>
      </c>
      <c r="F492" s="1360" t="s">
        <v>3</v>
      </c>
      <c r="G492" s="1362">
        <v>64260</v>
      </c>
      <c r="H492" s="1363" t="s">
        <v>6899</v>
      </c>
    </row>
    <row r="493" spans="2:8" x14ac:dyDescent="0.25">
      <c r="B493" s="1358" t="s">
        <v>6897</v>
      </c>
      <c r="C493" s="1359" t="s">
        <v>6905</v>
      </c>
      <c r="D493" s="1360">
        <v>7161</v>
      </c>
      <c r="E493" s="1361" t="s">
        <v>1581</v>
      </c>
      <c r="F493" s="1360" t="s">
        <v>3</v>
      </c>
      <c r="G493" s="1362">
        <v>71400</v>
      </c>
      <c r="H493" s="1363" t="s">
        <v>6899</v>
      </c>
    </row>
    <row r="494" spans="2:8" x14ac:dyDescent="0.25">
      <c r="B494" s="1358" t="s">
        <v>6897</v>
      </c>
      <c r="C494" s="1359" t="s">
        <v>6905</v>
      </c>
      <c r="D494" s="1360">
        <v>7162</v>
      </c>
      <c r="E494" s="1361" t="s">
        <v>1582</v>
      </c>
      <c r="F494" s="1360" t="s">
        <v>3</v>
      </c>
      <c r="G494" s="1362">
        <v>66640</v>
      </c>
      <c r="H494" s="1363" t="s">
        <v>6899</v>
      </c>
    </row>
    <row r="495" spans="2:8" x14ac:dyDescent="0.25">
      <c r="B495" s="1358" t="s">
        <v>6897</v>
      </c>
      <c r="C495" s="1359" t="s">
        <v>6900</v>
      </c>
      <c r="D495" s="1360">
        <v>7166</v>
      </c>
      <c r="E495" s="1361" t="s">
        <v>3562</v>
      </c>
      <c r="F495" s="1360" t="s">
        <v>202</v>
      </c>
      <c r="G495" s="1362">
        <v>680339</v>
      </c>
      <c r="H495" s="1363" t="s">
        <v>6899</v>
      </c>
    </row>
    <row r="496" spans="2:8" x14ac:dyDescent="0.25">
      <c r="B496" s="1358" t="s">
        <v>6897</v>
      </c>
      <c r="C496" s="1359" t="s">
        <v>6926</v>
      </c>
      <c r="D496" s="1360">
        <v>7172</v>
      </c>
      <c r="E496" s="1361" t="s">
        <v>1583</v>
      </c>
      <c r="F496" s="1360" t="s">
        <v>3</v>
      </c>
      <c r="G496" s="1362">
        <v>778007</v>
      </c>
      <c r="H496" s="1363" t="s">
        <v>6899</v>
      </c>
    </row>
    <row r="497" spans="2:8" x14ac:dyDescent="0.25">
      <c r="B497" s="1358" t="s">
        <v>6897</v>
      </c>
      <c r="C497" s="1359" t="s">
        <v>6926</v>
      </c>
      <c r="D497" s="1360">
        <v>7174</v>
      </c>
      <c r="E497" s="1361" t="s">
        <v>1584</v>
      </c>
      <c r="F497" s="1360" t="s">
        <v>3</v>
      </c>
      <c r="G497" s="1362">
        <v>788189</v>
      </c>
      <c r="H497" s="1363" t="s">
        <v>6899</v>
      </c>
    </row>
    <row r="498" spans="2:8" x14ac:dyDescent="0.25">
      <c r="B498" s="1358" t="s">
        <v>6897</v>
      </c>
      <c r="C498" s="1359" t="s">
        <v>6926</v>
      </c>
      <c r="D498" s="1360">
        <v>7181</v>
      </c>
      <c r="E498" s="1361" t="s">
        <v>1585</v>
      </c>
      <c r="F498" s="1360" t="s">
        <v>3</v>
      </c>
      <c r="G498" s="1362">
        <v>866645</v>
      </c>
      <c r="H498" s="1363" t="s">
        <v>6899</v>
      </c>
    </row>
    <row r="499" spans="2:8" x14ac:dyDescent="0.25">
      <c r="B499" s="1358" t="s">
        <v>6897</v>
      </c>
      <c r="C499" s="1359" t="s">
        <v>6898</v>
      </c>
      <c r="D499" s="1360">
        <v>7199</v>
      </c>
      <c r="E499" s="1361" t="s">
        <v>1586</v>
      </c>
      <c r="F499" s="1360" t="s">
        <v>3</v>
      </c>
      <c r="G499" s="1362">
        <v>620198</v>
      </c>
      <c r="H499" s="1363" t="s">
        <v>6899</v>
      </c>
    </row>
    <row r="500" spans="2:8" x14ac:dyDescent="0.25">
      <c r="B500" s="1358" t="s">
        <v>6897</v>
      </c>
      <c r="C500" s="1359" t="s">
        <v>6898</v>
      </c>
      <c r="D500" s="1360">
        <v>7200</v>
      </c>
      <c r="E500" s="1361" t="s">
        <v>1587</v>
      </c>
      <c r="F500" s="1360" t="s">
        <v>3</v>
      </c>
      <c r="G500" s="1362">
        <v>602070</v>
      </c>
      <c r="H500" s="1363" t="s">
        <v>6899</v>
      </c>
    </row>
    <row r="501" spans="2:8" x14ac:dyDescent="0.25">
      <c r="B501" s="1358" t="s">
        <v>6897</v>
      </c>
      <c r="C501" s="1359" t="s">
        <v>6903</v>
      </c>
      <c r="D501" s="1360">
        <v>7202</v>
      </c>
      <c r="E501" s="1361" t="s">
        <v>1588</v>
      </c>
      <c r="F501" s="1360" t="s">
        <v>6</v>
      </c>
      <c r="G501" s="1362">
        <v>6069</v>
      </c>
      <c r="H501" s="1363" t="s">
        <v>6899</v>
      </c>
    </row>
    <row r="502" spans="2:8" x14ac:dyDescent="0.25">
      <c r="B502" s="1358" t="s">
        <v>6897</v>
      </c>
      <c r="C502" s="1359" t="s">
        <v>6903</v>
      </c>
      <c r="D502" s="1360">
        <v>7203</v>
      </c>
      <c r="E502" s="1361" t="s">
        <v>1589</v>
      </c>
      <c r="F502" s="1360" t="s">
        <v>6</v>
      </c>
      <c r="G502" s="1362">
        <v>6069</v>
      </c>
      <c r="H502" s="1363" t="s">
        <v>6899</v>
      </c>
    </row>
    <row r="503" spans="2:8" x14ac:dyDescent="0.25">
      <c r="B503" s="1358" t="s">
        <v>6897</v>
      </c>
      <c r="C503" s="1359" t="s">
        <v>6903</v>
      </c>
      <c r="D503" s="1360">
        <v>7204</v>
      </c>
      <c r="E503" s="1361" t="s">
        <v>1590</v>
      </c>
      <c r="F503" s="1360" t="s">
        <v>6</v>
      </c>
      <c r="G503" s="1362">
        <v>6069</v>
      </c>
      <c r="H503" s="1363" t="s">
        <v>6899</v>
      </c>
    </row>
    <row r="504" spans="2:8" x14ac:dyDescent="0.25">
      <c r="B504" s="1358" t="s">
        <v>6897</v>
      </c>
      <c r="C504" s="1359" t="s">
        <v>6903</v>
      </c>
      <c r="D504" s="1360">
        <v>7205</v>
      </c>
      <c r="E504" s="1361" t="s">
        <v>1591</v>
      </c>
      <c r="F504" s="1360" t="s">
        <v>6</v>
      </c>
      <c r="G504" s="1362">
        <v>6069</v>
      </c>
      <c r="H504" s="1363" t="s">
        <v>6899</v>
      </c>
    </row>
    <row r="505" spans="2:8" x14ac:dyDescent="0.25">
      <c r="B505" s="1358" t="s">
        <v>6897</v>
      </c>
      <c r="C505" s="1359" t="s">
        <v>6903</v>
      </c>
      <c r="D505" s="1360">
        <v>7206</v>
      </c>
      <c r="E505" s="1361" t="s">
        <v>1592</v>
      </c>
      <c r="F505" s="1360" t="s">
        <v>6</v>
      </c>
      <c r="G505" s="1362">
        <v>6069</v>
      </c>
      <c r="H505" s="1363" t="s">
        <v>6899</v>
      </c>
    </row>
    <row r="506" spans="2:8" x14ac:dyDescent="0.25">
      <c r="B506" s="1358" t="s">
        <v>6897</v>
      </c>
      <c r="C506" s="1359" t="s">
        <v>6903</v>
      </c>
      <c r="D506" s="1360">
        <v>7207</v>
      </c>
      <c r="E506" s="1361" t="s">
        <v>1593</v>
      </c>
      <c r="F506" s="1360" t="s">
        <v>6</v>
      </c>
      <c r="G506" s="1362">
        <v>6069</v>
      </c>
      <c r="H506" s="1363" t="s">
        <v>6899</v>
      </c>
    </row>
    <row r="507" spans="2:8" x14ac:dyDescent="0.25">
      <c r="B507" s="1358" t="s">
        <v>6897</v>
      </c>
      <c r="C507" s="1359" t="s">
        <v>6903</v>
      </c>
      <c r="D507" s="1360">
        <v>7208</v>
      </c>
      <c r="E507" s="1361" t="s">
        <v>1594</v>
      </c>
      <c r="F507" s="1360" t="s">
        <v>6</v>
      </c>
      <c r="G507" s="1362">
        <v>6069</v>
      </c>
      <c r="H507" s="1363" t="s">
        <v>6899</v>
      </c>
    </row>
    <row r="508" spans="2:8" x14ac:dyDescent="0.25">
      <c r="B508" s="1358" t="s">
        <v>6897</v>
      </c>
      <c r="C508" s="1359" t="s">
        <v>6917</v>
      </c>
      <c r="D508" s="1360">
        <v>7216</v>
      </c>
      <c r="E508" s="1361" t="s">
        <v>1595</v>
      </c>
      <c r="F508" s="1360" t="s">
        <v>12</v>
      </c>
      <c r="G508" s="1362">
        <v>140192</v>
      </c>
      <c r="H508" s="1363" t="s">
        <v>3538</v>
      </c>
    </row>
    <row r="509" spans="2:8" x14ac:dyDescent="0.25">
      <c r="B509" s="1358" t="s">
        <v>6897</v>
      </c>
      <c r="C509" s="1359" t="s">
        <v>6906</v>
      </c>
      <c r="D509" s="1360">
        <v>7219</v>
      </c>
      <c r="E509" s="1361" t="s">
        <v>1596</v>
      </c>
      <c r="F509" s="1360" t="s">
        <v>266</v>
      </c>
      <c r="G509" s="1362">
        <v>906528</v>
      </c>
      <c r="H509" s="1363" t="s">
        <v>3535</v>
      </c>
    </row>
    <row r="510" spans="2:8" x14ac:dyDescent="0.25">
      <c r="B510" s="1358" t="s">
        <v>6897</v>
      </c>
      <c r="C510" s="1359" t="s">
        <v>6906</v>
      </c>
      <c r="D510" s="1360">
        <v>7224</v>
      </c>
      <c r="E510" s="1361" t="s">
        <v>1597</v>
      </c>
      <c r="F510" s="1360" t="s">
        <v>266</v>
      </c>
      <c r="G510" s="1362">
        <v>353314</v>
      </c>
      <c r="H510" s="1363" t="s">
        <v>3535</v>
      </c>
    </row>
    <row r="511" spans="2:8" x14ac:dyDescent="0.25">
      <c r="B511" s="1358" t="s">
        <v>6897</v>
      </c>
      <c r="C511" s="1359" t="s">
        <v>6915</v>
      </c>
      <c r="D511" s="1360">
        <v>7227</v>
      </c>
      <c r="E511" s="1361" t="s">
        <v>1598</v>
      </c>
      <c r="F511" s="1360" t="s">
        <v>266</v>
      </c>
      <c r="G511" s="1362">
        <v>26147</v>
      </c>
      <c r="H511" s="1363" t="s">
        <v>6899</v>
      </c>
    </row>
    <row r="512" spans="2:8" x14ac:dyDescent="0.25">
      <c r="B512" s="1358" t="s">
        <v>6897</v>
      </c>
      <c r="C512" s="1359" t="s">
        <v>6929</v>
      </c>
      <c r="D512" s="1360">
        <v>7228</v>
      </c>
      <c r="E512" s="1361" t="s">
        <v>1599</v>
      </c>
      <c r="F512" s="1360" t="s">
        <v>266</v>
      </c>
      <c r="G512" s="1362">
        <v>193204</v>
      </c>
      <c r="H512" s="1363" t="s">
        <v>6899</v>
      </c>
    </row>
    <row r="513" spans="2:8" x14ac:dyDescent="0.25">
      <c r="B513" s="1358" t="s">
        <v>6897</v>
      </c>
      <c r="C513" s="1359" t="s">
        <v>6901</v>
      </c>
      <c r="D513" s="1360">
        <v>7229</v>
      </c>
      <c r="E513" s="1361" t="s">
        <v>3563</v>
      </c>
      <c r="F513" s="1360" t="s">
        <v>3</v>
      </c>
      <c r="G513" s="1362">
        <v>65450</v>
      </c>
      <c r="H513" s="1363" t="s">
        <v>3538</v>
      </c>
    </row>
    <row r="514" spans="2:8" x14ac:dyDescent="0.25">
      <c r="B514" s="1358" t="s">
        <v>6897</v>
      </c>
      <c r="C514" s="1359" t="s">
        <v>6925</v>
      </c>
      <c r="D514" s="1360">
        <v>7231</v>
      </c>
      <c r="E514" s="1361" t="s">
        <v>1600</v>
      </c>
      <c r="F514" s="1360" t="s">
        <v>3</v>
      </c>
      <c r="G514" s="1362">
        <v>7000</v>
      </c>
      <c r="H514" s="1363" t="s">
        <v>6899</v>
      </c>
    </row>
    <row r="515" spans="2:8" x14ac:dyDescent="0.25">
      <c r="B515" s="1358" t="s">
        <v>6897</v>
      </c>
      <c r="C515" s="1359" t="s">
        <v>6908</v>
      </c>
      <c r="D515" s="1360">
        <v>7236</v>
      </c>
      <c r="E515" s="1361" t="s">
        <v>1601</v>
      </c>
      <c r="F515" s="1360" t="s">
        <v>266</v>
      </c>
      <c r="G515" s="1362">
        <v>28166</v>
      </c>
      <c r="H515" s="1363" t="s">
        <v>3538</v>
      </c>
    </row>
    <row r="516" spans="2:8" x14ac:dyDescent="0.25">
      <c r="B516" s="1358" t="s">
        <v>6897</v>
      </c>
      <c r="C516" s="1359" t="s">
        <v>6916</v>
      </c>
      <c r="D516" s="1360">
        <v>7244</v>
      </c>
      <c r="E516" s="1361" t="s">
        <v>1602</v>
      </c>
      <c r="F516" s="1360" t="s">
        <v>266</v>
      </c>
      <c r="G516" s="1362">
        <v>15679</v>
      </c>
      <c r="H516" s="1363" t="s">
        <v>3538</v>
      </c>
    </row>
    <row r="517" spans="2:8" x14ac:dyDescent="0.25">
      <c r="B517" s="1358" t="s">
        <v>6897</v>
      </c>
      <c r="C517" s="1359" t="s">
        <v>6916</v>
      </c>
      <c r="D517" s="1360">
        <v>7245</v>
      </c>
      <c r="E517" s="1361" t="s">
        <v>1603</v>
      </c>
      <c r="F517" s="1360" t="s">
        <v>266</v>
      </c>
      <c r="G517" s="1362">
        <v>37991</v>
      </c>
      <c r="H517" s="1363" t="s">
        <v>3538</v>
      </c>
    </row>
    <row r="518" spans="2:8" x14ac:dyDescent="0.25">
      <c r="B518" s="1358" t="s">
        <v>6897</v>
      </c>
      <c r="C518" s="1359" t="s">
        <v>6913</v>
      </c>
      <c r="D518" s="1360">
        <v>7246</v>
      </c>
      <c r="E518" s="1361" t="s">
        <v>3564</v>
      </c>
      <c r="F518" s="1360" t="s">
        <v>342</v>
      </c>
      <c r="G518" s="1362">
        <v>118638</v>
      </c>
      <c r="H518" s="1363" t="s">
        <v>3548</v>
      </c>
    </row>
    <row r="519" spans="2:8" x14ac:dyDescent="0.25">
      <c r="B519" s="1358" t="s">
        <v>6897</v>
      </c>
      <c r="C519" s="1359" t="s">
        <v>6913</v>
      </c>
      <c r="D519" s="1360">
        <v>7247</v>
      </c>
      <c r="E519" s="1361" t="s">
        <v>3565</v>
      </c>
      <c r="F519" s="1360" t="s">
        <v>202</v>
      </c>
      <c r="G519" s="1362">
        <v>15146</v>
      </c>
      <c r="H519" s="1363" t="s">
        <v>3548</v>
      </c>
    </row>
    <row r="520" spans="2:8" x14ac:dyDescent="0.25">
      <c r="B520" s="1358" t="s">
        <v>6897</v>
      </c>
      <c r="C520" s="1359" t="s">
        <v>6913</v>
      </c>
      <c r="D520" s="1360">
        <v>7248</v>
      </c>
      <c r="E520" s="1361" t="s">
        <v>3566</v>
      </c>
      <c r="F520" s="1360" t="s">
        <v>342</v>
      </c>
      <c r="G520" s="1362">
        <v>118638</v>
      </c>
      <c r="H520" s="1363" t="s">
        <v>3548</v>
      </c>
    </row>
    <row r="521" spans="2:8" x14ac:dyDescent="0.25">
      <c r="B521" s="1358" t="s">
        <v>6897</v>
      </c>
      <c r="C521" s="1359" t="s">
        <v>6913</v>
      </c>
      <c r="D521" s="1360">
        <v>7249</v>
      </c>
      <c r="E521" s="1361" t="s">
        <v>3567</v>
      </c>
      <c r="F521" s="1360" t="s">
        <v>202</v>
      </c>
      <c r="G521" s="1362">
        <v>15146</v>
      </c>
      <c r="H521" s="1363" t="s">
        <v>3548</v>
      </c>
    </row>
    <row r="522" spans="2:8" x14ac:dyDescent="0.25">
      <c r="B522" s="1358" t="s">
        <v>6897</v>
      </c>
      <c r="C522" s="1359" t="s">
        <v>1604</v>
      </c>
      <c r="D522" s="1360">
        <v>7252</v>
      </c>
      <c r="E522" s="1361" t="s">
        <v>1605</v>
      </c>
      <c r="F522" s="1360" t="s">
        <v>266</v>
      </c>
      <c r="G522" s="1362">
        <v>33320</v>
      </c>
      <c r="H522" s="1363" t="s">
        <v>6899</v>
      </c>
    </row>
    <row r="523" spans="2:8" x14ac:dyDescent="0.25">
      <c r="B523" s="1358" t="s">
        <v>6897</v>
      </c>
      <c r="C523" s="1359" t="s">
        <v>1604</v>
      </c>
      <c r="D523" s="1360">
        <v>7253</v>
      </c>
      <c r="E523" s="1361" t="s">
        <v>1606</v>
      </c>
      <c r="F523" s="1360" t="s">
        <v>266</v>
      </c>
      <c r="G523" s="1362">
        <v>57212</v>
      </c>
      <c r="H523" s="1363" t="s">
        <v>6899</v>
      </c>
    </row>
    <row r="524" spans="2:8" x14ac:dyDescent="0.25">
      <c r="B524" s="1358" t="s">
        <v>6897</v>
      </c>
      <c r="C524" s="1359" t="s">
        <v>1604</v>
      </c>
      <c r="D524" s="1360">
        <v>7254</v>
      </c>
      <c r="E524" s="1361" t="s">
        <v>1607</v>
      </c>
      <c r="F524" s="1360" t="s">
        <v>266</v>
      </c>
      <c r="G524" s="1362">
        <v>101150</v>
      </c>
      <c r="H524" s="1363" t="s">
        <v>6899</v>
      </c>
    </row>
    <row r="525" spans="2:8" x14ac:dyDescent="0.25">
      <c r="B525" s="1358" t="s">
        <v>6897</v>
      </c>
      <c r="C525" s="1359" t="s">
        <v>1604</v>
      </c>
      <c r="D525" s="1360">
        <v>7255</v>
      </c>
      <c r="E525" s="1361" t="s">
        <v>1608</v>
      </c>
      <c r="F525" s="1360" t="s">
        <v>266</v>
      </c>
      <c r="G525" s="1362">
        <v>130900</v>
      </c>
      <c r="H525" s="1363" t="s">
        <v>6899</v>
      </c>
    </row>
    <row r="526" spans="2:8" x14ac:dyDescent="0.25">
      <c r="B526" s="1358" t="s">
        <v>6897</v>
      </c>
      <c r="C526" s="1359" t="s">
        <v>1604</v>
      </c>
      <c r="D526" s="1360">
        <v>7256</v>
      </c>
      <c r="E526" s="1361" t="s">
        <v>1609</v>
      </c>
      <c r="F526" s="1360" t="s">
        <v>266</v>
      </c>
      <c r="G526" s="1362">
        <v>13566</v>
      </c>
      <c r="H526" s="1363" t="s">
        <v>6899</v>
      </c>
    </row>
    <row r="527" spans="2:8" x14ac:dyDescent="0.25">
      <c r="B527" s="1358" t="s">
        <v>6897</v>
      </c>
      <c r="C527" s="1359" t="s">
        <v>1604</v>
      </c>
      <c r="D527" s="1360">
        <v>7257</v>
      </c>
      <c r="E527" s="1361" t="s">
        <v>1610</v>
      </c>
      <c r="F527" s="1360" t="s">
        <v>266</v>
      </c>
      <c r="G527" s="1362">
        <v>29988</v>
      </c>
      <c r="H527" s="1363" t="s">
        <v>6899</v>
      </c>
    </row>
    <row r="528" spans="2:8" x14ac:dyDescent="0.25">
      <c r="B528" s="1358" t="s">
        <v>6897</v>
      </c>
      <c r="C528" s="1359" t="s">
        <v>1604</v>
      </c>
      <c r="D528" s="1360">
        <v>7258</v>
      </c>
      <c r="E528" s="1361" t="s">
        <v>1611</v>
      </c>
      <c r="F528" s="1360" t="s">
        <v>266</v>
      </c>
      <c r="G528" s="1362">
        <v>50575</v>
      </c>
      <c r="H528" s="1363" t="s">
        <v>6899</v>
      </c>
    </row>
    <row r="529" spans="2:8" x14ac:dyDescent="0.25">
      <c r="B529" s="1358" t="s">
        <v>6897</v>
      </c>
      <c r="C529" s="1359" t="s">
        <v>1604</v>
      </c>
      <c r="D529" s="1360">
        <v>7259</v>
      </c>
      <c r="E529" s="1361" t="s">
        <v>1612</v>
      </c>
      <c r="F529" s="1360" t="s">
        <v>266</v>
      </c>
      <c r="G529" s="1362">
        <v>65450</v>
      </c>
      <c r="H529" s="1363" t="s">
        <v>6899</v>
      </c>
    </row>
    <row r="530" spans="2:8" x14ac:dyDescent="0.25">
      <c r="B530" s="1358" t="s">
        <v>6897</v>
      </c>
      <c r="C530" s="1359" t="s">
        <v>1604</v>
      </c>
      <c r="D530" s="1360">
        <v>7260</v>
      </c>
      <c r="E530" s="1361" t="s">
        <v>1613</v>
      </c>
      <c r="F530" s="1360" t="s">
        <v>266</v>
      </c>
      <c r="G530" s="1362">
        <v>6783</v>
      </c>
      <c r="H530" s="1363" t="s">
        <v>6899</v>
      </c>
    </row>
    <row r="531" spans="2:8" x14ac:dyDescent="0.25">
      <c r="B531" s="1358" t="s">
        <v>6897</v>
      </c>
      <c r="C531" s="1359" t="s">
        <v>1604</v>
      </c>
      <c r="D531" s="1360">
        <v>7261</v>
      </c>
      <c r="E531" s="1361" t="s">
        <v>1614</v>
      </c>
      <c r="F531" s="1360" t="s">
        <v>266</v>
      </c>
      <c r="G531" s="1362">
        <v>14303</v>
      </c>
      <c r="H531" s="1363" t="s">
        <v>6899</v>
      </c>
    </row>
    <row r="532" spans="2:8" x14ac:dyDescent="0.25">
      <c r="B532" s="1358" t="s">
        <v>6897</v>
      </c>
      <c r="C532" s="1359" t="s">
        <v>1604</v>
      </c>
      <c r="D532" s="1360">
        <v>7262</v>
      </c>
      <c r="E532" s="1361" t="s">
        <v>1615</v>
      </c>
      <c r="F532" s="1360" t="s">
        <v>266</v>
      </c>
      <c r="G532" s="1362">
        <v>28987</v>
      </c>
      <c r="H532" s="1363" t="s">
        <v>6899</v>
      </c>
    </row>
    <row r="533" spans="2:8" x14ac:dyDescent="0.25">
      <c r="B533" s="1358" t="s">
        <v>6897</v>
      </c>
      <c r="C533" s="1359" t="s">
        <v>1604</v>
      </c>
      <c r="D533" s="1360">
        <v>7263</v>
      </c>
      <c r="E533" s="1361" t="s">
        <v>1616</v>
      </c>
      <c r="F533" s="1360" t="s">
        <v>266</v>
      </c>
      <c r="G533" s="1362">
        <v>57212</v>
      </c>
      <c r="H533" s="1363" t="s">
        <v>6899</v>
      </c>
    </row>
    <row r="534" spans="2:8" x14ac:dyDescent="0.25">
      <c r="B534" s="1358" t="s">
        <v>6897</v>
      </c>
      <c r="C534" s="1359" t="s">
        <v>1604</v>
      </c>
      <c r="D534" s="1360">
        <v>7264</v>
      </c>
      <c r="E534" s="1361" t="s">
        <v>1617</v>
      </c>
      <c r="F534" s="1360" t="s">
        <v>266</v>
      </c>
      <c r="G534" s="1362">
        <v>101150</v>
      </c>
      <c r="H534" s="1363" t="s">
        <v>6899</v>
      </c>
    </row>
    <row r="535" spans="2:8" x14ac:dyDescent="0.25">
      <c r="B535" s="1358" t="s">
        <v>6897</v>
      </c>
      <c r="C535" s="1359" t="s">
        <v>1604</v>
      </c>
      <c r="D535" s="1360">
        <v>7265</v>
      </c>
      <c r="E535" s="1361" t="s">
        <v>1618</v>
      </c>
      <c r="F535" s="1360" t="s">
        <v>266</v>
      </c>
      <c r="G535" s="1362">
        <v>130900</v>
      </c>
      <c r="H535" s="1363" t="s">
        <v>6899</v>
      </c>
    </row>
    <row r="536" spans="2:8" x14ac:dyDescent="0.25">
      <c r="B536" s="1358" t="s">
        <v>6897</v>
      </c>
      <c r="C536" s="1359" t="s">
        <v>1604</v>
      </c>
      <c r="D536" s="1360">
        <v>7266</v>
      </c>
      <c r="E536" s="1361" t="s">
        <v>1619</v>
      </c>
      <c r="F536" s="1360" t="s">
        <v>266</v>
      </c>
      <c r="G536" s="1362">
        <v>27965</v>
      </c>
      <c r="H536" s="1363" t="s">
        <v>6899</v>
      </c>
    </row>
    <row r="537" spans="2:8" x14ac:dyDescent="0.25">
      <c r="B537" s="1358" t="s">
        <v>6897</v>
      </c>
      <c r="C537" s="1359" t="s">
        <v>1604</v>
      </c>
      <c r="D537" s="1360">
        <v>7267</v>
      </c>
      <c r="E537" s="1361" t="s">
        <v>1620</v>
      </c>
      <c r="F537" s="1360" t="s">
        <v>266</v>
      </c>
      <c r="G537" s="1362">
        <v>23681</v>
      </c>
      <c r="H537" s="1363" t="s">
        <v>6899</v>
      </c>
    </row>
    <row r="538" spans="2:8" x14ac:dyDescent="0.25">
      <c r="B538" s="1358" t="s">
        <v>6897</v>
      </c>
      <c r="C538" s="1359" t="s">
        <v>1604</v>
      </c>
      <c r="D538" s="1360">
        <v>7268</v>
      </c>
      <c r="E538" s="1361" t="s">
        <v>1621</v>
      </c>
      <c r="F538" s="1360" t="s">
        <v>266</v>
      </c>
      <c r="G538" s="1362">
        <v>19324</v>
      </c>
      <c r="H538" s="1363" t="s">
        <v>6899</v>
      </c>
    </row>
    <row r="539" spans="2:8" x14ac:dyDescent="0.25">
      <c r="B539" s="1358" t="s">
        <v>6897</v>
      </c>
      <c r="C539" s="1359" t="s">
        <v>1604</v>
      </c>
      <c r="D539" s="1360">
        <v>7269</v>
      </c>
      <c r="E539" s="1361" t="s">
        <v>1622</v>
      </c>
      <c r="F539" s="1360" t="s">
        <v>266</v>
      </c>
      <c r="G539" s="1362">
        <v>14204</v>
      </c>
      <c r="H539" s="1363" t="s">
        <v>6899</v>
      </c>
    </row>
    <row r="540" spans="2:8" x14ac:dyDescent="0.25">
      <c r="B540" s="1358" t="s">
        <v>6897</v>
      </c>
      <c r="C540" s="1359" t="s">
        <v>1604</v>
      </c>
      <c r="D540" s="1360">
        <v>7270</v>
      </c>
      <c r="E540" s="1361" t="s">
        <v>1623</v>
      </c>
      <c r="F540" s="1360" t="s">
        <v>266</v>
      </c>
      <c r="G540" s="1362">
        <v>22828</v>
      </c>
      <c r="H540" s="1363" t="s">
        <v>6899</v>
      </c>
    </row>
    <row r="541" spans="2:8" x14ac:dyDescent="0.25">
      <c r="B541" s="1358" t="s">
        <v>6897</v>
      </c>
      <c r="C541" s="1359" t="s">
        <v>1604</v>
      </c>
      <c r="D541" s="1360">
        <v>7271</v>
      </c>
      <c r="E541" s="1361" t="s">
        <v>1624</v>
      </c>
      <c r="F541" s="1360" t="s">
        <v>266</v>
      </c>
      <c r="G541" s="1362">
        <v>18117</v>
      </c>
      <c r="H541" s="1363" t="s">
        <v>6899</v>
      </c>
    </row>
    <row r="542" spans="2:8" x14ac:dyDescent="0.25">
      <c r="B542" s="1358" t="s">
        <v>6897</v>
      </c>
      <c r="C542" s="1359" t="s">
        <v>1604</v>
      </c>
      <c r="D542" s="1360">
        <v>7272</v>
      </c>
      <c r="E542" s="1361" t="s">
        <v>1625</v>
      </c>
      <c r="F542" s="1360" t="s">
        <v>266</v>
      </c>
      <c r="G542" s="1362">
        <v>14493</v>
      </c>
      <c r="H542" s="1363" t="s">
        <v>6899</v>
      </c>
    </row>
    <row r="543" spans="2:8" x14ac:dyDescent="0.25">
      <c r="B543" s="1358" t="s">
        <v>6897</v>
      </c>
      <c r="C543" s="1359" t="s">
        <v>1604</v>
      </c>
      <c r="D543" s="1360">
        <v>7273</v>
      </c>
      <c r="E543" s="1361" t="s">
        <v>1626</v>
      </c>
      <c r="F543" s="1360" t="s">
        <v>266</v>
      </c>
      <c r="G543" s="1362">
        <v>10653</v>
      </c>
      <c r="H543" s="1363" t="s">
        <v>6899</v>
      </c>
    </row>
    <row r="544" spans="2:8" x14ac:dyDescent="0.25">
      <c r="B544" s="1358" t="s">
        <v>6897</v>
      </c>
      <c r="C544" s="1359" t="s">
        <v>1604</v>
      </c>
      <c r="D544" s="1360">
        <v>7274</v>
      </c>
      <c r="E544" s="1361" t="s">
        <v>1627</v>
      </c>
      <c r="F544" s="1360" t="s">
        <v>266</v>
      </c>
      <c r="G544" s="1362">
        <v>45815</v>
      </c>
      <c r="H544" s="1363" t="s">
        <v>6899</v>
      </c>
    </row>
    <row r="545" spans="2:8" x14ac:dyDescent="0.25">
      <c r="B545" s="1358" t="s">
        <v>6897</v>
      </c>
      <c r="C545" s="1359" t="s">
        <v>1604</v>
      </c>
      <c r="D545" s="1360">
        <v>7275</v>
      </c>
      <c r="E545" s="1361" t="s">
        <v>1628</v>
      </c>
      <c r="F545" s="1360" t="s">
        <v>266</v>
      </c>
      <c r="G545" s="1362">
        <v>10115</v>
      </c>
      <c r="H545" s="1363" t="s">
        <v>6899</v>
      </c>
    </row>
    <row r="546" spans="2:8" x14ac:dyDescent="0.25">
      <c r="B546" s="1358" t="s">
        <v>6897</v>
      </c>
      <c r="C546" s="1359" t="s">
        <v>1604</v>
      </c>
      <c r="D546" s="1360">
        <v>7276</v>
      </c>
      <c r="E546" s="1361" t="s">
        <v>1629</v>
      </c>
      <c r="F546" s="1360" t="s">
        <v>266</v>
      </c>
      <c r="G546" s="1362">
        <v>23100</v>
      </c>
      <c r="H546" s="1363" t="s">
        <v>6899</v>
      </c>
    </row>
    <row r="547" spans="2:8" x14ac:dyDescent="0.25">
      <c r="B547" s="1358" t="s">
        <v>6897</v>
      </c>
      <c r="C547" s="1359" t="s">
        <v>1604</v>
      </c>
      <c r="D547" s="1360">
        <v>7277</v>
      </c>
      <c r="E547" s="1361" t="s">
        <v>1630</v>
      </c>
      <c r="F547" s="1360" t="s">
        <v>266</v>
      </c>
      <c r="G547" s="1362">
        <v>31500</v>
      </c>
      <c r="H547" s="1363" t="s">
        <v>6899</v>
      </c>
    </row>
    <row r="548" spans="2:8" x14ac:dyDescent="0.25">
      <c r="B548" s="1358" t="s">
        <v>6897</v>
      </c>
      <c r="C548" s="1359" t="s">
        <v>1604</v>
      </c>
      <c r="D548" s="1360">
        <v>7278</v>
      </c>
      <c r="E548" s="1361" t="s">
        <v>1631</v>
      </c>
      <c r="F548" s="1360" t="s">
        <v>266</v>
      </c>
      <c r="G548" s="1362">
        <v>39375</v>
      </c>
      <c r="H548" s="1363" t="s">
        <v>6899</v>
      </c>
    </row>
    <row r="549" spans="2:8" x14ac:dyDescent="0.25">
      <c r="B549" s="1358" t="s">
        <v>6897</v>
      </c>
      <c r="C549" s="1359" t="s">
        <v>1604</v>
      </c>
      <c r="D549" s="1360">
        <v>7279</v>
      </c>
      <c r="E549" s="1361" t="s">
        <v>1632</v>
      </c>
      <c r="F549" s="1360" t="s">
        <v>266</v>
      </c>
      <c r="G549" s="1362">
        <v>42000</v>
      </c>
      <c r="H549" s="1363" t="s">
        <v>6899</v>
      </c>
    </row>
    <row r="550" spans="2:8" x14ac:dyDescent="0.25">
      <c r="B550" s="1358" t="s">
        <v>6897</v>
      </c>
      <c r="C550" s="1359" t="s">
        <v>1604</v>
      </c>
      <c r="D550" s="1360">
        <v>7280</v>
      </c>
      <c r="E550" s="1361" t="s">
        <v>1633</v>
      </c>
      <c r="F550" s="1360" t="s">
        <v>266</v>
      </c>
      <c r="G550" s="1362">
        <v>86625</v>
      </c>
      <c r="H550" s="1363" t="s">
        <v>6899</v>
      </c>
    </row>
    <row r="551" spans="2:8" x14ac:dyDescent="0.25">
      <c r="B551" s="1358" t="s">
        <v>6897</v>
      </c>
      <c r="C551" s="1359" t="s">
        <v>1604</v>
      </c>
      <c r="D551" s="1360">
        <v>7281</v>
      </c>
      <c r="E551" s="1361" t="s">
        <v>1634</v>
      </c>
      <c r="F551" s="1360" t="s">
        <v>266</v>
      </c>
      <c r="G551" s="1362">
        <v>86625</v>
      </c>
      <c r="H551" s="1363" t="s">
        <v>6899</v>
      </c>
    </row>
    <row r="552" spans="2:8" x14ac:dyDescent="0.25">
      <c r="B552" s="1358" t="s">
        <v>6897</v>
      </c>
      <c r="C552" s="1359" t="s">
        <v>1604</v>
      </c>
      <c r="D552" s="1360">
        <v>7282</v>
      </c>
      <c r="E552" s="1361" t="s">
        <v>1635</v>
      </c>
      <c r="F552" s="1360" t="s">
        <v>266</v>
      </c>
      <c r="G552" s="1362">
        <v>8925</v>
      </c>
      <c r="H552" s="1363" t="s">
        <v>6899</v>
      </c>
    </row>
    <row r="553" spans="2:8" x14ac:dyDescent="0.25">
      <c r="B553" s="1358" t="s">
        <v>6897</v>
      </c>
      <c r="C553" s="1359" t="s">
        <v>1604</v>
      </c>
      <c r="D553" s="1360">
        <v>7283</v>
      </c>
      <c r="E553" s="1361" t="s">
        <v>1636</v>
      </c>
      <c r="F553" s="1360" t="s">
        <v>266</v>
      </c>
      <c r="G553" s="1362">
        <v>12180</v>
      </c>
      <c r="H553" s="1363" t="s">
        <v>6899</v>
      </c>
    </row>
    <row r="554" spans="2:8" x14ac:dyDescent="0.25">
      <c r="B554" s="1358" t="s">
        <v>6897</v>
      </c>
      <c r="C554" s="1359" t="s">
        <v>1604</v>
      </c>
      <c r="D554" s="1360">
        <v>7284</v>
      </c>
      <c r="E554" s="1361" t="s">
        <v>1637</v>
      </c>
      <c r="F554" s="1360" t="s">
        <v>266</v>
      </c>
      <c r="G554" s="1362">
        <v>15225</v>
      </c>
      <c r="H554" s="1363" t="s">
        <v>6899</v>
      </c>
    </row>
    <row r="555" spans="2:8" x14ac:dyDescent="0.25">
      <c r="B555" s="1358" t="s">
        <v>6897</v>
      </c>
      <c r="C555" s="1359" t="s">
        <v>1604</v>
      </c>
      <c r="D555" s="1360">
        <v>7285</v>
      </c>
      <c r="E555" s="1361" t="s">
        <v>1638</v>
      </c>
      <c r="F555" s="1360" t="s">
        <v>266</v>
      </c>
      <c r="G555" s="1362">
        <v>16800</v>
      </c>
      <c r="H555" s="1363" t="s">
        <v>6899</v>
      </c>
    </row>
    <row r="556" spans="2:8" x14ac:dyDescent="0.25">
      <c r="B556" s="1358" t="s">
        <v>6897</v>
      </c>
      <c r="C556" s="1359" t="s">
        <v>1604</v>
      </c>
      <c r="D556" s="1360">
        <v>7287</v>
      </c>
      <c r="E556" s="1361" t="s">
        <v>1639</v>
      </c>
      <c r="F556" s="1360" t="s">
        <v>266</v>
      </c>
      <c r="G556" s="1362">
        <v>9975</v>
      </c>
      <c r="H556" s="1363" t="s">
        <v>6899</v>
      </c>
    </row>
    <row r="557" spans="2:8" x14ac:dyDescent="0.25">
      <c r="B557" s="1358" t="s">
        <v>6897</v>
      </c>
      <c r="C557" s="1359" t="s">
        <v>1604</v>
      </c>
      <c r="D557" s="1360">
        <v>7288</v>
      </c>
      <c r="E557" s="1361" t="s">
        <v>1640</v>
      </c>
      <c r="F557" s="1360" t="s">
        <v>266</v>
      </c>
      <c r="G557" s="1362">
        <v>12600</v>
      </c>
      <c r="H557" s="1363" t="s">
        <v>6899</v>
      </c>
    </row>
    <row r="558" spans="2:8" x14ac:dyDescent="0.25">
      <c r="B558" s="1358" t="s">
        <v>6897</v>
      </c>
      <c r="C558" s="1359" t="s">
        <v>6904</v>
      </c>
      <c r="D558" s="1360">
        <v>7289</v>
      </c>
      <c r="E558" s="1361" t="s">
        <v>1641</v>
      </c>
      <c r="F558" s="1360" t="s">
        <v>266</v>
      </c>
      <c r="G558" s="1362">
        <v>4900</v>
      </c>
      <c r="H558" s="1363" t="s">
        <v>6899</v>
      </c>
    </row>
    <row r="559" spans="2:8" x14ac:dyDescent="0.25">
      <c r="B559" s="1358" t="s">
        <v>6897</v>
      </c>
      <c r="C559" s="1359" t="s">
        <v>6906</v>
      </c>
      <c r="D559" s="1360">
        <v>7291</v>
      </c>
      <c r="E559" s="1361" t="s">
        <v>1642</v>
      </c>
      <c r="F559" s="1360" t="s">
        <v>266</v>
      </c>
      <c r="G559" s="1362">
        <v>372351</v>
      </c>
      <c r="H559" s="1363" t="s">
        <v>3535</v>
      </c>
    </row>
    <row r="560" spans="2:8" x14ac:dyDescent="0.25">
      <c r="B560" s="1358" t="s">
        <v>6897</v>
      </c>
      <c r="C560" s="1359" t="s">
        <v>6906</v>
      </c>
      <c r="D560" s="1360">
        <v>7293</v>
      </c>
      <c r="E560" s="1361" t="s">
        <v>1643</v>
      </c>
      <c r="F560" s="1360" t="s">
        <v>266</v>
      </c>
      <c r="G560" s="1362">
        <v>546345</v>
      </c>
      <c r="H560" s="1363" t="s">
        <v>3535</v>
      </c>
    </row>
    <row r="561" spans="2:8" x14ac:dyDescent="0.25">
      <c r="B561" s="1358" t="s">
        <v>6897</v>
      </c>
      <c r="C561" s="1359" t="s">
        <v>6906</v>
      </c>
      <c r="D561" s="1360">
        <v>7295</v>
      </c>
      <c r="E561" s="1361" t="s">
        <v>1644</v>
      </c>
      <c r="F561" s="1360" t="s">
        <v>266</v>
      </c>
      <c r="G561" s="1362">
        <v>554098</v>
      </c>
      <c r="H561" s="1363" t="s">
        <v>3535</v>
      </c>
    </row>
    <row r="562" spans="2:8" x14ac:dyDescent="0.25">
      <c r="B562" s="1358" t="s">
        <v>6897</v>
      </c>
      <c r="C562" s="1359" t="s">
        <v>6906</v>
      </c>
      <c r="D562" s="1360">
        <v>7298</v>
      </c>
      <c r="E562" s="1361" t="s">
        <v>1645</v>
      </c>
      <c r="F562" s="1360" t="s">
        <v>266</v>
      </c>
      <c r="G562" s="1362">
        <v>280059</v>
      </c>
      <c r="H562" s="1363" t="s">
        <v>3535</v>
      </c>
    </row>
    <row r="563" spans="2:8" x14ac:dyDescent="0.25">
      <c r="B563" s="1358" t="s">
        <v>6897</v>
      </c>
      <c r="C563" s="1359" t="s">
        <v>6907</v>
      </c>
      <c r="D563" s="1360">
        <v>7300</v>
      </c>
      <c r="E563" s="1361" t="s">
        <v>1646</v>
      </c>
      <c r="F563" s="1360" t="s">
        <v>13</v>
      </c>
      <c r="G563" s="1362">
        <v>51268</v>
      </c>
      <c r="H563" s="1363" t="s">
        <v>3535</v>
      </c>
    </row>
    <row r="564" spans="2:8" x14ac:dyDescent="0.25">
      <c r="B564" s="1358" t="s">
        <v>6897</v>
      </c>
      <c r="C564" s="1359" t="s">
        <v>6907</v>
      </c>
      <c r="D564" s="1360">
        <v>7302</v>
      </c>
      <c r="E564" s="1361" t="s">
        <v>1647</v>
      </c>
      <c r="F564" s="1360" t="s">
        <v>13</v>
      </c>
      <c r="G564" s="1362">
        <v>9100</v>
      </c>
      <c r="H564" s="1363" t="s">
        <v>3535</v>
      </c>
    </row>
    <row r="565" spans="2:8" x14ac:dyDescent="0.25">
      <c r="B565" s="1358" t="s">
        <v>6897</v>
      </c>
      <c r="C565" s="1359" t="s">
        <v>6907</v>
      </c>
      <c r="D565" s="1360">
        <v>7303</v>
      </c>
      <c r="E565" s="1361" t="s">
        <v>1648</v>
      </c>
      <c r="F565" s="1360" t="s">
        <v>13</v>
      </c>
      <c r="G565" s="1362">
        <v>20168</v>
      </c>
      <c r="H565" s="1363" t="s">
        <v>3535</v>
      </c>
    </row>
    <row r="566" spans="2:8" x14ac:dyDescent="0.25">
      <c r="B566" s="1358" t="s">
        <v>6897</v>
      </c>
      <c r="C566" s="1359" t="s">
        <v>6907</v>
      </c>
      <c r="D566" s="1360">
        <v>7304</v>
      </c>
      <c r="E566" s="1361" t="s">
        <v>1649</v>
      </c>
      <c r="F566" s="1360" t="s">
        <v>13</v>
      </c>
      <c r="G566" s="1362">
        <v>34029</v>
      </c>
      <c r="H566" s="1363" t="s">
        <v>3535</v>
      </c>
    </row>
    <row r="567" spans="2:8" x14ac:dyDescent="0.25">
      <c r="B567" s="1358" t="s">
        <v>6897</v>
      </c>
      <c r="C567" s="1359" t="s">
        <v>6907</v>
      </c>
      <c r="D567" s="1360">
        <v>7305</v>
      </c>
      <c r="E567" s="1361" t="s">
        <v>1650</v>
      </c>
      <c r="F567" s="1360" t="s">
        <v>13</v>
      </c>
      <c r="G567" s="1362">
        <v>70974</v>
      </c>
      <c r="H567" s="1363" t="s">
        <v>3535</v>
      </c>
    </row>
    <row r="568" spans="2:8" x14ac:dyDescent="0.25">
      <c r="B568" s="1358" t="s">
        <v>6897</v>
      </c>
      <c r="C568" s="1359" t="s">
        <v>6922</v>
      </c>
      <c r="D568" s="1360">
        <v>7306</v>
      </c>
      <c r="E568" s="1361" t="s">
        <v>1651</v>
      </c>
      <c r="F568" s="1360" t="s">
        <v>266</v>
      </c>
      <c r="G568" s="1362">
        <v>26418</v>
      </c>
      <c r="H568" s="1363" t="s">
        <v>3538</v>
      </c>
    </row>
    <row r="569" spans="2:8" x14ac:dyDescent="0.25">
      <c r="B569" s="1358" t="s">
        <v>6897</v>
      </c>
      <c r="C569" s="1359" t="s">
        <v>6930</v>
      </c>
      <c r="D569" s="1360">
        <v>7307</v>
      </c>
      <c r="E569" s="1361" t="s">
        <v>1652</v>
      </c>
      <c r="F569" s="1360" t="s">
        <v>266</v>
      </c>
      <c r="G569" s="1362">
        <v>99900</v>
      </c>
      <c r="H569" s="1363" t="s">
        <v>6899</v>
      </c>
    </row>
    <row r="570" spans="2:8" x14ac:dyDescent="0.25">
      <c r="B570" s="1358" t="s">
        <v>6897</v>
      </c>
      <c r="C570" s="1359" t="s">
        <v>6913</v>
      </c>
      <c r="D570" s="1360">
        <v>7308</v>
      </c>
      <c r="E570" s="1361" t="s">
        <v>1653</v>
      </c>
      <c r="F570" s="1360" t="s">
        <v>677</v>
      </c>
      <c r="G570" s="1362">
        <v>1300000</v>
      </c>
      <c r="H570" s="1363" t="s">
        <v>3548</v>
      </c>
    </row>
    <row r="571" spans="2:8" x14ac:dyDescent="0.25">
      <c r="B571" s="1358" t="s">
        <v>6897</v>
      </c>
      <c r="C571" s="1359" t="s">
        <v>6903</v>
      </c>
      <c r="D571" s="1360">
        <v>7309</v>
      </c>
      <c r="E571" s="1361" t="s">
        <v>1654</v>
      </c>
      <c r="F571" s="1360" t="s">
        <v>6</v>
      </c>
      <c r="G571" s="1362">
        <v>4701</v>
      </c>
      <c r="H571" s="1363" t="s">
        <v>6899</v>
      </c>
    </row>
    <row r="572" spans="2:8" x14ac:dyDescent="0.25">
      <c r="B572" s="1358" t="s">
        <v>6897</v>
      </c>
      <c r="C572" s="1359" t="s">
        <v>6912</v>
      </c>
      <c r="D572" s="1360">
        <v>7313</v>
      </c>
      <c r="E572" s="1361" t="s">
        <v>3568</v>
      </c>
      <c r="F572" s="1360" t="s">
        <v>1124</v>
      </c>
      <c r="G572" s="1362">
        <v>30940</v>
      </c>
      <c r="H572" s="1363" t="s">
        <v>6899</v>
      </c>
    </row>
    <row r="573" spans="2:8" x14ac:dyDescent="0.25">
      <c r="B573" s="1358" t="s">
        <v>6897</v>
      </c>
      <c r="C573" s="1359" t="s">
        <v>1474</v>
      </c>
      <c r="D573" s="1360">
        <v>7317</v>
      </c>
      <c r="E573" s="1361" t="s">
        <v>1655</v>
      </c>
      <c r="F573" s="1360" t="s">
        <v>12</v>
      </c>
      <c r="G573" s="1362">
        <v>6059</v>
      </c>
      <c r="H573" s="1363" t="s">
        <v>6899</v>
      </c>
    </row>
    <row r="574" spans="2:8" x14ac:dyDescent="0.25">
      <c r="B574" s="1358" t="s">
        <v>6897</v>
      </c>
      <c r="C574" s="1359" t="s">
        <v>1474</v>
      </c>
      <c r="D574" s="1360">
        <v>7325</v>
      </c>
      <c r="E574" s="1361" t="s">
        <v>1656</v>
      </c>
      <c r="F574" s="1360" t="s">
        <v>12</v>
      </c>
      <c r="G574" s="1362">
        <v>7497</v>
      </c>
      <c r="H574" s="1363" t="s">
        <v>6899</v>
      </c>
    </row>
    <row r="575" spans="2:8" x14ac:dyDescent="0.25">
      <c r="B575" s="1358" t="s">
        <v>6897</v>
      </c>
      <c r="C575" s="1359" t="s">
        <v>6930</v>
      </c>
      <c r="D575" s="1360">
        <v>7336</v>
      </c>
      <c r="E575" s="1361" t="s">
        <v>1657</v>
      </c>
      <c r="F575" s="1360" t="s">
        <v>266</v>
      </c>
      <c r="G575" s="1362">
        <v>49900</v>
      </c>
      <c r="H575" s="1363" t="s">
        <v>6899</v>
      </c>
    </row>
    <row r="576" spans="2:8" x14ac:dyDescent="0.25">
      <c r="B576" s="1358" t="s">
        <v>6897</v>
      </c>
      <c r="C576" s="1359" t="s">
        <v>6927</v>
      </c>
      <c r="D576" s="1360">
        <v>7337</v>
      </c>
      <c r="E576" s="1361" t="s">
        <v>1658</v>
      </c>
      <c r="F576" s="1360" t="s">
        <v>6</v>
      </c>
      <c r="G576" s="1362">
        <v>138648</v>
      </c>
      <c r="H576" s="1363" t="s">
        <v>6899</v>
      </c>
    </row>
    <row r="577" spans="2:8" x14ac:dyDescent="0.25">
      <c r="B577" s="1358" t="s">
        <v>6897</v>
      </c>
      <c r="C577" s="1359" t="s">
        <v>6927</v>
      </c>
      <c r="D577" s="1360">
        <v>7338</v>
      </c>
      <c r="E577" s="1361" t="s">
        <v>1659</v>
      </c>
      <c r="F577" s="1360" t="s">
        <v>13</v>
      </c>
      <c r="G577" s="1362">
        <v>38788</v>
      </c>
      <c r="H577" s="1363" t="s">
        <v>6899</v>
      </c>
    </row>
    <row r="578" spans="2:8" x14ac:dyDescent="0.25">
      <c r="B578" s="1358" t="s">
        <v>6897</v>
      </c>
      <c r="C578" s="1359" t="s">
        <v>6920</v>
      </c>
      <c r="D578" s="1360">
        <v>7343</v>
      </c>
      <c r="E578" s="1361" t="s">
        <v>1660</v>
      </c>
      <c r="F578" s="1360" t="s">
        <v>13</v>
      </c>
      <c r="G578" s="1362">
        <v>307020</v>
      </c>
      <c r="H578" s="1363" t="s">
        <v>6899</v>
      </c>
    </row>
    <row r="579" spans="2:8" x14ac:dyDescent="0.25">
      <c r="B579" s="1358" t="s">
        <v>6897</v>
      </c>
      <c r="C579" s="1359" t="s">
        <v>6920</v>
      </c>
      <c r="D579" s="1360">
        <v>7344</v>
      </c>
      <c r="E579" s="1361" t="s">
        <v>1661</v>
      </c>
      <c r="F579" s="1360" t="s">
        <v>13</v>
      </c>
      <c r="G579" s="1362">
        <v>315350</v>
      </c>
      <c r="H579" s="1363" t="s">
        <v>6899</v>
      </c>
    </row>
    <row r="580" spans="2:8" x14ac:dyDescent="0.25">
      <c r="B580" s="1358" t="s">
        <v>6897</v>
      </c>
      <c r="C580" s="1359" t="s">
        <v>6920</v>
      </c>
      <c r="D580" s="1360">
        <v>7345</v>
      </c>
      <c r="E580" s="1361" t="s">
        <v>1662</v>
      </c>
      <c r="F580" s="1360" t="s">
        <v>266</v>
      </c>
      <c r="G580" s="1362">
        <v>844900</v>
      </c>
      <c r="H580" s="1363" t="s">
        <v>6899</v>
      </c>
    </row>
    <row r="581" spans="2:8" x14ac:dyDescent="0.25">
      <c r="B581" s="1358" t="s">
        <v>6897</v>
      </c>
      <c r="C581" s="1359" t="s">
        <v>6920</v>
      </c>
      <c r="D581" s="1360">
        <v>7346</v>
      </c>
      <c r="E581" s="1361" t="s">
        <v>1663</v>
      </c>
      <c r="F581" s="1360" t="s">
        <v>266</v>
      </c>
      <c r="G581" s="1362">
        <v>5457340</v>
      </c>
      <c r="H581" s="1363" t="s">
        <v>6899</v>
      </c>
    </row>
    <row r="582" spans="2:8" x14ac:dyDescent="0.25">
      <c r="B582" s="1358" t="s">
        <v>6897</v>
      </c>
      <c r="C582" s="1359" t="s">
        <v>6921</v>
      </c>
      <c r="D582" s="1360">
        <v>7351</v>
      </c>
      <c r="E582" s="1361" t="s">
        <v>1664</v>
      </c>
      <c r="F582" s="1360" t="s">
        <v>266</v>
      </c>
      <c r="G582" s="1362">
        <v>144847</v>
      </c>
      <c r="H582" s="1363" t="s">
        <v>3538</v>
      </c>
    </row>
    <row r="583" spans="2:8" x14ac:dyDescent="0.25">
      <c r="B583" s="1358" t="s">
        <v>6897</v>
      </c>
      <c r="C583" s="1359" t="s">
        <v>6921</v>
      </c>
      <c r="D583" s="1360">
        <v>7352</v>
      </c>
      <c r="E583" s="1361" t="s">
        <v>1665</v>
      </c>
      <c r="F583" s="1360" t="s">
        <v>266</v>
      </c>
      <c r="G583" s="1362">
        <v>156055</v>
      </c>
      <c r="H583" s="1363" t="s">
        <v>3538</v>
      </c>
    </row>
    <row r="584" spans="2:8" x14ac:dyDescent="0.25">
      <c r="B584" s="1358" t="s">
        <v>6897</v>
      </c>
      <c r="C584" s="1359" t="s">
        <v>6921</v>
      </c>
      <c r="D584" s="1360">
        <v>7353</v>
      </c>
      <c r="E584" s="1361" t="s">
        <v>1666</v>
      </c>
      <c r="F584" s="1360" t="s">
        <v>266</v>
      </c>
      <c r="G584" s="1362">
        <v>295808</v>
      </c>
      <c r="H584" s="1363" t="s">
        <v>3538</v>
      </c>
    </row>
    <row r="585" spans="2:8" x14ac:dyDescent="0.25">
      <c r="B585" s="1358" t="s">
        <v>6897</v>
      </c>
      <c r="C585" s="1359" t="s">
        <v>6921</v>
      </c>
      <c r="D585" s="1360">
        <v>7354</v>
      </c>
      <c r="E585" s="1361" t="s">
        <v>1667</v>
      </c>
      <c r="F585" s="1360" t="s">
        <v>266</v>
      </c>
      <c r="G585" s="1362">
        <v>379466</v>
      </c>
      <c r="H585" s="1363" t="s">
        <v>3538</v>
      </c>
    </row>
    <row r="586" spans="2:8" x14ac:dyDescent="0.25">
      <c r="B586" s="1358" t="s">
        <v>6897</v>
      </c>
      <c r="C586" s="1359" t="s">
        <v>6921</v>
      </c>
      <c r="D586" s="1360">
        <v>7355</v>
      </c>
      <c r="E586" s="1361" t="s">
        <v>1668</v>
      </c>
      <c r="F586" s="1360" t="s">
        <v>266</v>
      </c>
      <c r="G586" s="1362">
        <v>639612</v>
      </c>
      <c r="H586" s="1363" t="s">
        <v>3538</v>
      </c>
    </row>
    <row r="587" spans="2:8" x14ac:dyDescent="0.25">
      <c r="B587" s="1358" t="s">
        <v>6897</v>
      </c>
      <c r="C587" s="1359" t="s">
        <v>6921</v>
      </c>
      <c r="D587" s="1360">
        <v>7356</v>
      </c>
      <c r="E587" s="1361" t="s">
        <v>1669</v>
      </c>
      <c r="F587" s="1360" t="s">
        <v>266</v>
      </c>
      <c r="G587" s="1362">
        <v>833421</v>
      </c>
      <c r="H587" s="1363" t="s">
        <v>3538</v>
      </c>
    </row>
    <row r="588" spans="2:8" x14ac:dyDescent="0.25">
      <c r="B588" s="1358" t="s">
        <v>6897</v>
      </c>
      <c r="C588" s="1359" t="s">
        <v>6922</v>
      </c>
      <c r="D588" s="1360">
        <v>7359</v>
      </c>
      <c r="E588" s="1361" t="s">
        <v>1670</v>
      </c>
      <c r="F588" s="1360" t="s">
        <v>266</v>
      </c>
      <c r="G588" s="1362">
        <v>305592</v>
      </c>
      <c r="H588" s="1363" t="s">
        <v>3538</v>
      </c>
    </row>
    <row r="589" spans="2:8" x14ac:dyDescent="0.25">
      <c r="B589" s="1358" t="s">
        <v>6897</v>
      </c>
      <c r="C589" s="1359" t="s">
        <v>6922</v>
      </c>
      <c r="D589" s="1360">
        <v>7360</v>
      </c>
      <c r="E589" s="1361" t="s">
        <v>1671</v>
      </c>
      <c r="F589" s="1360" t="s">
        <v>266</v>
      </c>
      <c r="G589" s="1362">
        <v>456960</v>
      </c>
      <c r="H589" s="1363" t="s">
        <v>3538</v>
      </c>
    </row>
    <row r="590" spans="2:8" x14ac:dyDescent="0.25">
      <c r="B590" s="1358" t="s">
        <v>6897</v>
      </c>
      <c r="C590" s="1359" t="s">
        <v>6904</v>
      </c>
      <c r="D590" s="1360">
        <v>7361</v>
      </c>
      <c r="E590" s="1361" t="s">
        <v>1672</v>
      </c>
      <c r="F590" s="1360" t="s">
        <v>266</v>
      </c>
      <c r="G590" s="1362">
        <v>1300</v>
      </c>
      <c r="H590" s="1363" t="s">
        <v>6899</v>
      </c>
    </row>
    <row r="591" spans="2:8" x14ac:dyDescent="0.25">
      <c r="B591" s="1358" t="s">
        <v>6897</v>
      </c>
      <c r="C591" s="1359" t="s">
        <v>6904</v>
      </c>
      <c r="D591" s="1360">
        <v>7362</v>
      </c>
      <c r="E591" s="1361" t="s">
        <v>1673</v>
      </c>
      <c r="F591" s="1360" t="s">
        <v>266</v>
      </c>
      <c r="G591" s="1362">
        <v>1400</v>
      </c>
      <c r="H591" s="1363" t="s">
        <v>6899</v>
      </c>
    </row>
    <row r="592" spans="2:8" x14ac:dyDescent="0.25">
      <c r="B592" s="1358" t="s">
        <v>6897</v>
      </c>
      <c r="C592" s="1359" t="s">
        <v>6928</v>
      </c>
      <c r="D592" s="1360">
        <v>7363</v>
      </c>
      <c r="E592" s="1361" t="s">
        <v>1674</v>
      </c>
      <c r="F592" s="1360" t="s">
        <v>266</v>
      </c>
      <c r="G592" s="1362">
        <v>253730</v>
      </c>
      <c r="H592" s="1363" t="s">
        <v>6899</v>
      </c>
    </row>
    <row r="593" spans="2:8" x14ac:dyDescent="0.25">
      <c r="B593" s="1358" t="s">
        <v>6897</v>
      </c>
      <c r="C593" s="1359" t="s">
        <v>6929</v>
      </c>
      <c r="D593" s="1360">
        <v>7364</v>
      </c>
      <c r="E593" s="1361" t="s">
        <v>1675</v>
      </c>
      <c r="F593" s="1360" t="s">
        <v>266</v>
      </c>
      <c r="G593" s="1362">
        <v>390365</v>
      </c>
      <c r="H593" s="1363" t="s">
        <v>6899</v>
      </c>
    </row>
    <row r="594" spans="2:8" x14ac:dyDescent="0.25">
      <c r="B594" s="1358" t="s">
        <v>6897</v>
      </c>
      <c r="C594" s="1359" t="s">
        <v>6916</v>
      </c>
      <c r="D594" s="1360">
        <v>7366</v>
      </c>
      <c r="E594" s="1361" t="s">
        <v>1676</v>
      </c>
      <c r="F594" s="1360" t="s">
        <v>13</v>
      </c>
      <c r="G594" s="1362">
        <v>63771</v>
      </c>
      <c r="H594" s="1363" t="s">
        <v>3538</v>
      </c>
    </row>
    <row r="595" spans="2:8" x14ac:dyDescent="0.25">
      <c r="B595" s="1358" t="s">
        <v>6897</v>
      </c>
      <c r="C595" s="1359" t="s">
        <v>6916</v>
      </c>
      <c r="D595" s="1360">
        <v>7367</v>
      </c>
      <c r="E595" s="1361" t="s">
        <v>1677</v>
      </c>
      <c r="F595" s="1360" t="s">
        <v>13</v>
      </c>
      <c r="G595" s="1362">
        <v>181138</v>
      </c>
      <c r="H595" s="1363" t="s">
        <v>3538</v>
      </c>
    </row>
    <row r="596" spans="2:8" x14ac:dyDescent="0.25">
      <c r="B596" s="1358" t="s">
        <v>6897</v>
      </c>
      <c r="C596" s="1359" t="s">
        <v>6916</v>
      </c>
      <c r="D596" s="1360">
        <v>7368</v>
      </c>
      <c r="E596" s="1361" t="s">
        <v>1678</v>
      </c>
      <c r="F596" s="1360" t="s">
        <v>13</v>
      </c>
      <c r="G596" s="1362">
        <v>309932</v>
      </c>
      <c r="H596" s="1363" t="s">
        <v>3538</v>
      </c>
    </row>
    <row r="597" spans="2:8" x14ac:dyDescent="0.25">
      <c r="B597" s="1358" t="s">
        <v>6897</v>
      </c>
      <c r="C597" s="1359" t="s">
        <v>6916</v>
      </c>
      <c r="D597" s="1360">
        <v>7369</v>
      </c>
      <c r="E597" s="1361" t="s">
        <v>1679</v>
      </c>
      <c r="F597" s="1360" t="s">
        <v>13</v>
      </c>
      <c r="G597" s="1362">
        <v>472541</v>
      </c>
      <c r="H597" s="1363" t="s">
        <v>3538</v>
      </c>
    </row>
    <row r="598" spans="2:8" x14ac:dyDescent="0.25">
      <c r="B598" s="1358" t="s">
        <v>6897</v>
      </c>
      <c r="C598" s="1359" t="s">
        <v>6916</v>
      </c>
      <c r="D598" s="1360">
        <v>7370</v>
      </c>
      <c r="E598" s="1361" t="s">
        <v>1680</v>
      </c>
      <c r="F598" s="1360" t="s">
        <v>13</v>
      </c>
      <c r="G598" s="1362">
        <v>497053</v>
      </c>
      <c r="H598" s="1363" t="s">
        <v>3538</v>
      </c>
    </row>
    <row r="599" spans="2:8" x14ac:dyDescent="0.25">
      <c r="B599" s="1358" t="s">
        <v>6897</v>
      </c>
      <c r="C599" s="1359" t="s">
        <v>6916</v>
      </c>
      <c r="D599" s="1360">
        <v>7371</v>
      </c>
      <c r="E599" s="1361" t="s">
        <v>1681</v>
      </c>
      <c r="F599" s="1360" t="s">
        <v>13</v>
      </c>
      <c r="G599" s="1362">
        <v>558432</v>
      </c>
      <c r="H599" s="1363" t="s">
        <v>3538</v>
      </c>
    </row>
    <row r="600" spans="2:8" x14ac:dyDescent="0.25">
      <c r="B600" s="1358" t="s">
        <v>6897</v>
      </c>
      <c r="C600" s="1359" t="s">
        <v>6921</v>
      </c>
      <c r="D600" s="1360">
        <v>7372</v>
      </c>
      <c r="E600" s="1361" t="s">
        <v>1682</v>
      </c>
      <c r="F600" s="1360" t="s">
        <v>266</v>
      </c>
      <c r="G600" s="1362">
        <v>600950</v>
      </c>
      <c r="H600" s="1363" t="s">
        <v>3538</v>
      </c>
    </row>
    <row r="601" spans="2:8" x14ac:dyDescent="0.25">
      <c r="B601" s="1358" t="s">
        <v>6897</v>
      </c>
      <c r="C601" s="1359" t="s">
        <v>6921</v>
      </c>
      <c r="D601" s="1360">
        <v>7373</v>
      </c>
      <c r="E601" s="1361" t="s">
        <v>1683</v>
      </c>
      <c r="F601" s="1360" t="s">
        <v>266</v>
      </c>
      <c r="G601" s="1362">
        <v>160650</v>
      </c>
      <c r="H601" s="1363" t="s">
        <v>3538</v>
      </c>
    </row>
    <row r="602" spans="2:8" x14ac:dyDescent="0.25">
      <c r="B602" s="1358" t="s">
        <v>6897</v>
      </c>
      <c r="C602" s="1359" t="s">
        <v>6921</v>
      </c>
      <c r="D602" s="1360">
        <v>7374</v>
      </c>
      <c r="E602" s="1361" t="s">
        <v>1684</v>
      </c>
      <c r="F602" s="1360" t="s">
        <v>266</v>
      </c>
      <c r="G602" s="1362">
        <v>1032920</v>
      </c>
      <c r="H602" s="1363" t="s">
        <v>3538</v>
      </c>
    </row>
    <row r="603" spans="2:8" x14ac:dyDescent="0.25">
      <c r="B603" s="1358" t="s">
        <v>6897</v>
      </c>
      <c r="C603" s="1359" t="s">
        <v>6921</v>
      </c>
      <c r="D603" s="1360">
        <v>7375</v>
      </c>
      <c r="E603" s="1361" t="s">
        <v>1685</v>
      </c>
      <c r="F603" s="1360" t="s">
        <v>266</v>
      </c>
      <c r="G603" s="1362">
        <v>4901475</v>
      </c>
      <c r="H603" s="1363" t="s">
        <v>3538</v>
      </c>
    </row>
    <row r="604" spans="2:8" x14ac:dyDescent="0.25">
      <c r="B604" s="1358" t="s">
        <v>6897</v>
      </c>
      <c r="C604" s="1359" t="s">
        <v>6921</v>
      </c>
      <c r="D604" s="1360">
        <v>7376</v>
      </c>
      <c r="E604" s="1361" t="s">
        <v>1686</v>
      </c>
      <c r="F604" s="1360" t="s">
        <v>266</v>
      </c>
      <c r="G604" s="1362">
        <v>5832819</v>
      </c>
      <c r="H604" s="1363" t="s">
        <v>3538</v>
      </c>
    </row>
    <row r="605" spans="2:8" x14ac:dyDescent="0.25">
      <c r="B605" s="1358" t="s">
        <v>6897</v>
      </c>
      <c r="C605" s="1359" t="s">
        <v>6921</v>
      </c>
      <c r="D605" s="1360">
        <v>7377</v>
      </c>
      <c r="E605" s="1361" t="s">
        <v>1687</v>
      </c>
      <c r="F605" s="1360" t="s">
        <v>266</v>
      </c>
      <c r="G605" s="1362">
        <v>103530</v>
      </c>
      <c r="H605" s="1363" t="s">
        <v>3538</v>
      </c>
    </row>
    <row r="606" spans="2:8" x14ac:dyDescent="0.25">
      <c r="B606" s="1358" t="s">
        <v>6897</v>
      </c>
      <c r="C606" s="1359" t="s">
        <v>6921</v>
      </c>
      <c r="D606" s="1360">
        <v>7378</v>
      </c>
      <c r="E606" s="1361" t="s">
        <v>1688</v>
      </c>
      <c r="F606" s="1360" t="s">
        <v>266</v>
      </c>
      <c r="G606" s="1362">
        <v>177310</v>
      </c>
      <c r="H606" s="1363" t="s">
        <v>3538</v>
      </c>
    </row>
    <row r="607" spans="2:8" x14ac:dyDescent="0.25">
      <c r="B607" s="1358" t="s">
        <v>6897</v>
      </c>
      <c r="C607" s="1359" t="s">
        <v>6921</v>
      </c>
      <c r="D607" s="1360">
        <v>7379</v>
      </c>
      <c r="E607" s="1361" t="s">
        <v>1689</v>
      </c>
      <c r="F607" s="1360" t="s">
        <v>266</v>
      </c>
      <c r="G607" s="1362">
        <v>239190</v>
      </c>
      <c r="H607" s="1363" t="s">
        <v>3538</v>
      </c>
    </row>
    <row r="608" spans="2:8" x14ac:dyDescent="0.25">
      <c r="B608" s="1358" t="s">
        <v>6897</v>
      </c>
      <c r="C608" s="1359" t="s">
        <v>6921</v>
      </c>
      <c r="D608" s="1360">
        <v>7380</v>
      </c>
      <c r="E608" s="1361" t="s">
        <v>1690</v>
      </c>
      <c r="F608" s="1360" t="s">
        <v>266</v>
      </c>
      <c r="G608" s="1362">
        <v>422422</v>
      </c>
      <c r="H608" s="1363" t="s">
        <v>3538</v>
      </c>
    </row>
    <row r="609" spans="2:8" x14ac:dyDescent="0.25">
      <c r="B609" s="1358" t="s">
        <v>6897</v>
      </c>
      <c r="C609" s="1359" t="s">
        <v>6921</v>
      </c>
      <c r="D609" s="1360">
        <v>7381</v>
      </c>
      <c r="E609" s="1361" t="s">
        <v>1691</v>
      </c>
      <c r="F609" s="1360" t="s">
        <v>266</v>
      </c>
      <c r="G609" s="1362">
        <v>627921</v>
      </c>
      <c r="H609" s="1363" t="s">
        <v>3538</v>
      </c>
    </row>
    <row r="610" spans="2:8" x14ac:dyDescent="0.25">
      <c r="B610" s="1358" t="s">
        <v>6897</v>
      </c>
      <c r="C610" s="1359" t="s">
        <v>6908</v>
      </c>
      <c r="D610" s="1360">
        <v>7382</v>
      </c>
      <c r="E610" s="1361" t="s">
        <v>1692</v>
      </c>
      <c r="F610" s="1360" t="s">
        <v>266</v>
      </c>
      <c r="G610" s="1362">
        <v>116620</v>
      </c>
      <c r="H610" s="1363" t="s">
        <v>3538</v>
      </c>
    </row>
    <row r="611" spans="2:8" x14ac:dyDescent="0.25">
      <c r="B611" s="1358" t="s">
        <v>6897</v>
      </c>
      <c r="C611" s="1359" t="s">
        <v>6908</v>
      </c>
      <c r="D611" s="1360">
        <v>7384</v>
      </c>
      <c r="E611" s="1361" t="s">
        <v>1693</v>
      </c>
      <c r="F611" s="1360" t="s">
        <v>266</v>
      </c>
      <c r="G611" s="1362">
        <v>135660</v>
      </c>
      <c r="H611" s="1363" t="s">
        <v>3538</v>
      </c>
    </row>
    <row r="612" spans="2:8" x14ac:dyDescent="0.25">
      <c r="B612" s="1358" t="s">
        <v>6897</v>
      </c>
      <c r="C612" s="1359" t="s">
        <v>6908</v>
      </c>
      <c r="D612" s="1360">
        <v>7385</v>
      </c>
      <c r="E612" s="1361" t="s">
        <v>1694</v>
      </c>
      <c r="F612" s="1360" t="s">
        <v>266</v>
      </c>
      <c r="G612" s="1362">
        <v>326060</v>
      </c>
      <c r="H612" s="1363" t="s">
        <v>3538</v>
      </c>
    </row>
    <row r="613" spans="2:8" x14ac:dyDescent="0.25">
      <c r="B613" s="1358" t="s">
        <v>6897</v>
      </c>
      <c r="C613" s="1359" t="s">
        <v>6908</v>
      </c>
      <c r="D613" s="1360">
        <v>7386</v>
      </c>
      <c r="E613" s="1361" t="s">
        <v>1695</v>
      </c>
      <c r="F613" s="1360" t="s">
        <v>266</v>
      </c>
      <c r="G613" s="1362">
        <v>980836</v>
      </c>
      <c r="H613" s="1363" t="s">
        <v>3538</v>
      </c>
    </row>
    <row r="614" spans="2:8" x14ac:dyDescent="0.25">
      <c r="B614" s="1358" t="s">
        <v>6897</v>
      </c>
      <c r="C614" s="1359" t="s">
        <v>6908</v>
      </c>
      <c r="D614" s="1360">
        <v>7387</v>
      </c>
      <c r="E614" s="1361" t="s">
        <v>1696</v>
      </c>
      <c r="F614" s="1360" t="s">
        <v>266</v>
      </c>
      <c r="G614" s="1362">
        <v>64794</v>
      </c>
      <c r="H614" s="1363" t="s">
        <v>3538</v>
      </c>
    </row>
    <row r="615" spans="2:8" x14ac:dyDescent="0.25">
      <c r="B615" s="1358" t="s">
        <v>6897</v>
      </c>
      <c r="C615" s="1359" t="s">
        <v>6908</v>
      </c>
      <c r="D615" s="1360">
        <v>7388</v>
      </c>
      <c r="E615" s="1361" t="s">
        <v>1697</v>
      </c>
      <c r="F615" s="1360" t="s">
        <v>266</v>
      </c>
      <c r="G615" s="1362">
        <v>82380</v>
      </c>
      <c r="H615" s="1363" t="s">
        <v>3538</v>
      </c>
    </row>
    <row r="616" spans="2:8" x14ac:dyDescent="0.25">
      <c r="B616" s="1358" t="s">
        <v>6897</v>
      </c>
      <c r="C616" s="1359" t="s">
        <v>6908</v>
      </c>
      <c r="D616" s="1360">
        <v>7389</v>
      </c>
      <c r="E616" s="1361" t="s">
        <v>1698</v>
      </c>
      <c r="F616" s="1360" t="s">
        <v>266</v>
      </c>
      <c r="G616" s="1362">
        <v>188477</v>
      </c>
      <c r="H616" s="1363" t="s">
        <v>3538</v>
      </c>
    </row>
    <row r="617" spans="2:8" x14ac:dyDescent="0.25">
      <c r="B617" s="1358" t="s">
        <v>6897</v>
      </c>
      <c r="C617" s="1359" t="s">
        <v>6908</v>
      </c>
      <c r="D617" s="1360">
        <v>7390</v>
      </c>
      <c r="E617" s="1361" t="s">
        <v>1699</v>
      </c>
      <c r="F617" s="1360" t="s">
        <v>266</v>
      </c>
      <c r="G617" s="1362">
        <v>573855</v>
      </c>
      <c r="H617" s="1363" t="s">
        <v>3538</v>
      </c>
    </row>
    <row r="618" spans="2:8" x14ac:dyDescent="0.25">
      <c r="B618" s="1358" t="s">
        <v>6897</v>
      </c>
      <c r="C618" s="1359" t="s">
        <v>6921</v>
      </c>
      <c r="D618" s="1360">
        <v>7391</v>
      </c>
      <c r="E618" s="1361" t="s">
        <v>1700</v>
      </c>
      <c r="F618" s="1360" t="s">
        <v>266</v>
      </c>
      <c r="G618" s="1362">
        <v>279650</v>
      </c>
      <c r="H618" s="1363" t="s">
        <v>3538</v>
      </c>
    </row>
    <row r="619" spans="2:8" x14ac:dyDescent="0.25">
      <c r="B619" s="1358" t="s">
        <v>6897</v>
      </c>
      <c r="C619" s="1359" t="s">
        <v>6921</v>
      </c>
      <c r="D619" s="1360">
        <v>7392</v>
      </c>
      <c r="E619" s="1361" t="s">
        <v>1701</v>
      </c>
      <c r="F619" s="1360" t="s">
        <v>266</v>
      </c>
      <c r="G619" s="1362">
        <v>357000</v>
      </c>
      <c r="H619" s="1363" t="s">
        <v>3538</v>
      </c>
    </row>
    <row r="620" spans="2:8" x14ac:dyDescent="0.25">
      <c r="B620" s="1358" t="s">
        <v>6897</v>
      </c>
      <c r="C620" s="1359" t="s">
        <v>6921</v>
      </c>
      <c r="D620" s="1360">
        <v>7393</v>
      </c>
      <c r="E620" s="1361" t="s">
        <v>1702</v>
      </c>
      <c r="F620" s="1360" t="s">
        <v>266</v>
      </c>
      <c r="G620" s="1362">
        <v>357000</v>
      </c>
      <c r="H620" s="1363" t="s">
        <v>3538</v>
      </c>
    </row>
    <row r="621" spans="2:8" x14ac:dyDescent="0.25">
      <c r="B621" s="1358" t="s">
        <v>6897</v>
      </c>
      <c r="C621" s="1359" t="s">
        <v>6921</v>
      </c>
      <c r="D621" s="1360">
        <v>7396</v>
      </c>
      <c r="E621" s="1361" t="s">
        <v>1703</v>
      </c>
      <c r="F621" s="1360" t="s">
        <v>266</v>
      </c>
      <c r="G621" s="1362">
        <v>440300</v>
      </c>
      <c r="H621" s="1363" t="s">
        <v>3538</v>
      </c>
    </row>
    <row r="622" spans="2:8" x14ac:dyDescent="0.25">
      <c r="B622" s="1358" t="s">
        <v>6897</v>
      </c>
      <c r="C622" s="1359" t="s">
        <v>6921</v>
      </c>
      <c r="D622" s="1360">
        <v>7397</v>
      </c>
      <c r="E622" s="1361" t="s">
        <v>1704</v>
      </c>
      <c r="F622" s="1360" t="s">
        <v>266</v>
      </c>
      <c r="G622" s="1362">
        <v>499800</v>
      </c>
      <c r="H622" s="1363" t="s">
        <v>3538</v>
      </c>
    </row>
    <row r="623" spans="2:8" x14ac:dyDescent="0.25">
      <c r="B623" s="1358" t="s">
        <v>6897</v>
      </c>
      <c r="C623" s="1359" t="s">
        <v>6921</v>
      </c>
      <c r="D623" s="1360">
        <v>7398</v>
      </c>
      <c r="E623" s="1361" t="s">
        <v>1705</v>
      </c>
      <c r="F623" s="1360" t="s">
        <v>266</v>
      </c>
      <c r="G623" s="1362">
        <v>690200</v>
      </c>
      <c r="H623" s="1363" t="s">
        <v>3538</v>
      </c>
    </row>
    <row r="624" spans="2:8" x14ac:dyDescent="0.25">
      <c r="B624" s="1358" t="s">
        <v>6897</v>
      </c>
      <c r="C624" s="1359" t="s">
        <v>6921</v>
      </c>
      <c r="D624" s="1360">
        <v>7399</v>
      </c>
      <c r="E624" s="1361" t="s">
        <v>1706</v>
      </c>
      <c r="F624" s="1360" t="s">
        <v>266</v>
      </c>
      <c r="G624" s="1362">
        <v>743750</v>
      </c>
      <c r="H624" s="1363" t="s">
        <v>3538</v>
      </c>
    </row>
    <row r="625" spans="2:8" x14ac:dyDescent="0.25">
      <c r="B625" s="1358" t="s">
        <v>6897</v>
      </c>
      <c r="C625" s="1359" t="s">
        <v>6921</v>
      </c>
      <c r="D625" s="1360">
        <v>7400</v>
      </c>
      <c r="E625" s="1361" t="s">
        <v>1707</v>
      </c>
      <c r="F625" s="1360" t="s">
        <v>266</v>
      </c>
      <c r="G625" s="1362">
        <v>773500</v>
      </c>
      <c r="H625" s="1363" t="s">
        <v>3538</v>
      </c>
    </row>
    <row r="626" spans="2:8" x14ac:dyDescent="0.25">
      <c r="B626" s="1358" t="s">
        <v>6897</v>
      </c>
      <c r="C626" s="1359" t="s">
        <v>6921</v>
      </c>
      <c r="D626" s="1360">
        <v>7401</v>
      </c>
      <c r="E626" s="1361" t="s">
        <v>1708</v>
      </c>
      <c r="F626" s="1360" t="s">
        <v>266</v>
      </c>
      <c r="G626" s="1362">
        <v>863559</v>
      </c>
      <c r="H626" s="1363" t="s">
        <v>3538</v>
      </c>
    </row>
    <row r="627" spans="2:8" x14ac:dyDescent="0.25">
      <c r="B627" s="1358" t="s">
        <v>6897</v>
      </c>
      <c r="C627" s="1359" t="s">
        <v>6921</v>
      </c>
      <c r="D627" s="1360">
        <v>7403</v>
      </c>
      <c r="E627" s="1361" t="s">
        <v>1709</v>
      </c>
      <c r="F627" s="1360" t="s">
        <v>266</v>
      </c>
      <c r="G627" s="1362">
        <v>1161351</v>
      </c>
      <c r="H627" s="1363" t="s">
        <v>3538</v>
      </c>
    </row>
    <row r="628" spans="2:8" x14ac:dyDescent="0.25">
      <c r="B628" s="1358" t="s">
        <v>6897</v>
      </c>
      <c r="C628" s="1359" t="s">
        <v>6921</v>
      </c>
      <c r="D628" s="1360">
        <v>7404</v>
      </c>
      <c r="E628" s="1361" t="s">
        <v>1710</v>
      </c>
      <c r="F628" s="1360" t="s">
        <v>266</v>
      </c>
      <c r="G628" s="1362">
        <v>1176206</v>
      </c>
      <c r="H628" s="1363" t="s">
        <v>3538</v>
      </c>
    </row>
    <row r="629" spans="2:8" x14ac:dyDescent="0.25">
      <c r="B629" s="1358" t="s">
        <v>6897</v>
      </c>
      <c r="C629" s="1359" t="s">
        <v>6921</v>
      </c>
      <c r="D629" s="1360">
        <v>7405</v>
      </c>
      <c r="E629" s="1361" t="s">
        <v>1711</v>
      </c>
      <c r="F629" s="1360" t="s">
        <v>266</v>
      </c>
      <c r="G629" s="1362">
        <v>1176206</v>
      </c>
      <c r="H629" s="1363" t="s">
        <v>3538</v>
      </c>
    </row>
    <row r="630" spans="2:8" x14ac:dyDescent="0.25">
      <c r="B630" s="1358" t="s">
        <v>6897</v>
      </c>
      <c r="C630" s="1359" t="s">
        <v>6921</v>
      </c>
      <c r="D630" s="1360">
        <v>7406</v>
      </c>
      <c r="E630" s="1361" t="s">
        <v>1712</v>
      </c>
      <c r="F630" s="1360" t="s">
        <v>266</v>
      </c>
      <c r="G630" s="1362">
        <v>1553612</v>
      </c>
      <c r="H630" s="1363" t="s">
        <v>3538</v>
      </c>
    </row>
    <row r="631" spans="2:8" x14ac:dyDescent="0.25">
      <c r="B631" s="1358" t="s">
        <v>6897</v>
      </c>
      <c r="C631" s="1359" t="s">
        <v>6908</v>
      </c>
      <c r="D631" s="1360">
        <v>7407</v>
      </c>
      <c r="E631" s="1361" t="s">
        <v>1713</v>
      </c>
      <c r="F631" s="1360" t="s">
        <v>266</v>
      </c>
      <c r="G631" s="1362">
        <v>38995</v>
      </c>
      <c r="H631" s="1363" t="s">
        <v>3538</v>
      </c>
    </row>
    <row r="632" spans="2:8" x14ac:dyDescent="0.25">
      <c r="B632" s="1358" t="s">
        <v>6897</v>
      </c>
      <c r="C632" s="1359" t="s">
        <v>6908</v>
      </c>
      <c r="D632" s="1360">
        <v>7409</v>
      </c>
      <c r="E632" s="1361" t="s">
        <v>1714</v>
      </c>
      <c r="F632" s="1360" t="s">
        <v>266</v>
      </c>
      <c r="G632" s="1362">
        <v>62113</v>
      </c>
      <c r="H632" s="1363" t="s">
        <v>3538</v>
      </c>
    </row>
    <row r="633" spans="2:8" x14ac:dyDescent="0.25">
      <c r="B633" s="1358" t="s">
        <v>6897</v>
      </c>
      <c r="C633" s="1359" t="s">
        <v>6908</v>
      </c>
      <c r="D633" s="1360">
        <v>7410</v>
      </c>
      <c r="E633" s="1361" t="s">
        <v>1715</v>
      </c>
      <c r="F633" s="1360" t="s">
        <v>266</v>
      </c>
      <c r="G633" s="1362">
        <v>95432</v>
      </c>
      <c r="H633" s="1363" t="s">
        <v>3538</v>
      </c>
    </row>
    <row r="634" spans="2:8" x14ac:dyDescent="0.25">
      <c r="B634" s="1358" t="s">
        <v>6897</v>
      </c>
      <c r="C634" s="1359" t="s">
        <v>6908</v>
      </c>
      <c r="D634" s="1360">
        <v>7411</v>
      </c>
      <c r="E634" s="1361" t="s">
        <v>1716</v>
      </c>
      <c r="F634" s="1360" t="s">
        <v>266</v>
      </c>
      <c r="G634" s="1362">
        <v>694016</v>
      </c>
      <c r="H634" s="1363" t="s">
        <v>3538</v>
      </c>
    </row>
    <row r="635" spans="2:8" x14ac:dyDescent="0.25">
      <c r="B635" s="1358" t="s">
        <v>6897</v>
      </c>
      <c r="C635" s="1359" t="s">
        <v>6921</v>
      </c>
      <c r="D635" s="1360">
        <v>7412</v>
      </c>
      <c r="E635" s="1361" t="s">
        <v>1717</v>
      </c>
      <c r="F635" s="1360" t="s">
        <v>266</v>
      </c>
      <c r="G635" s="1362">
        <v>172550</v>
      </c>
      <c r="H635" s="1363" t="s">
        <v>3538</v>
      </c>
    </row>
    <row r="636" spans="2:8" x14ac:dyDescent="0.25">
      <c r="B636" s="1358" t="s">
        <v>6897</v>
      </c>
      <c r="C636" s="1359" t="s">
        <v>6921</v>
      </c>
      <c r="D636" s="1360">
        <v>7413</v>
      </c>
      <c r="E636" s="1361" t="s">
        <v>1718</v>
      </c>
      <c r="F636" s="1360" t="s">
        <v>266</v>
      </c>
      <c r="G636" s="1362">
        <v>191590</v>
      </c>
      <c r="H636" s="1363" t="s">
        <v>3538</v>
      </c>
    </row>
    <row r="637" spans="2:8" x14ac:dyDescent="0.25">
      <c r="B637" s="1358" t="s">
        <v>6897</v>
      </c>
      <c r="C637" s="1359" t="s">
        <v>6921</v>
      </c>
      <c r="D637" s="1360">
        <v>7414</v>
      </c>
      <c r="E637" s="1361" t="s">
        <v>1719</v>
      </c>
      <c r="F637" s="1360" t="s">
        <v>266</v>
      </c>
      <c r="G637" s="1362">
        <v>339675</v>
      </c>
      <c r="H637" s="1363" t="s">
        <v>3538</v>
      </c>
    </row>
    <row r="638" spans="2:8" x14ac:dyDescent="0.25">
      <c r="B638" s="1358" t="s">
        <v>6897</v>
      </c>
      <c r="C638" s="1359" t="s">
        <v>6921</v>
      </c>
      <c r="D638" s="1360">
        <v>7415</v>
      </c>
      <c r="E638" s="1361" t="s">
        <v>1720</v>
      </c>
      <c r="F638" s="1360" t="s">
        <v>266</v>
      </c>
      <c r="G638" s="1362">
        <v>523600</v>
      </c>
      <c r="H638" s="1363" t="s">
        <v>3538</v>
      </c>
    </row>
    <row r="639" spans="2:8" x14ac:dyDescent="0.25">
      <c r="B639" s="1358" t="s">
        <v>6897</v>
      </c>
      <c r="C639" s="1359" t="s">
        <v>6921</v>
      </c>
      <c r="D639" s="1360">
        <v>7416</v>
      </c>
      <c r="E639" s="1361" t="s">
        <v>1721</v>
      </c>
      <c r="F639" s="1360" t="s">
        <v>266</v>
      </c>
      <c r="G639" s="1362">
        <v>860370</v>
      </c>
      <c r="H639" s="1363" t="s">
        <v>3538</v>
      </c>
    </row>
    <row r="640" spans="2:8" x14ac:dyDescent="0.25">
      <c r="B640" s="1358" t="s">
        <v>6897</v>
      </c>
      <c r="C640" s="1359" t="s">
        <v>6921</v>
      </c>
      <c r="D640" s="1360">
        <v>7417</v>
      </c>
      <c r="E640" s="1361" t="s">
        <v>1722</v>
      </c>
      <c r="F640" s="1360" t="s">
        <v>266</v>
      </c>
      <c r="G640" s="1362">
        <v>927268</v>
      </c>
      <c r="H640" s="1363" t="s">
        <v>3538</v>
      </c>
    </row>
    <row r="641" spans="2:8" x14ac:dyDescent="0.25">
      <c r="B641" s="1358" t="s">
        <v>6897</v>
      </c>
      <c r="C641" s="1359" t="s">
        <v>6913</v>
      </c>
      <c r="D641" s="1360">
        <v>7418</v>
      </c>
      <c r="E641" s="1361" t="s">
        <v>1723</v>
      </c>
      <c r="F641" s="1360" t="s">
        <v>677</v>
      </c>
      <c r="G641" s="1362">
        <v>162000</v>
      </c>
      <c r="H641" s="1363" t="s">
        <v>3548</v>
      </c>
    </row>
    <row r="642" spans="2:8" x14ac:dyDescent="0.25">
      <c r="B642" s="1358" t="s">
        <v>6897</v>
      </c>
      <c r="C642" s="1359" t="s">
        <v>6898</v>
      </c>
      <c r="D642" s="1360">
        <v>7419</v>
      </c>
      <c r="E642" s="1361" t="s">
        <v>1724</v>
      </c>
      <c r="F642" s="1360" t="s">
        <v>3</v>
      </c>
      <c r="G642" s="1362">
        <v>610042</v>
      </c>
      <c r="H642" s="1363" t="s">
        <v>6899</v>
      </c>
    </row>
    <row r="643" spans="2:8" x14ac:dyDescent="0.25">
      <c r="B643" s="1358" t="s">
        <v>6897</v>
      </c>
      <c r="C643" s="1359" t="s">
        <v>6898</v>
      </c>
      <c r="D643" s="1360">
        <v>7420</v>
      </c>
      <c r="E643" s="1361" t="s">
        <v>1725</v>
      </c>
      <c r="F643" s="1360" t="s">
        <v>3</v>
      </c>
      <c r="G643" s="1362">
        <v>609512</v>
      </c>
      <c r="H643" s="1363" t="s">
        <v>6899</v>
      </c>
    </row>
    <row r="644" spans="2:8" x14ac:dyDescent="0.25">
      <c r="B644" s="1358" t="s">
        <v>6897</v>
      </c>
      <c r="C644" s="1359" t="s">
        <v>6898</v>
      </c>
      <c r="D644" s="1360">
        <v>7421</v>
      </c>
      <c r="E644" s="1361" t="s">
        <v>1726</v>
      </c>
      <c r="F644" s="1360" t="s">
        <v>3</v>
      </c>
      <c r="G644" s="1362">
        <v>644462</v>
      </c>
      <c r="H644" s="1363" t="s">
        <v>6899</v>
      </c>
    </row>
    <row r="645" spans="2:8" x14ac:dyDescent="0.25">
      <c r="B645" s="1358" t="s">
        <v>6897</v>
      </c>
      <c r="C645" s="1359" t="s">
        <v>6898</v>
      </c>
      <c r="D645" s="1360">
        <v>7422</v>
      </c>
      <c r="E645" s="1361" t="s">
        <v>1727</v>
      </c>
      <c r="F645" s="1360" t="s">
        <v>3</v>
      </c>
      <c r="G645" s="1362">
        <v>679413</v>
      </c>
      <c r="H645" s="1363" t="s">
        <v>6899</v>
      </c>
    </row>
    <row r="646" spans="2:8" x14ac:dyDescent="0.25">
      <c r="B646" s="1358" t="s">
        <v>6897</v>
      </c>
      <c r="C646" s="1359" t="s">
        <v>6903</v>
      </c>
      <c r="D646" s="1360">
        <v>7423</v>
      </c>
      <c r="E646" s="1361" t="s">
        <v>1728</v>
      </c>
      <c r="F646" s="1360" t="s">
        <v>6</v>
      </c>
      <c r="G646" s="1362">
        <v>706</v>
      </c>
      <c r="H646" s="1363" t="s">
        <v>6899</v>
      </c>
    </row>
    <row r="647" spans="2:8" x14ac:dyDescent="0.25">
      <c r="B647" s="1358" t="s">
        <v>6897</v>
      </c>
      <c r="C647" s="1359" t="s">
        <v>1474</v>
      </c>
      <c r="D647" s="1360">
        <v>7426</v>
      </c>
      <c r="E647" s="1361" t="s">
        <v>1729</v>
      </c>
      <c r="F647" s="1360" t="s">
        <v>13</v>
      </c>
      <c r="G647" s="1362">
        <v>46865</v>
      </c>
      <c r="H647" s="1363" t="s">
        <v>6899</v>
      </c>
    </row>
    <row r="648" spans="2:8" x14ac:dyDescent="0.25">
      <c r="B648" s="1358" t="s">
        <v>6897</v>
      </c>
      <c r="C648" s="1359" t="s">
        <v>1474</v>
      </c>
      <c r="D648" s="1360">
        <v>7427</v>
      </c>
      <c r="E648" s="1361" t="s">
        <v>1730</v>
      </c>
      <c r="F648" s="1360" t="s">
        <v>13</v>
      </c>
      <c r="G648" s="1362">
        <v>85275</v>
      </c>
      <c r="H648" s="1363" t="s">
        <v>6899</v>
      </c>
    </row>
    <row r="649" spans="2:8" x14ac:dyDescent="0.25">
      <c r="B649" s="1358" t="s">
        <v>6897</v>
      </c>
      <c r="C649" s="1359" t="s">
        <v>1474</v>
      </c>
      <c r="D649" s="1360">
        <v>7428</v>
      </c>
      <c r="E649" s="1361" t="s">
        <v>1731</v>
      </c>
      <c r="F649" s="1360" t="s">
        <v>13</v>
      </c>
      <c r="G649" s="1362">
        <v>49636</v>
      </c>
      <c r="H649" s="1363" t="s">
        <v>6899</v>
      </c>
    </row>
    <row r="650" spans="2:8" x14ac:dyDescent="0.25">
      <c r="B650" s="1358" t="s">
        <v>6897</v>
      </c>
      <c r="C650" s="1359" t="s">
        <v>1474</v>
      </c>
      <c r="D650" s="1360">
        <v>7429</v>
      </c>
      <c r="E650" s="1361" t="s">
        <v>1732</v>
      </c>
      <c r="F650" s="1360" t="s">
        <v>13</v>
      </c>
      <c r="G650" s="1362">
        <v>71624</v>
      </c>
      <c r="H650" s="1363" t="s">
        <v>6899</v>
      </c>
    </row>
    <row r="651" spans="2:8" x14ac:dyDescent="0.25">
      <c r="B651" s="1358" t="s">
        <v>6897</v>
      </c>
      <c r="C651" s="1359" t="s">
        <v>1474</v>
      </c>
      <c r="D651" s="1360">
        <v>7430</v>
      </c>
      <c r="E651" s="1361" t="s">
        <v>1733</v>
      </c>
      <c r="F651" s="1360" t="s">
        <v>13</v>
      </c>
      <c r="G651" s="1362">
        <v>117258</v>
      </c>
      <c r="H651" s="1363" t="s">
        <v>6899</v>
      </c>
    </row>
    <row r="652" spans="2:8" x14ac:dyDescent="0.25">
      <c r="B652" s="1358" t="s">
        <v>6897</v>
      </c>
      <c r="C652" s="1359" t="s">
        <v>6931</v>
      </c>
      <c r="D652" s="1360">
        <v>7434</v>
      </c>
      <c r="E652" s="1361" t="s">
        <v>1734</v>
      </c>
      <c r="F652" s="1360" t="s">
        <v>266</v>
      </c>
      <c r="G652" s="1362">
        <v>535000</v>
      </c>
      <c r="H652" s="1363" t="s">
        <v>3538</v>
      </c>
    </row>
    <row r="653" spans="2:8" x14ac:dyDescent="0.25">
      <c r="B653" s="1358" t="s">
        <v>6897</v>
      </c>
      <c r="C653" s="1359" t="s">
        <v>6912</v>
      </c>
      <c r="D653" s="1360">
        <v>7436</v>
      </c>
      <c r="E653" s="1361" t="s">
        <v>1735</v>
      </c>
      <c r="F653" s="1360" t="s">
        <v>1124</v>
      </c>
      <c r="G653" s="1362">
        <v>63046</v>
      </c>
      <c r="H653" s="1363" t="s">
        <v>6899</v>
      </c>
    </row>
    <row r="654" spans="2:8" x14ac:dyDescent="0.25">
      <c r="B654" s="1358" t="s">
        <v>6897</v>
      </c>
      <c r="C654" s="1359" t="s">
        <v>6912</v>
      </c>
      <c r="D654" s="1360">
        <v>7437</v>
      </c>
      <c r="E654" s="1361" t="s">
        <v>6932</v>
      </c>
      <c r="F654" s="1360" t="s">
        <v>1124</v>
      </c>
      <c r="G654" s="1362">
        <v>54734</v>
      </c>
      <c r="H654" s="1363" t="s">
        <v>6899</v>
      </c>
    </row>
    <row r="655" spans="2:8" x14ac:dyDescent="0.25">
      <c r="B655" s="1358" t="s">
        <v>6897</v>
      </c>
      <c r="C655" s="1359" t="s">
        <v>6900</v>
      </c>
      <c r="D655" s="1360">
        <v>7438</v>
      </c>
      <c r="E655" s="1361" t="s">
        <v>3569</v>
      </c>
      <c r="F655" s="1360" t="s">
        <v>1124</v>
      </c>
      <c r="G655" s="1362">
        <v>462602</v>
      </c>
      <c r="H655" s="1363" t="s">
        <v>6899</v>
      </c>
    </row>
    <row r="656" spans="2:8" x14ac:dyDescent="0.25">
      <c r="B656" s="1358" t="s">
        <v>6897</v>
      </c>
      <c r="C656" s="1359" t="s">
        <v>6912</v>
      </c>
      <c r="D656" s="1360">
        <v>7439</v>
      </c>
      <c r="E656" s="1361" t="s">
        <v>3570</v>
      </c>
      <c r="F656" s="1360" t="s">
        <v>202</v>
      </c>
      <c r="G656" s="1362">
        <v>5950</v>
      </c>
      <c r="H656" s="1363" t="s">
        <v>6899</v>
      </c>
    </row>
    <row r="657" spans="2:8" x14ac:dyDescent="0.25">
      <c r="B657" s="1358" t="s">
        <v>6897</v>
      </c>
      <c r="C657" s="1359" t="s">
        <v>6927</v>
      </c>
      <c r="D657" s="1360">
        <v>7442</v>
      </c>
      <c r="E657" s="1361" t="s">
        <v>1736</v>
      </c>
      <c r="F657" s="1360" t="s">
        <v>13</v>
      </c>
      <c r="G657" s="1362">
        <v>1571</v>
      </c>
      <c r="H657" s="1363" t="s">
        <v>6899</v>
      </c>
    </row>
    <row r="658" spans="2:8" x14ac:dyDescent="0.25">
      <c r="B658" s="1358" t="s">
        <v>6897</v>
      </c>
      <c r="C658" s="1359" t="s">
        <v>6927</v>
      </c>
      <c r="D658" s="1360">
        <v>7443</v>
      </c>
      <c r="E658" s="1361" t="s">
        <v>1737</v>
      </c>
      <c r="F658" s="1360" t="s">
        <v>13</v>
      </c>
      <c r="G658" s="1362">
        <v>3123</v>
      </c>
      <c r="H658" s="1363" t="s">
        <v>6899</v>
      </c>
    </row>
    <row r="659" spans="2:8" x14ac:dyDescent="0.25">
      <c r="B659" s="1358" t="s">
        <v>6897</v>
      </c>
      <c r="C659" s="1359" t="s">
        <v>6916</v>
      </c>
      <c r="D659" s="1360">
        <v>7444</v>
      </c>
      <c r="E659" s="1361" t="s">
        <v>1738</v>
      </c>
      <c r="F659" s="1360" t="s">
        <v>13</v>
      </c>
      <c r="G659" s="1362">
        <v>12197</v>
      </c>
      <c r="H659" s="1363" t="s">
        <v>3538</v>
      </c>
    </row>
    <row r="660" spans="2:8" x14ac:dyDescent="0.25">
      <c r="B660" s="1358" t="s">
        <v>6897</v>
      </c>
      <c r="C660" s="1359" t="s">
        <v>6921</v>
      </c>
      <c r="D660" s="1360">
        <v>7445</v>
      </c>
      <c r="E660" s="1361" t="s">
        <v>1739</v>
      </c>
      <c r="F660" s="1360" t="s">
        <v>266</v>
      </c>
      <c r="G660" s="1362">
        <v>258108</v>
      </c>
      <c r="H660" s="1363" t="s">
        <v>3538</v>
      </c>
    </row>
    <row r="661" spans="2:8" x14ac:dyDescent="0.25">
      <c r="B661" s="1358" t="s">
        <v>6897</v>
      </c>
      <c r="C661" s="1359" t="s">
        <v>6921</v>
      </c>
      <c r="D661" s="1360">
        <v>7446</v>
      </c>
      <c r="E661" s="1361" t="s">
        <v>1740</v>
      </c>
      <c r="F661" s="1360" t="s">
        <v>266</v>
      </c>
      <c r="G661" s="1362">
        <v>464100</v>
      </c>
      <c r="H661" s="1363" t="s">
        <v>3538</v>
      </c>
    </row>
    <row r="662" spans="2:8" x14ac:dyDescent="0.25">
      <c r="B662" s="1358" t="s">
        <v>6897</v>
      </c>
      <c r="C662" s="1359" t="s">
        <v>6921</v>
      </c>
      <c r="D662" s="1360">
        <v>7448</v>
      </c>
      <c r="E662" s="1361" t="s">
        <v>1741</v>
      </c>
      <c r="F662" s="1360" t="s">
        <v>266</v>
      </c>
      <c r="G662" s="1362">
        <v>779365</v>
      </c>
      <c r="H662" s="1363" t="s">
        <v>3538</v>
      </c>
    </row>
    <row r="663" spans="2:8" x14ac:dyDescent="0.25">
      <c r="B663" s="1358" t="s">
        <v>6897</v>
      </c>
      <c r="C663" s="1359" t="s">
        <v>6903</v>
      </c>
      <c r="D663" s="1360">
        <v>7451</v>
      </c>
      <c r="E663" s="1361" t="s">
        <v>1742</v>
      </c>
      <c r="F663" s="1360" t="s">
        <v>6</v>
      </c>
      <c r="G663" s="1362">
        <v>4701</v>
      </c>
      <c r="H663" s="1363" t="s">
        <v>6899</v>
      </c>
    </row>
    <row r="664" spans="2:8" x14ac:dyDescent="0.25">
      <c r="B664" s="1358" t="s">
        <v>6897</v>
      </c>
      <c r="C664" s="1359" t="s">
        <v>6903</v>
      </c>
      <c r="D664" s="1360">
        <v>7452</v>
      </c>
      <c r="E664" s="1361" t="s">
        <v>1743</v>
      </c>
      <c r="F664" s="1360" t="s">
        <v>6</v>
      </c>
      <c r="G664" s="1362">
        <v>4939</v>
      </c>
      <c r="H664" s="1363" t="s">
        <v>6899</v>
      </c>
    </row>
    <row r="665" spans="2:8" x14ac:dyDescent="0.25">
      <c r="B665" s="1358" t="s">
        <v>6897</v>
      </c>
      <c r="C665" s="1359" t="s">
        <v>6921</v>
      </c>
      <c r="D665" s="1360">
        <v>7453</v>
      </c>
      <c r="E665" s="1361" t="s">
        <v>1744</v>
      </c>
      <c r="F665" s="1360" t="s">
        <v>266</v>
      </c>
      <c r="G665" s="1362">
        <v>155890</v>
      </c>
      <c r="H665" s="1363" t="s">
        <v>3538</v>
      </c>
    </row>
    <row r="666" spans="2:8" x14ac:dyDescent="0.25">
      <c r="B666" s="1358" t="s">
        <v>6897</v>
      </c>
      <c r="C666" s="1359" t="s">
        <v>6921</v>
      </c>
      <c r="D666" s="1360">
        <v>7455</v>
      </c>
      <c r="E666" s="1361" t="s">
        <v>1745</v>
      </c>
      <c r="F666" s="1360" t="s">
        <v>266</v>
      </c>
      <c r="G666" s="1362">
        <v>618800</v>
      </c>
      <c r="H666" s="1363" t="s">
        <v>3538</v>
      </c>
    </row>
    <row r="667" spans="2:8" x14ac:dyDescent="0.25">
      <c r="B667" s="1358" t="s">
        <v>6897</v>
      </c>
      <c r="C667" s="1359" t="s">
        <v>6910</v>
      </c>
      <c r="D667" s="1360">
        <v>7457</v>
      </c>
      <c r="E667" s="1361" t="s">
        <v>6933</v>
      </c>
      <c r="F667" s="1360" t="s">
        <v>13</v>
      </c>
      <c r="G667" s="1362">
        <v>28383</v>
      </c>
      <c r="H667" s="1363" t="s">
        <v>6899</v>
      </c>
    </row>
    <row r="668" spans="2:8" x14ac:dyDescent="0.25">
      <c r="B668" s="1358" t="s">
        <v>6897</v>
      </c>
      <c r="C668" s="1359" t="s">
        <v>6910</v>
      </c>
      <c r="D668" s="1360">
        <v>7458</v>
      </c>
      <c r="E668" s="1361" t="s">
        <v>6934</v>
      </c>
      <c r="F668" s="1360" t="s">
        <v>13</v>
      </c>
      <c r="G668" s="1362">
        <v>44783</v>
      </c>
      <c r="H668" s="1363" t="s">
        <v>6899</v>
      </c>
    </row>
    <row r="669" spans="2:8" x14ac:dyDescent="0.25">
      <c r="B669" s="1358" t="s">
        <v>6897</v>
      </c>
      <c r="C669" s="1359" t="s">
        <v>6910</v>
      </c>
      <c r="D669" s="1360">
        <v>7460</v>
      </c>
      <c r="E669" s="1361" t="s">
        <v>6935</v>
      </c>
      <c r="F669" s="1360" t="s">
        <v>13</v>
      </c>
      <c r="G669" s="1362">
        <v>39417</v>
      </c>
      <c r="H669" s="1363" t="s">
        <v>6899</v>
      </c>
    </row>
    <row r="670" spans="2:8" x14ac:dyDescent="0.25">
      <c r="B670" s="1358" t="s">
        <v>6897</v>
      </c>
      <c r="C670" s="1359" t="s">
        <v>6905</v>
      </c>
      <c r="D670" s="1360">
        <v>7461</v>
      </c>
      <c r="E670" s="1361" t="s">
        <v>1746</v>
      </c>
      <c r="F670" s="1360" t="s">
        <v>3</v>
      </c>
      <c r="G670" s="1362">
        <v>89049</v>
      </c>
      <c r="H670" s="1363" t="s">
        <v>6899</v>
      </c>
    </row>
    <row r="671" spans="2:8" x14ac:dyDescent="0.25">
      <c r="B671" s="1358" t="s">
        <v>6897</v>
      </c>
      <c r="C671" s="1359" t="s">
        <v>6925</v>
      </c>
      <c r="D671" s="1360">
        <v>7462</v>
      </c>
      <c r="E671" s="1361" t="s">
        <v>1747</v>
      </c>
      <c r="F671" s="1360" t="s">
        <v>812</v>
      </c>
      <c r="G671" s="1362">
        <v>1760</v>
      </c>
      <c r="H671" s="1363" t="s">
        <v>6899</v>
      </c>
    </row>
    <row r="672" spans="2:8" x14ac:dyDescent="0.25">
      <c r="B672" s="1358" t="s">
        <v>6897</v>
      </c>
      <c r="C672" s="1359" t="s">
        <v>1474</v>
      </c>
      <c r="D672" s="1360">
        <v>7463</v>
      </c>
      <c r="E672" s="1361" t="s">
        <v>1748</v>
      </c>
      <c r="F672" s="1360" t="s">
        <v>12</v>
      </c>
      <c r="G672" s="1362">
        <v>3695</v>
      </c>
      <c r="H672" s="1363" t="s">
        <v>6899</v>
      </c>
    </row>
    <row r="673" spans="2:8" x14ac:dyDescent="0.25">
      <c r="B673" s="1358" t="s">
        <v>6897</v>
      </c>
      <c r="C673" s="1359" t="s">
        <v>1474</v>
      </c>
      <c r="D673" s="1360">
        <v>7464</v>
      </c>
      <c r="E673" s="1361" t="s">
        <v>1749</v>
      </c>
      <c r="F673" s="1360" t="s">
        <v>12</v>
      </c>
      <c r="G673" s="1362">
        <v>4756</v>
      </c>
      <c r="H673" s="1363" t="s">
        <v>6899</v>
      </c>
    </row>
    <row r="674" spans="2:8" x14ac:dyDescent="0.25">
      <c r="B674" s="1358" t="s">
        <v>6897</v>
      </c>
      <c r="C674" s="1359" t="s">
        <v>1474</v>
      </c>
      <c r="D674" s="1360">
        <v>7465</v>
      </c>
      <c r="E674" s="1361" t="s">
        <v>1750</v>
      </c>
      <c r="F674" s="1360" t="s">
        <v>12</v>
      </c>
      <c r="G674" s="1362">
        <v>5242</v>
      </c>
      <c r="H674" s="1363" t="s">
        <v>6899</v>
      </c>
    </row>
    <row r="675" spans="2:8" x14ac:dyDescent="0.25">
      <c r="B675" s="1358" t="s">
        <v>6897</v>
      </c>
      <c r="C675" s="1359" t="s">
        <v>1474</v>
      </c>
      <c r="D675" s="1360">
        <v>7466</v>
      </c>
      <c r="E675" s="1361" t="s">
        <v>1751</v>
      </c>
      <c r="F675" s="1360" t="s">
        <v>12</v>
      </c>
      <c r="G675" s="1362">
        <v>5888</v>
      </c>
      <c r="H675" s="1363" t="s">
        <v>6899</v>
      </c>
    </row>
    <row r="676" spans="2:8" x14ac:dyDescent="0.25">
      <c r="B676" s="1358" t="s">
        <v>6897</v>
      </c>
      <c r="C676" s="1359" t="s">
        <v>1474</v>
      </c>
      <c r="D676" s="1360">
        <v>7467</v>
      </c>
      <c r="E676" s="1361" t="s">
        <v>1752</v>
      </c>
      <c r="F676" s="1360" t="s">
        <v>12</v>
      </c>
      <c r="G676" s="1362">
        <v>4578</v>
      </c>
      <c r="H676" s="1363" t="s">
        <v>6899</v>
      </c>
    </row>
    <row r="677" spans="2:8" x14ac:dyDescent="0.25">
      <c r="B677" s="1358" t="s">
        <v>6897</v>
      </c>
      <c r="C677" s="1359" t="s">
        <v>1474</v>
      </c>
      <c r="D677" s="1360">
        <v>7468</v>
      </c>
      <c r="E677" s="1361" t="s">
        <v>1753</v>
      </c>
      <c r="F677" s="1360" t="s">
        <v>12</v>
      </c>
      <c r="G677" s="1362">
        <v>4665</v>
      </c>
      <c r="H677" s="1363" t="s">
        <v>6899</v>
      </c>
    </row>
    <row r="678" spans="2:8" x14ac:dyDescent="0.25">
      <c r="B678" s="1358" t="s">
        <v>6897</v>
      </c>
      <c r="C678" s="1359" t="s">
        <v>6936</v>
      </c>
      <c r="D678" s="1360">
        <v>7471</v>
      </c>
      <c r="E678" s="1361" t="s">
        <v>3571</v>
      </c>
      <c r="F678" s="1360" t="s">
        <v>266</v>
      </c>
      <c r="G678" s="1362">
        <v>90000</v>
      </c>
      <c r="H678" s="1363" t="s">
        <v>6899</v>
      </c>
    </row>
    <row r="679" spans="2:8" x14ac:dyDescent="0.25">
      <c r="B679" s="1358" t="s">
        <v>6897</v>
      </c>
      <c r="C679" s="1359" t="s">
        <v>6936</v>
      </c>
      <c r="D679" s="1360">
        <v>7472</v>
      </c>
      <c r="E679" s="1361" t="s">
        <v>3572</v>
      </c>
      <c r="F679" s="1360" t="s">
        <v>266</v>
      </c>
      <c r="G679" s="1362">
        <v>70210</v>
      </c>
      <c r="H679" s="1363" t="s">
        <v>6899</v>
      </c>
    </row>
    <row r="680" spans="2:8" x14ac:dyDescent="0.25">
      <c r="B680" s="1358" t="s">
        <v>6897</v>
      </c>
      <c r="C680" s="1359" t="s">
        <v>6937</v>
      </c>
      <c r="D680" s="1360">
        <v>7482</v>
      </c>
      <c r="E680" s="1361" t="s">
        <v>3573</v>
      </c>
      <c r="F680" s="1360" t="s">
        <v>266</v>
      </c>
      <c r="G680" s="1362">
        <v>117215</v>
      </c>
      <c r="H680" s="1363" t="s">
        <v>6899</v>
      </c>
    </row>
    <row r="681" spans="2:8" x14ac:dyDescent="0.25">
      <c r="B681" s="1358" t="s">
        <v>6897</v>
      </c>
      <c r="C681" s="1359" t="s">
        <v>6938</v>
      </c>
      <c r="D681" s="1360">
        <v>7485</v>
      </c>
      <c r="E681" s="1361" t="s">
        <v>3574</v>
      </c>
      <c r="F681" s="1360" t="s">
        <v>266</v>
      </c>
      <c r="G681" s="1362">
        <v>141372</v>
      </c>
      <c r="H681" s="1363" t="s">
        <v>6899</v>
      </c>
    </row>
    <row r="682" spans="2:8" x14ac:dyDescent="0.25">
      <c r="B682" s="1358" t="s">
        <v>6897</v>
      </c>
      <c r="C682" s="1359" t="s">
        <v>6938</v>
      </c>
      <c r="D682" s="1360">
        <v>7487</v>
      </c>
      <c r="E682" s="1361" t="s">
        <v>3575</v>
      </c>
      <c r="F682" s="1360" t="s">
        <v>266</v>
      </c>
      <c r="G682" s="1362">
        <v>179928</v>
      </c>
      <c r="H682" s="1363" t="s">
        <v>6899</v>
      </c>
    </row>
    <row r="683" spans="2:8" x14ac:dyDescent="0.25">
      <c r="B683" s="1358" t="s">
        <v>6897</v>
      </c>
      <c r="C683" s="1359" t="s">
        <v>6937</v>
      </c>
      <c r="D683" s="1360">
        <v>7488</v>
      </c>
      <c r="E683" s="1361" t="s">
        <v>3576</v>
      </c>
      <c r="F683" s="1360" t="s">
        <v>266</v>
      </c>
      <c r="G683" s="1362">
        <v>10282</v>
      </c>
      <c r="H683" s="1363" t="s">
        <v>6899</v>
      </c>
    </row>
    <row r="684" spans="2:8" x14ac:dyDescent="0.25">
      <c r="B684" s="1358" t="s">
        <v>6897</v>
      </c>
      <c r="C684" s="1359" t="s">
        <v>6937</v>
      </c>
      <c r="D684" s="1360">
        <v>7489</v>
      </c>
      <c r="E684" s="1361" t="s">
        <v>3577</v>
      </c>
      <c r="F684" s="1360" t="s">
        <v>266</v>
      </c>
      <c r="G684" s="1362">
        <v>35700</v>
      </c>
      <c r="H684" s="1363" t="s">
        <v>6899</v>
      </c>
    </row>
    <row r="685" spans="2:8" x14ac:dyDescent="0.25">
      <c r="B685" s="1358" t="s">
        <v>6897</v>
      </c>
      <c r="C685" s="1359" t="s">
        <v>6937</v>
      </c>
      <c r="D685" s="1360">
        <v>7490</v>
      </c>
      <c r="E685" s="1361" t="s">
        <v>3578</v>
      </c>
      <c r="F685" s="1360" t="s">
        <v>266</v>
      </c>
      <c r="G685" s="1362">
        <v>148750</v>
      </c>
      <c r="H685" s="1363" t="s">
        <v>6899</v>
      </c>
    </row>
    <row r="686" spans="2:8" x14ac:dyDescent="0.25">
      <c r="B686" s="1358" t="s">
        <v>6897</v>
      </c>
      <c r="C686" s="1359" t="s">
        <v>6938</v>
      </c>
      <c r="D686" s="1360">
        <v>7493</v>
      </c>
      <c r="E686" s="1361" t="s">
        <v>3579</v>
      </c>
      <c r="F686" s="1360" t="s">
        <v>266</v>
      </c>
      <c r="G686" s="1362">
        <v>47600</v>
      </c>
      <c r="H686" s="1363" t="s">
        <v>6899</v>
      </c>
    </row>
    <row r="687" spans="2:8" x14ac:dyDescent="0.25">
      <c r="B687" s="1358" t="s">
        <v>6897</v>
      </c>
      <c r="C687" s="1359" t="s">
        <v>6937</v>
      </c>
      <c r="D687" s="1360">
        <v>7494</v>
      </c>
      <c r="E687" s="1361" t="s">
        <v>3580</v>
      </c>
      <c r="F687" s="1360" t="s">
        <v>266</v>
      </c>
      <c r="G687" s="1362">
        <v>53978</v>
      </c>
      <c r="H687" s="1363" t="s">
        <v>6899</v>
      </c>
    </row>
    <row r="688" spans="2:8" x14ac:dyDescent="0.25">
      <c r="B688" s="1358" t="s">
        <v>6897</v>
      </c>
      <c r="C688" s="1359" t="s">
        <v>6937</v>
      </c>
      <c r="D688" s="1360">
        <v>7496</v>
      </c>
      <c r="E688" s="1361" t="s">
        <v>3581</v>
      </c>
      <c r="F688" s="1360" t="s">
        <v>266</v>
      </c>
      <c r="G688" s="1362">
        <v>83300</v>
      </c>
      <c r="H688" s="1363" t="s">
        <v>6899</v>
      </c>
    </row>
    <row r="689" spans="2:8" x14ac:dyDescent="0.25">
      <c r="B689" s="1358" t="s">
        <v>6897</v>
      </c>
      <c r="C689" s="1359" t="s">
        <v>6937</v>
      </c>
      <c r="D689" s="1360">
        <v>7497</v>
      </c>
      <c r="E689" s="1361" t="s">
        <v>3582</v>
      </c>
      <c r="F689" s="1360" t="s">
        <v>266</v>
      </c>
      <c r="G689" s="1362">
        <v>65450</v>
      </c>
      <c r="H689" s="1363" t="s">
        <v>6899</v>
      </c>
    </row>
    <row r="690" spans="2:8" x14ac:dyDescent="0.25">
      <c r="B690" s="1358" t="s">
        <v>6897</v>
      </c>
      <c r="C690" s="1359" t="s">
        <v>6937</v>
      </c>
      <c r="D690" s="1360">
        <v>7501</v>
      </c>
      <c r="E690" s="1361" t="s">
        <v>3583</v>
      </c>
      <c r="F690" s="1360" t="s">
        <v>266</v>
      </c>
      <c r="G690" s="1362">
        <v>308448</v>
      </c>
      <c r="H690" s="1363" t="s">
        <v>6899</v>
      </c>
    </row>
    <row r="691" spans="2:8" x14ac:dyDescent="0.25">
      <c r="B691" s="1358" t="s">
        <v>6897</v>
      </c>
      <c r="C691" s="1359" t="s">
        <v>6937</v>
      </c>
      <c r="D691" s="1360">
        <v>7502</v>
      </c>
      <c r="E691" s="1361" t="s">
        <v>3584</v>
      </c>
      <c r="F691" s="1360" t="s">
        <v>266</v>
      </c>
      <c r="G691" s="1362">
        <v>737800</v>
      </c>
      <c r="H691" s="1363" t="s">
        <v>6899</v>
      </c>
    </row>
    <row r="692" spans="2:8" x14ac:dyDescent="0.25">
      <c r="B692" s="1358" t="s">
        <v>6897</v>
      </c>
      <c r="C692" s="1359" t="s">
        <v>6937</v>
      </c>
      <c r="D692" s="1360">
        <v>7503</v>
      </c>
      <c r="E692" s="1361" t="s">
        <v>3585</v>
      </c>
      <c r="F692" s="1360" t="s">
        <v>266</v>
      </c>
      <c r="G692" s="1362">
        <v>761600</v>
      </c>
      <c r="H692" s="1363" t="s">
        <v>6899</v>
      </c>
    </row>
    <row r="693" spans="2:8" x14ac:dyDescent="0.25">
      <c r="B693" s="1358" t="s">
        <v>6897</v>
      </c>
      <c r="C693" s="1359" t="s">
        <v>6937</v>
      </c>
      <c r="D693" s="1360">
        <v>7511</v>
      </c>
      <c r="E693" s="1361" t="s">
        <v>3586</v>
      </c>
      <c r="F693" s="1360" t="s">
        <v>266</v>
      </c>
      <c r="G693" s="1362">
        <v>311780</v>
      </c>
      <c r="H693" s="1363" t="s">
        <v>6899</v>
      </c>
    </row>
    <row r="694" spans="2:8" x14ac:dyDescent="0.25">
      <c r="B694" s="1358" t="s">
        <v>6897</v>
      </c>
      <c r="C694" s="1359" t="s">
        <v>6937</v>
      </c>
      <c r="D694" s="1360">
        <v>7520</v>
      </c>
      <c r="E694" s="1361" t="s">
        <v>3587</v>
      </c>
      <c r="F694" s="1360" t="s">
        <v>266</v>
      </c>
      <c r="G694" s="1362">
        <v>122570</v>
      </c>
      <c r="H694" s="1363" t="s">
        <v>6899</v>
      </c>
    </row>
    <row r="695" spans="2:8" x14ac:dyDescent="0.25">
      <c r="B695" s="1358" t="s">
        <v>6897</v>
      </c>
      <c r="C695" s="1359" t="s">
        <v>6939</v>
      </c>
      <c r="D695" s="1360">
        <v>7523</v>
      </c>
      <c r="E695" s="1361" t="s">
        <v>3588</v>
      </c>
      <c r="F695" s="1360" t="s">
        <v>266</v>
      </c>
      <c r="G695" s="1362">
        <v>207001</v>
      </c>
      <c r="H695" s="1363" t="s">
        <v>6899</v>
      </c>
    </row>
    <row r="696" spans="2:8" x14ac:dyDescent="0.25">
      <c r="B696" s="1358" t="s">
        <v>6897</v>
      </c>
      <c r="C696" s="1359" t="s">
        <v>6939</v>
      </c>
      <c r="D696" s="1360">
        <v>7524</v>
      </c>
      <c r="E696" s="1361" t="s">
        <v>3589</v>
      </c>
      <c r="F696" s="1360" t="s">
        <v>266</v>
      </c>
      <c r="G696" s="1362">
        <v>207001</v>
      </c>
      <c r="H696" s="1363" t="s">
        <v>6899</v>
      </c>
    </row>
    <row r="697" spans="2:8" x14ac:dyDescent="0.25">
      <c r="B697" s="1358" t="s">
        <v>6897</v>
      </c>
      <c r="C697" s="1359" t="s">
        <v>6940</v>
      </c>
      <c r="D697" s="1360">
        <v>7530</v>
      </c>
      <c r="E697" s="1361" t="s">
        <v>3590</v>
      </c>
      <c r="F697" s="1360" t="s">
        <v>266</v>
      </c>
      <c r="G697" s="1362">
        <v>121380</v>
      </c>
      <c r="H697" s="1363" t="s">
        <v>6899</v>
      </c>
    </row>
    <row r="698" spans="2:8" x14ac:dyDescent="0.25">
      <c r="B698" s="1358" t="s">
        <v>6897</v>
      </c>
      <c r="C698" s="1359" t="s">
        <v>6941</v>
      </c>
      <c r="D698" s="1360">
        <v>7542</v>
      </c>
      <c r="E698" s="1361" t="s">
        <v>3591</v>
      </c>
      <c r="F698" s="1360" t="s">
        <v>266</v>
      </c>
      <c r="G698" s="1362">
        <v>8568</v>
      </c>
      <c r="H698" s="1363" t="s">
        <v>6899</v>
      </c>
    </row>
    <row r="699" spans="2:8" x14ac:dyDescent="0.25">
      <c r="B699" s="1358" t="s">
        <v>6897</v>
      </c>
      <c r="C699" s="1359" t="s">
        <v>6941</v>
      </c>
      <c r="D699" s="1360">
        <v>7544</v>
      </c>
      <c r="E699" s="1361" t="s">
        <v>3592</v>
      </c>
      <c r="F699" s="1360" t="s">
        <v>266</v>
      </c>
      <c r="G699" s="1362">
        <v>20825</v>
      </c>
      <c r="H699" s="1363" t="s">
        <v>6899</v>
      </c>
    </row>
    <row r="700" spans="2:8" x14ac:dyDescent="0.25">
      <c r="B700" s="1358" t="s">
        <v>6897</v>
      </c>
      <c r="C700" s="1359" t="s">
        <v>6942</v>
      </c>
      <c r="D700" s="1360">
        <v>7550</v>
      </c>
      <c r="E700" s="1361" t="s">
        <v>3593</v>
      </c>
      <c r="F700" s="1360" t="s">
        <v>266</v>
      </c>
      <c r="G700" s="1362">
        <v>155890</v>
      </c>
      <c r="H700" s="1363" t="s">
        <v>6899</v>
      </c>
    </row>
    <row r="701" spans="2:8" x14ac:dyDescent="0.25">
      <c r="B701" s="1358" t="s">
        <v>6897</v>
      </c>
      <c r="C701" s="1359" t="s">
        <v>6943</v>
      </c>
      <c r="D701" s="1360">
        <v>7551</v>
      </c>
      <c r="E701" s="1361" t="s">
        <v>3594</v>
      </c>
      <c r="F701" s="1360" t="s">
        <v>266</v>
      </c>
      <c r="G701" s="1362">
        <v>71400</v>
      </c>
      <c r="H701" s="1363" t="s">
        <v>6899</v>
      </c>
    </row>
    <row r="702" spans="2:8" x14ac:dyDescent="0.25">
      <c r="B702" s="1358" t="s">
        <v>6897</v>
      </c>
      <c r="C702" s="1359" t="s">
        <v>6922</v>
      </c>
      <c r="D702" s="1360">
        <v>7554</v>
      </c>
      <c r="E702" s="1361" t="s">
        <v>1754</v>
      </c>
      <c r="F702" s="1360" t="s">
        <v>266</v>
      </c>
      <c r="G702" s="1362">
        <v>44982</v>
      </c>
      <c r="H702" s="1363" t="s">
        <v>3538</v>
      </c>
    </row>
    <row r="703" spans="2:8" x14ac:dyDescent="0.25">
      <c r="B703" s="1358" t="s">
        <v>6897</v>
      </c>
      <c r="C703" s="1359" t="s">
        <v>6922</v>
      </c>
      <c r="D703" s="1360">
        <v>7555</v>
      </c>
      <c r="E703" s="1361" t="s">
        <v>1755</v>
      </c>
      <c r="F703" s="1360" t="s">
        <v>266</v>
      </c>
      <c r="G703" s="1362">
        <v>37188</v>
      </c>
      <c r="H703" s="1363" t="s">
        <v>3538</v>
      </c>
    </row>
    <row r="704" spans="2:8" x14ac:dyDescent="0.25">
      <c r="B704" s="1358" t="s">
        <v>6897</v>
      </c>
      <c r="C704" s="1359" t="s">
        <v>6931</v>
      </c>
      <c r="D704" s="1360">
        <v>7556</v>
      </c>
      <c r="E704" s="1361" t="s">
        <v>1756</v>
      </c>
      <c r="F704" s="1360" t="s">
        <v>12</v>
      </c>
      <c r="G704" s="1362">
        <v>1654</v>
      </c>
      <c r="H704" s="1363" t="s">
        <v>3538</v>
      </c>
    </row>
    <row r="705" spans="2:8" x14ac:dyDescent="0.25">
      <c r="B705" s="1358" t="s">
        <v>6897</v>
      </c>
      <c r="C705" s="1359" t="s">
        <v>6931</v>
      </c>
      <c r="D705" s="1360">
        <v>7557</v>
      </c>
      <c r="E705" s="1361" t="s">
        <v>1757</v>
      </c>
      <c r="F705" s="1360" t="s">
        <v>266</v>
      </c>
      <c r="G705" s="1362">
        <v>2690</v>
      </c>
      <c r="H705" s="1363" t="s">
        <v>3538</v>
      </c>
    </row>
    <row r="706" spans="2:8" x14ac:dyDescent="0.25">
      <c r="B706" s="1358" t="s">
        <v>6897</v>
      </c>
      <c r="C706" s="1359" t="s">
        <v>6944</v>
      </c>
      <c r="D706" s="1360">
        <v>7558</v>
      </c>
      <c r="E706" s="1361" t="s">
        <v>6945</v>
      </c>
      <c r="F706" s="1360" t="s">
        <v>546</v>
      </c>
      <c r="G706" s="1362">
        <v>622965</v>
      </c>
      <c r="H706" s="1363" t="s">
        <v>6899</v>
      </c>
    </row>
    <row r="707" spans="2:8" x14ac:dyDescent="0.25">
      <c r="B707" s="1358" t="s">
        <v>6897</v>
      </c>
      <c r="C707" s="1359" t="s">
        <v>6922</v>
      </c>
      <c r="D707" s="1360">
        <v>7559</v>
      </c>
      <c r="E707" s="1361" t="s">
        <v>1758</v>
      </c>
      <c r="F707" s="1360" t="s">
        <v>12</v>
      </c>
      <c r="G707" s="1362">
        <v>2529</v>
      </c>
      <c r="H707" s="1363" t="s">
        <v>3538</v>
      </c>
    </row>
    <row r="708" spans="2:8" x14ac:dyDescent="0.25">
      <c r="B708" s="1358" t="s">
        <v>6897</v>
      </c>
      <c r="C708" s="1359" t="s">
        <v>6922</v>
      </c>
      <c r="D708" s="1360">
        <v>7560</v>
      </c>
      <c r="E708" s="1361" t="s">
        <v>1759</v>
      </c>
      <c r="F708" s="1360" t="s">
        <v>12</v>
      </c>
      <c r="G708" s="1362">
        <v>2972</v>
      </c>
      <c r="H708" s="1363" t="s">
        <v>3538</v>
      </c>
    </row>
    <row r="709" spans="2:8" x14ac:dyDescent="0.25">
      <c r="B709" s="1358" t="s">
        <v>6897</v>
      </c>
      <c r="C709" s="1359" t="s">
        <v>6922</v>
      </c>
      <c r="D709" s="1360">
        <v>7561</v>
      </c>
      <c r="E709" s="1361" t="s">
        <v>1760</v>
      </c>
      <c r="F709" s="1360" t="s">
        <v>12</v>
      </c>
      <c r="G709" s="1362">
        <v>1695</v>
      </c>
      <c r="H709" s="1363" t="s">
        <v>3538</v>
      </c>
    </row>
    <row r="710" spans="2:8" x14ac:dyDescent="0.25">
      <c r="B710" s="1358" t="s">
        <v>6897</v>
      </c>
      <c r="C710" s="1359" t="s">
        <v>1604</v>
      </c>
      <c r="D710" s="1360">
        <v>7562</v>
      </c>
      <c r="E710" s="1361" t="s">
        <v>1761</v>
      </c>
      <c r="F710" s="1360" t="s">
        <v>13</v>
      </c>
      <c r="G710" s="1362">
        <v>22180</v>
      </c>
      <c r="H710" s="1363" t="s">
        <v>6899</v>
      </c>
    </row>
    <row r="711" spans="2:8" x14ac:dyDescent="0.25">
      <c r="B711" s="1358" t="s">
        <v>6897</v>
      </c>
      <c r="C711" s="1359" t="s">
        <v>6922</v>
      </c>
      <c r="D711" s="1360">
        <v>7567</v>
      </c>
      <c r="E711" s="1361" t="s">
        <v>1762</v>
      </c>
      <c r="F711" s="1360" t="s">
        <v>266</v>
      </c>
      <c r="G711" s="1362">
        <v>79968</v>
      </c>
      <c r="H711" s="1363" t="s">
        <v>3538</v>
      </c>
    </row>
    <row r="712" spans="2:8" x14ac:dyDescent="0.25">
      <c r="B712" s="1358" t="s">
        <v>6897</v>
      </c>
      <c r="C712" s="1359" t="s">
        <v>6931</v>
      </c>
      <c r="D712" s="1360">
        <v>7568</v>
      </c>
      <c r="E712" s="1361" t="s">
        <v>1763</v>
      </c>
      <c r="F712" s="1360" t="s">
        <v>266</v>
      </c>
      <c r="G712" s="1362">
        <v>39900</v>
      </c>
      <c r="H712" s="1363" t="s">
        <v>3538</v>
      </c>
    </row>
    <row r="713" spans="2:8" x14ac:dyDescent="0.25">
      <c r="B713" s="1358" t="s">
        <v>6897</v>
      </c>
      <c r="C713" s="1359" t="s">
        <v>6931</v>
      </c>
      <c r="D713" s="1360">
        <v>7569</v>
      </c>
      <c r="E713" s="1361" t="s">
        <v>1764</v>
      </c>
      <c r="F713" s="1360" t="s">
        <v>266</v>
      </c>
      <c r="G713" s="1362">
        <v>57922</v>
      </c>
      <c r="H713" s="1363" t="s">
        <v>3538</v>
      </c>
    </row>
    <row r="714" spans="2:8" x14ac:dyDescent="0.25">
      <c r="B714" s="1358" t="s">
        <v>6897</v>
      </c>
      <c r="C714" s="1359" t="s">
        <v>6902</v>
      </c>
      <c r="D714" s="1360">
        <v>7570</v>
      </c>
      <c r="E714" s="1361" t="s">
        <v>1765</v>
      </c>
      <c r="F714" s="1360" t="s">
        <v>1124</v>
      </c>
      <c r="G714" s="1362">
        <v>357</v>
      </c>
      <c r="H714" s="1363" t="s">
        <v>3538</v>
      </c>
    </row>
    <row r="715" spans="2:8" x14ac:dyDescent="0.25">
      <c r="B715" s="1358" t="s">
        <v>6897</v>
      </c>
      <c r="C715" s="1359" t="s">
        <v>6922</v>
      </c>
      <c r="D715" s="1360">
        <v>7571</v>
      </c>
      <c r="E715" s="1361" t="s">
        <v>3595</v>
      </c>
      <c r="F715" s="1360" t="s">
        <v>266</v>
      </c>
      <c r="G715" s="1362">
        <v>81010</v>
      </c>
      <c r="H715" s="1363" t="s">
        <v>3538</v>
      </c>
    </row>
    <row r="716" spans="2:8" x14ac:dyDescent="0.25">
      <c r="B716" s="1358" t="s">
        <v>6897</v>
      </c>
      <c r="C716" s="1359" t="s">
        <v>6946</v>
      </c>
      <c r="D716" s="1360">
        <v>7575</v>
      </c>
      <c r="E716" s="1361" t="s">
        <v>1766</v>
      </c>
      <c r="F716" s="1360" t="s">
        <v>266</v>
      </c>
      <c r="G716" s="1362">
        <v>30821</v>
      </c>
      <c r="H716" s="1363" t="s">
        <v>6899</v>
      </c>
    </row>
    <row r="717" spans="2:8" x14ac:dyDescent="0.25">
      <c r="B717" s="1358" t="s">
        <v>6897</v>
      </c>
      <c r="C717" s="1359" t="s">
        <v>6946</v>
      </c>
      <c r="D717" s="1360">
        <v>7576</v>
      </c>
      <c r="E717" s="1361" t="s">
        <v>1767</v>
      </c>
      <c r="F717" s="1360" t="s">
        <v>266</v>
      </c>
      <c r="G717" s="1362">
        <v>1728</v>
      </c>
      <c r="H717" s="1363" t="s">
        <v>6899</v>
      </c>
    </row>
    <row r="718" spans="2:8" x14ac:dyDescent="0.25">
      <c r="B718" s="1358" t="s">
        <v>6897</v>
      </c>
      <c r="C718" s="1359" t="s">
        <v>6946</v>
      </c>
      <c r="D718" s="1360">
        <v>7577</v>
      </c>
      <c r="E718" s="1361" t="s">
        <v>1768</v>
      </c>
      <c r="F718" s="1360" t="s">
        <v>266</v>
      </c>
      <c r="G718" s="1362">
        <v>7735</v>
      </c>
      <c r="H718" s="1363" t="s">
        <v>6899</v>
      </c>
    </row>
    <row r="719" spans="2:8" x14ac:dyDescent="0.25">
      <c r="B719" s="1358" t="s">
        <v>6897</v>
      </c>
      <c r="C719" s="1359" t="s">
        <v>6946</v>
      </c>
      <c r="D719" s="1360">
        <v>7578</v>
      </c>
      <c r="E719" s="1361" t="s">
        <v>1769</v>
      </c>
      <c r="F719" s="1360" t="s">
        <v>266</v>
      </c>
      <c r="G719" s="1362">
        <v>9401</v>
      </c>
      <c r="H719" s="1363" t="s">
        <v>6899</v>
      </c>
    </row>
    <row r="720" spans="2:8" x14ac:dyDescent="0.25">
      <c r="B720" s="1358" t="s">
        <v>6897</v>
      </c>
      <c r="C720" s="1359" t="s">
        <v>6946</v>
      </c>
      <c r="D720" s="1360">
        <v>7579</v>
      </c>
      <c r="E720" s="1361" t="s">
        <v>1770</v>
      </c>
      <c r="F720" s="1360" t="s">
        <v>266</v>
      </c>
      <c r="G720" s="1362">
        <v>620</v>
      </c>
      <c r="H720" s="1363" t="s">
        <v>6899</v>
      </c>
    </row>
    <row r="721" spans="2:8" x14ac:dyDescent="0.25">
      <c r="B721" s="1358" t="s">
        <v>6897</v>
      </c>
      <c r="C721" s="1359" t="s">
        <v>6946</v>
      </c>
      <c r="D721" s="1360">
        <v>7580</v>
      </c>
      <c r="E721" s="1361" t="s">
        <v>1771</v>
      </c>
      <c r="F721" s="1360" t="s">
        <v>266</v>
      </c>
      <c r="G721" s="1362">
        <v>24000</v>
      </c>
      <c r="H721" s="1363" t="s">
        <v>6899</v>
      </c>
    </row>
    <row r="722" spans="2:8" x14ac:dyDescent="0.25">
      <c r="B722" s="1358" t="s">
        <v>6897</v>
      </c>
      <c r="C722" s="1359" t="s">
        <v>6946</v>
      </c>
      <c r="D722" s="1360">
        <v>7582</v>
      </c>
      <c r="E722" s="1361" t="s">
        <v>1772</v>
      </c>
      <c r="F722" s="1360" t="s">
        <v>266</v>
      </c>
      <c r="G722" s="1362">
        <v>25000</v>
      </c>
      <c r="H722" s="1363" t="s">
        <v>6899</v>
      </c>
    </row>
    <row r="723" spans="2:8" x14ac:dyDescent="0.25">
      <c r="B723" s="1358" t="s">
        <v>6897</v>
      </c>
      <c r="C723" s="1359" t="s">
        <v>6946</v>
      </c>
      <c r="D723" s="1360">
        <v>7583</v>
      </c>
      <c r="E723" s="1361" t="s">
        <v>1773</v>
      </c>
      <c r="F723" s="1360" t="s">
        <v>266</v>
      </c>
      <c r="G723" s="1362">
        <v>29750</v>
      </c>
      <c r="H723" s="1363" t="s">
        <v>6899</v>
      </c>
    </row>
    <row r="724" spans="2:8" x14ac:dyDescent="0.25">
      <c r="B724" s="1358" t="s">
        <v>6897</v>
      </c>
      <c r="C724" s="1359" t="s">
        <v>6915</v>
      </c>
      <c r="D724" s="1360">
        <v>7585</v>
      </c>
      <c r="E724" s="1361" t="s">
        <v>1774</v>
      </c>
      <c r="F724" s="1360" t="s">
        <v>13</v>
      </c>
      <c r="G724" s="1362">
        <v>37163</v>
      </c>
      <c r="H724" s="1363" t="s">
        <v>6899</v>
      </c>
    </row>
    <row r="725" spans="2:8" x14ac:dyDescent="0.25">
      <c r="B725" s="1358" t="s">
        <v>6897</v>
      </c>
      <c r="C725" s="1359" t="s">
        <v>6922</v>
      </c>
      <c r="D725" s="1360">
        <v>7586</v>
      </c>
      <c r="E725" s="1361" t="s">
        <v>3596</v>
      </c>
      <c r="F725" s="1360" t="s">
        <v>266</v>
      </c>
      <c r="G725" s="1362">
        <v>3124</v>
      </c>
      <c r="H725" s="1363" t="s">
        <v>3538</v>
      </c>
    </row>
    <row r="726" spans="2:8" x14ac:dyDescent="0.25">
      <c r="B726" s="1358" t="s">
        <v>6897</v>
      </c>
      <c r="C726" s="1359" t="s">
        <v>6930</v>
      </c>
      <c r="D726" s="1360">
        <v>7587</v>
      </c>
      <c r="E726" s="1361" t="s">
        <v>1775</v>
      </c>
      <c r="F726" s="1360" t="s">
        <v>6</v>
      </c>
      <c r="G726" s="1362">
        <v>146748</v>
      </c>
      <c r="H726" s="1363" t="s">
        <v>6899</v>
      </c>
    </row>
    <row r="727" spans="2:8" x14ac:dyDescent="0.25">
      <c r="B727" s="1358" t="s">
        <v>6897</v>
      </c>
      <c r="C727" s="1359" t="s">
        <v>6912</v>
      </c>
      <c r="D727" s="1360">
        <v>7596</v>
      </c>
      <c r="E727" s="1361" t="s">
        <v>3597</v>
      </c>
      <c r="F727" s="1360" t="s">
        <v>1124</v>
      </c>
      <c r="G727" s="1362">
        <v>49295</v>
      </c>
      <c r="H727" s="1363" t="s">
        <v>6899</v>
      </c>
    </row>
    <row r="728" spans="2:8" x14ac:dyDescent="0.25">
      <c r="B728" s="1358" t="s">
        <v>6897</v>
      </c>
      <c r="C728" s="1359" t="s">
        <v>6905</v>
      </c>
      <c r="D728" s="1360">
        <v>7598</v>
      </c>
      <c r="E728" s="1361" t="s">
        <v>1776</v>
      </c>
      <c r="F728" s="1360" t="s">
        <v>3</v>
      </c>
      <c r="G728" s="1362">
        <v>84490</v>
      </c>
      <c r="H728" s="1363" t="s">
        <v>6899</v>
      </c>
    </row>
    <row r="729" spans="2:8" x14ac:dyDescent="0.25">
      <c r="B729" s="1358" t="s">
        <v>6897</v>
      </c>
      <c r="C729" s="1359" t="s">
        <v>6947</v>
      </c>
      <c r="D729" s="1360">
        <v>7603</v>
      </c>
      <c r="E729" s="1361" t="s">
        <v>6948</v>
      </c>
      <c r="F729" s="1360" t="s">
        <v>13</v>
      </c>
      <c r="G729" s="1362">
        <v>368178</v>
      </c>
      <c r="H729" s="1363" t="s">
        <v>6899</v>
      </c>
    </row>
    <row r="730" spans="2:8" x14ac:dyDescent="0.25">
      <c r="B730" s="1358" t="s">
        <v>6897</v>
      </c>
      <c r="C730" s="1359" t="s">
        <v>6947</v>
      </c>
      <c r="D730" s="1360">
        <v>7604</v>
      </c>
      <c r="E730" s="1361" t="s">
        <v>6949</v>
      </c>
      <c r="F730" s="1360" t="s">
        <v>13</v>
      </c>
      <c r="G730" s="1362">
        <v>444410</v>
      </c>
      <c r="H730" s="1363" t="s">
        <v>6899</v>
      </c>
    </row>
    <row r="731" spans="2:8" x14ac:dyDescent="0.25">
      <c r="B731" s="1358" t="s">
        <v>6897</v>
      </c>
      <c r="C731" s="1359" t="s">
        <v>6947</v>
      </c>
      <c r="D731" s="1360">
        <v>7606</v>
      </c>
      <c r="E731" s="1361" t="s">
        <v>6950</v>
      </c>
      <c r="F731" s="1360" t="s">
        <v>13</v>
      </c>
      <c r="G731" s="1362">
        <v>567585</v>
      </c>
      <c r="H731" s="1363" t="s">
        <v>6899</v>
      </c>
    </row>
    <row r="732" spans="2:8" x14ac:dyDescent="0.25">
      <c r="B732" s="1358" t="s">
        <v>6897</v>
      </c>
      <c r="C732" s="1359" t="s">
        <v>6947</v>
      </c>
      <c r="D732" s="1360">
        <v>7607</v>
      </c>
      <c r="E732" s="1361" t="s">
        <v>6951</v>
      </c>
      <c r="F732" s="1360" t="s">
        <v>13</v>
      </c>
      <c r="G732" s="1362">
        <v>625751</v>
      </c>
      <c r="H732" s="1363" t="s">
        <v>6899</v>
      </c>
    </row>
    <row r="733" spans="2:8" x14ac:dyDescent="0.25">
      <c r="B733" s="1358" t="s">
        <v>6897</v>
      </c>
      <c r="C733" s="1359" t="s">
        <v>6947</v>
      </c>
      <c r="D733" s="1360">
        <v>7608</v>
      </c>
      <c r="E733" s="1361" t="s">
        <v>6952</v>
      </c>
      <c r="F733" s="1360" t="s">
        <v>13</v>
      </c>
      <c r="G733" s="1362">
        <v>764803</v>
      </c>
      <c r="H733" s="1363" t="s">
        <v>6899</v>
      </c>
    </row>
    <row r="734" spans="2:8" x14ac:dyDescent="0.25">
      <c r="B734" s="1358" t="s">
        <v>6897</v>
      </c>
      <c r="C734" s="1359" t="s">
        <v>1474</v>
      </c>
      <c r="D734" s="1360">
        <v>7610</v>
      </c>
      <c r="E734" s="1361" t="s">
        <v>3598</v>
      </c>
      <c r="F734" s="1360" t="s">
        <v>12</v>
      </c>
      <c r="G734" s="1362">
        <v>9663</v>
      </c>
      <c r="H734" s="1363" t="s">
        <v>6899</v>
      </c>
    </row>
    <row r="735" spans="2:8" x14ac:dyDescent="0.25">
      <c r="B735" s="1358" t="s">
        <v>6897</v>
      </c>
      <c r="C735" s="1359" t="s">
        <v>1474</v>
      </c>
      <c r="D735" s="1360">
        <v>7611</v>
      </c>
      <c r="E735" s="1361" t="s">
        <v>3599</v>
      </c>
      <c r="F735" s="1360" t="s">
        <v>12</v>
      </c>
      <c r="G735" s="1362">
        <v>14827</v>
      </c>
      <c r="H735" s="1363" t="s">
        <v>6899</v>
      </c>
    </row>
    <row r="736" spans="2:8" x14ac:dyDescent="0.25">
      <c r="B736" s="1358" t="s">
        <v>6897</v>
      </c>
      <c r="C736" s="1359" t="s">
        <v>6947</v>
      </c>
      <c r="D736" s="1360">
        <v>7613</v>
      </c>
      <c r="E736" s="1361" t="s">
        <v>6953</v>
      </c>
      <c r="F736" s="1360" t="s">
        <v>13</v>
      </c>
      <c r="G736" s="1362">
        <v>902826</v>
      </c>
      <c r="H736" s="1363" t="s">
        <v>6899</v>
      </c>
    </row>
    <row r="737" spans="2:8" x14ac:dyDescent="0.25">
      <c r="B737" s="1358" t="s">
        <v>6897</v>
      </c>
      <c r="C737" s="1359" t="s">
        <v>6947</v>
      </c>
      <c r="D737" s="1360">
        <v>7614</v>
      </c>
      <c r="E737" s="1361" t="s">
        <v>6954</v>
      </c>
      <c r="F737" s="1360" t="s">
        <v>13</v>
      </c>
      <c r="G737" s="1362">
        <v>1141974</v>
      </c>
      <c r="H737" s="1363" t="s">
        <v>6899</v>
      </c>
    </row>
    <row r="738" spans="2:8" x14ac:dyDescent="0.25">
      <c r="B738" s="1358" t="s">
        <v>6897</v>
      </c>
      <c r="C738" s="1359" t="s">
        <v>6947</v>
      </c>
      <c r="D738" s="1360">
        <v>7615</v>
      </c>
      <c r="E738" s="1361" t="s">
        <v>6955</v>
      </c>
      <c r="F738" s="1360" t="s">
        <v>13</v>
      </c>
      <c r="G738" s="1362">
        <v>1444918</v>
      </c>
      <c r="H738" s="1363" t="s">
        <v>6899</v>
      </c>
    </row>
    <row r="739" spans="2:8" x14ac:dyDescent="0.25">
      <c r="B739" s="1358" t="s">
        <v>6897</v>
      </c>
      <c r="C739" s="1359" t="s">
        <v>6947</v>
      </c>
      <c r="D739" s="1360">
        <v>7616</v>
      </c>
      <c r="E739" s="1361" t="s">
        <v>6956</v>
      </c>
      <c r="F739" s="1360" t="s">
        <v>13</v>
      </c>
      <c r="G739" s="1362">
        <v>1637698</v>
      </c>
      <c r="H739" s="1363" t="s">
        <v>6899</v>
      </c>
    </row>
    <row r="740" spans="2:8" x14ac:dyDescent="0.25">
      <c r="B740" s="1358" t="s">
        <v>6897</v>
      </c>
      <c r="C740" s="1359" t="s">
        <v>6947</v>
      </c>
      <c r="D740" s="1360">
        <v>7617</v>
      </c>
      <c r="E740" s="1361" t="s">
        <v>6957</v>
      </c>
      <c r="F740" s="1360" t="s">
        <v>13</v>
      </c>
      <c r="G740" s="1362">
        <v>1830478</v>
      </c>
      <c r="H740" s="1363" t="s">
        <v>6899</v>
      </c>
    </row>
    <row r="741" spans="2:8" x14ac:dyDescent="0.25">
      <c r="B741" s="1358" t="s">
        <v>6897</v>
      </c>
      <c r="C741" s="1359" t="s">
        <v>6947</v>
      </c>
      <c r="D741" s="1360">
        <v>7618</v>
      </c>
      <c r="E741" s="1361" t="s">
        <v>6958</v>
      </c>
      <c r="F741" s="1360" t="s">
        <v>13</v>
      </c>
      <c r="G741" s="1362">
        <v>2056995</v>
      </c>
      <c r="H741" s="1363" t="s">
        <v>6899</v>
      </c>
    </row>
    <row r="742" spans="2:8" x14ac:dyDescent="0.25">
      <c r="B742" s="1358" t="s">
        <v>6897</v>
      </c>
      <c r="C742" s="1359" t="s">
        <v>6947</v>
      </c>
      <c r="D742" s="1360">
        <v>7619</v>
      </c>
      <c r="E742" s="1361" t="s">
        <v>6959</v>
      </c>
      <c r="F742" s="1360" t="s">
        <v>13</v>
      </c>
      <c r="G742" s="1362">
        <v>2630872</v>
      </c>
      <c r="H742" s="1363" t="s">
        <v>6899</v>
      </c>
    </row>
    <row r="743" spans="2:8" x14ac:dyDescent="0.25">
      <c r="B743" s="1358" t="s">
        <v>6897</v>
      </c>
      <c r="C743" s="1359" t="s">
        <v>6947</v>
      </c>
      <c r="D743" s="1360">
        <v>7620</v>
      </c>
      <c r="E743" s="1361" t="s">
        <v>6960</v>
      </c>
      <c r="F743" s="1360" t="s">
        <v>13</v>
      </c>
      <c r="G743" s="1362">
        <v>2915223</v>
      </c>
      <c r="H743" s="1363" t="s">
        <v>6899</v>
      </c>
    </row>
    <row r="744" spans="2:8" x14ac:dyDescent="0.25">
      <c r="B744" s="1358" t="s">
        <v>6897</v>
      </c>
      <c r="C744" s="1359" t="s">
        <v>6947</v>
      </c>
      <c r="D744" s="1360">
        <v>7621</v>
      </c>
      <c r="E744" s="1361" t="s">
        <v>6961</v>
      </c>
      <c r="F744" s="1360" t="s">
        <v>13</v>
      </c>
      <c r="G744" s="1362">
        <v>3223671</v>
      </c>
      <c r="H744" s="1363" t="s">
        <v>6899</v>
      </c>
    </row>
    <row r="745" spans="2:8" x14ac:dyDescent="0.25">
      <c r="B745" s="1358" t="s">
        <v>6897</v>
      </c>
      <c r="C745" s="1359" t="s">
        <v>6947</v>
      </c>
      <c r="D745" s="1360">
        <v>7622</v>
      </c>
      <c r="E745" s="1361" t="s">
        <v>6962</v>
      </c>
      <c r="F745" s="1360" t="s">
        <v>13</v>
      </c>
      <c r="G745" s="1362">
        <v>3532119</v>
      </c>
      <c r="H745" s="1363" t="s">
        <v>6899</v>
      </c>
    </row>
    <row r="746" spans="2:8" x14ac:dyDescent="0.25">
      <c r="B746" s="1358" t="s">
        <v>6897</v>
      </c>
      <c r="C746" s="1359" t="s">
        <v>6947</v>
      </c>
      <c r="D746" s="1360">
        <v>7626</v>
      </c>
      <c r="E746" s="1361" t="s">
        <v>6963</v>
      </c>
      <c r="F746" s="1360" t="s">
        <v>266</v>
      </c>
      <c r="G746" s="1362">
        <v>594218</v>
      </c>
      <c r="H746" s="1363" t="s">
        <v>6899</v>
      </c>
    </row>
    <row r="747" spans="2:8" x14ac:dyDescent="0.25">
      <c r="B747" s="1358" t="s">
        <v>6897</v>
      </c>
      <c r="C747" s="1359" t="s">
        <v>6947</v>
      </c>
      <c r="D747" s="1360">
        <v>7627</v>
      </c>
      <c r="E747" s="1361" t="s">
        <v>6964</v>
      </c>
      <c r="F747" s="1360" t="s">
        <v>266</v>
      </c>
      <c r="G747" s="1362">
        <v>616351</v>
      </c>
      <c r="H747" s="1363" t="s">
        <v>6899</v>
      </c>
    </row>
    <row r="748" spans="2:8" x14ac:dyDescent="0.25">
      <c r="B748" s="1358" t="s">
        <v>6897</v>
      </c>
      <c r="C748" s="1359" t="s">
        <v>6947</v>
      </c>
      <c r="D748" s="1360">
        <v>7628</v>
      </c>
      <c r="E748" s="1361" t="s">
        <v>6965</v>
      </c>
      <c r="F748" s="1360" t="s">
        <v>266</v>
      </c>
      <c r="G748" s="1362">
        <v>637545</v>
      </c>
      <c r="H748" s="1363" t="s">
        <v>6899</v>
      </c>
    </row>
    <row r="749" spans="2:8" x14ac:dyDescent="0.25">
      <c r="B749" s="1358" t="s">
        <v>6897</v>
      </c>
      <c r="C749" s="1359" t="s">
        <v>6947</v>
      </c>
      <c r="D749" s="1360">
        <v>7630</v>
      </c>
      <c r="E749" s="1361" t="s">
        <v>6966</v>
      </c>
      <c r="F749" s="1360" t="s">
        <v>266</v>
      </c>
      <c r="G749" s="1362">
        <v>671672</v>
      </c>
      <c r="H749" s="1363" t="s">
        <v>6899</v>
      </c>
    </row>
    <row r="750" spans="2:8" x14ac:dyDescent="0.25">
      <c r="B750" s="1358" t="s">
        <v>6897</v>
      </c>
      <c r="C750" s="1359" t="s">
        <v>6947</v>
      </c>
      <c r="D750" s="1360">
        <v>7631</v>
      </c>
      <c r="E750" s="1361" t="s">
        <v>6967</v>
      </c>
      <c r="F750" s="1360" t="s">
        <v>266</v>
      </c>
      <c r="G750" s="1362">
        <v>862400</v>
      </c>
      <c r="H750" s="1363" t="s">
        <v>6899</v>
      </c>
    </row>
    <row r="751" spans="2:8" x14ac:dyDescent="0.25">
      <c r="B751" s="1358" t="s">
        <v>6897</v>
      </c>
      <c r="C751" s="1359" t="s">
        <v>6947</v>
      </c>
      <c r="D751" s="1360">
        <v>7632</v>
      </c>
      <c r="E751" s="1361" t="s">
        <v>6968</v>
      </c>
      <c r="F751" s="1360" t="s">
        <v>266</v>
      </c>
      <c r="G751" s="1362">
        <v>922470</v>
      </c>
      <c r="H751" s="1363" t="s">
        <v>6899</v>
      </c>
    </row>
    <row r="752" spans="2:8" x14ac:dyDescent="0.25">
      <c r="B752" s="1358" t="s">
        <v>6897</v>
      </c>
      <c r="C752" s="1359" t="s">
        <v>6947</v>
      </c>
      <c r="D752" s="1360">
        <v>7633</v>
      </c>
      <c r="E752" s="1361" t="s">
        <v>6969</v>
      </c>
      <c r="F752" s="1360" t="s">
        <v>266</v>
      </c>
      <c r="G752" s="1362">
        <v>996907</v>
      </c>
      <c r="H752" s="1363" t="s">
        <v>6899</v>
      </c>
    </row>
    <row r="753" spans="2:8" x14ac:dyDescent="0.25">
      <c r="B753" s="1358" t="s">
        <v>6897</v>
      </c>
      <c r="C753" s="1359" t="s">
        <v>6947</v>
      </c>
      <c r="D753" s="1360">
        <v>7634</v>
      </c>
      <c r="E753" s="1361" t="s">
        <v>6970</v>
      </c>
      <c r="F753" s="1360" t="s">
        <v>266</v>
      </c>
      <c r="G753" s="1362">
        <v>1073185</v>
      </c>
      <c r="H753" s="1363" t="s">
        <v>6899</v>
      </c>
    </row>
    <row r="754" spans="2:8" x14ac:dyDescent="0.25">
      <c r="B754" s="1358" t="s">
        <v>6897</v>
      </c>
      <c r="C754" s="1359" t="s">
        <v>6947</v>
      </c>
      <c r="D754" s="1360">
        <v>7635</v>
      </c>
      <c r="E754" s="1361" t="s">
        <v>6971</v>
      </c>
      <c r="F754" s="1360" t="s">
        <v>266</v>
      </c>
      <c r="G754" s="1362">
        <v>877149</v>
      </c>
      <c r="H754" s="1363" t="s">
        <v>6899</v>
      </c>
    </row>
    <row r="755" spans="2:8" x14ac:dyDescent="0.25">
      <c r="B755" s="1358" t="s">
        <v>6897</v>
      </c>
      <c r="C755" s="1359" t="s">
        <v>6947</v>
      </c>
      <c r="D755" s="1360">
        <v>7636</v>
      </c>
      <c r="E755" s="1361" t="s">
        <v>6972</v>
      </c>
      <c r="F755" s="1360" t="s">
        <v>266</v>
      </c>
      <c r="G755" s="1362">
        <v>915705</v>
      </c>
      <c r="H755" s="1363" t="s">
        <v>6899</v>
      </c>
    </row>
    <row r="756" spans="2:8" x14ac:dyDescent="0.25">
      <c r="B756" s="1358" t="s">
        <v>6897</v>
      </c>
      <c r="C756" s="1359" t="s">
        <v>6947</v>
      </c>
      <c r="D756" s="1360">
        <v>7637</v>
      </c>
      <c r="E756" s="1361" t="s">
        <v>6973</v>
      </c>
      <c r="F756" s="1360" t="s">
        <v>266</v>
      </c>
      <c r="G756" s="1362">
        <v>1021734</v>
      </c>
      <c r="H756" s="1363" t="s">
        <v>6899</v>
      </c>
    </row>
    <row r="757" spans="2:8" x14ac:dyDescent="0.25">
      <c r="B757" s="1358" t="s">
        <v>6897</v>
      </c>
      <c r="C757" s="1359" t="s">
        <v>6947</v>
      </c>
      <c r="D757" s="1360">
        <v>7638</v>
      </c>
      <c r="E757" s="1361" t="s">
        <v>6974</v>
      </c>
      <c r="F757" s="1360" t="s">
        <v>266</v>
      </c>
      <c r="G757" s="1362">
        <v>1238612</v>
      </c>
      <c r="H757" s="1363" t="s">
        <v>6899</v>
      </c>
    </row>
    <row r="758" spans="2:8" x14ac:dyDescent="0.25">
      <c r="B758" s="1358" t="s">
        <v>6897</v>
      </c>
      <c r="C758" s="1359" t="s">
        <v>6947</v>
      </c>
      <c r="D758" s="1360">
        <v>7639</v>
      </c>
      <c r="E758" s="1361" t="s">
        <v>6975</v>
      </c>
      <c r="F758" s="1360" t="s">
        <v>266</v>
      </c>
      <c r="G758" s="1362">
        <v>1296446</v>
      </c>
      <c r="H758" s="1363" t="s">
        <v>6899</v>
      </c>
    </row>
    <row r="759" spans="2:8" x14ac:dyDescent="0.25">
      <c r="B759" s="1358" t="s">
        <v>6897</v>
      </c>
      <c r="C759" s="1359" t="s">
        <v>6947</v>
      </c>
      <c r="D759" s="1360">
        <v>7640</v>
      </c>
      <c r="E759" s="1361" t="s">
        <v>6976</v>
      </c>
      <c r="F759" s="1360" t="s">
        <v>266</v>
      </c>
      <c r="G759" s="1362">
        <v>1388016</v>
      </c>
      <c r="H759" s="1363" t="s">
        <v>6899</v>
      </c>
    </row>
    <row r="760" spans="2:8" x14ac:dyDescent="0.25">
      <c r="B760" s="1358" t="s">
        <v>6897</v>
      </c>
      <c r="C760" s="1359" t="s">
        <v>6947</v>
      </c>
      <c r="D760" s="1360">
        <v>7641</v>
      </c>
      <c r="E760" s="1361" t="s">
        <v>6977</v>
      </c>
      <c r="F760" s="1360" t="s">
        <v>266</v>
      </c>
      <c r="G760" s="1362">
        <v>1566338</v>
      </c>
      <c r="H760" s="1363" t="s">
        <v>6899</v>
      </c>
    </row>
    <row r="761" spans="2:8" x14ac:dyDescent="0.25">
      <c r="B761" s="1358" t="s">
        <v>6897</v>
      </c>
      <c r="C761" s="1359" t="s">
        <v>6947</v>
      </c>
      <c r="D761" s="1360">
        <v>7642</v>
      </c>
      <c r="E761" s="1361" t="s">
        <v>6978</v>
      </c>
      <c r="F761" s="1360" t="s">
        <v>266</v>
      </c>
      <c r="G761" s="1362">
        <v>1624172</v>
      </c>
      <c r="H761" s="1363" t="s">
        <v>6899</v>
      </c>
    </row>
    <row r="762" spans="2:8" x14ac:dyDescent="0.25">
      <c r="B762" s="1358" t="s">
        <v>6897</v>
      </c>
      <c r="C762" s="1359" t="s">
        <v>6947</v>
      </c>
      <c r="D762" s="1360">
        <v>7643</v>
      </c>
      <c r="E762" s="1361" t="s">
        <v>6979</v>
      </c>
      <c r="F762" s="1360" t="s">
        <v>266</v>
      </c>
      <c r="G762" s="1362">
        <v>1884425</v>
      </c>
      <c r="H762" s="1363" t="s">
        <v>6899</v>
      </c>
    </row>
    <row r="763" spans="2:8" x14ac:dyDescent="0.25">
      <c r="B763" s="1358" t="s">
        <v>6897</v>
      </c>
      <c r="C763" s="1359" t="s">
        <v>6947</v>
      </c>
      <c r="D763" s="1360">
        <v>7644</v>
      </c>
      <c r="E763" s="1361" t="s">
        <v>6980</v>
      </c>
      <c r="F763" s="1360" t="s">
        <v>266</v>
      </c>
      <c r="G763" s="1362">
        <v>2004912</v>
      </c>
      <c r="H763" s="1363" t="s">
        <v>6899</v>
      </c>
    </row>
    <row r="764" spans="2:8" x14ac:dyDescent="0.25">
      <c r="B764" s="1358" t="s">
        <v>6897</v>
      </c>
      <c r="C764" s="1359" t="s">
        <v>6947</v>
      </c>
      <c r="D764" s="1360">
        <v>7645</v>
      </c>
      <c r="E764" s="1361" t="s">
        <v>6981</v>
      </c>
      <c r="F764" s="1360" t="s">
        <v>13</v>
      </c>
      <c r="G764" s="1362">
        <v>3898401</v>
      </c>
      <c r="H764" s="1363" t="s">
        <v>6899</v>
      </c>
    </row>
    <row r="765" spans="2:8" x14ac:dyDescent="0.25">
      <c r="B765" s="1358" t="s">
        <v>6897</v>
      </c>
      <c r="C765" s="1359" t="s">
        <v>6947</v>
      </c>
      <c r="D765" s="1360">
        <v>7646</v>
      </c>
      <c r="E765" s="1361" t="s">
        <v>6982</v>
      </c>
      <c r="F765" s="1360" t="s">
        <v>13</v>
      </c>
      <c r="G765" s="1362">
        <v>4602048</v>
      </c>
      <c r="H765" s="1363" t="s">
        <v>6899</v>
      </c>
    </row>
    <row r="766" spans="2:8" x14ac:dyDescent="0.25">
      <c r="B766" s="1358" t="s">
        <v>6897</v>
      </c>
      <c r="C766" s="1359" t="s">
        <v>6947</v>
      </c>
      <c r="D766" s="1360">
        <v>7647</v>
      </c>
      <c r="E766" s="1361" t="s">
        <v>6983</v>
      </c>
      <c r="F766" s="1360" t="s">
        <v>266</v>
      </c>
      <c r="G766" s="1362">
        <v>2308541</v>
      </c>
      <c r="H766" s="1363" t="s">
        <v>6899</v>
      </c>
    </row>
    <row r="767" spans="2:8" x14ac:dyDescent="0.25">
      <c r="B767" s="1358" t="s">
        <v>6897</v>
      </c>
      <c r="C767" s="1359" t="s">
        <v>6947</v>
      </c>
      <c r="D767" s="1360">
        <v>7648</v>
      </c>
      <c r="E767" s="1361" t="s">
        <v>6984</v>
      </c>
      <c r="F767" s="1360" t="s">
        <v>13</v>
      </c>
      <c r="G767" s="1362">
        <v>6279234</v>
      </c>
      <c r="H767" s="1363" t="s">
        <v>6899</v>
      </c>
    </row>
    <row r="768" spans="2:8" x14ac:dyDescent="0.25">
      <c r="B768" s="1358" t="s">
        <v>6897</v>
      </c>
      <c r="C768" s="1359" t="s">
        <v>6930</v>
      </c>
      <c r="D768" s="1360">
        <v>7650</v>
      </c>
      <c r="E768" s="1361" t="s">
        <v>1777</v>
      </c>
      <c r="F768" s="1360" t="s">
        <v>1155</v>
      </c>
      <c r="G768" s="1362">
        <v>205456</v>
      </c>
      <c r="H768" s="1363" t="s">
        <v>6899</v>
      </c>
    </row>
    <row r="769" spans="2:8" x14ac:dyDescent="0.25">
      <c r="B769" s="1358" t="s">
        <v>6897</v>
      </c>
      <c r="C769" s="1359" t="s">
        <v>6917</v>
      </c>
      <c r="D769" s="1360">
        <v>7651</v>
      </c>
      <c r="E769" s="1361" t="s">
        <v>1778</v>
      </c>
      <c r="F769" s="1360" t="s">
        <v>1155</v>
      </c>
      <c r="G769" s="1362">
        <v>216139</v>
      </c>
      <c r="H769" s="1363" t="s">
        <v>3538</v>
      </c>
    </row>
    <row r="770" spans="2:8" x14ac:dyDescent="0.25">
      <c r="B770" s="1358" t="s">
        <v>6897</v>
      </c>
      <c r="C770" s="1359" t="s">
        <v>6917</v>
      </c>
      <c r="D770" s="1360">
        <v>7652</v>
      </c>
      <c r="E770" s="1361" t="s">
        <v>1779</v>
      </c>
      <c r="F770" s="1360" t="s">
        <v>1155</v>
      </c>
      <c r="G770" s="1362">
        <v>229509</v>
      </c>
      <c r="H770" s="1363" t="s">
        <v>3538</v>
      </c>
    </row>
    <row r="771" spans="2:8" x14ac:dyDescent="0.25">
      <c r="B771" s="1358" t="s">
        <v>6897</v>
      </c>
      <c r="C771" s="1359" t="s">
        <v>6917</v>
      </c>
      <c r="D771" s="1360">
        <v>7653</v>
      </c>
      <c r="E771" s="1361" t="s">
        <v>1780</v>
      </c>
      <c r="F771" s="1360" t="s">
        <v>1155</v>
      </c>
      <c r="G771" s="1362">
        <v>360000</v>
      </c>
      <c r="H771" s="1363" t="s">
        <v>3538</v>
      </c>
    </row>
    <row r="772" spans="2:8" x14ac:dyDescent="0.25">
      <c r="B772" s="1358" t="s">
        <v>6897</v>
      </c>
      <c r="C772" s="1359" t="s">
        <v>6917</v>
      </c>
      <c r="D772" s="1360">
        <v>7654</v>
      </c>
      <c r="E772" s="1361" t="s">
        <v>1781</v>
      </c>
      <c r="F772" s="1360" t="s">
        <v>1155</v>
      </c>
      <c r="G772" s="1362">
        <v>64881</v>
      </c>
      <c r="H772" s="1363" t="s">
        <v>3538</v>
      </c>
    </row>
    <row r="773" spans="2:8" x14ac:dyDescent="0.25">
      <c r="B773" s="1358" t="s">
        <v>6897</v>
      </c>
      <c r="C773" s="1359" t="s">
        <v>6917</v>
      </c>
      <c r="D773" s="1360">
        <v>7655</v>
      </c>
      <c r="E773" s="1361" t="s">
        <v>1782</v>
      </c>
      <c r="F773" s="1360" t="s">
        <v>1155</v>
      </c>
      <c r="G773" s="1362">
        <v>90335</v>
      </c>
      <c r="H773" s="1363" t="s">
        <v>3538</v>
      </c>
    </row>
    <row r="774" spans="2:8" x14ac:dyDescent="0.25">
      <c r="B774" s="1358" t="s">
        <v>6897</v>
      </c>
      <c r="C774" s="1359" t="s">
        <v>6917</v>
      </c>
      <c r="D774" s="1360">
        <v>7656</v>
      </c>
      <c r="E774" s="1361" t="s">
        <v>1783</v>
      </c>
      <c r="F774" s="1360" t="s">
        <v>1155</v>
      </c>
      <c r="G774" s="1362">
        <v>169684</v>
      </c>
      <c r="H774" s="1363" t="s">
        <v>3538</v>
      </c>
    </row>
    <row r="775" spans="2:8" x14ac:dyDescent="0.25">
      <c r="B775" s="1358" t="s">
        <v>6897</v>
      </c>
      <c r="C775" s="1359" t="s">
        <v>6917</v>
      </c>
      <c r="D775" s="1360">
        <v>7657</v>
      </c>
      <c r="E775" s="1361" t="s">
        <v>1784</v>
      </c>
      <c r="F775" s="1360" t="s">
        <v>1155</v>
      </c>
      <c r="G775" s="1362">
        <v>276203</v>
      </c>
      <c r="H775" s="1363" t="s">
        <v>3538</v>
      </c>
    </row>
    <row r="776" spans="2:8" x14ac:dyDescent="0.25">
      <c r="B776" s="1358" t="s">
        <v>6897</v>
      </c>
      <c r="C776" s="1359" t="s">
        <v>6926</v>
      </c>
      <c r="D776" s="1360">
        <v>7658</v>
      </c>
      <c r="E776" s="1361" t="s">
        <v>1785</v>
      </c>
      <c r="F776" s="1360" t="s">
        <v>3</v>
      </c>
      <c r="G776" s="1362">
        <v>1144542</v>
      </c>
      <c r="H776" s="1363" t="s">
        <v>6899</v>
      </c>
    </row>
    <row r="777" spans="2:8" x14ac:dyDescent="0.25">
      <c r="B777" s="1358" t="s">
        <v>6897</v>
      </c>
      <c r="C777" s="1359" t="s">
        <v>6922</v>
      </c>
      <c r="D777" s="1360">
        <v>7664</v>
      </c>
      <c r="E777" s="1361" t="s">
        <v>1786</v>
      </c>
      <c r="F777" s="1360" t="s">
        <v>266</v>
      </c>
      <c r="G777" s="1362">
        <v>1124545</v>
      </c>
      <c r="H777" s="1363" t="s">
        <v>3538</v>
      </c>
    </row>
    <row r="778" spans="2:8" x14ac:dyDescent="0.25">
      <c r="B778" s="1358" t="s">
        <v>6897</v>
      </c>
      <c r="C778" s="1359" t="s">
        <v>6917</v>
      </c>
      <c r="D778" s="1360">
        <v>7680</v>
      </c>
      <c r="E778" s="1361" t="s">
        <v>1787</v>
      </c>
      <c r="F778" s="1360" t="s">
        <v>1155</v>
      </c>
      <c r="G778" s="1362">
        <v>67552</v>
      </c>
      <c r="H778" s="1363" t="s">
        <v>3538</v>
      </c>
    </row>
    <row r="779" spans="2:8" x14ac:dyDescent="0.25">
      <c r="B779" s="1358" t="s">
        <v>6897</v>
      </c>
      <c r="C779" s="1359" t="s">
        <v>6905</v>
      </c>
      <c r="D779" s="1360">
        <v>7686</v>
      </c>
      <c r="E779" s="1361" t="s">
        <v>1788</v>
      </c>
      <c r="F779" s="1360" t="s">
        <v>3</v>
      </c>
      <c r="G779" s="1362">
        <v>81001</v>
      </c>
      <c r="H779" s="1363" t="s">
        <v>6899</v>
      </c>
    </row>
    <row r="780" spans="2:8" x14ac:dyDescent="0.25">
      <c r="B780" s="1358" t="s">
        <v>6897</v>
      </c>
      <c r="C780" s="1359" t="s">
        <v>6905</v>
      </c>
      <c r="D780" s="1360">
        <v>7687</v>
      </c>
      <c r="E780" s="1361" t="s">
        <v>1789</v>
      </c>
      <c r="F780" s="1360" t="s">
        <v>3</v>
      </c>
      <c r="G780" s="1362">
        <v>87703</v>
      </c>
      <c r="H780" s="1363" t="s">
        <v>6899</v>
      </c>
    </row>
    <row r="781" spans="2:8" x14ac:dyDescent="0.25">
      <c r="B781" s="1358" t="s">
        <v>6897</v>
      </c>
      <c r="C781" s="1359" t="s">
        <v>6905</v>
      </c>
      <c r="D781" s="1360">
        <v>7688</v>
      </c>
      <c r="E781" s="1361" t="s">
        <v>1790</v>
      </c>
      <c r="F781" s="1360" t="s">
        <v>3</v>
      </c>
      <c r="G781" s="1362">
        <v>73780</v>
      </c>
      <c r="H781" s="1363" t="s">
        <v>6899</v>
      </c>
    </row>
    <row r="782" spans="2:8" x14ac:dyDescent="0.25">
      <c r="B782" s="1358" t="s">
        <v>6897</v>
      </c>
      <c r="C782" s="1359" t="s">
        <v>6905</v>
      </c>
      <c r="D782" s="1360">
        <v>7689</v>
      </c>
      <c r="E782" s="1361" t="s">
        <v>1791</v>
      </c>
      <c r="F782" s="1360" t="s">
        <v>3</v>
      </c>
      <c r="G782" s="1362">
        <v>71400</v>
      </c>
      <c r="H782" s="1363" t="s">
        <v>6899</v>
      </c>
    </row>
    <row r="783" spans="2:8" x14ac:dyDescent="0.25">
      <c r="B783" s="1358" t="s">
        <v>6897</v>
      </c>
      <c r="C783" s="1359" t="s">
        <v>6905</v>
      </c>
      <c r="D783" s="1360">
        <v>7690</v>
      </c>
      <c r="E783" s="1361" t="s">
        <v>1792</v>
      </c>
      <c r="F783" s="1360" t="s">
        <v>3</v>
      </c>
      <c r="G783" s="1362">
        <v>71400</v>
      </c>
      <c r="H783" s="1363" t="s">
        <v>6899</v>
      </c>
    </row>
    <row r="784" spans="2:8" x14ac:dyDescent="0.25">
      <c r="B784" s="1358" t="s">
        <v>6897</v>
      </c>
      <c r="C784" s="1359" t="s">
        <v>6905</v>
      </c>
      <c r="D784" s="1360">
        <v>7691</v>
      </c>
      <c r="E784" s="1361" t="s">
        <v>1793</v>
      </c>
      <c r="F784" s="1360" t="s">
        <v>3</v>
      </c>
      <c r="G784" s="1362">
        <v>65450</v>
      </c>
      <c r="H784" s="1363" t="s">
        <v>6899</v>
      </c>
    </row>
    <row r="785" spans="2:8" x14ac:dyDescent="0.25">
      <c r="B785" s="1358" t="s">
        <v>6897</v>
      </c>
      <c r="C785" s="1359" t="s">
        <v>6905</v>
      </c>
      <c r="D785" s="1360">
        <v>7692</v>
      </c>
      <c r="E785" s="1361" t="s">
        <v>1794</v>
      </c>
      <c r="F785" s="1360" t="s">
        <v>3</v>
      </c>
      <c r="G785" s="1362">
        <v>85680</v>
      </c>
      <c r="H785" s="1363" t="s">
        <v>6899</v>
      </c>
    </row>
    <row r="786" spans="2:8" x14ac:dyDescent="0.25">
      <c r="B786" s="1358" t="s">
        <v>6897</v>
      </c>
      <c r="C786" s="1359" t="s">
        <v>6912</v>
      </c>
      <c r="D786" s="1360">
        <v>7695</v>
      </c>
      <c r="E786" s="1361" t="s">
        <v>3600</v>
      </c>
      <c r="F786" s="1360" t="s">
        <v>202</v>
      </c>
      <c r="G786" s="1362">
        <v>1785</v>
      </c>
      <c r="H786" s="1363" t="s">
        <v>6899</v>
      </c>
    </row>
    <row r="787" spans="2:8" x14ac:dyDescent="0.25">
      <c r="B787" s="1358" t="s">
        <v>6897</v>
      </c>
      <c r="C787" s="1359" t="s">
        <v>6912</v>
      </c>
      <c r="D787" s="1360">
        <v>7697</v>
      </c>
      <c r="E787" s="1361" t="s">
        <v>3601</v>
      </c>
      <c r="F787" s="1360" t="s">
        <v>202</v>
      </c>
      <c r="G787" s="1362">
        <v>11996</v>
      </c>
      <c r="H787" s="1363" t="s">
        <v>6899</v>
      </c>
    </row>
    <row r="788" spans="2:8" x14ac:dyDescent="0.25">
      <c r="B788" s="1358" t="s">
        <v>6897</v>
      </c>
      <c r="C788" s="1359" t="s">
        <v>6912</v>
      </c>
      <c r="D788" s="1360">
        <v>7698</v>
      </c>
      <c r="E788" s="1361" t="s">
        <v>1795</v>
      </c>
      <c r="F788" s="1360" t="s">
        <v>202</v>
      </c>
      <c r="G788" s="1362">
        <v>2142</v>
      </c>
      <c r="H788" s="1363" t="s">
        <v>6899</v>
      </c>
    </row>
    <row r="789" spans="2:8" x14ac:dyDescent="0.25">
      <c r="B789" s="1358" t="s">
        <v>6897</v>
      </c>
      <c r="C789" s="1359" t="s">
        <v>6931</v>
      </c>
      <c r="D789" s="1360">
        <v>7699</v>
      </c>
      <c r="E789" s="1361" t="s">
        <v>1796</v>
      </c>
      <c r="F789" s="1360" t="s">
        <v>266</v>
      </c>
      <c r="G789" s="1362">
        <v>4779</v>
      </c>
      <c r="H789" s="1363" t="s">
        <v>3538</v>
      </c>
    </row>
    <row r="790" spans="2:8" x14ac:dyDescent="0.25">
      <c r="B790" s="1358" t="s">
        <v>6897</v>
      </c>
      <c r="C790" s="1359" t="s">
        <v>6931</v>
      </c>
      <c r="D790" s="1360">
        <v>7700</v>
      </c>
      <c r="E790" s="1361" t="s">
        <v>1797</v>
      </c>
      <c r="F790" s="1360" t="s">
        <v>266</v>
      </c>
      <c r="G790" s="1362">
        <v>8542</v>
      </c>
      <c r="H790" s="1363" t="s">
        <v>3538</v>
      </c>
    </row>
    <row r="791" spans="2:8" x14ac:dyDescent="0.25">
      <c r="B791" s="1358" t="s">
        <v>6897</v>
      </c>
      <c r="C791" s="1359" t="s">
        <v>6912</v>
      </c>
      <c r="D791" s="1360">
        <v>7701</v>
      </c>
      <c r="E791" s="1361" t="s">
        <v>3602</v>
      </c>
      <c r="F791" s="1360" t="s">
        <v>202</v>
      </c>
      <c r="G791" s="1362">
        <v>3750</v>
      </c>
      <c r="H791" s="1363" t="s">
        <v>6899</v>
      </c>
    </row>
    <row r="792" spans="2:8" x14ac:dyDescent="0.25">
      <c r="B792" s="1358" t="s">
        <v>6897</v>
      </c>
      <c r="C792" s="1359" t="s">
        <v>6912</v>
      </c>
      <c r="D792" s="1360">
        <v>7707</v>
      </c>
      <c r="E792" s="1361" t="s">
        <v>3603</v>
      </c>
      <c r="F792" s="1360" t="s">
        <v>1124</v>
      </c>
      <c r="G792" s="1362">
        <v>61887</v>
      </c>
      <c r="H792" s="1363" t="s">
        <v>6899</v>
      </c>
    </row>
    <row r="793" spans="2:8" x14ac:dyDescent="0.25">
      <c r="B793" s="1358" t="s">
        <v>6897</v>
      </c>
      <c r="C793" s="1359" t="s">
        <v>6906</v>
      </c>
      <c r="D793" s="1360">
        <v>7710</v>
      </c>
      <c r="E793" s="1361" t="s">
        <v>1799</v>
      </c>
      <c r="F793" s="1360" t="s">
        <v>266</v>
      </c>
      <c r="G793" s="1362">
        <v>34578</v>
      </c>
      <c r="H793" s="1363" t="s">
        <v>3535</v>
      </c>
    </row>
    <row r="794" spans="2:8" x14ac:dyDescent="0.25">
      <c r="B794" s="1358" t="s">
        <v>6897</v>
      </c>
      <c r="C794" s="1359" t="s">
        <v>6908</v>
      </c>
      <c r="D794" s="1360">
        <v>7713</v>
      </c>
      <c r="E794" s="1361" t="s">
        <v>1800</v>
      </c>
      <c r="F794" s="1360" t="s">
        <v>266</v>
      </c>
      <c r="G794" s="1362">
        <v>9555</v>
      </c>
      <c r="H794" s="1363" t="s">
        <v>3538</v>
      </c>
    </row>
    <row r="795" spans="2:8" x14ac:dyDescent="0.25">
      <c r="B795" s="1358" t="s">
        <v>6897</v>
      </c>
      <c r="C795" s="1359" t="s">
        <v>6901</v>
      </c>
      <c r="D795" s="1360">
        <v>7714</v>
      </c>
      <c r="E795" s="1361" t="s">
        <v>6985</v>
      </c>
      <c r="F795" s="1360" t="s">
        <v>12</v>
      </c>
      <c r="G795" s="1362">
        <v>53550</v>
      </c>
      <c r="H795" s="1363" t="s">
        <v>3538</v>
      </c>
    </row>
    <row r="796" spans="2:8" x14ac:dyDescent="0.25">
      <c r="B796" s="1358" t="s">
        <v>6897</v>
      </c>
      <c r="C796" s="1359" t="s">
        <v>6901</v>
      </c>
      <c r="D796" s="1360">
        <v>7715</v>
      </c>
      <c r="E796" s="1361" t="s">
        <v>6986</v>
      </c>
      <c r="F796" s="1360" t="s">
        <v>12</v>
      </c>
      <c r="G796" s="1362">
        <v>48000</v>
      </c>
      <c r="H796" s="1363" t="s">
        <v>3538</v>
      </c>
    </row>
    <row r="797" spans="2:8" x14ac:dyDescent="0.25">
      <c r="B797" s="1358" t="s">
        <v>6897</v>
      </c>
      <c r="C797" s="1359" t="s">
        <v>6901</v>
      </c>
      <c r="D797" s="1360">
        <v>7717</v>
      </c>
      <c r="E797" s="1361" t="s">
        <v>6987</v>
      </c>
      <c r="F797" s="1360" t="s">
        <v>266</v>
      </c>
      <c r="G797" s="1362">
        <v>167790</v>
      </c>
      <c r="H797" s="1363" t="s">
        <v>3538</v>
      </c>
    </row>
    <row r="798" spans="2:8" x14ac:dyDescent="0.25">
      <c r="B798" s="1358" t="s">
        <v>6897</v>
      </c>
      <c r="C798" s="1359" t="s">
        <v>6901</v>
      </c>
      <c r="D798" s="1360">
        <v>7718</v>
      </c>
      <c r="E798" s="1361" t="s">
        <v>6988</v>
      </c>
      <c r="F798" s="1360" t="s">
        <v>266</v>
      </c>
      <c r="G798" s="1362">
        <v>97500</v>
      </c>
      <c r="H798" s="1363" t="s">
        <v>3538</v>
      </c>
    </row>
    <row r="799" spans="2:8" x14ac:dyDescent="0.25">
      <c r="B799" s="1358" t="s">
        <v>6897</v>
      </c>
      <c r="C799" s="1359" t="s">
        <v>6901</v>
      </c>
      <c r="D799" s="1360">
        <v>7720</v>
      </c>
      <c r="E799" s="1361" t="s">
        <v>6989</v>
      </c>
      <c r="F799" s="1360" t="s">
        <v>266</v>
      </c>
      <c r="G799" s="1362">
        <v>152915</v>
      </c>
      <c r="H799" s="1363" t="s">
        <v>3538</v>
      </c>
    </row>
    <row r="800" spans="2:8" x14ac:dyDescent="0.25">
      <c r="B800" s="1358" t="s">
        <v>6897</v>
      </c>
      <c r="C800" s="1359" t="s">
        <v>6908</v>
      </c>
      <c r="D800" s="1360">
        <v>7722</v>
      </c>
      <c r="E800" s="1361" t="s">
        <v>1801</v>
      </c>
      <c r="F800" s="1360" t="s">
        <v>13</v>
      </c>
      <c r="G800" s="1362">
        <v>13807</v>
      </c>
      <c r="H800" s="1363" t="s">
        <v>3538</v>
      </c>
    </row>
    <row r="801" spans="2:8" x14ac:dyDescent="0.25">
      <c r="B801" s="1358" t="s">
        <v>6897</v>
      </c>
      <c r="C801" s="1359" t="s">
        <v>6901</v>
      </c>
      <c r="D801" s="1360">
        <v>7723</v>
      </c>
      <c r="E801" s="1361" t="s">
        <v>1802</v>
      </c>
      <c r="F801" s="1360" t="s">
        <v>266</v>
      </c>
      <c r="G801" s="1362">
        <v>1000000</v>
      </c>
      <c r="H801" s="1363" t="s">
        <v>3538</v>
      </c>
    </row>
    <row r="802" spans="2:8" x14ac:dyDescent="0.25">
      <c r="B802" s="1358" t="s">
        <v>6897</v>
      </c>
      <c r="C802" s="1359" t="s">
        <v>6901</v>
      </c>
      <c r="D802" s="1360">
        <v>7724</v>
      </c>
      <c r="E802" s="1361" t="s">
        <v>1803</v>
      </c>
      <c r="F802" s="1360" t="s">
        <v>266</v>
      </c>
      <c r="G802" s="1362">
        <v>1500000</v>
      </c>
      <c r="H802" s="1363" t="s">
        <v>3538</v>
      </c>
    </row>
    <row r="803" spans="2:8" x14ac:dyDescent="0.25">
      <c r="B803" s="1358" t="s">
        <v>6897</v>
      </c>
      <c r="C803" s="1359" t="s">
        <v>6901</v>
      </c>
      <c r="D803" s="1360">
        <v>7725</v>
      </c>
      <c r="E803" s="1361" t="s">
        <v>1804</v>
      </c>
      <c r="F803" s="1360" t="s">
        <v>266</v>
      </c>
      <c r="G803" s="1362">
        <v>2000000</v>
      </c>
      <c r="H803" s="1363" t="s">
        <v>3538</v>
      </c>
    </row>
    <row r="804" spans="2:8" x14ac:dyDescent="0.25">
      <c r="B804" s="1358" t="s">
        <v>6897</v>
      </c>
      <c r="C804" s="1359" t="s">
        <v>6990</v>
      </c>
      <c r="D804" s="1360">
        <v>7727</v>
      </c>
      <c r="E804" s="1361" t="s">
        <v>1805</v>
      </c>
      <c r="F804" s="1360" t="s">
        <v>13</v>
      </c>
      <c r="G804" s="1362">
        <v>92820</v>
      </c>
      <c r="H804" s="1363" t="s">
        <v>3538</v>
      </c>
    </row>
    <row r="805" spans="2:8" x14ac:dyDescent="0.25">
      <c r="B805" s="1358" t="s">
        <v>6897</v>
      </c>
      <c r="C805" s="1359" t="s">
        <v>6990</v>
      </c>
      <c r="D805" s="1360">
        <v>7728</v>
      </c>
      <c r="E805" s="1361" t="s">
        <v>1806</v>
      </c>
      <c r="F805" s="1360" t="s">
        <v>13</v>
      </c>
      <c r="G805" s="1362">
        <v>130662</v>
      </c>
      <c r="H805" s="1363" t="s">
        <v>3538</v>
      </c>
    </row>
    <row r="806" spans="2:8" x14ac:dyDescent="0.25">
      <c r="B806" s="1358" t="s">
        <v>6897</v>
      </c>
      <c r="C806" s="1359" t="s">
        <v>6990</v>
      </c>
      <c r="D806" s="1360">
        <v>7729</v>
      </c>
      <c r="E806" s="1361" t="s">
        <v>1807</v>
      </c>
      <c r="F806" s="1360" t="s">
        <v>13</v>
      </c>
      <c r="G806" s="1362">
        <v>314160</v>
      </c>
      <c r="H806" s="1363" t="s">
        <v>3538</v>
      </c>
    </row>
    <row r="807" spans="2:8" x14ac:dyDescent="0.25">
      <c r="B807" s="1358" t="s">
        <v>6897</v>
      </c>
      <c r="C807" s="1359" t="s">
        <v>6990</v>
      </c>
      <c r="D807" s="1360">
        <v>7730</v>
      </c>
      <c r="E807" s="1361" t="s">
        <v>1808</v>
      </c>
      <c r="F807" s="1360" t="s">
        <v>13</v>
      </c>
      <c r="G807" s="1362">
        <v>568860</v>
      </c>
      <c r="H807" s="1363" t="s">
        <v>3538</v>
      </c>
    </row>
    <row r="808" spans="2:8" x14ac:dyDescent="0.25">
      <c r="B808" s="1358" t="s">
        <v>6897</v>
      </c>
      <c r="C808" s="1359" t="s">
        <v>6925</v>
      </c>
      <c r="D808" s="1360">
        <v>7733</v>
      </c>
      <c r="E808" s="1361" t="s">
        <v>1809</v>
      </c>
      <c r="F808" s="1360" t="s">
        <v>6</v>
      </c>
      <c r="G808" s="1362">
        <v>35</v>
      </c>
      <c r="H808" s="1363" t="s">
        <v>6899</v>
      </c>
    </row>
    <row r="809" spans="2:8" x14ac:dyDescent="0.25">
      <c r="B809" s="1358" t="s">
        <v>6897</v>
      </c>
      <c r="C809" s="1359" t="s">
        <v>6938</v>
      </c>
      <c r="D809" s="1360">
        <v>7737</v>
      </c>
      <c r="E809" s="1361" t="s">
        <v>3604</v>
      </c>
      <c r="F809" s="1360" t="s">
        <v>266</v>
      </c>
      <c r="G809" s="1362">
        <v>94010</v>
      </c>
      <c r="H809" s="1363" t="s">
        <v>6899</v>
      </c>
    </row>
    <row r="810" spans="2:8" x14ac:dyDescent="0.25">
      <c r="B810" s="1358" t="s">
        <v>6897</v>
      </c>
      <c r="C810" s="1359" t="s">
        <v>6938</v>
      </c>
      <c r="D810" s="1360">
        <v>7738</v>
      </c>
      <c r="E810" s="1361" t="s">
        <v>3605</v>
      </c>
      <c r="F810" s="1360" t="s">
        <v>266</v>
      </c>
      <c r="G810" s="1362">
        <v>119000</v>
      </c>
      <c r="H810" s="1363" t="s">
        <v>6899</v>
      </c>
    </row>
    <row r="811" spans="2:8" x14ac:dyDescent="0.25">
      <c r="B811" s="1358" t="s">
        <v>6897</v>
      </c>
      <c r="C811" s="1359" t="s">
        <v>6938</v>
      </c>
      <c r="D811" s="1360">
        <v>7743</v>
      </c>
      <c r="E811" s="1361" t="s">
        <v>3606</v>
      </c>
      <c r="F811" s="1360" t="s">
        <v>266</v>
      </c>
      <c r="G811" s="1362">
        <v>68128</v>
      </c>
      <c r="H811" s="1363" t="s">
        <v>6899</v>
      </c>
    </row>
    <row r="812" spans="2:8" x14ac:dyDescent="0.25">
      <c r="B812" s="1358" t="s">
        <v>6897</v>
      </c>
      <c r="C812" s="1359" t="s">
        <v>6938</v>
      </c>
      <c r="D812" s="1360">
        <v>7744</v>
      </c>
      <c r="E812" s="1361" t="s">
        <v>3607</v>
      </c>
      <c r="F812" s="1360" t="s">
        <v>266</v>
      </c>
      <c r="G812" s="1362">
        <v>109480</v>
      </c>
      <c r="H812" s="1363" t="s">
        <v>6899</v>
      </c>
    </row>
    <row r="813" spans="2:8" x14ac:dyDescent="0.25">
      <c r="B813" s="1358" t="s">
        <v>6897</v>
      </c>
      <c r="C813" s="1359" t="s">
        <v>6938</v>
      </c>
      <c r="D813" s="1360">
        <v>7750</v>
      </c>
      <c r="E813" s="1361" t="s">
        <v>3608</v>
      </c>
      <c r="F813" s="1360" t="s">
        <v>266</v>
      </c>
      <c r="G813" s="1362">
        <v>83657</v>
      </c>
      <c r="H813" s="1363" t="s">
        <v>6899</v>
      </c>
    </row>
    <row r="814" spans="2:8" x14ac:dyDescent="0.25">
      <c r="B814" s="1358" t="s">
        <v>6897</v>
      </c>
      <c r="C814" s="1359" t="s">
        <v>6942</v>
      </c>
      <c r="D814" s="1360">
        <v>7752</v>
      </c>
      <c r="E814" s="1361" t="s">
        <v>3609</v>
      </c>
      <c r="F814" s="1360" t="s">
        <v>266</v>
      </c>
      <c r="G814" s="1362">
        <v>115000</v>
      </c>
      <c r="H814" s="1363" t="s">
        <v>6899</v>
      </c>
    </row>
    <row r="815" spans="2:8" x14ac:dyDescent="0.25">
      <c r="B815" s="1358" t="s">
        <v>6897</v>
      </c>
      <c r="C815" s="1359" t="s">
        <v>6942</v>
      </c>
      <c r="D815" s="1360">
        <v>7754</v>
      </c>
      <c r="E815" s="1361" t="s">
        <v>3610</v>
      </c>
      <c r="F815" s="1360" t="s">
        <v>266</v>
      </c>
      <c r="G815" s="1362">
        <v>142800</v>
      </c>
      <c r="H815" s="1363" t="s">
        <v>6899</v>
      </c>
    </row>
    <row r="816" spans="2:8" x14ac:dyDescent="0.25">
      <c r="B816" s="1358" t="s">
        <v>6897</v>
      </c>
      <c r="C816" s="1359" t="s">
        <v>6943</v>
      </c>
      <c r="D816" s="1360">
        <v>7755</v>
      </c>
      <c r="E816" s="1361" t="s">
        <v>3611</v>
      </c>
      <c r="F816" s="1360" t="s">
        <v>266</v>
      </c>
      <c r="G816" s="1362">
        <v>866320</v>
      </c>
      <c r="H816" s="1363" t="s">
        <v>6899</v>
      </c>
    </row>
    <row r="817" spans="2:8" x14ac:dyDescent="0.25">
      <c r="B817" s="1358" t="s">
        <v>6897</v>
      </c>
      <c r="C817" s="1359" t="s">
        <v>6943</v>
      </c>
      <c r="D817" s="1360">
        <v>7758</v>
      </c>
      <c r="E817" s="1361" t="s">
        <v>3612</v>
      </c>
      <c r="F817" s="1360" t="s">
        <v>266</v>
      </c>
      <c r="G817" s="1362">
        <v>1642200</v>
      </c>
      <c r="H817" s="1363" t="s">
        <v>6899</v>
      </c>
    </row>
    <row r="818" spans="2:8" x14ac:dyDescent="0.25">
      <c r="B818" s="1358" t="s">
        <v>6897</v>
      </c>
      <c r="C818" s="1359" t="s">
        <v>6941</v>
      </c>
      <c r="D818" s="1360">
        <v>7762</v>
      </c>
      <c r="E818" s="1361" t="s">
        <v>3613</v>
      </c>
      <c r="F818" s="1360" t="s">
        <v>266</v>
      </c>
      <c r="G818" s="1362">
        <v>255850</v>
      </c>
      <c r="H818" s="1363" t="s">
        <v>6899</v>
      </c>
    </row>
    <row r="819" spans="2:8" x14ac:dyDescent="0.25">
      <c r="B819" s="1358" t="s">
        <v>6897</v>
      </c>
      <c r="C819" s="1359" t="s">
        <v>6942</v>
      </c>
      <c r="D819" s="1360">
        <v>7766</v>
      </c>
      <c r="E819" s="1361" t="s">
        <v>3614</v>
      </c>
      <c r="F819" s="1360" t="s">
        <v>266</v>
      </c>
      <c r="G819" s="1362">
        <v>166600</v>
      </c>
      <c r="H819" s="1363" t="s">
        <v>6899</v>
      </c>
    </row>
    <row r="820" spans="2:8" x14ac:dyDescent="0.25">
      <c r="B820" s="1358" t="s">
        <v>6897</v>
      </c>
      <c r="C820" s="1359" t="s">
        <v>6902</v>
      </c>
      <c r="D820" s="1360">
        <v>7767</v>
      </c>
      <c r="E820" s="1361" t="s">
        <v>1810</v>
      </c>
      <c r="F820" s="1360" t="s">
        <v>1124</v>
      </c>
      <c r="G820" s="1362">
        <v>1012</v>
      </c>
      <c r="H820" s="1363" t="s">
        <v>3538</v>
      </c>
    </row>
    <row r="821" spans="2:8" x14ac:dyDescent="0.25">
      <c r="B821" s="1358" t="s">
        <v>6897</v>
      </c>
      <c r="C821" s="1359" t="s">
        <v>6902</v>
      </c>
      <c r="D821" s="1360">
        <v>7769</v>
      </c>
      <c r="E821" s="1361" t="s">
        <v>1811</v>
      </c>
      <c r="F821" s="1360" t="s">
        <v>1124</v>
      </c>
      <c r="G821" s="1362">
        <v>833</v>
      </c>
      <c r="H821" s="1363" t="s">
        <v>3538</v>
      </c>
    </row>
    <row r="822" spans="2:8" x14ac:dyDescent="0.25">
      <c r="B822" s="1358" t="s">
        <v>6897</v>
      </c>
      <c r="C822" s="1359" t="s">
        <v>6943</v>
      </c>
      <c r="D822" s="1360">
        <v>7770</v>
      </c>
      <c r="E822" s="1361" t="s">
        <v>1812</v>
      </c>
      <c r="F822" s="1360" t="s">
        <v>266</v>
      </c>
      <c r="G822" s="1362">
        <v>1827000</v>
      </c>
      <c r="H822" s="1363" t="s">
        <v>6899</v>
      </c>
    </row>
    <row r="823" spans="2:8" x14ac:dyDescent="0.25">
      <c r="B823" s="1358" t="s">
        <v>6897</v>
      </c>
      <c r="C823" s="1359" t="s">
        <v>6991</v>
      </c>
      <c r="D823" s="1360">
        <v>7772</v>
      </c>
      <c r="E823" s="1361" t="s">
        <v>3615</v>
      </c>
      <c r="F823" s="1360" t="s">
        <v>266</v>
      </c>
      <c r="G823" s="1362">
        <v>56861</v>
      </c>
      <c r="H823" s="1363" t="s">
        <v>6899</v>
      </c>
    </row>
    <row r="824" spans="2:8" x14ac:dyDescent="0.25">
      <c r="B824" s="1358" t="s">
        <v>6897</v>
      </c>
      <c r="C824" s="1359" t="s">
        <v>6991</v>
      </c>
      <c r="D824" s="1360">
        <v>7773</v>
      </c>
      <c r="E824" s="1361" t="s">
        <v>3616</v>
      </c>
      <c r="F824" s="1360" t="s">
        <v>266</v>
      </c>
      <c r="G824" s="1362">
        <v>56861</v>
      </c>
      <c r="H824" s="1363" t="s">
        <v>6899</v>
      </c>
    </row>
    <row r="825" spans="2:8" x14ac:dyDescent="0.25">
      <c r="B825" s="1358" t="s">
        <v>6897</v>
      </c>
      <c r="C825" s="1359" t="s">
        <v>6991</v>
      </c>
      <c r="D825" s="1360">
        <v>7774</v>
      </c>
      <c r="E825" s="1361" t="s">
        <v>3617</v>
      </c>
      <c r="F825" s="1360" t="s">
        <v>266</v>
      </c>
      <c r="G825" s="1362">
        <v>11424</v>
      </c>
      <c r="H825" s="1363" t="s">
        <v>6899</v>
      </c>
    </row>
    <row r="826" spans="2:8" x14ac:dyDescent="0.25">
      <c r="B826" s="1358" t="s">
        <v>6897</v>
      </c>
      <c r="C826" s="1359" t="s">
        <v>6991</v>
      </c>
      <c r="D826" s="1360">
        <v>7775</v>
      </c>
      <c r="E826" s="1361" t="s">
        <v>3618</v>
      </c>
      <c r="F826" s="1360" t="s">
        <v>266</v>
      </c>
      <c r="G826" s="1362">
        <v>53550</v>
      </c>
      <c r="H826" s="1363" t="s">
        <v>6899</v>
      </c>
    </row>
    <row r="827" spans="2:8" x14ac:dyDescent="0.25">
      <c r="B827" s="1358" t="s">
        <v>6897</v>
      </c>
      <c r="C827" s="1359" t="s">
        <v>6991</v>
      </c>
      <c r="D827" s="1360">
        <v>7776</v>
      </c>
      <c r="E827" s="1361" t="s">
        <v>3619</v>
      </c>
      <c r="F827" s="1360" t="s">
        <v>266</v>
      </c>
      <c r="G827" s="1362">
        <v>28274</v>
      </c>
      <c r="H827" s="1363" t="s">
        <v>6899</v>
      </c>
    </row>
    <row r="828" spans="2:8" x14ac:dyDescent="0.25">
      <c r="B828" s="1358" t="s">
        <v>6897</v>
      </c>
      <c r="C828" s="1359" t="s">
        <v>6991</v>
      </c>
      <c r="D828" s="1360">
        <v>7777</v>
      </c>
      <c r="E828" s="1361" t="s">
        <v>3620</v>
      </c>
      <c r="F828" s="1360" t="s">
        <v>266</v>
      </c>
      <c r="G828" s="1362">
        <v>51884</v>
      </c>
      <c r="H828" s="1363" t="s">
        <v>6899</v>
      </c>
    </row>
    <row r="829" spans="2:8" x14ac:dyDescent="0.25">
      <c r="B829" s="1358" t="s">
        <v>6897</v>
      </c>
      <c r="C829" s="1359" t="s">
        <v>6991</v>
      </c>
      <c r="D829" s="1360">
        <v>7778</v>
      </c>
      <c r="E829" s="1361" t="s">
        <v>3621</v>
      </c>
      <c r="F829" s="1360" t="s">
        <v>266</v>
      </c>
      <c r="G829" s="1362">
        <v>51884</v>
      </c>
      <c r="H829" s="1363" t="s">
        <v>6899</v>
      </c>
    </row>
    <row r="830" spans="2:8" x14ac:dyDescent="0.25">
      <c r="B830" s="1358" t="s">
        <v>6897</v>
      </c>
      <c r="C830" s="1359" t="s">
        <v>6991</v>
      </c>
      <c r="D830" s="1360">
        <v>7780</v>
      </c>
      <c r="E830" s="1361" t="s">
        <v>3622</v>
      </c>
      <c r="F830" s="1360" t="s">
        <v>266</v>
      </c>
      <c r="G830" s="1362">
        <v>33320</v>
      </c>
      <c r="H830" s="1363" t="s">
        <v>6899</v>
      </c>
    </row>
    <row r="831" spans="2:8" x14ac:dyDescent="0.25">
      <c r="B831" s="1358" t="s">
        <v>6897</v>
      </c>
      <c r="C831" s="1359" t="s">
        <v>6991</v>
      </c>
      <c r="D831" s="1360">
        <v>7781</v>
      </c>
      <c r="E831" s="1361" t="s">
        <v>3623</v>
      </c>
      <c r="F831" s="1360" t="s">
        <v>266</v>
      </c>
      <c r="G831" s="1362">
        <v>13479</v>
      </c>
      <c r="H831" s="1363" t="s">
        <v>6899</v>
      </c>
    </row>
    <row r="832" spans="2:8" x14ac:dyDescent="0.25">
      <c r="B832" s="1358" t="s">
        <v>6897</v>
      </c>
      <c r="C832" s="1359" t="s">
        <v>6991</v>
      </c>
      <c r="D832" s="1360">
        <v>7782</v>
      </c>
      <c r="E832" s="1361" t="s">
        <v>3624</v>
      </c>
      <c r="F832" s="1360" t="s">
        <v>266</v>
      </c>
      <c r="G832" s="1362">
        <v>14518</v>
      </c>
      <c r="H832" s="1363" t="s">
        <v>6899</v>
      </c>
    </row>
    <row r="833" spans="2:8" x14ac:dyDescent="0.25">
      <c r="B833" s="1358" t="s">
        <v>6897</v>
      </c>
      <c r="C833" s="1359" t="s">
        <v>6991</v>
      </c>
      <c r="D833" s="1360">
        <v>7783</v>
      </c>
      <c r="E833" s="1361" t="s">
        <v>3625</v>
      </c>
      <c r="F833" s="1360" t="s">
        <v>266</v>
      </c>
      <c r="G833" s="1362">
        <v>8169</v>
      </c>
      <c r="H833" s="1363" t="s">
        <v>6899</v>
      </c>
    </row>
    <row r="834" spans="2:8" x14ac:dyDescent="0.25">
      <c r="B834" s="1358" t="s">
        <v>6897</v>
      </c>
      <c r="C834" s="1359" t="s">
        <v>6991</v>
      </c>
      <c r="D834" s="1360">
        <v>7784</v>
      </c>
      <c r="E834" s="1361" t="s">
        <v>3626</v>
      </c>
      <c r="F834" s="1360" t="s">
        <v>266</v>
      </c>
      <c r="G834" s="1362">
        <v>65450</v>
      </c>
      <c r="H834" s="1363" t="s">
        <v>6899</v>
      </c>
    </row>
    <row r="835" spans="2:8" x14ac:dyDescent="0.25">
      <c r="B835" s="1358" t="s">
        <v>6897</v>
      </c>
      <c r="C835" s="1359" t="s">
        <v>6991</v>
      </c>
      <c r="D835" s="1360">
        <v>7785</v>
      </c>
      <c r="E835" s="1361" t="s">
        <v>3627</v>
      </c>
      <c r="F835" s="1360" t="s">
        <v>266</v>
      </c>
      <c r="G835" s="1362">
        <v>22744</v>
      </c>
      <c r="H835" s="1363" t="s">
        <v>6899</v>
      </c>
    </row>
    <row r="836" spans="2:8" x14ac:dyDescent="0.25">
      <c r="B836" s="1358" t="s">
        <v>6897</v>
      </c>
      <c r="C836" s="1359" t="s">
        <v>6991</v>
      </c>
      <c r="D836" s="1360">
        <v>7786</v>
      </c>
      <c r="E836" s="1361" t="s">
        <v>3628</v>
      </c>
      <c r="F836" s="1360" t="s">
        <v>266</v>
      </c>
      <c r="G836" s="1362">
        <v>21206</v>
      </c>
      <c r="H836" s="1363" t="s">
        <v>6899</v>
      </c>
    </row>
    <row r="837" spans="2:8" x14ac:dyDescent="0.25">
      <c r="B837" s="1358" t="s">
        <v>6897</v>
      </c>
      <c r="C837" s="1359" t="s">
        <v>6991</v>
      </c>
      <c r="D837" s="1360">
        <v>7787</v>
      </c>
      <c r="E837" s="1361" t="s">
        <v>3629</v>
      </c>
      <c r="F837" s="1360" t="s">
        <v>266</v>
      </c>
      <c r="G837" s="1362">
        <v>21206</v>
      </c>
      <c r="H837" s="1363" t="s">
        <v>6899</v>
      </c>
    </row>
    <row r="838" spans="2:8" x14ac:dyDescent="0.25">
      <c r="B838" s="1358" t="s">
        <v>6897</v>
      </c>
      <c r="C838" s="1359" t="s">
        <v>6991</v>
      </c>
      <c r="D838" s="1360">
        <v>7788</v>
      </c>
      <c r="E838" s="1361" t="s">
        <v>3630</v>
      </c>
      <c r="F838" s="1360" t="s">
        <v>266</v>
      </c>
      <c r="G838" s="1362">
        <v>8996</v>
      </c>
      <c r="H838" s="1363" t="s">
        <v>6899</v>
      </c>
    </row>
    <row r="839" spans="2:8" x14ac:dyDescent="0.25">
      <c r="B839" s="1358" t="s">
        <v>6897</v>
      </c>
      <c r="C839" s="1359" t="s">
        <v>6991</v>
      </c>
      <c r="D839" s="1360">
        <v>7798</v>
      </c>
      <c r="E839" s="1361" t="s">
        <v>3631</v>
      </c>
      <c r="F839" s="1360" t="s">
        <v>266</v>
      </c>
      <c r="G839" s="1362">
        <v>5772</v>
      </c>
      <c r="H839" s="1363" t="s">
        <v>6899</v>
      </c>
    </row>
    <row r="840" spans="2:8" x14ac:dyDescent="0.25">
      <c r="B840" s="1358" t="s">
        <v>6897</v>
      </c>
      <c r="C840" s="1359" t="s">
        <v>6991</v>
      </c>
      <c r="D840" s="1360">
        <v>7800</v>
      </c>
      <c r="E840" s="1361" t="s">
        <v>3632</v>
      </c>
      <c r="F840" s="1360" t="s">
        <v>266</v>
      </c>
      <c r="G840" s="1362">
        <v>2975</v>
      </c>
      <c r="H840" s="1363" t="s">
        <v>6899</v>
      </c>
    </row>
    <row r="841" spans="2:8" x14ac:dyDescent="0.25">
      <c r="B841" s="1358" t="s">
        <v>6897</v>
      </c>
      <c r="C841" s="1359" t="s">
        <v>6991</v>
      </c>
      <c r="D841" s="1360">
        <v>7801</v>
      </c>
      <c r="E841" s="1361" t="s">
        <v>3633</v>
      </c>
      <c r="F841" s="1360" t="s">
        <v>266</v>
      </c>
      <c r="G841" s="1362">
        <v>11372</v>
      </c>
      <c r="H841" s="1363" t="s">
        <v>6899</v>
      </c>
    </row>
    <row r="842" spans="2:8" x14ac:dyDescent="0.25">
      <c r="B842" s="1358" t="s">
        <v>6897</v>
      </c>
      <c r="C842" s="1359" t="s">
        <v>6931</v>
      </c>
      <c r="D842" s="1360">
        <v>7811</v>
      </c>
      <c r="E842" s="1361" t="s">
        <v>1813</v>
      </c>
      <c r="F842" s="1360" t="s">
        <v>266</v>
      </c>
      <c r="G842" s="1362">
        <v>15780</v>
      </c>
      <c r="H842" s="1363" t="s">
        <v>3538</v>
      </c>
    </row>
    <row r="843" spans="2:8" x14ac:dyDescent="0.25">
      <c r="B843" s="1358" t="s">
        <v>6897</v>
      </c>
      <c r="C843" s="1359" t="s">
        <v>6931</v>
      </c>
      <c r="D843" s="1360">
        <v>7818</v>
      </c>
      <c r="E843" s="1361" t="s">
        <v>1814</v>
      </c>
      <c r="F843" s="1360" t="s">
        <v>266</v>
      </c>
      <c r="G843" s="1362">
        <v>205195</v>
      </c>
      <c r="H843" s="1363" t="s">
        <v>3538</v>
      </c>
    </row>
    <row r="844" spans="2:8" x14ac:dyDescent="0.25">
      <c r="B844" s="1358" t="s">
        <v>6897</v>
      </c>
      <c r="C844" s="1359" t="s">
        <v>6931</v>
      </c>
      <c r="D844" s="1360">
        <v>7819</v>
      </c>
      <c r="E844" s="1361" t="s">
        <v>1815</v>
      </c>
      <c r="F844" s="1360" t="s">
        <v>266</v>
      </c>
      <c r="G844" s="1362">
        <v>92000</v>
      </c>
      <c r="H844" s="1363" t="s">
        <v>3538</v>
      </c>
    </row>
    <row r="845" spans="2:8" x14ac:dyDescent="0.25">
      <c r="B845" s="1358" t="s">
        <v>6897</v>
      </c>
      <c r="C845" s="1359" t="s">
        <v>6946</v>
      </c>
      <c r="D845" s="1360">
        <v>7821</v>
      </c>
      <c r="E845" s="1361" t="s">
        <v>1816</v>
      </c>
      <c r="F845" s="1360" t="s">
        <v>710</v>
      </c>
      <c r="G845" s="1362">
        <v>149500</v>
      </c>
      <c r="H845" s="1363" t="s">
        <v>6899</v>
      </c>
    </row>
    <row r="846" spans="2:8" x14ac:dyDescent="0.25">
      <c r="B846" s="1358" t="s">
        <v>6897</v>
      </c>
      <c r="C846" s="1359" t="s">
        <v>6946</v>
      </c>
      <c r="D846" s="1360">
        <v>7822</v>
      </c>
      <c r="E846" s="1361" t="s">
        <v>1817</v>
      </c>
      <c r="F846" s="1360" t="s">
        <v>710</v>
      </c>
      <c r="G846" s="1362">
        <v>70000</v>
      </c>
      <c r="H846" s="1363" t="s">
        <v>6899</v>
      </c>
    </row>
    <row r="847" spans="2:8" x14ac:dyDescent="0.25">
      <c r="B847" s="1358" t="s">
        <v>6897</v>
      </c>
      <c r="C847" s="1359" t="s">
        <v>6946</v>
      </c>
      <c r="D847" s="1360">
        <v>7823</v>
      </c>
      <c r="E847" s="1361" t="s">
        <v>1818</v>
      </c>
      <c r="F847" s="1360" t="s">
        <v>710</v>
      </c>
      <c r="G847" s="1362">
        <v>130000</v>
      </c>
      <c r="H847" s="1363" t="s">
        <v>6899</v>
      </c>
    </row>
    <row r="848" spans="2:8" x14ac:dyDescent="0.25">
      <c r="B848" s="1358" t="s">
        <v>6897</v>
      </c>
      <c r="C848" s="1359" t="s">
        <v>6946</v>
      </c>
      <c r="D848" s="1360">
        <v>7824</v>
      </c>
      <c r="E848" s="1361" t="s">
        <v>1819</v>
      </c>
      <c r="F848" s="1360" t="s">
        <v>710</v>
      </c>
      <c r="G848" s="1362">
        <v>827</v>
      </c>
      <c r="H848" s="1363" t="s">
        <v>6899</v>
      </c>
    </row>
    <row r="849" spans="2:8" x14ac:dyDescent="0.25">
      <c r="B849" s="1358" t="s">
        <v>6897</v>
      </c>
      <c r="C849" s="1359" t="s">
        <v>6946</v>
      </c>
      <c r="D849" s="1360">
        <v>7825</v>
      </c>
      <c r="E849" s="1361" t="s">
        <v>1820</v>
      </c>
      <c r="F849" s="1360" t="s">
        <v>266</v>
      </c>
      <c r="G849" s="1362">
        <v>4379</v>
      </c>
      <c r="H849" s="1363" t="s">
        <v>6899</v>
      </c>
    </row>
    <row r="850" spans="2:8" x14ac:dyDescent="0.25">
      <c r="B850" s="1358" t="s">
        <v>6897</v>
      </c>
      <c r="C850" s="1359" t="s">
        <v>6946</v>
      </c>
      <c r="D850" s="1360">
        <v>7826</v>
      </c>
      <c r="E850" s="1361" t="s">
        <v>1821</v>
      </c>
      <c r="F850" s="1360" t="s">
        <v>266</v>
      </c>
      <c r="G850" s="1362">
        <v>8306</v>
      </c>
      <c r="H850" s="1363" t="s">
        <v>6899</v>
      </c>
    </row>
    <row r="851" spans="2:8" x14ac:dyDescent="0.25">
      <c r="B851" s="1358" t="s">
        <v>6897</v>
      </c>
      <c r="C851" s="1359" t="s">
        <v>6946</v>
      </c>
      <c r="D851" s="1360">
        <v>7827</v>
      </c>
      <c r="E851" s="1361" t="s">
        <v>1822</v>
      </c>
      <c r="F851" s="1360" t="s">
        <v>710</v>
      </c>
      <c r="G851" s="1362">
        <v>2618</v>
      </c>
      <c r="H851" s="1363" t="s">
        <v>6899</v>
      </c>
    </row>
    <row r="852" spans="2:8" x14ac:dyDescent="0.25">
      <c r="B852" s="1358" t="s">
        <v>6897</v>
      </c>
      <c r="C852" s="1359" t="s">
        <v>6946</v>
      </c>
      <c r="D852" s="1360">
        <v>7832</v>
      </c>
      <c r="E852" s="1361" t="s">
        <v>1823</v>
      </c>
      <c r="F852" s="1360" t="s">
        <v>266</v>
      </c>
      <c r="G852" s="1362">
        <v>6000</v>
      </c>
      <c r="H852" s="1363" t="s">
        <v>6899</v>
      </c>
    </row>
    <row r="853" spans="2:8" x14ac:dyDescent="0.25">
      <c r="B853" s="1358" t="s">
        <v>6897</v>
      </c>
      <c r="C853" s="1359" t="s">
        <v>6946</v>
      </c>
      <c r="D853" s="1360">
        <v>7836</v>
      </c>
      <c r="E853" s="1361" t="s">
        <v>1824</v>
      </c>
      <c r="F853" s="1360" t="s">
        <v>266</v>
      </c>
      <c r="G853" s="1362">
        <v>165410</v>
      </c>
      <c r="H853" s="1363" t="s">
        <v>6899</v>
      </c>
    </row>
    <row r="854" spans="2:8" x14ac:dyDescent="0.25">
      <c r="B854" s="1358" t="s">
        <v>6897</v>
      </c>
      <c r="C854" s="1359" t="s">
        <v>6946</v>
      </c>
      <c r="D854" s="1360">
        <v>7837</v>
      </c>
      <c r="E854" s="1361" t="s">
        <v>1825</v>
      </c>
      <c r="F854" s="1360" t="s">
        <v>266</v>
      </c>
      <c r="G854" s="1362">
        <v>247282</v>
      </c>
      <c r="H854" s="1363" t="s">
        <v>6899</v>
      </c>
    </row>
    <row r="855" spans="2:8" x14ac:dyDescent="0.25">
      <c r="B855" s="1358" t="s">
        <v>6897</v>
      </c>
      <c r="C855" s="1359" t="s">
        <v>6946</v>
      </c>
      <c r="D855" s="1360">
        <v>7838</v>
      </c>
      <c r="E855" s="1361" t="s">
        <v>1826</v>
      </c>
      <c r="F855" s="1360" t="s">
        <v>266</v>
      </c>
      <c r="G855" s="1362">
        <v>51051</v>
      </c>
      <c r="H855" s="1363" t="s">
        <v>6899</v>
      </c>
    </row>
    <row r="856" spans="2:8" x14ac:dyDescent="0.25">
      <c r="B856" s="1358" t="s">
        <v>6897</v>
      </c>
      <c r="C856" s="1359" t="s">
        <v>6946</v>
      </c>
      <c r="D856" s="1360">
        <v>7839</v>
      </c>
      <c r="E856" s="1361" t="s">
        <v>1827</v>
      </c>
      <c r="F856" s="1360" t="s">
        <v>266</v>
      </c>
      <c r="G856" s="1362">
        <v>57715</v>
      </c>
      <c r="H856" s="1363" t="s">
        <v>6899</v>
      </c>
    </row>
    <row r="857" spans="2:8" x14ac:dyDescent="0.25">
      <c r="B857" s="1358" t="s">
        <v>6897</v>
      </c>
      <c r="C857" s="1359" t="s">
        <v>6946</v>
      </c>
      <c r="D857" s="1360">
        <v>7844</v>
      </c>
      <c r="E857" s="1361" t="s">
        <v>1828</v>
      </c>
      <c r="F857" s="1360" t="s">
        <v>710</v>
      </c>
      <c r="G857" s="1362">
        <v>10591</v>
      </c>
      <c r="H857" s="1363" t="s">
        <v>6899</v>
      </c>
    </row>
    <row r="858" spans="2:8" x14ac:dyDescent="0.25">
      <c r="B858" s="1358" t="s">
        <v>6897</v>
      </c>
      <c r="C858" s="1359" t="s">
        <v>6946</v>
      </c>
      <c r="D858" s="1360">
        <v>7846</v>
      </c>
      <c r="E858" s="1361" t="s">
        <v>1829</v>
      </c>
      <c r="F858" s="1360" t="s">
        <v>710</v>
      </c>
      <c r="G858" s="1362">
        <v>10591</v>
      </c>
      <c r="H858" s="1363" t="s">
        <v>6899</v>
      </c>
    </row>
    <row r="859" spans="2:8" x14ac:dyDescent="0.25">
      <c r="B859" s="1358" t="s">
        <v>6897</v>
      </c>
      <c r="C859" s="1359" t="s">
        <v>6931</v>
      </c>
      <c r="D859" s="1360">
        <v>7850</v>
      </c>
      <c r="E859" s="1361" t="s">
        <v>1830</v>
      </c>
      <c r="F859" s="1360" t="s">
        <v>20</v>
      </c>
      <c r="G859" s="1362">
        <v>24900</v>
      </c>
      <c r="H859" s="1363" t="s">
        <v>3538</v>
      </c>
    </row>
    <row r="860" spans="2:8" x14ac:dyDescent="0.25">
      <c r="B860" s="1358" t="s">
        <v>6897</v>
      </c>
      <c r="C860" s="1359" t="s">
        <v>6946</v>
      </c>
      <c r="D860" s="1360">
        <v>7851</v>
      </c>
      <c r="E860" s="1361" t="s">
        <v>1831</v>
      </c>
      <c r="F860" s="1360" t="s">
        <v>266</v>
      </c>
      <c r="G860" s="1362">
        <v>68900</v>
      </c>
      <c r="H860" s="1363" t="s">
        <v>6899</v>
      </c>
    </row>
    <row r="861" spans="2:8" x14ac:dyDescent="0.25">
      <c r="B861" s="1358" t="s">
        <v>6897</v>
      </c>
      <c r="C861" s="1359" t="s">
        <v>6931</v>
      </c>
      <c r="D861" s="1360">
        <v>7852</v>
      </c>
      <c r="E861" s="1361" t="s">
        <v>1832</v>
      </c>
      <c r="F861" s="1360" t="s">
        <v>13</v>
      </c>
      <c r="G861" s="1362">
        <v>2799</v>
      </c>
      <c r="H861" s="1363" t="s">
        <v>3538</v>
      </c>
    </row>
    <row r="862" spans="2:8" x14ac:dyDescent="0.25">
      <c r="B862" s="1358" t="s">
        <v>6897</v>
      </c>
      <c r="C862" s="1359" t="s">
        <v>6992</v>
      </c>
      <c r="D862" s="1360">
        <v>7870</v>
      </c>
      <c r="E862" s="1361" t="s">
        <v>1833</v>
      </c>
      <c r="F862" s="1360" t="s">
        <v>1124</v>
      </c>
      <c r="G862" s="1362">
        <v>95200</v>
      </c>
      <c r="H862" s="1363" t="s">
        <v>3538</v>
      </c>
    </row>
    <row r="863" spans="2:8" x14ac:dyDescent="0.25">
      <c r="B863" s="1358" t="s">
        <v>6897</v>
      </c>
      <c r="C863" s="1359" t="s">
        <v>6943</v>
      </c>
      <c r="D863" s="1360">
        <v>7874</v>
      </c>
      <c r="E863" s="1361" t="s">
        <v>3634</v>
      </c>
      <c r="F863" s="1360" t="s">
        <v>266</v>
      </c>
      <c r="G863" s="1362">
        <v>48790</v>
      </c>
      <c r="H863" s="1363" t="s">
        <v>6899</v>
      </c>
    </row>
    <row r="864" spans="2:8" x14ac:dyDescent="0.25">
      <c r="B864" s="1358" t="s">
        <v>6897</v>
      </c>
      <c r="C864" s="1359" t="s">
        <v>6943</v>
      </c>
      <c r="D864" s="1360">
        <v>7876</v>
      </c>
      <c r="E864" s="1361" t="s">
        <v>3635</v>
      </c>
      <c r="F864" s="1360" t="s">
        <v>266</v>
      </c>
      <c r="G864" s="1362">
        <v>158876</v>
      </c>
      <c r="H864" s="1363" t="s">
        <v>6899</v>
      </c>
    </row>
    <row r="865" spans="2:8" x14ac:dyDescent="0.25">
      <c r="B865" s="1358" t="s">
        <v>6897</v>
      </c>
      <c r="C865" s="1359" t="s">
        <v>6941</v>
      </c>
      <c r="D865" s="1360">
        <v>7877</v>
      </c>
      <c r="E865" s="1361" t="s">
        <v>3636</v>
      </c>
      <c r="F865" s="1360" t="s">
        <v>266</v>
      </c>
      <c r="G865" s="1362">
        <v>41650</v>
      </c>
      <c r="H865" s="1363" t="s">
        <v>6899</v>
      </c>
    </row>
    <row r="866" spans="2:8" x14ac:dyDescent="0.25">
      <c r="B866" s="1358" t="s">
        <v>6897</v>
      </c>
      <c r="C866" s="1359" t="s">
        <v>6915</v>
      </c>
      <c r="D866" s="1360">
        <v>7884</v>
      </c>
      <c r="E866" s="1361" t="s">
        <v>1834</v>
      </c>
      <c r="F866" s="1360" t="s">
        <v>266</v>
      </c>
      <c r="G866" s="1362">
        <v>80000</v>
      </c>
      <c r="H866" s="1363" t="s">
        <v>6899</v>
      </c>
    </row>
    <row r="867" spans="2:8" x14ac:dyDescent="0.25">
      <c r="B867" s="1358" t="s">
        <v>6897</v>
      </c>
      <c r="C867" s="1359" t="s">
        <v>6917</v>
      </c>
      <c r="D867" s="1360">
        <v>7891</v>
      </c>
      <c r="E867" s="1361" t="s">
        <v>1835</v>
      </c>
      <c r="F867" s="1360" t="s">
        <v>1155</v>
      </c>
      <c r="G867" s="1362">
        <v>146452</v>
      </c>
      <c r="H867" s="1363" t="s">
        <v>3538</v>
      </c>
    </row>
    <row r="868" spans="2:8" x14ac:dyDescent="0.25">
      <c r="B868" s="1358" t="s">
        <v>6897</v>
      </c>
      <c r="C868" s="1359" t="s">
        <v>6993</v>
      </c>
      <c r="D868" s="1360">
        <v>7892</v>
      </c>
      <c r="E868" s="1361" t="s">
        <v>3637</v>
      </c>
      <c r="F868" s="1360" t="s">
        <v>202</v>
      </c>
      <c r="G868" s="1362">
        <v>380000</v>
      </c>
      <c r="H868" s="1363" t="s">
        <v>6899</v>
      </c>
    </row>
    <row r="869" spans="2:8" x14ac:dyDescent="0.25">
      <c r="B869" s="1358" t="s">
        <v>6897</v>
      </c>
      <c r="C869" s="1359" t="s">
        <v>6994</v>
      </c>
      <c r="D869" s="1360">
        <v>7896</v>
      </c>
      <c r="E869" s="1361" t="s">
        <v>1836</v>
      </c>
      <c r="F869" s="1360" t="s">
        <v>266</v>
      </c>
      <c r="G869" s="1362">
        <v>119</v>
      </c>
      <c r="H869" s="1363" t="s">
        <v>3538</v>
      </c>
    </row>
    <row r="870" spans="2:8" x14ac:dyDescent="0.25">
      <c r="B870" s="1358" t="s">
        <v>6897</v>
      </c>
      <c r="C870" s="1359" t="s">
        <v>6994</v>
      </c>
      <c r="D870" s="1360">
        <v>7897</v>
      </c>
      <c r="E870" s="1361" t="s">
        <v>1837</v>
      </c>
      <c r="F870" s="1360" t="s">
        <v>266</v>
      </c>
      <c r="G870" s="1362">
        <v>1309</v>
      </c>
      <c r="H870" s="1363" t="s">
        <v>3538</v>
      </c>
    </row>
    <row r="871" spans="2:8" x14ac:dyDescent="0.25">
      <c r="B871" s="1358" t="s">
        <v>6897</v>
      </c>
      <c r="C871" s="1359" t="s">
        <v>6994</v>
      </c>
      <c r="D871" s="1360">
        <v>7898</v>
      </c>
      <c r="E871" s="1361" t="s">
        <v>1838</v>
      </c>
      <c r="F871" s="1360" t="s">
        <v>266</v>
      </c>
      <c r="G871" s="1362">
        <v>500</v>
      </c>
      <c r="H871" s="1363" t="s">
        <v>3538</v>
      </c>
    </row>
    <row r="872" spans="2:8" x14ac:dyDescent="0.25">
      <c r="B872" s="1358" t="s">
        <v>6897</v>
      </c>
      <c r="C872" s="1359" t="s">
        <v>6994</v>
      </c>
      <c r="D872" s="1360">
        <v>7900</v>
      </c>
      <c r="E872" s="1361" t="s">
        <v>1839</v>
      </c>
      <c r="F872" s="1360" t="s">
        <v>266</v>
      </c>
      <c r="G872" s="1362">
        <v>167</v>
      </c>
      <c r="H872" s="1363" t="s">
        <v>3538</v>
      </c>
    </row>
    <row r="873" spans="2:8" x14ac:dyDescent="0.25">
      <c r="B873" s="1358" t="s">
        <v>6897</v>
      </c>
      <c r="C873" s="1359" t="s">
        <v>6994</v>
      </c>
      <c r="D873" s="1360">
        <v>7901</v>
      </c>
      <c r="E873" s="1361" t="s">
        <v>1840</v>
      </c>
      <c r="F873" s="1360" t="s">
        <v>266</v>
      </c>
      <c r="G873" s="1362">
        <v>83</v>
      </c>
      <c r="H873" s="1363" t="s">
        <v>3538</v>
      </c>
    </row>
    <row r="874" spans="2:8" x14ac:dyDescent="0.25">
      <c r="B874" s="1358" t="s">
        <v>6897</v>
      </c>
      <c r="C874" s="1359" t="s">
        <v>6995</v>
      </c>
      <c r="D874" s="1360">
        <v>7904</v>
      </c>
      <c r="E874" s="1361" t="s">
        <v>1841</v>
      </c>
      <c r="F874" s="1360" t="s">
        <v>266</v>
      </c>
      <c r="G874" s="1362">
        <v>30000</v>
      </c>
      <c r="H874" s="1363" t="s">
        <v>6899</v>
      </c>
    </row>
    <row r="875" spans="2:8" x14ac:dyDescent="0.25">
      <c r="B875" s="1358" t="s">
        <v>6897</v>
      </c>
      <c r="C875" s="1359" t="s">
        <v>6995</v>
      </c>
      <c r="D875" s="1360">
        <v>7906</v>
      </c>
      <c r="E875" s="1361" t="s">
        <v>1842</v>
      </c>
      <c r="F875" s="1360" t="s">
        <v>266</v>
      </c>
      <c r="G875" s="1362">
        <v>25000</v>
      </c>
      <c r="H875" s="1363" t="s">
        <v>6899</v>
      </c>
    </row>
    <row r="876" spans="2:8" x14ac:dyDescent="0.25">
      <c r="B876" s="1358" t="s">
        <v>6897</v>
      </c>
      <c r="C876" s="1359" t="s">
        <v>6995</v>
      </c>
      <c r="D876" s="1360">
        <v>7908</v>
      </c>
      <c r="E876" s="1361" t="s">
        <v>1843</v>
      </c>
      <c r="F876" s="1360" t="s">
        <v>266</v>
      </c>
      <c r="G876" s="1362">
        <v>25600</v>
      </c>
      <c r="H876" s="1363" t="s">
        <v>6899</v>
      </c>
    </row>
    <row r="877" spans="2:8" x14ac:dyDescent="0.25">
      <c r="B877" s="1358" t="s">
        <v>6897</v>
      </c>
      <c r="C877" s="1359" t="s">
        <v>6995</v>
      </c>
      <c r="D877" s="1360">
        <v>7910</v>
      </c>
      <c r="E877" s="1361" t="s">
        <v>1844</v>
      </c>
      <c r="F877" s="1360" t="s">
        <v>266</v>
      </c>
      <c r="G877" s="1362">
        <v>30000</v>
      </c>
      <c r="H877" s="1363" t="s">
        <v>6899</v>
      </c>
    </row>
    <row r="878" spans="2:8" x14ac:dyDescent="0.25">
      <c r="B878" s="1358" t="s">
        <v>6897</v>
      </c>
      <c r="C878" s="1359" t="s">
        <v>6912</v>
      </c>
      <c r="D878" s="1360">
        <v>7919</v>
      </c>
      <c r="E878" s="1361" t="s">
        <v>3638</v>
      </c>
      <c r="F878" s="1360" t="s">
        <v>1124</v>
      </c>
      <c r="G878" s="1362">
        <v>38000</v>
      </c>
      <c r="H878" s="1363" t="s">
        <v>6899</v>
      </c>
    </row>
    <row r="879" spans="2:8" x14ac:dyDescent="0.25">
      <c r="B879" s="1358" t="s">
        <v>6897</v>
      </c>
      <c r="C879" s="1359" t="s">
        <v>6898</v>
      </c>
      <c r="D879" s="1360">
        <v>7921</v>
      </c>
      <c r="E879" s="1361" t="s">
        <v>1845</v>
      </c>
      <c r="F879" s="1360" t="s">
        <v>3</v>
      </c>
      <c r="G879" s="1362">
        <v>738150</v>
      </c>
      <c r="H879" s="1363" t="s">
        <v>6899</v>
      </c>
    </row>
    <row r="880" spans="2:8" x14ac:dyDescent="0.25">
      <c r="B880" s="1358" t="s">
        <v>6897</v>
      </c>
      <c r="C880" s="1359" t="s">
        <v>6912</v>
      </c>
      <c r="D880" s="1360">
        <v>7922</v>
      </c>
      <c r="E880" s="1361" t="s">
        <v>3639</v>
      </c>
      <c r="F880" s="1360" t="s">
        <v>202</v>
      </c>
      <c r="G880" s="1362">
        <v>7630</v>
      </c>
      <c r="H880" s="1363" t="s">
        <v>6899</v>
      </c>
    </row>
    <row r="881" spans="2:8" x14ac:dyDescent="0.25">
      <c r="B881" s="1358" t="s">
        <v>6897</v>
      </c>
      <c r="C881" s="1359" t="s">
        <v>6996</v>
      </c>
      <c r="D881" s="1360">
        <v>7923</v>
      </c>
      <c r="E881" s="1361" t="s">
        <v>1846</v>
      </c>
      <c r="F881" s="1360" t="s">
        <v>6</v>
      </c>
      <c r="G881" s="1362">
        <v>11614</v>
      </c>
      <c r="H881" s="1363" t="s">
        <v>3538</v>
      </c>
    </row>
    <row r="882" spans="2:8" x14ac:dyDescent="0.25">
      <c r="B882" s="1358" t="s">
        <v>6897</v>
      </c>
      <c r="C882" s="1359" t="s">
        <v>6922</v>
      </c>
      <c r="D882" s="1360">
        <v>7926</v>
      </c>
      <c r="E882" s="1361" t="s">
        <v>1847</v>
      </c>
      <c r="F882" s="1360" t="s">
        <v>266</v>
      </c>
      <c r="G882" s="1362">
        <v>31416</v>
      </c>
      <c r="H882" s="1363" t="s">
        <v>3538</v>
      </c>
    </row>
    <row r="883" spans="2:8" x14ac:dyDescent="0.25">
      <c r="B883" s="1358" t="s">
        <v>6897</v>
      </c>
      <c r="C883" s="1359" t="s">
        <v>6908</v>
      </c>
      <c r="D883" s="1360">
        <v>7932</v>
      </c>
      <c r="E883" s="1361" t="s">
        <v>1848</v>
      </c>
      <c r="F883" s="1360" t="s">
        <v>13</v>
      </c>
      <c r="G883" s="1362">
        <v>4732</v>
      </c>
      <c r="H883" s="1363" t="s">
        <v>3538</v>
      </c>
    </row>
    <row r="884" spans="2:8" x14ac:dyDescent="0.25">
      <c r="B884" s="1358" t="s">
        <v>6897</v>
      </c>
      <c r="C884" s="1359" t="s">
        <v>6921</v>
      </c>
      <c r="D884" s="1360">
        <v>7934</v>
      </c>
      <c r="E884" s="1361" t="s">
        <v>3640</v>
      </c>
      <c r="F884" s="1360" t="s">
        <v>266</v>
      </c>
      <c r="G884" s="1362">
        <v>981325</v>
      </c>
      <c r="H884" s="1363" t="s">
        <v>3538</v>
      </c>
    </row>
    <row r="885" spans="2:8" x14ac:dyDescent="0.25">
      <c r="B885" s="1358" t="s">
        <v>6897</v>
      </c>
      <c r="C885" s="1359" t="s">
        <v>6921</v>
      </c>
      <c r="D885" s="1360">
        <v>7939</v>
      </c>
      <c r="E885" s="1361" t="s">
        <v>1849</v>
      </c>
      <c r="F885" s="1360" t="s">
        <v>266</v>
      </c>
      <c r="G885" s="1362">
        <v>166600</v>
      </c>
      <c r="H885" s="1363" t="s">
        <v>3538</v>
      </c>
    </row>
    <row r="886" spans="2:8" x14ac:dyDescent="0.25">
      <c r="B886" s="1358" t="s">
        <v>6897</v>
      </c>
      <c r="C886" s="1359" t="s">
        <v>6921</v>
      </c>
      <c r="D886" s="1360">
        <v>7941</v>
      </c>
      <c r="E886" s="1361" t="s">
        <v>1850</v>
      </c>
      <c r="F886" s="1360" t="s">
        <v>266</v>
      </c>
      <c r="G886" s="1362">
        <v>440300</v>
      </c>
      <c r="H886" s="1363" t="s">
        <v>3538</v>
      </c>
    </row>
    <row r="887" spans="2:8" x14ac:dyDescent="0.25">
      <c r="B887" s="1358" t="s">
        <v>6897</v>
      </c>
      <c r="C887" s="1359" t="s">
        <v>6921</v>
      </c>
      <c r="D887" s="1360">
        <v>7942</v>
      </c>
      <c r="E887" s="1361" t="s">
        <v>1851</v>
      </c>
      <c r="F887" s="1360" t="s">
        <v>266</v>
      </c>
      <c r="G887" s="1362">
        <v>158270</v>
      </c>
      <c r="H887" s="1363" t="s">
        <v>3538</v>
      </c>
    </row>
    <row r="888" spans="2:8" x14ac:dyDescent="0.25">
      <c r="B888" s="1358" t="s">
        <v>6897</v>
      </c>
      <c r="C888" s="1359" t="s">
        <v>6931</v>
      </c>
      <c r="D888" s="1360">
        <v>7945</v>
      </c>
      <c r="E888" s="1361" t="s">
        <v>1852</v>
      </c>
      <c r="F888" s="1360" t="s">
        <v>13</v>
      </c>
      <c r="G888" s="1362">
        <v>120</v>
      </c>
      <c r="H888" s="1363" t="s">
        <v>3538</v>
      </c>
    </row>
    <row r="889" spans="2:8" x14ac:dyDescent="0.25">
      <c r="B889" s="1358" t="s">
        <v>6897</v>
      </c>
      <c r="C889" s="1359" t="s">
        <v>6930</v>
      </c>
      <c r="D889" s="1360">
        <v>7946</v>
      </c>
      <c r="E889" s="1361" t="s">
        <v>1853</v>
      </c>
      <c r="F889" s="1360" t="s">
        <v>157</v>
      </c>
      <c r="G889" s="1362">
        <v>99000</v>
      </c>
      <c r="H889" s="1363" t="s">
        <v>6899</v>
      </c>
    </row>
    <row r="890" spans="2:8" x14ac:dyDescent="0.25">
      <c r="B890" s="1358" t="s">
        <v>6897</v>
      </c>
      <c r="C890" s="1359" t="s">
        <v>6906</v>
      </c>
      <c r="D890" s="1360">
        <v>7947</v>
      </c>
      <c r="E890" s="1361" t="s">
        <v>1854</v>
      </c>
      <c r="F890" s="1360" t="s">
        <v>266</v>
      </c>
      <c r="G890" s="1362">
        <v>237215</v>
      </c>
      <c r="H890" s="1363" t="s">
        <v>3535</v>
      </c>
    </row>
    <row r="891" spans="2:8" x14ac:dyDescent="0.25">
      <c r="B891" s="1358" t="s">
        <v>6897</v>
      </c>
      <c r="C891" s="1359" t="s">
        <v>6997</v>
      </c>
      <c r="D891" s="1360">
        <v>7948</v>
      </c>
      <c r="E891" s="1361" t="s">
        <v>1855</v>
      </c>
      <c r="F891" s="1360" t="s">
        <v>13</v>
      </c>
      <c r="G891" s="1362">
        <v>24643</v>
      </c>
      <c r="H891" s="1363" t="s">
        <v>3538</v>
      </c>
    </row>
    <row r="892" spans="2:8" x14ac:dyDescent="0.25">
      <c r="B892" s="1358" t="s">
        <v>6897</v>
      </c>
      <c r="C892" s="1359" t="s">
        <v>6916</v>
      </c>
      <c r="D892" s="1360">
        <v>7949</v>
      </c>
      <c r="E892" s="1361" t="s">
        <v>1856</v>
      </c>
      <c r="F892" s="1360" t="s">
        <v>266</v>
      </c>
      <c r="G892" s="1362">
        <v>115025</v>
      </c>
      <c r="H892" s="1363" t="s">
        <v>3538</v>
      </c>
    </row>
    <row r="893" spans="2:8" x14ac:dyDescent="0.25">
      <c r="B893" s="1358" t="s">
        <v>6897</v>
      </c>
      <c r="C893" s="1359" t="s">
        <v>6916</v>
      </c>
      <c r="D893" s="1360">
        <v>7950</v>
      </c>
      <c r="E893" s="1361" t="s">
        <v>1857</v>
      </c>
      <c r="F893" s="1360" t="s">
        <v>266</v>
      </c>
      <c r="G893" s="1362">
        <v>206786</v>
      </c>
      <c r="H893" s="1363" t="s">
        <v>3538</v>
      </c>
    </row>
    <row r="894" spans="2:8" x14ac:dyDescent="0.25">
      <c r="B894" s="1358" t="s">
        <v>6897</v>
      </c>
      <c r="C894" s="1359" t="s">
        <v>6901</v>
      </c>
      <c r="D894" s="1360">
        <v>7953</v>
      </c>
      <c r="E894" s="1361" t="s">
        <v>1858</v>
      </c>
      <c r="F894" s="1360" t="s">
        <v>12</v>
      </c>
      <c r="G894" s="1362">
        <v>10500</v>
      </c>
      <c r="H894" s="1363" t="s">
        <v>3538</v>
      </c>
    </row>
    <row r="895" spans="2:8" x14ac:dyDescent="0.25">
      <c r="B895" s="1358" t="s">
        <v>6897</v>
      </c>
      <c r="C895" s="1359" t="s">
        <v>6901</v>
      </c>
      <c r="D895" s="1360">
        <v>7955</v>
      </c>
      <c r="E895" s="1361" t="s">
        <v>6998</v>
      </c>
      <c r="F895" s="1360" t="s">
        <v>266</v>
      </c>
      <c r="G895" s="1362">
        <v>128900</v>
      </c>
      <c r="H895" s="1363" t="s">
        <v>3538</v>
      </c>
    </row>
    <row r="896" spans="2:8" x14ac:dyDescent="0.25">
      <c r="B896" s="1358" t="s">
        <v>6897</v>
      </c>
      <c r="C896" s="1359" t="s">
        <v>6901</v>
      </c>
      <c r="D896" s="1360">
        <v>7956</v>
      </c>
      <c r="E896" s="1361" t="s">
        <v>6999</v>
      </c>
      <c r="F896" s="1360" t="s">
        <v>266</v>
      </c>
      <c r="G896" s="1362">
        <v>135500</v>
      </c>
      <c r="H896" s="1363" t="s">
        <v>3538</v>
      </c>
    </row>
    <row r="897" spans="2:8" x14ac:dyDescent="0.25">
      <c r="B897" s="1358" t="s">
        <v>6897</v>
      </c>
      <c r="C897" s="1359" t="s">
        <v>6901</v>
      </c>
      <c r="D897" s="1360">
        <v>7957</v>
      </c>
      <c r="E897" s="1361" t="s">
        <v>7000</v>
      </c>
      <c r="F897" s="1360" t="s">
        <v>266</v>
      </c>
      <c r="G897" s="1362">
        <v>164220</v>
      </c>
      <c r="H897" s="1363" t="s">
        <v>3538</v>
      </c>
    </row>
    <row r="898" spans="2:8" x14ac:dyDescent="0.25">
      <c r="B898" s="1358" t="s">
        <v>6897</v>
      </c>
      <c r="C898" s="1359" t="s">
        <v>6901</v>
      </c>
      <c r="D898" s="1360">
        <v>7958</v>
      </c>
      <c r="E898" s="1361" t="s">
        <v>7001</v>
      </c>
      <c r="F898" s="1360" t="s">
        <v>266</v>
      </c>
      <c r="G898" s="1362">
        <v>425000</v>
      </c>
      <c r="H898" s="1363" t="s">
        <v>3538</v>
      </c>
    </row>
    <row r="899" spans="2:8" x14ac:dyDescent="0.25">
      <c r="B899" s="1358" t="s">
        <v>6897</v>
      </c>
      <c r="C899" s="1359" t="s">
        <v>6901</v>
      </c>
      <c r="D899" s="1360">
        <v>7959</v>
      </c>
      <c r="E899" s="1361" t="s">
        <v>7002</v>
      </c>
      <c r="F899" s="1360" t="s">
        <v>266</v>
      </c>
      <c r="G899" s="1362">
        <v>155295</v>
      </c>
      <c r="H899" s="1363" t="s">
        <v>3538</v>
      </c>
    </row>
    <row r="900" spans="2:8" x14ac:dyDescent="0.25">
      <c r="B900" s="1358" t="s">
        <v>6897</v>
      </c>
      <c r="C900" s="1359" t="s">
        <v>6918</v>
      </c>
      <c r="D900" s="1360">
        <v>7961</v>
      </c>
      <c r="E900" s="1361" t="s">
        <v>3641</v>
      </c>
      <c r="F900" s="1360" t="s">
        <v>13</v>
      </c>
      <c r="G900" s="1362">
        <v>315953</v>
      </c>
      <c r="H900" s="1363" t="s">
        <v>6899</v>
      </c>
    </row>
    <row r="901" spans="2:8" x14ac:dyDescent="0.25">
      <c r="B901" s="1358" t="s">
        <v>6897</v>
      </c>
      <c r="C901" s="1359" t="s">
        <v>6918</v>
      </c>
      <c r="D901" s="1360">
        <v>7962</v>
      </c>
      <c r="E901" s="1361" t="s">
        <v>1859</v>
      </c>
      <c r="F901" s="1360" t="s">
        <v>13</v>
      </c>
      <c r="G901" s="1362">
        <v>383327</v>
      </c>
      <c r="H901" s="1363" t="s">
        <v>6899</v>
      </c>
    </row>
    <row r="902" spans="2:8" x14ac:dyDescent="0.25">
      <c r="B902" s="1358" t="s">
        <v>6897</v>
      </c>
      <c r="C902" s="1359" t="s">
        <v>6918</v>
      </c>
      <c r="D902" s="1360">
        <v>7963</v>
      </c>
      <c r="E902" s="1361" t="s">
        <v>7003</v>
      </c>
      <c r="F902" s="1360" t="s">
        <v>13</v>
      </c>
      <c r="G902" s="1362">
        <v>469020</v>
      </c>
      <c r="H902" s="1363" t="s">
        <v>6899</v>
      </c>
    </row>
    <row r="903" spans="2:8" x14ac:dyDescent="0.25">
      <c r="B903" s="1358" t="s">
        <v>6897</v>
      </c>
      <c r="C903" s="1359" t="s">
        <v>6921</v>
      </c>
      <c r="D903" s="1360">
        <v>7965</v>
      </c>
      <c r="E903" s="1361" t="s">
        <v>1860</v>
      </c>
      <c r="F903" s="1360" t="s">
        <v>266</v>
      </c>
      <c r="G903" s="1362">
        <v>183260</v>
      </c>
      <c r="H903" s="1363" t="s">
        <v>3538</v>
      </c>
    </row>
    <row r="904" spans="2:8" x14ac:dyDescent="0.25">
      <c r="B904" s="1358" t="s">
        <v>6897</v>
      </c>
      <c r="C904" s="1359" t="s">
        <v>6921</v>
      </c>
      <c r="D904" s="1360">
        <v>7966</v>
      </c>
      <c r="E904" s="1361" t="s">
        <v>1861</v>
      </c>
      <c r="F904" s="1360" t="s">
        <v>266</v>
      </c>
      <c r="G904" s="1362">
        <v>592620</v>
      </c>
      <c r="H904" s="1363" t="s">
        <v>3538</v>
      </c>
    </row>
    <row r="905" spans="2:8" x14ac:dyDescent="0.25">
      <c r="B905" s="1358" t="s">
        <v>6897</v>
      </c>
      <c r="C905" s="1359" t="s">
        <v>6921</v>
      </c>
      <c r="D905" s="1360">
        <v>7967</v>
      </c>
      <c r="E905" s="1361" t="s">
        <v>3642</v>
      </c>
      <c r="F905" s="1360" t="s">
        <v>266</v>
      </c>
      <c r="G905" s="1362">
        <v>981325</v>
      </c>
      <c r="H905" s="1363" t="s">
        <v>3538</v>
      </c>
    </row>
    <row r="906" spans="2:8" x14ac:dyDescent="0.25">
      <c r="B906" s="1358" t="s">
        <v>6897</v>
      </c>
      <c r="C906" s="1359" t="s">
        <v>6902</v>
      </c>
      <c r="D906" s="1360">
        <v>7968</v>
      </c>
      <c r="E906" s="1361" t="s">
        <v>7004</v>
      </c>
      <c r="F906" s="1360" t="s">
        <v>266</v>
      </c>
      <c r="G906" s="1362">
        <v>380000</v>
      </c>
      <c r="H906" s="1363" t="s">
        <v>3538</v>
      </c>
    </row>
    <row r="907" spans="2:8" x14ac:dyDescent="0.25">
      <c r="B907" s="1358" t="s">
        <v>6897</v>
      </c>
      <c r="C907" s="1359" t="s">
        <v>6927</v>
      </c>
      <c r="D907" s="1360">
        <v>7969</v>
      </c>
      <c r="E907" s="1361" t="s">
        <v>3643</v>
      </c>
      <c r="F907" s="1360" t="s">
        <v>12</v>
      </c>
      <c r="G907" s="1362">
        <v>9939</v>
      </c>
      <c r="H907" s="1363" t="s">
        <v>6899</v>
      </c>
    </row>
    <row r="908" spans="2:8" x14ac:dyDescent="0.25">
      <c r="B908" s="1358" t="s">
        <v>6897</v>
      </c>
      <c r="C908" s="1359" t="s">
        <v>6931</v>
      </c>
      <c r="D908" s="1360">
        <v>7970</v>
      </c>
      <c r="E908" s="1361" t="s">
        <v>1862</v>
      </c>
      <c r="F908" s="1360" t="s">
        <v>12</v>
      </c>
      <c r="G908" s="1362">
        <v>4312</v>
      </c>
      <c r="H908" s="1363" t="s">
        <v>3538</v>
      </c>
    </row>
    <row r="909" spans="2:8" x14ac:dyDescent="0.25">
      <c r="B909" s="1358" t="s">
        <v>6897</v>
      </c>
      <c r="C909" s="1359" t="s">
        <v>6931</v>
      </c>
      <c r="D909" s="1360">
        <v>7971</v>
      </c>
      <c r="E909" s="1361" t="s">
        <v>1863</v>
      </c>
      <c r="F909" s="1360" t="s">
        <v>12</v>
      </c>
      <c r="G909" s="1362">
        <v>5477</v>
      </c>
      <c r="H909" s="1363" t="s">
        <v>3538</v>
      </c>
    </row>
    <row r="910" spans="2:8" x14ac:dyDescent="0.25">
      <c r="B910" s="1358" t="s">
        <v>6897</v>
      </c>
      <c r="C910" s="1359" t="s">
        <v>6927</v>
      </c>
      <c r="D910" s="1360">
        <v>7973</v>
      </c>
      <c r="E910" s="1361" t="s">
        <v>1864</v>
      </c>
      <c r="F910" s="1360" t="s">
        <v>6</v>
      </c>
      <c r="G910" s="1362">
        <v>46285</v>
      </c>
      <c r="H910" s="1363" t="s">
        <v>6899</v>
      </c>
    </row>
    <row r="911" spans="2:8" x14ac:dyDescent="0.25">
      <c r="B911" s="1358" t="s">
        <v>6897</v>
      </c>
      <c r="C911" s="1359" t="s">
        <v>6927</v>
      </c>
      <c r="D911" s="1360">
        <v>7974</v>
      </c>
      <c r="E911" s="1361" t="s">
        <v>1865</v>
      </c>
      <c r="F911" s="1360" t="s">
        <v>1155</v>
      </c>
      <c r="G911" s="1362">
        <v>151011</v>
      </c>
      <c r="H911" s="1363" t="s">
        <v>6899</v>
      </c>
    </row>
    <row r="912" spans="2:8" x14ac:dyDescent="0.25">
      <c r="B912" s="1358" t="s">
        <v>6897</v>
      </c>
      <c r="C912" s="1359" t="s">
        <v>6905</v>
      </c>
      <c r="D912" s="1360">
        <v>7976</v>
      </c>
      <c r="E912" s="1361" t="s">
        <v>1866</v>
      </c>
      <c r="F912" s="1360" t="s">
        <v>3</v>
      </c>
      <c r="G912" s="1362">
        <v>59667</v>
      </c>
      <c r="H912" s="1363" t="s">
        <v>6899</v>
      </c>
    </row>
    <row r="913" spans="2:8" x14ac:dyDescent="0.25">
      <c r="B913" s="1358" t="s">
        <v>6897</v>
      </c>
      <c r="C913" s="1359" t="s">
        <v>6905</v>
      </c>
      <c r="D913" s="1360">
        <v>7977</v>
      </c>
      <c r="E913" s="1361" t="s">
        <v>1867</v>
      </c>
      <c r="F913" s="1360" t="s">
        <v>3</v>
      </c>
      <c r="G913" s="1362">
        <v>26180</v>
      </c>
      <c r="H913" s="1363" t="s">
        <v>6899</v>
      </c>
    </row>
    <row r="914" spans="2:8" x14ac:dyDescent="0.25">
      <c r="B914" s="1358" t="s">
        <v>6897</v>
      </c>
      <c r="C914" s="1359" t="s">
        <v>6931</v>
      </c>
      <c r="D914" s="1360">
        <v>7979</v>
      </c>
      <c r="E914" s="1361" t="s">
        <v>1868</v>
      </c>
      <c r="F914" s="1360" t="s">
        <v>266</v>
      </c>
      <c r="G914" s="1362">
        <v>69900</v>
      </c>
      <c r="H914" s="1363" t="s">
        <v>3538</v>
      </c>
    </row>
    <row r="915" spans="2:8" x14ac:dyDescent="0.25">
      <c r="B915" s="1358" t="s">
        <v>6897</v>
      </c>
      <c r="C915" s="1359" t="s">
        <v>7005</v>
      </c>
      <c r="D915" s="1360">
        <v>7981</v>
      </c>
      <c r="E915" s="1361" t="s">
        <v>1869</v>
      </c>
      <c r="F915" s="1360" t="s">
        <v>13</v>
      </c>
      <c r="G915" s="1362">
        <v>91797</v>
      </c>
      <c r="H915" s="1363" t="s">
        <v>3538</v>
      </c>
    </row>
    <row r="916" spans="2:8" x14ac:dyDescent="0.25">
      <c r="B916" s="1358" t="s">
        <v>6897</v>
      </c>
      <c r="C916" s="1359" t="s">
        <v>7006</v>
      </c>
      <c r="D916" s="1360">
        <v>7983</v>
      </c>
      <c r="E916" s="1361" t="s">
        <v>3644</v>
      </c>
      <c r="F916" s="1360" t="s">
        <v>1124</v>
      </c>
      <c r="G916" s="1362">
        <v>198000</v>
      </c>
      <c r="H916" s="1363" t="s">
        <v>3548</v>
      </c>
    </row>
    <row r="917" spans="2:8" x14ac:dyDescent="0.25">
      <c r="B917" s="1358" t="s">
        <v>6897</v>
      </c>
      <c r="C917" s="1359" t="s">
        <v>6900</v>
      </c>
      <c r="D917" s="1360">
        <v>7984</v>
      </c>
      <c r="E917" s="1361" t="s">
        <v>3645</v>
      </c>
      <c r="F917" s="1360" t="s">
        <v>202</v>
      </c>
      <c r="G917" s="1362">
        <v>104125</v>
      </c>
      <c r="H917" s="1363" t="s">
        <v>6899</v>
      </c>
    </row>
    <row r="918" spans="2:8" x14ac:dyDescent="0.25">
      <c r="B918" s="1358" t="s">
        <v>6897</v>
      </c>
      <c r="C918" s="1359" t="s">
        <v>7006</v>
      </c>
      <c r="D918" s="1360">
        <v>7989</v>
      </c>
      <c r="E918" s="1361" t="s">
        <v>3646</v>
      </c>
      <c r="F918" s="1360" t="s">
        <v>677</v>
      </c>
      <c r="G918" s="1362">
        <v>11573250</v>
      </c>
      <c r="H918" s="1363" t="s">
        <v>3548</v>
      </c>
    </row>
    <row r="919" spans="2:8" x14ac:dyDescent="0.25">
      <c r="B919" s="1358" t="s">
        <v>6897</v>
      </c>
      <c r="C919" s="1359" t="s">
        <v>7007</v>
      </c>
      <c r="D919" s="1360">
        <v>7992</v>
      </c>
      <c r="E919" s="1361" t="s">
        <v>1870</v>
      </c>
      <c r="F919" s="1360" t="s">
        <v>266</v>
      </c>
      <c r="G919" s="1362">
        <v>799680</v>
      </c>
      <c r="H919" s="1363" t="s">
        <v>3538</v>
      </c>
    </row>
    <row r="920" spans="2:8" x14ac:dyDescent="0.25">
      <c r="B920" s="1358" t="s">
        <v>6897</v>
      </c>
      <c r="C920" s="1359" t="s">
        <v>7008</v>
      </c>
      <c r="D920" s="1360">
        <v>7993</v>
      </c>
      <c r="E920" s="1361" t="s">
        <v>1871</v>
      </c>
      <c r="F920" s="1360" t="s">
        <v>266</v>
      </c>
      <c r="G920" s="1362">
        <v>1963500</v>
      </c>
      <c r="H920" s="1363" t="s">
        <v>6899</v>
      </c>
    </row>
    <row r="921" spans="2:8" x14ac:dyDescent="0.25">
      <c r="B921" s="1358" t="s">
        <v>6897</v>
      </c>
      <c r="C921" s="1359" t="s">
        <v>6931</v>
      </c>
      <c r="D921" s="1360">
        <v>7994</v>
      </c>
      <c r="E921" s="1361" t="s">
        <v>1872</v>
      </c>
      <c r="F921" s="1360" t="s">
        <v>12</v>
      </c>
      <c r="G921" s="1362">
        <v>2470</v>
      </c>
      <c r="H921" s="1363" t="s">
        <v>3538</v>
      </c>
    </row>
    <row r="922" spans="2:8" x14ac:dyDescent="0.25">
      <c r="B922" s="1358" t="s">
        <v>6897</v>
      </c>
      <c r="C922" s="1359" t="s">
        <v>6927</v>
      </c>
      <c r="D922" s="1360">
        <v>7999</v>
      </c>
      <c r="E922" s="1361" t="s">
        <v>1873</v>
      </c>
      <c r="F922" s="1360" t="s">
        <v>6</v>
      </c>
      <c r="G922" s="1362">
        <v>7013</v>
      </c>
      <c r="H922" s="1363" t="s">
        <v>6899</v>
      </c>
    </row>
    <row r="923" spans="2:8" x14ac:dyDescent="0.25">
      <c r="B923" s="1358" t="s">
        <v>6897</v>
      </c>
      <c r="C923" s="1359" t="s">
        <v>6993</v>
      </c>
      <c r="D923" s="1360">
        <v>8000</v>
      </c>
      <c r="E923" s="1361" t="s">
        <v>1874</v>
      </c>
      <c r="F923" s="1360" t="s">
        <v>13</v>
      </c>
      <c r="G923" s="1362">
        <v>13090</v>
      </c>
      <c r="H923" s="1363" t="s">
        <v>6899</v>
      </c>
    </row>
    <row r="924" spans="2:8" x14ac:dyDescent="0.25">
      <c r="B924" s="1358" t="s">
        <v>6897</v>
      </c>
      <c r="C924" s="1359" t="s">
        <v>6993</v>
      </c>
      <c r="D924" s="1360">
        <v>8001</v>
      </c>
      <c r="E924" s="1361" t="s">
        <v>1875</v>
      </c>
      <c r="F924" s="1360" t="s">
        <v>13</v>
      </c>
      <c r="G924" s="1362">
        <v>15500</v>
      </c>
      <c r="H924" s="1363" t="s">
        <v>6899</v>
      </c>
    </row>
    <row r="925" spans="2:8" x14ac:dyDescent="0.25">
      <c r="B925" s="1358" t="s">
        <v>6897</v>
      </c>
      <c r="C925" s="1359" t="s">
        <v>6993</v>
      </c>
      <c r="D925" s="1360">
        <v>8002</v>
      </c>
      <c r="E925" s="1361" t="s">
        <v>797</v>
      </c>
      <c r="F925" s="1360" t="s">
        <v>13</v>
      </c>
      <c r="G925" s="1362">
        <v>20205</v>
      </c>
      <c r="H925" s="1363" t="s">
        <v>6899</v>
      </c>
    </row>
    <row r="926" spans="2:8" x14ac:dyDescent="0.25">
      <c r="B926" s="1358" t="s">
        <v>6897</v>
      </c>
      <c r="C926" s="1359" t="s">
        <v>6993</v>
      </c>
      <c r="D926" s="1360">
        <v>8003</v>
      </c>
      <c r="E926" s="1361" t="s">
        <v>798</v>
      </c>
      <c r="F926" s="1360" t="s">
        <v>13</v>
      </c>
      <c r="G926" s="1362">
        <v>21734</v>
      </c>
      <c r="H926" s="1363" t="s">
        <v>6899</v>
      </c>
    </row>
    <row r="927" spans="2:8" x14ac:dyDescent="0.25">
      <c r="B927" s="1358" t="s">
        <v>6897</v>
      </c>
      <c r="C927" s="1359" t="s">
        <v>6937</v>
      </c>
      <c r="D927" s="1360">
        <v>8011</v>
      </c>
      <c r="E927" s="1361" t="s">
        <v>3647</v>
      </c>
      <c r="F927" s="1360" t="s">
        <v>266</v>
      </c>
      <c r="G927" s="1362">
        <v>2397850</v>
      </c>
      <c r="H927" s="1363" t="s">
        <v>6899</v>
      </c>
    </row>
    <row r="928" spans="2:8" x14ac:dyDescent="0.25">
      <c r="B928" s="1358" t="s">
        <v>6897</v>
      </c>
      <c r="C928" s="1359" t="s">
        <v>6937</v>
      </c>
      <c r="D928" s="1360">
        <v>8012</v>
      </c>
      <c r="E928" s="1361" t="s">
        <v>3648</v>
      </c>
      <c r="F928" s="1360" t="s">
        <v>266</v>
      </c>
      <c r="G928" s="1362">
        <v>154224</v>
      </c>
      <c r="H928" s="1363" t="s">
        <v>6899</v>
      </c>
    </row>
    <row r="929" spans="2:8" x14ac:dyDescent="0.25">
      <c r="B929" s="1358" t="s">
        <v>6897</v>
      </c>
      <c r="C929" s="1359" t="s">
        <v>6937</v>
      </c>
      <c r="D929" s="1360">
        <v>8015</v>
      </c>
      <c r="E929" s="1361" t="s">
        <v>3649</v>
      </c>
      <c r="F929" s="1360" t="s">
        <v>266</v>
      </c>
      <c r="G929" s="1362">
        <v>79730</v>
      </c>
      <c r="H929" s="1363" t="s">
        <v>6899</v>
      </c>
    </row>
    <row r="930" spans="2:8" x14ac:dyDescent="0.25">
      <c r="B930" s="1358" t="s">
        <v>6897</v>
      </c>
      <c r="C930" s="1359" t="s">
        <v>6937</v>
      </c>
      <c r="D930" s="1360">
        <v>8019</v>
      </c>
      <c r="E930" s="1361" t="s">
        <v>3650</v>
      </c>
      <c r="F930" s="1360" t="s">
        <v>266</v>
      </c>
      <c r="G930" s="1362">
        <v>165410</v>
      </c>
      <c r="H930" s="1363" t="s">
        <v>6899</v>
      </c>
    </row>
    <row r="931" spans="2:8" x14ac:dyDescent="0.25">
      <c r="B931" s="1358" t="s">
        <v>6897</v>
      </c>
      <c r="C931" s="1359" t="s">
        <v>6939</v>
      </c>
      <c r="D931" s="1360">
        <v>8025</v>
      </c>
      <c r="E931" s="1361" t="s">
        <v>1876</v>
      </c>
      <c r="F931" s="1360" t="s">
        <v>1124</v>
      </c>
      <c r="G931" s="1362">
        <v>930000</v>
      </c>
      <c r="H931" s="1363" t="s">
        <v>6899</v>
      </c>
    </row>
    <row r="932" spans="2:8" x14ac:dyDescent="0.25">
      <c r="B932" s="1358" t="s">
        <v>6897</v>
      </c>
      <c r="C932" s="1359" t="s">
        <v>6939</v>
      </c>
      <c r="D932" s="1360">
        <v>8026</v>
      </c>
      <c r="E932" s="1361" t="s">
        <v>1877</v>
      </c>
      <c r="F932" s="1360" t="s">
        <v>266</v>
      </c>
      <c r="G932" s="1362">
        <v>54264</v>
      </c>
      <c r="H932" s="1363" t="s">
        <v>6899</v>
      </c>
    </row>
    <row r="933" spans="2:8" x14ac:dyDescent="0.25">
      <c r="B933" s="1358" t="s">
        <v>6897</v>
      </c>
      <c r="C933" s="1359" t="s">
        <v>6939</v>
      </c>
      <c r="D933" s="1360">
        <v>8028</v>
      </c>
      <c r="E933" s="1361" t="s">
        <v>3651</v>
      </c>
      <c r="F933" s="1360" t="s">
        <v>266</v>
      </c>
      <c r="G933" s="1362">
        <v>102340</v>
      </c>
      <c r="H933" s="1363" t="s">
        <v>6899</v>
      </c>
    </row>
    <row r="934" spans="2:8" x14ac:dyDescent="0.25">
      <c r="B934" s="1358" t="s">
        <v>6897</v>
      </c>
      <c r="C934" s="1359" t="s">
        <v>7009</v>
      </c>
      <c r="D934" s="1360">
        <v>8033</v>
      </c>
      <c r="E934" s="1361" t="s">
        <v>1878</v>
      </c>
      <c r="F934" s="1360" t="s">
        <v>266</v>
      </c>
      <c r="G934" s="1362">
        <v>4274895</v>
      </c>
      <c r="H934" s="1363" t="s">
        <v>6899</v>
      </c>
    </row>
    <row r="935" spans="2:8" x14ac:dyDescent="0.25">
      <c r="B935" s="1358" t="s">
        <v>6897</v>
      </c>
      <c r="C935" s="1359" t="s">
        <v>7009</v>
      </c>
      <c r="D935" s="1360">
        <v>8034</v>
      </c>
      <c r="E935" s="1361" t="s">
        <v>1879</v>
      </c>
      <c r="F935" s="1360" t="s">
        <v>266</v>
      </c>
      <c r="G935" s="1362">
        <v>3021452</v>
      </c>
      <c r="H935" s="1363" t="s">
        <v>6899</v>
      </c>
    </row>
    <row r="936" spans="2:8" x14ac:dyDescent="0.25">
      <c r="B936" s="1358" t="s">
        <v>6897</v>
      </c>
      <c r="C936" s="1359" t="s">
        <v>7009</v>
      </c>
      <c r="D936" s="1360">
        <v>8035</v>
      </c>
      <c r="E936" s="1361" t="s">
        <v>1880</v>
      </c>
      <c r="F936" s="1360" t="s">
        <v>266</v>
      </c>
      <c r="G936" s="1362">
        <v>2891348</v>
      </c>
      <c r="H936" s="1363" t="s">
        <v>6899</v>
      </c>
    </row>
    <row r="937" spans="2:8" x14ac:dyDescent="0.25">
      <c r="B937" s="1358" t="s">
        <v>6897</v>
      </c>
      <c r="C937" s="1359" t="s">
        <v>7009</v>
      </c>
      <c r="D937" s="1360">
        <v>8036</v>
      </c>
      <c r="E937" s="1361" t="s">
        <v>1881</v>
      </c>
      <c r="F937" s="1360" t="s">
        <v>266</v>
      </c>
      <c r="G937" s="1362">
        <v>6427190</v>
      </c>
      <c r="H937" s="1363" t="s">
        <v>6899</v>
      </c>
    </row>
    <row r="938" spans="2:8" x14ac:dyDescent="0.25">
      <c r="B938" s="1358" t="s">
        <v>6897</v>
      </c>
      <c r="C938" s="1359" t="s">
        <v>7009</v>
      </c>
      <c r="D938" s="1360">
        <v>8037</v>
      </c>
      <c r="E938" s="1361" t="s">
        <v>1882</v>
      </c>
      <c r="F938" s="1360" t="s">
        <v>13</v>
      </c>
      <c r="G938" s="1362">
        <v>22480</v>
      </c>
      <c r="H938" s="1363" t="s">
        <v>6899</v>
      </c>
    </row>
    <row r="939" spans="2:8" x14ac:dyDescent="0.25">
      <c r="B939" s="1358" t="s">
        <v>6897</v>
      </c>
      <c r="C939" s="1359" t="s">
        <v>7009</v>
      </c>
      <c r="D939" s="1360">
        <v>8038</v>
      </c>
      <c r="E939" s="1361" t="s">
        <v>1883</v>
      </c>
      <c r="F939" s="1360" t="s">
        <v>13</v>
      </c>
      <c r="G939" s="1362">
        <v>19384</v>
      </c>
      <c r="H939" s="1363" t="s">
        <v>6899</v>
      </c>
    </row>
    <row r="940" spans="2:8" x14ac:dyDescent="0.25">
      <c r="B940" s="1358" t="s">
        <v>6897</v>
      </c>
      <c r="C940" s="1359" t="s">
        <v>7010</v>
      </c>
      <c r="D940" s="1360">
        <v>8039</v>
      </c>
      <c r="E940" s="1361" t="s">
        <v>1884</v>
      </c>
      <c r="F940" s="1360" t="s">
        <v>13</v>
      </c>
      <c r="G940" s="1362">
        <v>24692</v>
      </c>
      <c r="H940" s="1363" t="s">
        <v>3538</v>
      </c>
    </row>
    <row r="941" spans="2:8" x14ac:dyDescent="0.25">
      <c r="B941" s="1358" t="s">
        <v>6897</v>
      </c>
      <c r="C941" s="1359" t="s">
        <v>6903</v>
      </c>
      <c r="D941" s="1360">
        <v>8041</v>
      </c>
      <c r="E941" s="1361" t="s">
        <v>1885</v>
      </c>
      <c r="F941" s="1360" t="s">
        <v>6</v>
      </c>
      <c r="G941" s="1362">
        <v>7557</v>
      </c>
      <c r="H941" s="1363" t="s">
        <v>6899</v>
      </c>
    </row>
    <row r="942" spans="2:8" x14ac:dyDescent="0.25">
      <c r="B942" s="1358" t="s">
        <v>6897</v>
      </c>
      <c r="C942" s="1359" t="s">
        <v>7005</v>
      </c>
      <c r="D942" s="1360">
        <v>8043</v>
      </c>
      <c r="E942" s="1361" t="s">
        <v>1886</v>
      </c>
      <c r="F942" s="1360" t="s">
        <v>822</v>
      </c>
      <c r="G942" s="1362">
        <v>58251</v>
      </c>
      <c r="H942" s="1363" t="s">
        <v>3538</v>
      </c>
    </row>
    <row r="943" spans="2:8" x14ac:dyDescent="0.25">
      <c r="B943" s="1358" t="s">
        <v>6897</v>
      </c>
      <c r="C943" s="1359" t="s">
        <v>6902</v>
      </c>
      <c r="D943" s="1360">
        <v>8044</v>
      </c>
      <c r="E943" s="1361" t="s">
        <v>1887</v>
      </c>
      <c r="F943" s="1360" t="s">
        <v>1124</v>
      </c>
      <c r="G943" s="1362">
        <v>6069</v>
      </c>
      <c r="H943" s="1363" t="s">
        <v>3538</v>
      </c>
    </row>
    <row r="944" spans="2:8" x14ac:dyDescent="0.25">
      <c r="B944" s="1358" t="s">
        <v>6897</v>
      </c>
      <c r="C944" s="1359" t="s">
        <v>6921</v>
      </c>
      <c r="D944" s="1360">
        <v>8046</v>
      </c>
      <c r="E944" s="1361" t="s">
        <v>1888</v>
      </c>
      <c r="F944" s="1360" t="s">
        <v>266</v>
      </c>
      <c r="G944" s="1362">
        <v>1000684</v>
      </c>
      <c r="H944" s="1363" t="s">
        <v>3538</v>
      </c>
    </row>
    <row r="945" spans="2:8" x14ac:dyDescent="0.25">
      <c r="B945" s="1358" t="s">
        <v>6897</v>
      </c>
      <c r="C945" s="1359" t="s">
        <v>6921</v>
      </c>
      <c r="D945" s="1360">
        <v>8047</v>
      </c>
      <c r="E945" s="1361" t="s">
        <v>1889</v>
      </c>
      <c r="F945" s="1360" t="s">
        <v>266</v>
      </c>
      <c r="G945" s="1362">
        <v>523600</v>
      </c>
      <c r="H945" s="1363" t="s">
        <v>3538</v>
      </c>
    </row>
    <row r="946" spans="2:8" x14ac:dyDescent="0.25">
      <c r="B946" s="1358" t="s">
        <v>6897</v>
      </c>
      <c r="C946" s="1359" t="s">
        <v>6921</v>
      </c>
      <c r="D946" s="1360">
        <v>8048</v>
      </c>
      <c r="E946" s="1361" t="s">
        <v>1890</v>
      </c>
      <c r="F946" s="1360" t="s">
        <v>266</v>
      </c>
      <c r="G946" s="1362">
        <v>1081710</v>
      </c>
      <c r="H946" s="1363" t="s">
        <v>3538</v>
      </c>
    </row>
    <row r="947" spans="2:8" x14ac:dyDescent="0.25">
      <c r="B947" s="1358" t="s">
        <v>6897</v>
      </c>
      <c r="C947" s="1359" t="s">
        <v>6921</v>
      </c>
      <c r="D947" s="1360">
        <v>8049</v>
      </c>
      <c r="E947" s="1361" t="s">
        <v>1891</v>
      </c>
      <c r="F947" s="1360" t="s">
        <v>266</v>
      </c>
      <c r="G947" s="1362">
        <v>233886</v>
      </c>
      <c r="H947" s="1363" t="s">
        <v>3538</v>
      </c>
    </row>
    <row r="948" spans="2:8" x14ac:dyDescent="0.25">
      <c r="B948" s="1358" t="s">
        <v>6897</v>
      </c>
      <c r="C948" s="1359" t="s">
        <v>6902</v>
      </c>
      <c r="D948" s="1360">
        <v>8050</v>
      </c>
      <c r="E948" s="1361" t="s">
        <v>3652</v>
      </c>
      <c r="F948" s="1360" t="s">
        <v>1124</v>
      </c>
      <c r="G948" s="1362">
        <v>190</v>
      </c>
      <c r="H948" s="1363" t="s">
        <v>3538</v>
      </c>
    </row>
    <row r="949" spans="2:8" x14ac:dyDescent="0.25">
      <c r="B949" s="1358" t="s">
        <v>6897</v>
      </c>
      <c r="C949" s="1359" t="s">
        <v>1798</v>
      </c>
      <c r="D949" s="1360">
        <v>8051</v>
      </c>
      <c r="E949" s="1361" t="s">
        <v>1892</v>
      </c>
      <c r="F949" s="1360" t="s">
        <v>266</v>
      </c>
      <c r="G949" s="1362">
        <v>82615</v>
      </c>
      <c r="H949" s="1363" t="s">
        <v>6899</v>
      </c>
    </row>
    <row r="950" spans="2:8" x14ac:dyDescent="0.25">
      <c r="B950" s="1358" t="s">
        <v>6897</v>
      </c>
      <c r="C950" s="1359" t="s">
        <v>6921</v>
      </c>
      <c r="D950" s="1360">
        <v>8052</v>
      </c>
      <c r="E950" s="1361" t="s">
        <v>1893</v>
      </c>
      <c r="F950" s="1360" t="s">
        <v>266</v>
      </c>
      <c r="G950" s="1362">
        <v>32495</v>
      </c>
      <c r="H950" s="1363" t="s">
        <v>3538</v>
      </c>
    </row>
    <row r="951" spans="2:8" x14ac:dyDescent="0.25">
      <c r="B951" s="1358" t="s">
        <v>6897</v>
      </c>
      <c r="C951" s="1359" t="s">
        <v>6921</v>
      </c>
      <c r="D951" s="1360">
        <v>8053</v>
      </c>
      <c r="E951" s="1361" t="s">
        <v>1894</v>
      </c>
      <c r="F951" s="1360" t="s">
        <v>266</v>
      </c>
      <c r="G951" s="1362">
        <v>28900</v>
      </c>
      <c r="H951" s="1363" t="s">
        <v>3538</v>
      </c>
    </row>
    <row r="952" spans="2:8" x14ac:dyDescent="0.25">
      <c r="B952" s="1358" t="s">
        <v>6897</v>
      </c>
      <c r="C952" s="1359" t="s">
        <v>6908</v>
      </c>
      <c r="D952" s="1360">
        <v>8054</v>
      </c>
      <c r="E952" s="1361" t="s">
        <v>1895</v>
      </c>
      <c r="F952" s="1360" t="s">
        <v>266</v>
      </c>
      <c r="G952" s="1362">
        <v>540</v>
      </c>
      <c r="H952" s="1363" t="s">
        <v>3538</v>
      </c>
    </row>
    <row r="953" spans="2:8" x14ac:dyDescent="0.25">
      <c r="B953" s="1358" t="s">
        <v>6897</v>
      </c>
      <c r="C953" s="1359" t="s">
        <v>6921</v>
      </c>
      <c r="D953" s="1360">
        <v>8055</v>
      </c>
      <c r="E953" s="1361" t="s">
        <v>1896</v>
      </c>
      <c r="F953" s="1360" t="s">
        <v>266</v>
      </c>
      <c r="G953" s="1362">
        <v>64189</v>
      </c>
      <c r="H953" s="1363" t="s">
        <v>3538</v>
      </c>
    </row>
    <row r="954" spans="2:8" x14ac:dyDescent="0.25">
      <c r="B954" s="1358" t="s">
        <v>6897</v>
      </c>
      <c r="C954" s="1359" t="s">
        <v>6931</v>
      </c>
      <c r="D954" s="1360">
        <v>8056</v>
      </c>
      <c r="E954" s="1361" t="s">
        <v>1897</v>
      </c>
      <c r="F954" s="1360" t="s">
        <v>13</v>
      </c>
      <c r="G954" s="1362">
        <v>16333</v>
      </c>
      <c r="H954" s="1363" t="s">
        <v>3538</v>
      </c>
    </row>
    <row r="955" spans="2:8" x14ac:dyDescent="0.25">
      <c r="B955" s="1358" t="s">
        <v>6897</v>
      </c>
      <c r="C955" s="1359" t="s">
        <v>6997</v>
      </c>
      <c r="D955" s="1360">
        <v>8057</v>
      </c>
      <c r="E955" s="1361" t="s">
        <v>1898</v>
      </c>
      <c r="F955" s="1360" t="s">
        <v>13</v>
      </c>
      <c r="G955" s="1362">
        <v>12227</v>
      </c>
      <c r="H955" s="1363" t="s">
        <v>3538</v>
      </c>
    </row>
    <row r="956" spans="2:8" x14ac:dyDescent="0.25">
      <c r="B956" s="1358" t="s">
        <v>6897</v>
      </c>
      <c r="C956" s="1359" t="s">
        <v>6925</v>
      </c>
      <c r="D956" s="1360">
        <v>8060</v>
      </c>
      <c r="E956" s="1361" t="s">
        <v>1899</v>
      </c>
      <c r="F956" s="1360" t="s">
        <v>563</v>
      </c>
      <c r="G956" s="1362">
        <v>1107979</v>
      </c>
      <c r="H956" s="1363" t="s">
        <v>6899</v>
      </c>
    </row>
    <row r="957" spans="2:8" x14ac:dyDescent="0.25">
      <c r="B957" s="1358" t="s">
        <v>6897</v>
      </c>
      <c r="C957" s="1359" t="s">
        <v>6943</v>
      </c>
      <c r="D957" s="1360">
        <v>8061</v>
      </c>
      <c r="E957" s="1361" t="s">
        <v>3653</v>
      </c>
      <c r="F957" s="1360" t="s">
        <v>266</v>
      </c>
      <c r="G957" s="1362">
        <v>1339940</v>
      </c>
      <c r="H957" s="1363" t="s">
        <v>6899</v>
      </c>
    </row>
    <row r="958" spans="2:8" x14ac:dyDescent="0.25">
      <c r="B958" s="1358" t="s">
        <v>6897</v>
      </c>
      <c r="C958" s="1359" t="s">
        <v>6937</v>
      </c>
      <c r="D958" s="1360">
        <v>8062</v>
      </c>
      <c r="E958" s="1361" t="s">
        <v>3654</v>
      </c>
      <c r="F958" s="1360" t="s">
        <v>266</v>
      </c>
      <c r="G958" s="1362">
        <v>1329587</v>
      </c>
      <c r="H958" s="1363" t="s">
        <v>6899</v>
      </c>
    </row>
    <row r="959" spans="2:8" x14ac:dyDescent="0.25">
      <c r="B959" s="1358" t="s">
        <v>6897</v>
      </c>
      <c r="C959" s="1359" t="s">
        <v>6919</v>
      </c>
      <c r="D959" s="1360">
        <v>8070</v>
      </c>
      <c r="E959" s="1361" t="s">
        <v>1900</v>
      </c>
      <c r="F959" s="1360" t="s">
        <v>266</v>
      </c>
      <c r="G959" s="1362">
        <v>384132</v>
      </c>
      <c r="H959" s="1363" t="s">
        <v>6899</v>
      </c>
    </row>
    <row r="960" spans="2:8" x14ac:dyDescent="0.25">
      <c r="B960" s="1358" t="s">
        <v>6897</v>
      </c>
      <c r="C960" s="1359" t="s">
        <v>6912</v>
      </c>
      <c r="D960" s="1360">
        <v>8077</v>
      </c>
      <c r="E960" s="1361" t="s">
        <v>3655</v>
      </c>
      <c r="F960" s="1360" t="s">
        <v>1124</v>
      </c>
      <c r="G960" s="1362">
        <v>85628</v>
      </c>
      <c r="H960" s="1363" t="s">
        <v>6899</v>
      </c>
    </row>
    <row r="961" spans="2:8" x14ac:dyDescent="0.25">
      <c r="B961" s="1358" t="s">
        <v>6897</v>
      </c>
      <c r="C961" s="1359" t="s">
        <v>6916</v>
      </c>
      <c r="D961" s="1360">
        <v>8078</v>
      </c>
      <c r="E961" s="1361" t="s">
        <v>1901</v>
      </c>
      <c r="F961" s="1360" t="s">
        <v>266</v>
      </c>
      <c r="G961" s="1362">
        <v>33052</v>
      </c>
      <c r="H961" s="1363" t="s">
        <v>3538</v>
      </c>
    </row>
    <row r="962" spans="2:8" x14ac:dyDescent="0.25">
      <c r="B962" s="1358" t="s">
        <v>6897</v>
      </c>
      <c r="C962" s="1359" t="s">
        <v>6921</v>
      </c>
      <c r="D962" s="1360">
        <v>8079</v>
      </c>
      <c r="E962" s="1361" t="s">
        <v>1902</v>
      </c>
      <c r="F962" s="1360" t="s">
        <v>266</v>
      </c>
      <c r="G962" s="1362">
        <v>249900</v>
      </c>
      <c r="H962" s="1363" t="s">
        <v>3538</v>
      </c>
    </row>
    <row r="963" spans="2:8" x14ac:dyDescent="0.25">
      <c r="B963" s="1358" t="s">
        <v>6897</v>
      </c>
      <c r="C963" s="1359" t="s">
        <v>6990</v>
      </c>
      <c r="D963" s="1360">
        <v>8080</v>
      </c>
      <c r="E963" s="1361" t="s">
        <v>678</v>
      </c>
      <c r="F963" s="1360" t="s">
        <v>13</v>
      </c>
      <c r="G963" s="1362">
        <v>784924</v>
      </c>
      <c r="H963" s="1363" t="s">
        <v>3538</v>
      </c>
    </row>
    <row r="964" spans="2:8" x14ac:dyDescent="0.25">
      <c r="B964" s="1358" t="s">
        <v>6897</v>
      </c>
      <c r="C964" s="1359" t="s">
        <v>6901</v>
      </c>
      <c r="D964" s="1360">
        <v>8085</v>
      </c>
      <c r="E964" s="1361" t="s">
        <v>1903</v>
      </c>
      <c r="F964" s="1360" t="s">
        <v>266</v>
      </c>
      <c r="G964" s="1362">
        <v>128000</v>
      </c>
      <c r="H964" s="1363" t="s">
        <v>3538</v>
      </c>
    </row>
    <row r="965" spans="2:8" x14ac:dyDescent="0.25">
      <c r="B965" s="1358" t="s">
        <v>6897</v>
      </c>
      <c r="C965" s="1359" t="s">
        <v>6901</v>
      </c>
      <c r="D965" s="1360">
        <v>8086</v>
      </c>
      <c r="E965" s="1361" t="s">
        <v>1904</v>
      </c>
      <c r="F965" s="1360" t="s">
        <v>266</v>
      </c>
      <c r="G965" s="1362">
        <v>148000</v>
      </c>
      <c r="H965" s="1363" t="s">
        <v>3538</v>
      </c>
    </row>
    <row r="966" spans="2:8" x14ac:dyDescent="0.25">
      <c r="B966" s="1358" t="s">
        <v>6897</v>
      </c>
      <c r="C966" s="1359" t="s">
        <v>6901</v>
      </c>
      <c r="D966" s="1360">
        <v>8089</v>
      </c>
      <c r="E966" s="1361" t="s">
        <v>1905</v>
      </c>
      <c r="F966" s="1360" t="s">
        <v>266</v>
      </c>
      <c r="G966" s="1362">
        <v>139000</v>
      </c>
      <c r="H966" s="1363" t="s">
        <v>3538</v>
      </c>
    </row>
    <row r="967" spans="2:8" x14ac:dyDescent="0.25">
      <c r="B967" s="1358" t="s">
        <v>6897</v>
      </c>
      <c r="C967" s="1359" t="s">
        <v>6901</v>
      </c>
      <c r="D967" s="1360">
        <v>8090</v>
      </c>
      <c r="E967" s="1361" t="s">
        <v>1906</v>
      </c>
      <c r="F967" s="1360" t="s">
        <v>266</v>
      </c>
      <c r="G967" s="1362">
        <v>82000</v>
      </c>
      <c r="H967" s="1363" t="s">
        <v>3538</v>
      </c>
    </row>
    <row r="968" spans="2:8" x14ac:dyDescent="0.25">
      <c r="B968" s="1358" t="s">
        <v>6897</v>
      </c>
      <c r="C968" s="1359" t="s">
        <v>6901</v>
      </c>
      <c r="D968" s="1360">
        <v>8091</v>
      </c>
      <c r="E968" s="1361" t="s">
        <v>1907</v>
      </c>
      <c r="F968" s="1360" t="s">
        <v>266</v>
      </c>
      <c r="G968" s="1362">
        <v>132000</v>
      </c>
      <c r="H968" s="1363" t="s">
        <v>3538</v>
      </c>
    </row>
    <row r="969" spans="2:8" x14ac:dyDescent="0.25">
      <c r="B969" s="1358" t="s">
        <v>6897</v>
      </c>
      <c r="C969" s="1359" t="s">
        <v>6901</v>
      </c>
      <c r="D969" s="1360">
        <v>8094</v>
      </c>
      <c r="E969" s="1361" t="s">
        <v>1908</v>
      </c>
      <c r="F969" s="1360" t="s">
        <v>266</v>
      </c>
      <c r="G969" s="1362">
        <v>128500</v>
      </c>
      <c r="H969" s="1363" t="s">
        <v>3538</v>
      </c>
    </row>
    <row r="970" spans="2:8" x14ac:dyDescent="0.25">
      <c r="B970" s="1358" t="s">
        <v>6897</v>
      </c>
      <c r="C970" s="1359" t="s">
        <v>6901</v>
      </c>
      <c r="D970" s="1360">
        <v>8097</v>
      </c>
      <c r="E970" s="1361" t="s">
        <v>1909</v>
      </c>
      <c r="F970" s="1360" t="s">
        <v>12</v>
      </c>
      <c r="G970" s="1362">
        <v>58310</v>
      </c>
      <c r="H970" s="1363" t="s">
        <v>3538</v>
      </c>
    </row>
    <row r="971" spans="2:8" x14ac:dyDescent="0.25">
      <c r="B971" s="1358" t="s">
        <v>6897</v>
      </c>
      <c r="C971" s="1359" t="s">
        <v>6904</v>
      </c>
      <c r="D971" s="1360">
        <v>8099</v>
      </c>
      <c r="E971" s="1361" t="s">
        <v>3656</v>
      </c>
      <c r="F971" s="1360" t="s">
        <v>12</v>
      </c>
      <c r="G971" s="1362">
        <v>75000</v>
      </c>
      <c r="H971" s="1363" t="s">
        <v>6899</v>
      </c>
    </row>
    <row r="972" spans="2:8" x14ac:dyDescent="0.25">
      <c r="B972" s="1358" t="s">
        <v>6897</v>
      </c>
      <c r="C972" s="1359" t="s">
        <v>6904</v>
      </c>
      <c r="D972" s="1360">
        <v>8100</v>
      </c>
      <c r="E972" s="1361" t="s">
        <v>1910</v>
      </c>
      <c r="F972" s="1360" t="s">
        <v>12</v>
      </c>
      <c r="G972" s="1362">
        <v>71063</v>
      </c>
      <c r="H972" s="1363" t="s">
        <v>6899</v>
      </c>
    </row>
    <row r="973" spans="2:8" x14ac:dyDescent="0.25">
      <c r="B973" s="1358" t="s">
        <v>6897</v>
      </c>
      <c r="C973" s="1359" t="s">
        <v>6927</v>
      </c>
      <c r="D973" s="1360">
        <v>8101</v>
      </c>
      <c r="E973" s="1361" t="s">
        <v>1911</v>
      </c>
      <c r="F973" s="1360" t="s">
        <v>6</v>
      </c>
      <c r="G973" s="1362">
        <v>11704</v>
      </c>
      <c r="H973" s="1363" t="s">
        <v>6899</v>
      </c>
    </row>
    <row r="974" spans="2:8" x14ac:dyDescent="0.25">
      <c r="B974" s="1358" t="s">
        <v>6897</v>
      </c>
      <c r="C974" s="1359" t="s">
        <v>6913</v>
      </c>
      <c r="D974" s="1360">
        <v>8102</v>
      </c>
      <c r="E974" s="1361" t="s">
        <v>3657</v>
      </c>
      <c r="F974" s="1360" t="s">
        <v>677</v>
      </c>
      <c r="G974" s="1362">
        <v>2907576</v>
      </c>
      <c r="H974" s="1363" t="s">
        <v>3548</v>
      </c>
    </row>
    <row r="975" spans="2:8" x14ac:dyDescent="0.25">
      <c r="B975" s="1358" t="s">
        <v>6897</v>
      </c>
      <c r="C975" s="1359" t="s">
        <v>6900</v>
      </c>
      <c r="D975" s="1360">
        <v>8103</v>
      </c>
      <c r="E975" s="1361" t="s">
        <v>3658</v>
      </c>
      <c r="F975" s="1360" t="s">
        <v>1124</v>
      </c>
      <c r="G975" s="1362">
        <v>2611386</v>
      </c>
      <c r="H975" s="1363" t="s">
        <v>6899</v>
      </c>
    </row>
    <row r="976" spans="2:8" x14ac:dyDescent="0.25">
      <c r="B976" s="1358" t="s">
        <v>6897</v>
      </c>
      <c r="C976" s="1359" t="s">
        <v>7011</v>
      </c>
      <c r="D976" s="1360">
        <v>8113</v>
      </c>
      <c r="E976" s="1361" t="s">
        <v>3659</v>
      </c>
      <c r="F976" s="1360" t="s">
        <v>266</v>
      </c>
      <c r="G976" s="1362">
        <v>101150</v>
      </c>
      <c r="H976" s="1363" t="s">
        <v>6899</v>
      </c>
    </row>
    <row r="977" spans="2:8" x14ac:dyDescent="0.25">
      <c r="B977" s="1358" t="s">
        <v>6897</v>
      </c>
      <c r="C977" s="1359" t="s">
        <v>6943</v>
      </c>
      <c r="D977" s="1360">
        <v>8116</v>
      </c>
      <c r="E977" s="1361" t="s">
        <v>3660</v>
      </c>
      <c r="F977" s="1360" t="s">
        <v>266</v>
      </c>
      <c r="G977" s="1362">
        <v>2349060</v>
      </c>
      <c r="H977" s="1363" t="s">
        <v>6899</v>
      </c>
    </row>
    <row r="978" spans="2:8" x14ac:dyDescent="0.25">
      <c r="B978" s="1358" t="s">
        <v>6897</v>
      </c>
      <c r="C978" s="1359" t="s">
        <v>6917</v>
      </c>
      <c r="D978" s="1360">
        <v>8141</v>
      </c>
      <c r="E978" s="1361" t="s">
        <v>1912</v>
      </c>
      <c r="F978" s="1360" t="s">
        <v>1155</v>
      </c>
      <c r="G978" s="1362">
        <v>76200</v>
      </c>
      <c r="H978" s="1363" t="s">
        <v>3538</v>
      </c>
    </row>
    <row r="979" spans="2:8" x14ac:dyDescent="0.25">
      <c r="B979" s="1358" t="s">
        <v>6897</v>
      </c>
      <c r="C979" s="1359" t="s">
        <v>6915</v>
      </c>
      <c r="D979" s="1360">
        <v>8142</v>
      </c>
      <c r="E979" s="1361" t="s">
        <v>1913</v>
      </c>
      <c r="F979" s="1360" t="s">
        <v>12</v>
      </c>
      <c r="G979" s="1362">
        <v>91300</v>
      </c>
      <c r="H979" s="1363" t="s">
        <v>6899</v>
      </c>
    </row>
    <row r="980" spans="2:8" x14ac:dyDescent="0.25">
      <c r="B980" s="1358" t="s">
        <v>6897</v>
      </c>
      <c r="C980" s="1359" t="s">
        <v>6927</v>
      </c>
      <c r="D980" s="1360">
        <v>8143</v>
      </c>
      <c r="E980" s="1361" t="s">
        <v>1914</v>
      </c>
      <c r="F980" s="1360" t="s">
        <v>6</v>
      </c>
      <c r="G980" s="1362">
        <v>1700</v>
      </c>
      <c r="H980" s="1363" t="s">
        <v>6899</v>
      </c>
    </row>
    <row r="981" spans="2:8" x14ac:dyDescent="0.25">
      <c r="B981" s="1358" t="s">
        <v>6897</v>
      </c>
      <c r="C981" s="1359" t="s">
        <v>6931</v>
      </c>
      <c r="D981" s="1360">
        <v>8144</v>
      </c>
      <c r="E981" s="1361" t="s">
        <v>1915</v>
      </c>
      <c r="F981" s="1360" t="s">
        <v>6</v>
      </c>
      <c r="G981" s="1362">
        <v>5840</v>
      </c>
      <c r="H981" s="1363" t="s">
        <v>3538</v>
      </c>
    </row>
    <row r="982" spans="2:8" x14ac:dyDescent="0.25">
      <c r="B982" s="1358" t="s">
        <v>6897</v>
      </c>
      <c r="C982" s="1359" t="s">
        <v>6915</v>
      </c>
      <c r="D982" s="1360">
        <v>8145</v>
      </c>
      <c r="E982" s="1361" t="s">
        <v>1916</v>
      </c>
      <c r="F982" s="1360" t="s">
        <v>13</v>
      </c>
      <c r="G982" s="1362">
        <v>18750</v>
      </c>
      <c r="H982" s="1363" t="s">
        <v>6899</v>
      </c>
    </row>
    <row r="983" spans="2:8" x14ac:dyDescent="0.25">
      <c r="B983" s="1358" t="s">
        <v>6897</v>
      </c>
      <c r="C983" s="1359" t="s">
        <v>6915</v>
      </c>
      <c r="D983" s="1360">
        <v>8146</v>
      </c>
      <c r="E983" s="1361" t="s">
        <v>1917</v>
      </c>
      <c r="F983" s="1360" t="s">
        <v>12</v>
      </c>
      <c r="G983" s="1362">
        <v>65400</v>
      </c>
      <c r="H983" s="1363" t="s">
        <v>6899</v>
      </c>
    </row>
    <row r="984" spans="2:8" x14ac:dyDescent="0.25">
      <c r="B984" s="1358" t="s">
        <v>6897</v>
      </c>
      <c r="C984" s="1359" t="s">
        <v>6917</v>
      </c>
      <c r="D984" s="1360">
        <v>8149</v>
      </c>
      <c r="E984" s="1361" t="s">
        <v>1918</v>
      </c>
      <c r="F984" s="1360" t="s">
        <v>1155</v>
      </c>
      <c r="G984" s="1362">
        <v>187300</v>
      </c>
      <c r="H984" s="1363" t="s">
        <v>3538</v>
      </c>
    </row>
    <row r="985" spans="2:8" x14ac:dyDescent="0.25">
      <c r="B985" s="1358" t="s">
        <v>6897</v>
      </c>
      <c r="C985" s="1359" t="s">
        <v>6931</v>
      </c>
      <c r="D985" s="1360">
        <v>8150</v>
      </c>
      <c r="E985" s="1361" t="s">
        <v>1919</v>
      </c>
      <c r="F985" s="1360" t="s">
        <v>266</v>
      </c>
      <c r="G985" s="1362">
        <v>99900</v>
      </c>
      <c r="H985" s="1363" t="s">
        <v>3538</v>
      </c>
    </row>
    <row r="986" spans="2:8" x14ac:dyDescent="0.25">
      <c r="B986" s="1358" t="s">
        <v>6897</v>
      </c>
      <c r="C986" s="1359" t="s">
        <v>6931</v>
      </c>
      <c r="D986" s="1360">
        <v>8152</v>
      </c>
      <c r="E986" s="1361" t="s">
        <v>1920</v>
      </c>
      <c r="F986" s="1360" t="s">
        <v>266</v>
      </c>
      <c r="G986" s="1362">
        <v>17900</v>
      </c>
      <c r="H986" s="1363" t="s">
        <v>3538</v>
      </c>
    </row>
    <row r="987" spans="2:8" x14ac:dyDescent="0.25">
      <c r="B987" s="1358" t="s">
        <v>6897</v>
      </c>
      <c r="C987" s="1359" t="s">
        <v>6931</v>
      </c>
      <c r="D987" s="1360">
        <v>8153</v>
      </c>
      <c r="E987" s="1361" t="s">
        <v>1921</v>
      </c>
      <c r="F987" s="1360" t="s">
        <v>266</v>
      </c>
      <c r="G987" s="1362">
        <v>88257</v>
      </c>
      <c r="H987" s="1363" t="s">
        <v>3538</v>
      </c>
    </row>
    <row r="988" spans="2:8" x14ac:dyDescent="0.25">
      <c r="B988" s="1358" t="s">
        <v>6897</v>
      </c>
      <c r="C988" s="1359" t="s">
        <v>6931</v>
      </c>
      <c r="D988" s="1360">
        <v>8154</v>
      </c>
      <c r="E988" s="1361" t="s">
        <v>1922</v>
      </c>
      <c r="F988" s="1360" t="s">
        <v>266</v>
      </c>
      <c r="G988" s="1362">
        <v>168900</v>
      </c>
      <c r="H988" s="1363" t="s">
        <v>3538</v>
      </c>
    </row>
    <row r="989" spans="2:8" x14ac:dyDescent="0.25">
      <c r="B989" s="1358" t="s">
        <v>6897</v>
      </c>
      <c r="C989" s="1359" t="s">
        <v>6931</v>
      </c>
      <c r="D989" s="1360">
        <v>8155</v>
      </c>
      <c r="E989" s="1361" t="s">
        <v>1923</v>
      </c>
      <c r="F989" s="1360" t="s">
        <v>266</v>
      </c>
      <c r="G989" s="1362">
        <v>10220</v>
      </c>
      <c r="H989" s="1363" t="s">
        <v>3538</v>
      </c>
    </row>
    <row r="990" spans="2:8" x14ac:dyDescent="0.25">
      <c r="B990" s="1358" t="s">
        <v>6897</v>
      </c>
      <c r="C990" s="1359" t="s">
        <v>6916</v>
      </c>
      <c r="D990" s="1360">
        <v>8156</v>
      </c>
      <c r="E990" s="1361" t="s">
        <v>1924</v>
      </c>
      <c r="F990" s="1360" t="s">
        <v>13</v>
      </c>
      <c r="G990" s="1362">
        <v>15121</v>
      </c>
      <c r="H990" s="1363" t="s">
        <v>3538</v>
      </c>
    </row>
    <row r="991" spans="2:8" x14ac:dyDescent="0.25">
      <c r="B991" s="1358" t="s">
        <v>6897</v>
      </c>
      <c r="C991" s="1359" t="s">
        <v>6916</v>
      </c>
      <c r="D991" s="1360">
        <v>8157</v>
      </c>
      <c r="E991" s="1361" t="s">
        <v>1925</v>
      </c>
      <c r="F991" s="1360" t="s">
        <v>266</v>
      </c>
      <c r="G991" s="1362">
        <v>1492</v>
      </c>
      <c r="H991" s="1363" t="s">
        <v>3538</v>
      </c>
    </row>
    <row r="992" spans="2:8" x14ac:dyDescent="0.25">
      <c r="B992" s="1358" t="s">
        <v>6897</v>
      </c>
      <c r="C992" s="1359" t="s">
        <v>6916</v>
      </c>
      <c r="D992" s="1360">
        <v>8158</v>
      </c>
      <c r="E992" s="1361" t="s">
        <v>1926</v>
      </c>
      <c r="F992" s="1360" t="s">
        <v>266</v>
      </c>
      <c r="G992" s="1362">
        <v>3760</v>
      </c>
      <c r="H992" s="1363" t="s">
        <v>3538</v>
      </c>
    </row>
    <row r="993" spans="2:8" x14ac:dyDescent="0.25">
      <c r="B993" s="1358" t="s">
        <v>6897</v>
      </c>
      <c r="C993" s="1359" t="s">
        <v>6916</v>
      </c>
      <c r="D993" s="1360">
        <v>8159</v>
      </c>
      <c r="E993" s="1361" t="s">
        <v>1927</v>
      </c>
      <c r="F993" s="1360" t="s">
        <v>266</v>
      </c>
      <c r="G993" s="1362">
        <v>18265</v>
      </c>
      <c r="H993" s="1363" t="s">
        <v>3538</v>
      </c>
    </row>
    <row r="994" spans="2:8" x14ac:dyDescent="0.25">
      <c r="B994" s="1358" t="s">
        <v>6897</v>
      </c>
      <c r="C994" s="1359" t="s">
        <v>6916</v>
      </c>
      <c r="D994" s="1360">
        <v>8160</v>
      </c>
      <c r="E994" s="1361" t="s">
        <v>1928</v>
      </c>
      <c r="F994" s="1360" t="s">
        <v>266</v>
      </c>
      <c r="G994" s="1362">
        <v>4825</v>
      </c>
      <c r="H994" s="1363" t="s">
        <v>3538</v>
      </c>
    </row>
    <row r="995" spans="2:8" x14ac:dyDescent="0.25">
      <c r="B995" s="1358" t="s">
        <v>6897</v>
      </c>
      <c r="C995" s="1359" t="s">
        <v>6916</v>
      </c>
      <c r="D995" s="1360">
        <v>8161</v>
      </c>
      <c r="E995" s="1361" t="s">
        <v>1929</v>
      </c>
      <c r="F995" s="1360" t="s">
        <v>266</v>
      </c>
      <c r="G995" s="1362">
        <v>20016</v>
      </c>
      <c r="H995" s="1363" t="s">
        <v>3538</v>
      </c>
    </row>
    <row r="996" spans="2:8" x14ac:dyDescent="0.25">
      <c r="B996" s="1358" t="s">
        <v>6897</v>
      </c>
      <c r="C996" s="1359" t="s">
        <v>6916</v>
      </c>
      <c r="D996" s="1360">
        <v>8162</v>
      </c>
      <c r="E996" s="1361" t="s">
        <v>1930</v>
      </c>
      <c r="F996" s="1360" t="s">
        <v>266</v>
      </c>
      <c r="G996" s="1362">
        <v>9247</v>
      </c>
      <c r="H996" s="1363" t="s">
        <v>3538</v>
      </c>
    </row>
    <row r="997" spans="2:8" x14ac:dyDescent="0.25">
      <c r="B997" s="1358" t="s">
        <v>6897</v>
      </c>
      <c r="C997" s="1359" t="s">
        <v>6916</v>
      </c>
      <c r="D997" s="1360">
        <v>8164</v>
      </c>
      <c r="E997" s="1361" t="s">
        <v>1931</v>
      </c>
      <c r="F997" s="1360" t="s">
        <v>266</v>
      </c>
      <c r="G997" s="1362">
        <v>58255</v>
      </c>
      <c r="H997" s="1363" t="s">
        <v>3538</v>
      </c>
    </row>
    <row r="998" spans="2:8" x14ac:dyDescent="0.25">
      <c r="B998" s="1358" t="s">
        <v>6897</v>
      </c>
      <c r="C998" s="1359" t="s">
        <v>6916</v>
      </c>
      <c r="D998" s="1360">
        <v>8165</v>
      </c>
      <c r="E998" s="1361" t="s">
        <v>1932</v>
      </c>
      <c r="F998" s="1360" t="s">
        <v>266</v>
      </c>
      <c r="G998" s="1362">
        <v>28371</v>
      </c>
      <c r="H998" s="1363" t="s">
        <v>3538</v>
      </c>
    </row>
    <row r="999" spans="2:8" x14ac:dyDescent="0.25">
      <c r="B999" s="1358" t="s">
        <v>6897</v>
      </c>
      <c r="C999" s="1359" t="s">
        <v>6916</v>
      </c>
      <c r="D999" s="1360">
        <v>8166</v>
      </c>
      <c r="E999" s="1361" t="s">
        <v>1933</v>
      </c>
      <c r="F999" s="1360" t="s">
        <v>266</v>
      </c>
      <c r="G999" s="1362">
        <v>18265</v>
      </c>
      <c r="H999" s="1363" t="s">
        <v>3538</v>
      </c>
    </row>
    <row r="1000" spans="2:8" x14ac:dyDescent="0.25">
      <c r="B1000" s="1358" t="s">
        <v>6897</v>
      </c>
      <c r="C1000" s="1359" t="s">
        <v>6916</v>
      </c>
      <c r="D1000" s="1360">
        <v>8167</v>
      </c>
      <c r="E1000" s="1361" t="s">
        <v>1934</v>
      </c>
      <c r="F1000" s="1360" t="s">
        <v>266</v>
      </c>
      <c r="G1000" s="1362">
        <v>9459</v>
      </c>
      <c r="H1000" s="1363" t="s">
        <v>3538</v>
      </c>
    </row>
    <row r="1001" spans="2:8" x14ac:dyDescent="0.25">
      <c r="B1001" s="1358" t="s">
        <v>6897</v>
      </c>
      <c r="C1001" s="1359" t="s">
        <v>6916</v>
      </c>
      <c r="D1001" s="1360">
        <v>8169</v>
      </c>
      <c r="E1001" s="1361" t="s">
        <v>1935</v>
      </c>
      <c r="F1001" s="1360" t="s">
        <v>266</v>
      </c>
      <c r="G1001" s="1362">
        <v>4825</v>
      </c>
      <c r="H1001" s="1363" t="s">
        <v>3538</v>
      </c>
    </row>
    <row r="1002" spans="2:8" x14ac:dyDescent="0.25">
      <c r="B1002" s="1358" t="s">
        <v>6897</v>
      </c>
      <c r="C1002" s="1359" t="s">
        <v>6916</v>
      </c>
      <c r="D1002" s="1360">
        <v>8170</v>
      </c>
      <c r="E1002" s="1361" t="s">
        <v>1936</v>
      </c>
      <c r="F1002" s="1360" t="s">
        <v>266</v>
      </c>
      <c r="G1002" s="1362">
        <v>6671</v>
      </c>
      <c r="H1002" s="1363" t="s">
        <v>3538</v>
      </c>
    </row>
    <row r="1003" spans="2:8" x14ac:dyDescent="0.25">
      <c r="B1003" s="1358" t="s">
        <v>6897</v>
      </c>
      <c r="C1003" s="1359" t="s">
        <v>6916</v>
      </c>
      <c r="D1003" s="1360">
        <v>8171</v>
      </c>
      <c r="E1003" s="1361" t="s">
        <v>1937</v>
      </c>
      <c r="F1003" s="1360" t="s">
        <v>266</v>
      </c>
      <c r="G1003" s="1362">
        <v>3251</v>
      </c>
      <c r="H1003" s="1363" t="s">
        <v>3538</v>
      </c>
    </row>
    <row r="1004" spans="2:8" x14ac:dyDescent="0.25">
      <c r="B1004" s="1358" t="s">
        <v>6897</v>
      </c>
      <c r="C1004" s="1359" t="s">
        <v>6908</v>
      </c>
      <c r="D1004" s="1360">
        <v>8172</v>
      </c>
      <c r="E1004" s="1361" t="s">
        <v>1938</v>
      </c>
      <c r="F1004" s="1360" t="s">
        <v>13</v>
      </c>
      <c r="G1004" s="1362">
        <v>10574</v>
      </c>
      <c r="H1004" s="1363" t="s">
        <v>3538</v>
      </c>
    </row>
    <row r="1005" spans="2:8" x14ac:dyDescent="0.25">
      <c r="B1005" s="1358" t="s">
        <v>6897</v>
      </c>
      <c r="C1005" s="1359" t="s">
        <v>6908</v>
      </c>
      <c r="D1005" s="1360">
        <v>8173</v>
      </c>
      <c r="E1005" s="1361" t="s">
        <v>1939</v>
      </c>
      <c r="F1005" s="1360" t="s">
        <v>13</v>
      </c>
      <c r="G1005" s="1362">
        <v>8500</v>
      </c>
      <c r="H1005" s="1363" t="s">
        <v>3538</v>
      </c>
    </row>
    <row r="1006" spans="2:8" x14ac:dyDescent="0.25">
      <c r="B1006" s="1358" t="s">
        <v>6897</v>
      </c>
      <c r="C1006" s="1359" t="s">
        <v>6908</v>
      </c>
      <c r="D1006" s="1360">
        <v>8174</v>
      </c>
      <c r="E1006" s="1361" t="s">
        <v>1940</v>
      </c>
      <c r="F1006" s="1360" t="s">
        <v>266</v>
      </c>
      <c r="G1006" s="1362">
        <v>11570</v>
      </c>
      <c r="H1006" s="1363" t="s">
        <v>3538</v>
      </c>
    </row>
    <row r="1007" spans="2:8" x14ac:dyDescent="0.25">
      <c r="B1007" s="1358" t="s">
        <v>6897</v>
      </c>
      <c r="C1007" s="1359" t="s">
        <v>6908</v>
      </c>
      <c r="D1007" s="1360">
        <v>8175</v>
      </c>
      <c r="E1007" s="1361" t="s">
        <v>1941</v>
      </c>
      <c r="F1007" s="1360" t="s">
        <v>266</v>
      </c>
      <c r="G1007" s="1362">
        <v>8814</v>
      </c>
      <c r="H1007" s="1363" t="s">
        <v>3538</v>
      </c>
    </row>
    <row r="1008" spans="2:8" x14ac:dyDescent="0.25">
      <c r="B1008" s="1358" t="s">
        <v>6897</v>
      </c>
      <c r="C1008" s="1359" t="s">
        <v>6908</v>
      </c>
      <c r="D1008" s="1360">
        <v>8177</v>
      </c>
      <c r="E1008" s="1361" t="s">
        <v>1942</v>
      </c>
      <c r="F1008" s="1360" t="s">
        <v>266</v>
      </c>
      <c r="G1008" s="1362">
        <v>4712</v>
      </c>
      <c r="H1008" s="1363" t="s">
        <v>3538</v>
      </c>
    </row>
    <row r="1009" spans="2:8" x14ac:dyDescent="0.25">
      <c r="B1009" s="1358" t="s">
        <v>6897</v>
      </c>
      <c r="C1009" s="1359" t="s">
        <v>6908</v>
      </c>
      <c r="D1009" s="1360">
        <v>8178</v>
      </c>
      <c r="E1009" s="1361" t="s">
        <v>1943</v>
      </c>
      <c r="F1009" s="1360" t="s">
        <v>266</v>
      </c>
      <c r="G1009" s="1362">
        <v>2454</v>
      </c>
      <c r="H1009" s="1363" t="s">
        <v>3538</v>
      </c>
    </row>
    <row r="1010" spans="2:8" x14ac:dyDescent="0.25">
      <c r="B1010" s="1358" t="s">
        <v>6897</v>
      </c>
      <c r="C1010" s="1359" t="s">
        <v>6908</v>
      </c>
      <c r="D1010" s="1360">
        <v>8179</v>
      </c>
      <c r="E1010" s="1361" t="s">
        <v>1944</v>
      </c>
      <c r="F1010" s="1360" t="s">
        <v>266</v>
      </c>
      <c r="G1010" s="1362">
        <v>8799</v>
      </c>
      <c r="H1010" s="1363" t="s">
        <v>3538</v>
      </c>
    </row>
    <row r="1011" spans="2:8" x14ac:dyDescent="0.25">
      <c r="B1011" s="1358" t="s">
        <v>6897</v>
      </c>
      <c r="C1011" s="1359" t="s">
        <v>6908</v>
      </c>
      <c r="D1011" s="1360">
        <v>8180</v>
      </c>
      <c r="E1011" s="1361" t="s">
        <v>1945</v>
      </c>
      <c r="F1011" s="1360" t="s">
        <v>266</v>
      </c>
      <c r="G1011" s="1362">
        <v>4480</v>
      </c>
      <c r="H1011" s="1363" t="s">
        <v>3538</v>
      </c>
    </row>
    <row r="1012" spans="2:8" x14ac:dyDescent="0.25">
      <c r="B1012" s="1358" t="s">
        <v>6897</v>
      </c>
      <c r="C1012" s="1359" t="s">
        <v>6908</v>
      </c>
      <c r="D1012" s="1360">
        <v>8181</v>
      </c>
      <c r="E1012" s="1361" t="s">
        <v>1946</v>
      </c>
      <c r="F1012" s="1360" t="s">
        <v>266</v>
      </c>
      <c r="G1012" s="1362">
        <v>2902</v>
      </c>
      <c r="H1012" s="1363" t="s">
        <v>3538</v>
      </c>
    </row>
    <row r="1013" spans="2:8" x14ac:dyDescent="0.25">
      <c r="B1013" s="1358" t="s">
        <v>6897</v>
      </c>
      <c r="C1013" s="1359" t="s">
        <v>6908</v>
      </c>
      <c r="D1013" s="1360">
        <v>8182</v>
      </c>
      <c r="E1013" s="1361" t="s">
        <v>1947</v>
      </c>
      <c r="F1013" s="1360" t="s">
        <v>266</v>
      </c>
      <c r="G1013" s="1362">
        <v>1511</v>
      </c>
      <c r="H1013" s="1363" t="s">
        <v>3538</v>
      </c>
    </row>
    <row r="1014" spans="2:8" x14ac:dyDescent="0.25">
      <c r="B1014" s="1358" t="s">
        <v>6897</v>
      </c>
      <c r="C1014" s="1359" t="s">
        <v>6908</v>
      </c>
      <c r="D1014" s="1360">
        <v>8183</v>
      </c>
      <c r="E1014" s="1361" t="s">
        <v>1948</v>
      </c>
      <c r="F1014" s="1360" t="s">
        <v>266</v>
      </c>
      <c r="G1014" s="1362">
        <v>759</v>
      </c>
      <c r="H1014" s="1363" t="s">
        <v>3538</v>
      </c>
    </row>
    <row r="1015" spans="2:8" x14ac:dyDescent="0.25">
      <c r="B1015" s="1358" t="s">
        <v>6897</v>
      </c>
      <c r="C1015" s="1359" t="s">
        <v>6908</v>
      </c>
      <c r="D1015" s="1360">
        <v>8185</v>
      </c>
      <c r="E1015" s="1361" t="s">
        <v>1949</v>
      </c>
      <c r="F1015" s="1360" t="s">
        <v>266</v>
      </c>
      <c r="G1015" s="1362">
        <v>23637</v>
      </c>
      <c r="H1015" s="1363" t="s">
        <v>3538</v>
      </c>
    </row>
    <row r="1016" spans="2:8" x14ac:dyDescent="0.25">
      <c r="B1016" s="1358" t="s">
        <v>6897</v>
      </c>
      <c r="C1016" s="1359" t="s">
        <v>6908</v>
      </c>
      <c r="D1016" s="1360">
        <v>8186</v>
      </c>
      <c r="E1016" s="1361" t="s">
        <v>1950</v>
      </c>
      <c r="F1016" s="1360" t="s">
        <v>266</v>
      </c>
      <c r="G1016" s="1362">
        <v>33529</v>
      </c>
      <c r="H1016" s="1363" t="s">
        <v>3538</v>
      </c>
    </row>
    <row r="1017" spans="2:8" x14ac:dyDescent="0.25">
      <c r="B1017" s="1358" t="s">
        <v>6897</v>
      </c>
      <c r="C1017" s="1359" t="s">
        <v>6908</v>
      </c>
      <c r="D1017" s="1360">
        <v>8187</v>
      </c>
      <c r="E1017" s="1361" t="s">
        <v>1951</v>
      </c>
      <c r="F1017" s="1360" t="s">
        <v>266</v>
      </c>
      <c r="G1017" s="1362">
        <v>3940</v>
      </c>
      <c r="H1017" s="1363" t="s">
        <v>3538</v>
      </c>
    </row>
    <row r="1018" spans="2:8" x14ac:dyDescent="0.25">
      <c r="B1018" s="1358" t="s">
        <v>6897</v>
      </c>
      <c r="C1018" s="1359" t="s">
        <v>6908</v>
      </c>
      <c r="D1018" s="1360">
        <v>8188</v>
      </c>
      <c r="E1018" s="1361" t="s">
        <v>1952</v>
      </c>
      <c r="F1018" s="1360" t="s">
        <v>266</v>
      </c>
      <c r="G1018" s="1362">
        <v>3413</v>
      </c>
      <c r="H1018" s="1363" t="s">
        <v>3538</v>
      </c>
    </row>
    <row r="1019" spans="2:8" x14ac:dyDescent="0.25">
      <c r="B1019" s="1358" t="s">
        <v>6897</v>
      </c>
      <c r="C1019" s="1359" t="s">
        <v>6908</v>
      </c>
      <c r="D1019" s="1360">
        <v>8189</v>
      </c>
      <c r="E1019" s="1361" t="s">
        <v>1953</v>
      </c>
      <c r="F1019" s="1360" t="s">
        <v>266</v>
      </c>
      <c r="G1019" s="1362">
        <v>1501</v>
      </c>
      <c r="H1019" s="1363" t="s">
        <v>3538</v>
      </c>
    </row>
    <row r="1020" spans="2:8" x14ac:dyDescent="0.25">
      <c r="B1020" s="1358" t="s">
        <v>6897</v>
      </c>
      <c r="C1020" s="1359" t="s">
        <v>6908</v>
      </c>
      <c r="D1020" s="1360">
        <v>8190</v>
      </c>
      <c r="E1020" s="1361" t="s">
        <v>1954</v>
      </c>
      <c r="F1020" s="1360" t="s">
        <v>266</v>
      </c>
      <c r="G1020" s="1362">
        <v>1295</v>
      </c>
      <c r="H1020" s="1363" t="s">
        <v>3538</v>
      </c>
    </row>
    <row r="1021" spans="2:8" x14ac:dyDescent="0.25">
      <c r="B1021" s="1358" t="s">
        <v>6897</v>
      </c>
      <c r="C1021" s="1359" t="s">
        <v>6908</v>
      </c>
      <c r="D1021" s="1360">
        <v>8191</v>
      </c>
      <c r="E1021" s="1361" t="s">
        <v>1955</v>
      </c>
      <c r="F1021" s="1360" t="s">
        <v>13</v>
      </c>
      <c r="G1021" s="1362">
        <v>3376</v>
      </c>
      <c r="H1021" s="1363" t="s">
        <v>3538</v>
      </c>
    </row>
    <row r="1022" spans="2:8" x14ac:dyDescent="0.25">
      <c r="B1022" s="1358" t="s">
        <v>6897</v>
      </c>
      <c r="C1022" s="1359" t="s">
        <v>6908</v>
      </c>
      <c r="D1022" s="1360">
        <v>8192</v>
      </c>
      <c r="E1022" s="1361" t="s">
        <v>1956</v>
      </c>
      <c r="F1022" s="1360" t="s">
        <v>266</v>
      </c>
      <c r="G1022" s="1362">
        <v>1040</v>
      </c>
      <c r="H1022" s="1363" t="s">
        <v>3538</v>
      </c>
    </row>
    <row r="1023" spans="2:8" x14ac:dyDescent="0.25">
      <c r="B1023" s="1358" t="s">
        <v>6897</v>
      </c>
      <c r="C1023" s="1359" t="s">
        <v>6908</v>
      </c>
      <c r="D1023" s="1360">
        <v>8193</v>
      </c>
      <c r="E1023" s="1361" t="s">
        <v>1957</v>
      </c>
      <c r="F1023" s="1360" t="s">
        <v>266</v>
      </c>
      <c r="G1023" s="1362">
        <v>447</v>
      </c>
      <c r="H1023" s="1363" t="s">
        <v>3538</v>
      </c>
    </row>
    <row r="1024" spans="2:8" x14ac:dyDescent="0.25">
      <c r="B1024" s="1358" t="s">
        <v>6897</v>
      </c>
      <c r="C1024" s="1359" t="s">
        <v>7010</v>
      </c>
      <c r="D1024" s="1360">
        <v>8195</v>
      </c>
      <c r="E1024" s="1361" t="s">
        <v>1958</v>
      </c>
      <c r="F1024" s="1360" t="s">
        <v>13</v>
      </c>
      <c r="G1024" s="1362">
        <v>21750</v>
      </c>
      <c r="H1024" s="1363" t="s">
        <v>3538</v>
      </c>
    </row>
    <row r="1025" spans="2:8" x14ac:dyDescent="0.25">
      <c r="B1025" s="1358" t="s">
        <v>6897</v>
      </c>
      <c r="C1025" s="1359" t="s">
        <v>7010</v>
      </c>
      <c r="D1025" s="1360">
        <v>8199</v>
      </c>
      <c r="E1025" s="1361" t="s">
        <v>1959</v>
      </c>
      <c r="F1025" s="1360" t="s">
        <v>13</v>
      </c>
      <c r="G1025" s="1362">
        <v>15700</v>
      </c>
      <c r="H1025" s="1363" t="s">
        <v>3538</v>
      </c>
    </row>
    <row r="1026" spans="2:8" x14ac:dyDescent="0.25">
      <c r="B1026" s="1358" t="s">
        <v>6897</v>
      </c>
      <c r="C1026" s="1359" t="s">
        <v>7010</v>
      </c>
      <c r="D1026" s="1360">
        <v>8202</v>
      </c>
      <c r="E1026" s="1361" t="s">
        <v>1960</v>
      </c>
      <c r="F1026" s="1360" t="s">
        <v>266</v>
      </c>
      <c r="G1026" s="1362">
        <v>232250</v>
      </c>
      <c r="H1026" s="1363" t="s">
        <v>3538</v>
      </c>
    </row>
    <row r="1027" spans="2:8" x14ac:dyDescent="0.25">
      <c r="B1027" s="1358" t="s">
        <v>6897</v>
      </c>
      <c r="C1027" s="1359" t="s">
        <v>7010</v>
      </c>
      <c r="D1027" s="1360">
        <v>8203</v>
      </c>
      <c r="E1027" s="1361" t="s">
        <v>1961</v>
      </c>
      <c r="F1027" s="1360" t="s">
        <v>266</v>
      </c>
      <c r="G1027" s="1362">
        <v>14900</v>
      </c>
      <c r="H1027" s="1363" t="s">
        <v>3538</v>
      </c>
    </row>
    <row r="1028" spans="2:8" x14ac:dyDescent="0.25">
      <c r="B1028" s="1358" t="s">
        <v>6897</v>
      </c>
      <c r="C1028" s="1359" t="s">
        <v>7010</v>
      </c>
      <c r="D1028" s="1360">
        <v>8204</v>
      </c>
      <c r="E1028" s="1361" t="s">
        <v>1962</v>
      </c>
      <c r="F1028" s="1360" t="s">
        <v>266</v>
      </c>
      <c r="G1028" s="1362">
        <v>29500</v>
      </c>
      <c r="H1028" s="1363" t="s">
        <v>3538</v>
      </c>
    </row>
    <row r="1029" spans="2:8" x14ac:dyDescent="0.25">
      <c r="B1029" s="1358" t="s">
        <v>6897</v>
      </c>
      <c r="C1029" s="1359" t="s">
        <v>6930</v>
      </c>
      <c r="D1029" s="1360">
        <v>8205</v>
      </c>
      <c r="E1029" s="1361" t="s">
        <v>1963</v>
      </c>
      <c r="F1029" s="1360" t="s">
        <v>1964</v>
      </c>
      <c r="G1029" s="1362">
        <v>166</v>
      </c>
      <c r="H1029" s="1363" t="s">
        <v>6899</v>
      </c>
    </row>
    <row r="1030" spans="2:8" x14ac:dyDescent="0.25">
      <c r="B1030" s="1358" t="s">
        <v>6897</v>
      </c>
      <c r="C1030" s="1359" t="s">
        <v>7010</v>
      </c>
      <c r="D1030" s="1360">
        <v>8206</v>
      </c>
      <c r="E1030" s="1361" t="s">
        <v>1965</v>
      </c>
      <c r="F1030" s="1360" t="s">
        <v>13</v>
      </c>
      <c r="G1030" s="1362">
        <v>38900</v>
      </c>
      <c r="H1030" s="1363" t="s">
        <v>3538</v>
      </c>
    </row>
    <row r="1031" spans="2:8" x14ac:dyDescent="0.25">
      <c r="B1031" s="1358" t="s">
        <v>6897</v>
      </c>
      <c r="C1031" s="1359" t="s">
        <v>7010</v>
      </c>
      <c r="D1031" s="1360">
        <v>8207</v>
      </c>
      <c r="E1031" s="1361" t="s">
        <v>1966</v>
      </c>
      <c r="F1031" s="1360" t="s">
        <v>13</v>
      </c>
      <c r="G1031" s="1362">
        <v>23067</v>
      </c>
      <c r="H1031" s="1363" t="s">
        <v>3538</v>
      </c>
    </row>
    <row r="1032" spans="2:8" x14ac:dyDescent="0.25">
      <c r="B1032" s="1358" t="s">
        <v>6897</v>
      </c>
      <c r="C1032" s="1359" t="s">
        <v>6910</v>
      </c>
      <c r="D1032" s="1360">
        <v>8208</v>
      </c>
      <c r="E1032" s="1361" t="s">
        <v>3661</v>
      </c>
      <c r="F1032" s="1360" t="s">
        <v>13</v>
      </c>
      <c r="G1032" s="1362">
        <v>50073</v>
      </c>
      <c r="H1032" s="1363" t="s">
        <v>6899</v>
      </c>
    </row>
    <row r="1033" spans="2:8" x14ac:dyDescent="0.25">
      <c r="B1033" s="1358" t="s">
        <v>6897</v>
      </c>
      <c r="C1033" s="1359" t="s">
        <v>7010</v>
      </c>
      <c r="D1033" s="1360">
        <v>8209</v>
      </c>
      <c r="E1033" s="1361" t="s">
        <v>1967</v>
      </c>
      <c r="F1033" s="1360" t="s">
        <v>266</v>
      </c>
      <c r="G1033" s="1362">
        <v>1250</v>
      </c>
      <c r="H1033" s="1363" t="s">
        <v>3538</v>
      </c>
    </row>
    <row r="1034" spans="2:8" x14ac:dyDescent="0.25">
      <c r="B1034" s="1358" t="s">
        <v>6897</v>
      </c>
      <c r="C1034" s="1359" t="s">
        <v>7010</v>
      </c>
      <c r="D1034" s="1360">
        <v>8210</v>
      </c>
      <c r="E1034" s="1361" t="s">
        <v>1968</v>
      </c>
      <c r="F1034" s="1360" t="s">
        <v>13</v>
      </c>
      <c r="G1034" s="1362">
        <v>9145</v>
      </c>
      <c r="H1034" s="1363" t="s">
        <v>3538</v>
      </c>
    </row>
    <row r="1035" spans="2:8" x14ac:dyDescent="0.25">
      <c r="B1035" s="1358" t="s">
        <v>6897</v>
      </c>
      <c r="C1035" s="1359" t="s">
        <v>7010</v>
      </c>
      <c r="D1035" s="1360">
        <v>8211</v>
      </c>
      <c r="E1035" s="1361" t="s">
        <v>1969</v>
      </c>
      <c r="F1035" s="1360" t="s">
        <v>13</v>
      </c>
      <c r="G1035" s="1362">
        <v>5775</v>
      </c>
      <c r="H1035" s="1363" t="s">
        <v>3538</v>
      </c>
    </row>
    <row r="1036" spans="2:8" x14ac:dyDescent="0.25">
      <c r="B1036" s="1358" t="s">
        <v>6897</v>
      </c>
      <c r="C1036" s="1359" t="s">
        <v>6910</v>
      </c>
      <c r="D1036" s="1360">
        <v>8212</v>
      </c>
      <c r="E1036" s="1361" t="s">
        <v>3662</v>
      </c>
      <c r="F1036" s="1360" t="s">
        <v>13</v>
      </c>
      <c r="G1036" s="1362">
        <v>17732</v>
      </c>
      <c r="H1036" s="1363" t="s">
        <v>6899</v>
      </c>
    </row>
    <row r="1037" spans="2:8" x14ac:dyDescent="0.25">
      <c r="B1037" s="1358" t="s">
        <v>6897</v>
      </c>
      <c r="C1037" s="1359" t="s">
        <v>7010</v>
      </c>
      <c r="D1037" s="1360">
        <v>8213</v>
      </c>
      <c r="E1037" s="1361" t="s">
        <v>1970</v>
      </c>
      <c r="F1037" s="1360" t="s">
        <v>266</v>
      </c>
      <c r="G1037" s="1362">
        <v>450</v>
      </c>
      <c r="H1037" s="1363" t="s">
        <v>3538</v>
      </c>
    </row>
    <row r="1038" spans="2:8" x14ac:dyDescent="0.25">
      <c r="B1038" s="1358" t="s">
        <v>6897</v>
      </c>
      <c r="C1038" s="1359" t="s">
        <v>7010</v>
      </c>
      <c r="D1038" s="1360">
        <v>8216</v>
      </c>
      <c r="E1038" s="1361" t="s">
        <v>1971</v>
      </c>
      <c r="F1038" s="1360" t="s">
        <v>266</v>
      </c>
      <c r="G1038" s="1362">
        <v>11250</v>
      </c>
      <c r="H1038" s="1363" t="s">
        <v>3538</v>
      </c>
    </row>
    <row r="1039" spans="2:8" x14ac:dyDescent="0.25">
      <c r="B1039" s="1358" t="s">
        <v>6897</v>
      </c>
      <c r="C1039" s="1359" t="s">
        <v>7010</v>
      </c>
      <c r="D1039" s="1360">
        <v>8217</v>
      </c>
      <c r="E1039" s="1361" t="s">
        <v>1972</v>
      </c>
      <c r="F1039" s="1360" t="s">
        <v>266</v>
      </c>
      <c r="G1039" s="1362">
        <v>1428</v>
      </c>
      <c r="H1039" s="1363" t="s">
        <v>3538</v>
      </c>
    </row>
    <row r="1040" spans="2:8" x14ac:dyDescent="0.25">
      <c r="B1040" s="1358" t="s">
        <v>6897</v>
      </c>
      <c r="C1040" s="1359" t="s">
        <v>7010</v>
      </c>
      <c r="D1040" s="1360">
        <v>8218</v>
      </c>
      <c r="E1040" s="1361" t="s">
        <v>1973</v>
      </c>
      <c r="F1040" s="1360" t="s">
        <v>13</v>
      </c>
      <c r="G1040" s="1362">
        <v>1809</v>
      </c>
      <c r="H1040" s="1363" t="s">
        <v>3538</v>
      </c>
    </row>
    <row r="1041" spans="2:8" x14ac:dyDescent="0.25">
      <c r="B1041" s="1358" t="s">
        <v>6897</v>
      </c>
      <c r="C1041" s="1359" t="s">
        <v>7010</v>
      </c>
      <c r="D1041" s="1360">
        <v>8219</v>
      </c>
      <c r="E1041" s="1361" t="s">
        <v>1974</v>
      </c>
      <c r="F1041" s="1360" t="s">
        <v>266</v>
      </c>
      <c r="G1041" s="1362">
        <v>28875</v>
      </c>
      <c r="H1041" s="1363" t="s">
        <v>3538</v>
      </c>
    </row>
    <row r="1042" spans="2:8" x14ac:dyDescent="0.25">
      <c r="B1042" s="1358" t="s">
        <v>6897</v>
      </c>
      <c r="C1042" s="1359" t="s">
        <v>7010</v>
      </c>
      <c r="D1042" s="1360">
        <v>8221</v>
      </c>
      <c r="E1042" s="1361" t="s">
        <v>1975</v>
      </c>
      <c r="F1042" s="1360" t="s">
        <v>13</v>
      </c>
      <c r="G1042" s="1362">
        <v>2550</v>
      </c>
      <c r="H1042" s="1363" t="s">
        <v>3538</v>
      </c>
    </row>
    <row r="1043" spans="2:8" x14ac:dyDescent="0.25">
      <c r="B1043" s="1358" t="s">
        <v>6897</v>
      </c>
      <c r="C1043" s="1359" t="s">
        <v>7010</v>
      </c>
      <c r="D1043" s="1360">
        <v>8222</v>
      </c>
      <c r="E1043" s="1361" t="s">
        <v>1976</v>
      </c>
      <c r="F1043" s="1360" t="s">
        <v>266</v>
      </c>
      <c r="G1043" s="1362">
        <v>42007</v>
      </c>
      <c r="H1043" s="1363" t="s">
        <v>3538</v>
      </c>
    </row>
    <row r="1044" spans="2:8" x14ac:dyDescent="0.25">
      <c r="B1044" s="1358" t="s">
        <v>6897</v>
      </c>
      <c r="C1044" s="1359" t="s">
        <v>7010</v>
      </c>
      <c r="D1044" s="1360">
        <v>8223</v>
      </c>
      <c r="E1044" s="1361" t="s">
        <v>1977</v>
      </c>
      <c r="F1044" s="1360" t="s">
        <v>266</v>
      </c>
      <c r="G1044" s="1362">
        <v>17751</v>
      </c>
      <c r="H1044" s="1363" t="s">
        <v>3538</v>
      </c>
    </row>
    <row r="1045" spans="2:8" x14ac:dyDescent="0.25">
      <c r="B1045" s="1358" t="s">
        <v>6897</v>
      </c>
      <c r="C1045" s="1359" t="s">
        <v>7010</v>
      </c>
      <c r="D1045" s="1360">
        <v>8224</v>
      </c>
      <c r="E1045" s="1361" t="s">
        <v>1978</v>
      </c>
      <c r="F1045" s="1360" t="s">
        <v>266</v>
      </c>
      <c r="G1045" s="1362">
        <v>14900</v>
      </c>
      <c r="H1045" s="1363" t="s">
        <v>3538</v>
      </c>
    </row>
    <row r="1046" spans="2:8" x14ac:dyDescent="0.25">
      <c r="B1046" s="1358" t="s">
        <v>6897</v>
      </c>
      <c r="C1046" s="1359" t="s">
        <v>7010</v>
      </c>
      <c r="D1046" s="1360">
        <v>8225</v>
      </c>
      <c r="E1046" s="1361" t="s">
        <v>1979</v>
      </c>
      <c r="F1046" s="1360" t="s">
        <v>266</v>
      </c>
      <c r="G1046" s="1362">
        <v>7350</v>
      </c>
      <c r="H1046" s="1363" t="s">
        <v>3538</v>
      </c>
    </row>
    <row r="1047" spans="2:8" x14ac:dyDescent="0.25">
      <c r="B1047" s="1358" t="s">
        <v>6897</v>
      </c>
      <c r="C1047" s="1359" t="s">
        <v>7010</v>
      </c>
      <c r="D1047" s="1360">
        <v>8227</v>
      </c>
      <c r="E1047" s="1361" t="s">
        <v>1980</v>
      </c>
      <c r="F1047" s="1360" t="s">
        <v>266</v>
      </c>
      <c r="G1047" s="1362">
        <v>1200</v>
      </c>
      <c r="H1047" s="1363" t="s">
        <v>3538</v>
      </c>
    </row>
    <row r="1048" spans="2:8" x14ac:dyDescent="0.25">
      <c r="B1048" s="1358" t="s">
        <v>6897</v>
      </c>
      <c r="C1048" s="1359" t="s">
        <v>6997</v>
      </c>
      <c r="D1048" s="1360">
        <v>8228</v>
      </c>
      <c r="E1048" s="1361" t="s">
        <v>1981</v>
      </c>
      <c r="F1048" s="1360" t="s">
        <v>13</v>
      </c>
      <c r="G1048" s="1362">
        <v>53575</v>
      </c>
      <c r="H1048" s="1363" t="s">
        <v>3538</v>
      </c>
    </row>
    <row r="1049" spans="2:8" x14ac:dyDescent="0.25">
      <c r="B1049" s="1358" t="s">
        <v>6897</v>
      </c>
      <c r="C1049" s="1359" t="s">
        <v>7010</v>
      </c>
      <c r="D1049" s="1360">
        <v>8229</v>
      </c>
      <c r="E1049" s="1361" t="s">
        <v>1982</v>
      </c>
      <c r="F1049" s="1360" t="s">
        <v>266</v>
      </c>
      <c r="G1049" s="1362">
        <v>400</v>
      </c>
      <c r="H1049" s="1363" t="s">
        <v>3538</v>
      </c>
    </row>
    <row r="1050" spans="2:8" x14ac:dyDescent="0.25">
      <c r="B1050" s="1358" t="s">
        <v>6897</v>
      </c>
      <c r="C1050" s="1359" t="s">
        <v>6997</v>
      </c>
      <c r="D1050" s="1360">
        <v>8230</v>
      </c>
      <c r="E1050" s="1361" t="s">
        <v>1983</v>
      </c>
      <c r="F1050" s="1360" t="s">
        <v>13</v>
      </c>
      <c r="G1050" s="1362">
        <v>15785</v>
      </c>
      <c r="H1050" s="1363" t="s">
        <v>3538</v>
      </c>
    </row>
    <row r="1051" spans="2:8" x14ac:dyDescent="0.25">
      <c r="B1051" s="1358" t="s">
        <v>6897</v>
      </c>
      <c r="C1051" s="1359" t="s">
        <v>7010</v>
      </c>
      <c r="D1051" s="1360">
        <v>8231</v>
      </c>
      <c r="E1051" s="1361" t="s">
        <v>1984</v>
      </c>
      <c r="F1051" s="1360" t="s">
        <v>266</v>
      </c>
      <c r="G1051" s="1362">
        <v>3689</v>
      </c>
      <c r="H1051" s="1363" t="s">
        <v>3538</v>
      </c>
    </row>
    <row r="1052" spans="2:8" x14ac:dyDescent="0.25">
      <c r="B1052" s="1358" t="s">
        <v>6897</v>
      </c>
      <c r="C1052" s="1359" t="s">
        <v>6910</v>
      </c>
      <c r="D1052" s="1360">
        <v>8232</v>
      </c>
      <c r="E1052" s="1361" t="s">
        <v>3663</v>
      </c>
      <c r="F1052" s="1360" t="s">
        <v>13</v>
      </c>
      <c r="G1052" s="1362">
        <v>11967</v>
      </c>
      <c r="H1052" s="1363" t="s">
        <v>6899</v>
      </c>
    </row>
    <row r="1053" spans="2:8" x14ac:dyDescent="0.25">
      <c r="B1053" s="1358" t="s">
        <v>6897</v>
      </c>
      <c r="C1053" s="1359" t="s">
        <v>7010</v>
      </c>
      <c r="D1053" s="1360">
        <v>8233</v>
      </c>
      <c r="E1053" s="1361" t="s">
        <v>1985</v>
      </c>
      <c r="F1053" s="1360" t="s">
        <v>266</v>
      </c>
      <c r="G1053" s="1362">
        <v>14518</v>
      </c>
      <c r="H1053" s="1363" t="s">
        <v>3538</v>
      </c>
    </row>
    <row r="1054" spans="2:8" x14ac:dyDescent="0.25">
      <c r="B1054" s="1358" t="s">
        <v>6897</v>
      </c>
      <c r="C1054" s="1359" t="s">
        <v>7010</v>
      </c>
      <c r="D1054" s="1360">
        <v>8235</v>
      </c>
      <c r="E1054" s="1361" t="s">
        <v>1986</v>
      </c>
      <c r="F1054" s="1360" t="s">
        <v>266</v>
      </c>
      <c r="G1054" s="1362">
        <v>9900</v>
      </c>
      <c r="H1054" s="1363" t="s">
        <v>3538</v>
      </c>
    </row>
    <row r="1055" spans="2:8" x14ac:dyDescent="0.25">
      <c r="B1055" s="1358" t="s">
        <v>6897</v>
      </c>
      <c r="C1055" s="1359" t="s">
        <v>6931</v>
      </c>
      <c r="D1055" s="1360">
        <v>8244</v>
      </c>
      <c r="E1055" s="1361" t="s">
        <v>1987</v>
      </c>
      <c r="F1055" s="1360" t="s">
        <v>266</v>
      </c>
      <c r="G1055" s="1362">
        <v>412900</v>
      </c>
      <c r="H1055" s="1363" t="s">
        <v>3538</v>
      </c>
    </row>
    <row r="1056" spans="2:8" x14ac:dyDescent="0.25">
      <c r="B1056" s="1358" t="s">
        <v>6897</v>
      </c>
      <c r="C1056" s="1359" t="s">
        <v>6931</v>
      </c>
      <c r="D1056" s="1360">
        <v>8245</v>
      </c>
      <c r="E1056" s="1361" t="s">
        <v>1988</v>
      </c>
      <c r="F1056" s="1360" t="s">
        <v>266</v>
      </c>
      <c r="G1056" s="1362">
        <v>1050947</v>
      </c>
      <c r="H1056" s="1363" t="s">
        <v>3538</v>
      </c>
    </row>
    <row r="1057" spans="2:8" x14ac:dyDescent="0.25">
      <c r="B1057" s="1358" t="s">
        <v>6897</v>
      </c>
      <c r="C1057" s="1359" t="s">
        <v>6931</v>
      </c>
      <c r="D1057" s="1360">
        <v>8246</v>
      </c>
      <c r="E1057" s="1361" t="s">
        <v>1989</v>
      </c>
      <c r="F1057" s="1360" t="s">
        <v>266</v>
      </c>
      <c r="G1057" s="1362">
        <v>345299</v>
      </c>
      <c r="H1057" s="1363" t="s">
        <v>3538</v>
      </c>
    </row>
    <row r="1058" spans="2:8" x14ac:dyDescent="0.25">
      <c r="B1058" s="1358" t="s">
        <v>6897</v>
      </c>
      <c r="C1058" s="1359" t="s">
        <v>6931</v>
      </c>
      <c r="D1058" s="1360">
        <v>8247</v>
      </c>
      <c r="E1058" s="1361" t="s">
        <v>1990</v>
      </c>
      <c r="F1058" s="1360" t="s">
        <v>266</v>
      </c>
      <c r="G1058" s="1362">
        <v>78540</v>
      </c>
      <c r="H1058" s="1363" t="s">
        <v>3538</v>
      </c>
    </row>
    <row r="1059" spans="2:8" x14ac:dyDescent="0.25">
      <c r="B1059" s="1358" t="s">
        <v>6897</v>
      </c>
      <c r="C1059" s="1359" t="s">
        <v>6931</v>
      </c>
      <c r="D1059" s="1360">
        <v>8248</v>
      </c>
      <c r="E1059" s="1361" t="s">
        <v>1991</v>
      </c>
      <c r="F1059" s="1360" t="s">
        <v>266</v>
      </c>
      <c r="G1059" s="1362">
        <v>269900</v>
      </c>
      <c r="H1059" s="1363" t="s">
        <v>3538</v>
      </c>
    </row>
    <row r="1060" spans="2:8" x14ac:dyDescent="0.25">
      <c r="B1060" s="1358" t="s">
        <v>6897</v>
      </c>
      <c r="C1060" s="1359" t="s">
        <v>6931</v>
      </c>
      <c r="D1060" s="1360">
        <v>8249</v>
      </c>
      <c r="E1060" s="1361" t="s">
        <v>1992</v>
      </c>
      <c r="F1060" s="1360" t="s">
        <v>266</v>
      </c>
      <c r="G1060" s="1362">
        <v>534990</v>
      </c>
      <c r="H1060" s="1363" t="s">
        <v>3538</v>
      </c>
    </row>
    <row r="1061" spans="2:8" x14ac:dyDescent="0.25">
      <c r="B1061" s="1358" t="s">
        <v>6897</v>
      </c>
      <c r="C1061" s="1359" t="s">
        <v>6931</v>
      </c>
      <c r="D1061" s="1360">
        <v>8250</v>
      </c>
      <c r="E1061" s="1361" t="s">
        <v>1993</v>
      </c>
      <c r="F1061" s="1360" t="s">
        <v>266</v>
      </c>
      <c r="G1061" s="1362">
        <v>431900</v>
      </c>
      <c r="H1061" s="1363" t="s">
        <v>3538</v>
      </c>
    </row>
    <row r="1062" spans="2:8" x14ac:dyDescent="0.25">
      <c r="B1062" s="1358" t="s">
        <v>6897</v>
      </c>
      <c r="C1062" s="1359" t="s">
        <v>6917</v>
      </c>
      <c r="D1062" s="1360">
        <v>8253</v>
      </c>
      <c r="E1062" s="1361" t="s">
        <v>1994</v>
      </c>
      <c r="F1062" s="1360" t="s">
        <v>1155</v>
      </c>
      <c r="G1062" s="1362">
        <v>206900</v>
      </c>
      <c r="H1062" s="1363" t="s">
        <v>3538</v>
      </c>
    </row>
    <row r="1063" spans="2:8" x14ac:dyDescent="0.25">
      <c r="B1063" s="1358" t="s">
        <v>6897</v>
      </c>
      <c r="C1063" s="1359" t="s">
        <v>6930</v>
      </c>
      <c r="D1063" s="1360">
        <v>8254</v>
      </c>
      <c r="E1063" s="1361" t="s">
        <v>1995</v>
      </c>
      <c r="F1063" s="1360" t="s">
        <v>6</v>
      </c>
      <c r="G1063" s="1362">
        <v>17990</v>
      </c>
      <c r="H1063" s="1363" t="s">
        <v>6899</v>
      </c>
    </row>
    <row r="1064" spans="2:8" x14ac:dyDescent="0.25">
      <c r="B1064" s="1358" t="s">
        <v>6897</v>
      </c>
      <c r="C1064" s="1359" t="s">
        <v>6913</v>
      </c>
      <c r="D1064" s="1360">
        <v>8256</v>
      </c>
      <c r="E1064" s="1361" t="s">
        <v>3664</v>
      </c>
      <c r="F1064" s="1360" t="s">
        <v>342</v>
      </c>
      <c r="G1064" s="1362">
        <v>102952</v>
      </c>
      <c r="H1064" s="1363" t="s">
        <v>3548</v>
      </c>
    </row>
    <row r="1065" spans="2:8" x14ac:dyDescent="0.25">
      <c r="B1065" s="1358" t="s">
        <v>6897</v>
      </c>
      <c r="C1065" s="1359" t="s">
        <v>6912</v>
      </c>
      <c r="D1065" s="1360">
        <v>8258</v>
      </c>
      <c r="E1065" s="1361" t="s">
        <v>1996</v>
      </c>
      <c r="F1065" s="1360" t="s">
        <v>1124</v>
      </c>
      <c r="G1065" s="1362">
        <v>38900</v>
      </c>
      <c r="H1065" s="1363" t="s">
        <v>6899</v>
      </c>
    </row>
    <row r="1066" spans="2:8" x14ac:dyDescent="0.25">
      <c r="B1066" s="1358" t="s">
        <v>6897</v>
      </c>
      <c r="C1066" s="1359" t="s">
        <v>1798</v>
      </c>
      <c r="D1066" s="1360">
        <v>8259</v>
      </c>
      <c r="E1066" s="1361" t="s">
        <v>1997</v>
      </c>
      <c r="F1066" s="1360" t="s">
        <v>13</v>
      </c>
      <c r="G1066" s="1362">
        <v>19203</v>
      </c>
      <c r="H1066" s="1363" t="s">
        <v>6899</v>
      </c>
    </row>
    <row r="1067" spans="2:8" x14ac:dyDescent="0.25">
      <c r="B1067" s="1358" t="s">
        <v>6897</v>
      </c>
      <c r="C1067" s="1359" t="s">
        <v>1798</v>
      </c>
      <c r="D1067" s="1360">
        <v>8260</v>
      </c>
      <c r="E1067" s="1361" t="s">
        <v>1998</v>
      </c>
      <c r="F1067" s="1360" t="s">
        <v>13</v>
      </c>
      <c r="G1067" s="1362">
        <v>5355</v>
      </c>
      <c r="H1067" s="1363" t="s">
        <v>6899</v>
      </c>
    </row>
    <row r="1068" spans="2:8" x14ac:dyDescent="0.25">
      <c r="B1068" s="1358" t="s">
        <v>6897</v>
      </c>
      <c r="C1068" s="1359" t="s">
        <v>6917</v>
      </c>
      <c r="D1068" s="1360">
        <v>8262</v>
      </c>
      <c r="E1068" s="1361" t="s">
        <v>1999</v>
      </c>
      <c r="F1068" s="1360" t="s">
        <v>1155</v>
      </c>
      <c r="G1068" s="1362">
        <v>98413</v>
      </c>
      <c r="H1068" s="1363" t="s">
        <v>3538</v>
      </c>
    </row>
    <row r="1069" spans="2:8" x14ac:dyDescent="0.25">
      <c r="B1069" s="1358" t="s">
        <v>6897</v>
      </c>
      <c r="C1069" s="1359" t="s">
        <v>6922</v>
      </c>
      <c r="D1069" s="1360">
        <v>8270</v>
      </c>
      <c r="E1069" s="1361" t="s">
        <v>2000</v>
      </c>
      <c r="F1069" s="1360" t="s">
        <v>13</v>
      </c>
      <c r="G1069" s="1362">
        <v>7140</v>
      </c>
      <c r="H1069" s="1363" t="s">
        <v>3538</v>
      </c>
    </row>
    <row r="1070" spans="2:8" x14ac:dyDescent="0.25">
      <c r="B1070" s="1358" t="s">
        <v>6897</v>
      </c>
      <c r="C1070" s="1359" t="s">
        <v>6922</v>
      </c>
      <c r="D1070" s="1360">
        <v>8271</v>
      </c>
      <c r="E1070" s="1361" t="s">
        <v>2001</v>
      </c>
      <c r="F1070" s="1360" t="s">
        <v>12</v>
      </c>
      <c r="G1070" s="1362">
        <v>10511</v>
      </c>
      <c r="H1070" s="1363" t="s">
        <v>3538</v>
      </c>
    </row>
    <row r="1071" spans="2:8" x14ac:dyDescent="0.25">
      <c r="B1071" s="1358" t="s">
        <v>6897</v>
      </c>
      <c r="C1071" s="1359" t="s">
        <v>7008</v>
      </c>
      <c r="D1071" s="1360">
        <v>8276</v>
      </c>
      <c r="E1071" s="1361" t="s">
        <v>2002</v>
      </c>
      <c r="F1071" s="1360" t="s">
        <v>266</v>
      </c>
      <c r="G1071" s="1362">
        <v>87406</v>
      </c>
      <c r="H1071" s="1363" t="s">
        <v>6899</v>
      </c>
    </row>
    <row r="1072" spans="2:8" x14ac:dyDescent="0.25">
      <c r="B1072" s="1358" t="s">
        <v>6897</v>
      </c>
      <c r="C1072" s="1359" t="s">
        <v>7008</v>
      </c>
      <c r="D1072" s="1360">
        <v>8277</v>
      </c>
      <c r="E1072" s="1361" t="s">
        <v>2003</v>
      </c>
      <c r="F1072" s="1360" t="s">
        <v>266</v>
      </c>
      <c r="G1072" s="1362">
        <v>25158</v>
      </c>
      <c r="H1072" s="1363" t="s">
        <v>6899</v>
      </c>
    </row>
    <row r="1073" spans="2:8" x14ac:dyDescent="0.25">
      <c r="B1073" s="1358" t="s">
        <v>6897</v>
      </c>
      <c r="C1073" s="1359" t="s">
        <v>7008</v>
      </c>
      <c r="D1073" s="1360">
        <v>8278</v>
      </c>
      <c r="E1073" s="1361" t="s">
        <v>2004</v>
      </c>
      <c r="F1073" s="1360" t="s">
        <v>266</v>
      </c>
      <c r="G1073" s="1362">
        <v>20171</v>
      </c>
      <c r="H1073" s="1363" t="s">
        <v>6899</v>
      </c>
    </row>
    <row r="1074" spans="2:8" x14ac:dyDescent="0.25">
      <c r="B1074" s="1358" t="s">
        <v>6897</v>
      </c>
      <c r="C1074" s="1359" t="s">
        <v>6913</v>
      </c>
      <c r="D1074" s="1360">
        <v>8292</v>
      </c>
      <c r="E1074" s="1361" t="s">
        <v>3665</v>
      </c>
      <c r="F1074" s="1360" t="s">
        <v>342</v>
      </c>
      <c r="G1074" s="1362">
        <v>239654</v>
      </c>
      <c r="H1074" s="1363" t="s">
        <v>3548</v>
      </c>
    </row>
    <row r="1075" spans="2:8" x14ac:dyDescent="0.25">
      <c r="B1075" s="1358" t="s">
        <v>6897</v>
      </c>
      <c r="C1075" s="1359" t="s">
        <v>6908</v>
      </c>
      <c r="D1075" s="1360">
        <v>8294</v>
      </c>
      <c r="E1075" s="1361" t="s">
        <v>2005</v>
      </c>
      <c r="F1075" s="1360" t="s">
        <v>266</v>
      </c>
      <c r="G1075" s="1362">
        <v>27168</v>
      </c>
      <c r="H1075" s="1363" t="s">
        <v>3538</v>
      </c>
    </row>
    <row r="1076" spans="2:8" x14ac:dyDescent="0.25">
      <c r="B1076" s="1358" t="s">
        <v>6897</v>
      </c>
      <c r="C1076" s="1359" t="s">
        <v>6908</v>
      </c>
      <c r="D1076" s="1360">
        <v>8295</v>
      </c>
      <c r="E1076" s="1361" t="s">
        <v>2006</v>
      </c>
      <c r="F1076" s="1360" t="s">
        <v>266</v>
      </c>
      <c r="G1076" s="1362">
        <v>34535</v>
      </c>
      <c r="H1076" s="1363" t="s">
        <v>3538</v>
      </c>
    </row>
    <row r="1077" spans="2:8" x14ac:dyDescent="0.25">
      <c r="B1077" s="1358" t="s">
        <v>6897</v>
      </c>
      <c r="C1077" s="1359" t="s">
        <v>7006</v>
      </c>
      <c r="D1077" s="1360">
        <v>8297</v>
      </c>
      <c r="E1077" s="1361" t="s">
        <v>3666</v>
      </c>
      <c r="F1077" s="1360" t="s">
        <v>1124</v>
      </c>
      <c r="G1077" s="1362">
        <v>264000</v>
      </c>
      <c r="H1077" s="1363" t="s">
        <v>3548</v>
      </c>
    </row>
    <row r="1078" spans="2:8" x14ac:dyDescent="0.25">
      <c r="B1078" s="1358" t="s">
        <v>6897</v>
      </c>
      <c r="C1078" s="1359" t="s">
        <v>6900</v>
      </c>
      <c r="D1078" s="1360">
        <v>8298</v>
      </c>
      <c r="E1078" s="1361" t="s">
        <v>3667</v>
      </c>
      <c r="F1078" s="1360" t="s">
        <v>202</v>
      </c>
      <c r="G1078" s="1362">
        <v>103936</v>
      </c>
      <c r="H1078" s="1363" t="s">
        <v>6899</v>
      </c>
    </row>
    <row r="1079" spans="2:8" x14ac:dyDescent="0.25">
      <c r="B1079" s="1358" t="s">
        <v>6897</v>
      </c>
      <c r="C1079" s="1359" t="s">
        <v>6913</v>
      </c>
      <c r="D1079" s="1360">
        <v>8299</v>
      </c>
      <c r="E1079" s="1361" t="s">
        <v>3668</v>
      </c>
      <c r="F1079" s="1360" t="s">
        <v>342</v>
      </c>
      <c r="G1079" s="1362">
        <v>96633</v>
      </c>
      <c r="H1079" s="1363" t="s">
        <v>3548</v>
      </c>
    </row>
    <row r="1080" spans="2:8" x14ac:dyDescent="0.25">
      <c r="B1080" s="1358" t="s">
        <v>6897</v>
      </c>
      <c r="C1080" s="1359" t="s">
        <v>6913</v>
      </c>
      <c r="D1080" s="1360">
        <v>8300</v>
      </c>
      <c r="E1080" s="1361" t="s">
        <v>3669</v>
      </c>
      <c r="F1080" s="1360" t="s">
        <v>342</v>
      </c>
      <c r="G1080" s="1362">
        <v>138986</v>
      </c>
      <c r="H1080" s="1363" t="s">
        <v>3548</v>
      </c>
    </row>
    <row r="1081" spans="2:8" x14ac:dyDescent="0.25">
      <c r="B1081" s="1358" t="s">
        <v>6897</v>
      </c>
      <c r="C1081" s="1359" t="s">
        <v>6922</v>
      </c>
      <c r="D1081" s="1360">
        <v>8302</v>
      </c>
      <c r="E1081" s="1361" t="s">
        <v>3670</v>
      </c>
      <c r="F1081" s="1360" t="s">
        <v>266</v>
      </c>
      <c r="G1081" s="1362">
        <v>23949</v>
      </c>
      <c r="H1081" s="1363" t="s">
        <v>3538</v>
      </c>
    </row>
    <row r="1082" spans="2:8" x14ac:dyDescent="0.25">
      <c r="B1082" s="1358" t="s">
        <v>6897</v>
      </c>
      <c r="C1082" s="1359" t="s">
        <v>6922</v>
      </c>
      <c r="D1082" s="1360">
        <v>8303</v>
      </c>
      <c r="E1082" s="1361" t="s">
        <v>3671</v>
      </c>
      <c r="F1082" s="1360" t="s">
        <v>266</v>
      </c>
      <c r="G1082" s="1362">
        <v>48582</v>
      </c>
      <c r="H1082" s="1363" t="s">
        <v>3538</v>
      </c>
    </row>
    <row r="1083" spans="2:8" x14ac:dyDescent="0.25">
      <c r="B1083" s="1358" t="s">
        <v>6897</v>
      </c>
      <c r="C1083" s="1359" t="s">
        <v>6912</v>
      </c>
      <c r="D1083" s="1360">
        <v>8304</v>
      </c>
      <c r="E1083" s="1361" t="s">
        <v>3672</v>
      </c>
      <c r="F1083" s="1360" t="s">
        <v>677</v>
      </c>
      <c r="G1083" s="1362">
        <v>1883821</v>
      </c>
      <c r="H1083" s="1363" t="s">
        <v>6899</v>
      </c>
    </row>
    <row r="1084" spans="2:8" x14ac:dyDescent="0.25">
      <c r="B1084" s="1358" t="s">
        <v>6897</v>
      </c>
      <c r="C1084" s="1359" t="s">
        <v>6927</v>
      </c>
      <c r="D1084" s="1360">
        <v>8306</v>
      </c>
      <c r="E1084" s="1361" t="s">
        <v>2007</v>
      </c>
      <c r="F1084" s="1360" t="s">
        <v>266</v>
      </c>
      <c r="G1084" s="1362">
        <v>150856</v>
      </c>
      <c r="H1084" s="1363" t="s">
        <v>6899</v>
      </c>
    </row>
    <row r="1085" spans="2:8" x14ac:dyDescent="0.25">
      <c r="B1085" s="1358" t="s">
        <v>6897</v>
      </c>
      <c r="C1085" s="1359" t="s">
        <v>6898</v>
      </c>
      <c r="D1085" s="1360">
        <v>8308</v>
      </c>
      <c r="E1085" s="1361" t="s">
        <v>2008</v>
      </c>
      <c r="F1085" s="1360" t="s">
        <v>6</v>
      </c>
      <c r="G1085" s="1362">
        <v>61086</v>
      </c>
      <c r="H1085" s="1363" t="s">
        <v>6899</v>
      </c>
    </row>
    <row r="1086" spans="2:8" x14ac:dyDescent="0.25">
      <c r="B1086" s="1358" t="s">
        <v>6897</v>
      </c>
      <c r="C1086" s="1359" t="s">
        <v>6927</v>
      </c>
      <c r="D1086" s="1360">
        <v>8313</v>
      </c>
      <c r="E1086" s="1361" t="s">
        <v>2009</v>
      </c>
      <c r="F1086" s="1360" t="s">
        <v>6</v>
      </c>
      <c r="G1086" s="1362">
        <v>5303</v>
      </c>
      <c r="H1086" s="1363" t="s">
        <v>6899</v>
      </c>
    </row>
    <row r="1087" spans="2:8" x14ac:dyDescent="0.25">
      <c r="B1087" s="1358" t="s">
        <v>6897</v>
      </c>
      <c r="C1087" s="1359" t="s">
        <v>6931</v>
      </c>
      <c r="D1087" s="1360">
        <v>8314</v>
      </c>
      <c r="E1087" s="1361" t="s">
        <v>2010</v>
      </c>
      <c r="F1087" s="1360" t="s">
        <v>6</v>
      </c>
      <c r="G1087" s="1362">
        <v>23821</v>
      </c>
      <c r="H1087" s="1363" t="s">
        <v>3538</v>
      </c>
    </row>
    <row r="1088" spans="2:8" x14ac:dyDescent="0.25">
      <c r="B1088" s="1358" t="s">
        <v>6897</v>
      </c>
      <c r="C1088" s="1359" t="s">
        <v>6927</v>
      </c>
      <c r="D1088" s="1360">
        <v>8315</v>
      </c>
      <c r="E1088" s="1361" t="s">
        <v>2011</v>
      </c>
      <c r="F1088" s="1360" t="s">
        <v>266</v>
      </c>
      <c r="G1088" s="1362">
        <v>55900</v>
      </c>
      <c r="H1088" s="1363" t="s">
        <v>6899</v>
      </c>
    </row>
    <row r="1089" spans="2:8" x14ac:dyDescent="0.25">
      <c r="B1089" s="1358" t="s">
        <v>6897</v>
      </c>
      <c r="C1089" s="1359" t="s">
        <v>6922</v>
      </c>
      <c r="D1089" s="1360">
        <v>8319</v>
      </c>
      <c r="E1089" s="1361" t="s">
        <v>2012</v>
      </c>
      <c r="F1089" s="1360" t="s">
        <v>13</v>
      </c>
      <c r="G1089" s="1362">
        <v>2505</v>
      </c>
      <c r="H1089" s="1363" t="s">
        <v>3538</v>
      </c>
    </row>
    <row r="1090" spans="2:8" x14ac:dyDescent="0.25">
      <c r="B1090" s="1358" t="s">
        <v>6897</v>
      </c>
      <c r="C1090" s="1359" t="s">
        <v>6913</v>
      </c>
      <c r="D1090" s="1360">
        <v>8320</v>
      </c>
      <c r="E1090" s="1361" t="s">
        <v>3673</v>
      </c>
      <c r="F1090" s="1360" t="s">
        <v>677</v>
      </c>
      <c r="G1090" s="1362">
        <v>3088567</v>
      </c>
      <c r="H1090" s="1363" t="s">
        <v>3548</v>
      </c>
    </row>
    <row r="1091" spans="2:8" x14ac:dyDescent="0.25">
      <c r="B1091" s="1358" t="s">
        <v>6897</v>
      </c>
      <c r="C1091" s="1359" t="s">
        <v>6913</v>
      </c>
      <c r="D1091" s="1360">
        <v>8321</v>
      </c>
      <c r="E1091" s="1361" t="s">
        <v>3674</v>
      </c>
      <c r="F1091" s="1360" t="s">
        <v>342</v>
      </c>
      <c r="G1091" s="1362">
        <v>102952</v>
      </c>
      <c r="H1091" s="1363" t="s">
        <v>3548</v>
      </c>
    </row>
    <row r="1092" spans="2:8" x14ac:dyDescent="0.25">
      <c r="B1092" s="1358" t="s">
        <v>6897</v>
      </c>
      <c r="C1092" s="1359" t="s">
        <v>6922</v>
      </c>
      <c r="D1092" s="1360">
        <v>8322</v>
      </c>
      <c r="E1092" s="1361" t="s">
        <v>2013</v>
      </c>
      <c r="F1092" s="1360" t="s">
        <v>13</v>
      </c>
      <c r="G1092" s="1362">
        <v>2494</v>
      </c>
      <c r="H1092" s="1363" t="s">
        <v>3538</v>
      </c>
    </row>
    <row r="1093" spans="2:8" x14ac:dyDescent="0.25">
      <c r="B1093" s="1358" t="s">
        <v>6897</v>
      </c>
      <c r="C1093" s="1359" t="s">
        <v>7006</v>
      </c>
      <c r="D1093" s="1360">
        <v>8324</v>
      </c>
      <c r="E1093" s="1361" t="s">
        <v>3675</v>
      </c>
      <c r="F1093" s="1360" t="s">
        <v>1124</v>
      </c>
      <c r="G1093" s="1362">
        <v>385775</v>
      </c>
      <c r="H1093" s="1363" t="s">
        <v>3548</v>
      </c>
    </row>
    <row r="1094" spans="2:8" x14ac:dyDescent="0.25">
      <c r="B1094" s="1358" t="s">
        <v>6897</v>
      </c>
      <c r="C1094" s="1359" t="s">
        <v>6931</v>
      </c>
      <c r="D1094" s="1360">
        <v>8328</v>
      </c>
      <c r="E1094" s="1361" t="s">
        <v>2014</v>
      </c>
      <c r="F1094" s="1360" t="s">
        <v>816</v>
      </c>
      <c r="G1094" s="1362">
        <v>1000</v>
      </c>
      <c r="H1094" s="1363" t="s">
        <v>6914</v>
      </c>
    </row>
    <row r="1095" spans="2:8" x14ac:dyDescent="0.25">
      <c r="B1095" s="1358" t="s">
        <v>6897</v>
      </c>
      <c r="C1095" s="1359" t="s">
        <v>6922</v>
      </c>
      <c r="D1095" s="1360">
        <v>8329</v>
      </c>
      <c r="E1095" s="1361" t="s">
        <v>2015</v>
      </c>
      <c r="F1095" s="1360" t="s">
        <v>13</v>
      </c>
      <c r="G1095" s="1362">
        <v>5973</v>
      </c>
      <c r="H1095" s="1363" t="s">
        <v>3538</v>
      </c>
    </row>
    <row r="1096" spans="2:8" x14ac:dyDescent="0.25">
      <c r="B1096" s="1358" t="s">
        <v>6897</v>
      </c>
      <c r="C1096" s="1359" t="s">
        <v>6917</v>
      </c>
      <c r="D1096" s="1360">
        <v>8330</v>
      </c>
      <c r="E1096" s="1361" t="s">
        <v>2016</v>
      </c>
      <c r="F1096" s="1360" t="s">
        <v>1155</v>
      </c>
      <c r="G1096" s="1362">
        <v>160575</v>
      </c>
      <c r="H1096" s="1363" t="s">
        <v>3538</v>
      </c>
    </row>
    <row r="1097" spans="2:8" x14ac:dyDescent="0.25">
      <c r="B1097" s="1358" t="s">
        <v>6897</v>
      </c>
      <c r="C1097" s="1359" t="s">
        <v>6922</v>
      </c>
      <c r="D1097" s="1360">
        <v>8331</v>
      </c>
      <c r="E1097" s="1361" t="s">
        <v>2017</v>
      </c>
      <c r="F1097" s="1360" t="s">
        <v>12</v>
      </c>
      <c r="G1097" s="1362">
        <v>45275</v>
      </c>
      <c r="H1097" s="1363" t="s">
        <v>3538</v>
      </c>
    </row>
    <row r="1098" spans="2:8" x14ac:dyDescent="0.25">
      <c r="B1098" s="1358" t="s">
        <v>6897</v>
      </c>
      <c r="C1098" s="1359" t="s">
        <v>6922</v>
      </c>
      <c r="D1098" s="1360">
        <v>8334</v>
      </c>
      <c r="E1098" s="1361" t="s">
        <v>3676</v>
      </c>
      <c r="F1098" s="1360" t="s">
        <v>13</v>
      </c>
      <c r="G1098" s="1362">
        <v>9125</v>
      </c>
      <c r="H1098" s="1363" t="s">
        <v>3538</v>
      </c>
    </row>
    <row r="1099" spans="2:8" x14ac:dyDescent="0.25">
      <c r="B1099" s="1358" t="s">
        <v>6897</v>
      </c>
      <c r="C1099" s="1359" t="s">
        <v>1798</v>
      </c>
      <c r="D1099" s="1360">
        <v>8340</v>
      </c>
      <c r="E1099" s="1361" t="s">
        <v>2018</v>
      </c>
      <c r="F1099" s="1360" t="s">
        <v>6</v>
      </c>
      <c r="G1099" s="1362">
        <v>10702</v>
      </c>
      <c r="H1099" s="1363" t="s">
        <v>6899</v>
      </c>
    </row>
    <row r="1100" spans="2:8" x14ac:dyDescent="0.25">
      <c r="B1100" s="1358" t="s">
        <v>6897</v>
      </c>
      <c r="C1100" s="1359" t="s">
        <v>6922</v>
      </c>
      <c r="D1100" s="1360">
        <v>8357</v>
      </c>
      <c r="E1100" s="1361" t="s">
        <v>3677</v>
      </c>
      <c r="F1100" s="1360" t="s">
        <v>266</v>
      </c>
      <c r="G1100" s="1362">
        <v>6426</v>
      </c>
      <c r="H1100" s="1363" t="s">
        <v>3538</v>
      </c>
    </row>
    <row r="1101" spans="2:8" x14ac:dyDescent="0.25">
      <c r="B1101" s="1358" t="s">
        <v>6897</v>
      </c>
      <c r="C1101" s="1359" t="s">
        <v>6922</v>
      </c>
      <c r="D1101" s="1360">
        <v>8358</v>
      </c>
      <c r="E1101" s="1361" t="s">
        <v>2019</v>
      </c>
      <c r="F1101" s="1360" t="s">
        <v>266</v>
      </c>
      <c r="G1101" s="1362">
        <v>214170</v>
      </c>
      <c r="H1101" s="1363" t="s">
        <v>3538</v>
      </c>
    </row>
    <row r="1102" spans="2:8" x14ac:dyDescent="0.25">
      <c r="B1102" s="1358" t="s">
        <v>6897</v>
      </c>
      <c r="C1102" s="1359" t="s">
        <v>6907</v>
      </c>
      <c r="D1102" s="1360">
        <v>8359</v>
      </c>
      <c r="E1102" s="1361" t="s">
        <v>2020</v>
      </c>
      <c r="F1102" s="1360" t="s">
        <v>13</v>
      </c>
      <c r="G1102" s="1362">
        <v>2491</v>
      </c>
      <c r="H1102" s="1363" t="s">
        <v>3535</v>
      </c>
    </row>
    <row r="1103" spans="2:8" x14ac:dyDescent="0.25">
      <c r="B1103" s="1358" t="s">
        <v>6897</v>
      </c>
      <c r="C1103" s="1359" t="s">
        <v>6918</v>
      </c>
      <c r="D1103" s="1360">
        <v>8362</v>
      </c>
      <c r="E1103" s="1361" t="s">
        <v>3678</v>
      </c>
      <c r="F1103" s="1360" t="s">
        <v>13</v>
      </c>
      <c r="G1103" s="1362">
        <v>1771015</v>
      </c>
      <c r="H1103" s="1363" t="s">
        <v>6899</v>
      </c>
    </row>
    <row r="1104" spans="2:8" x14ac:dyDescent="0.25">
      <c r="B1104" s="1358" t="s">
        <v>6897</v>
      </c>
      <c r="C1104" s="1359" t="s">
        <v>6991</v>
      </c>
      <c r="D1104" s="1360">
        <v>8364</v>
      </c>
      <c r="E1104" s="1361" t="s">
        <v>3679</v>
      </c>
      <c r="F1104" s="1360" t="s">
        <v>2021</v>
      </c>
      <c r="G1104" s="1362">
        <v>17870</v>
      </c>
      <c r="H1104" s="1363" t="s">
        <v>6899</v>
      </c>
    </row>
    <row r="1105" spans="2:8" x14ac:dyDescent="0.25">
      <c r="B1105" s="1358" t="s">
        <v>6897</v>
      </c>
      <c r="C1105" s="1359" t="s">
        <v>6991</v>
      </c>
      <c r="D1105" s="1360">
        <v>8365</v>
      </c>
      <c r="E1105" s="1361" t="s">
        <v>3680</v>
      </c>
      <c r="F1105" s="1360" t="s">
        <v>2021</v>
      </c>
      <c r="G1105" s="1362">
        <v>24276</v>
      </c>
      <c r="H1105" s="1363" t="s">
        <v>6899</v>
      </c>
    </row>
    <row r="1106" spans="2:8" x14ac:dyDescent="0.25">
      <c r="B1106" s="1358" t="s">
        <v>6897</v>
      </c>
      <c r="C1106" s="1359" t="s">
        <v>6991</v>
      </c>
      <c r="D1106" s="1360">
        <v>8366</v>
      </c>
      <c r="E1106" s="1361" t="s">
        <v>3681</v>
      </c>
      <c r="F1106" s="1360" t="s">
        <v>2021</v>
      </c>
      <c r="G1106" s="1362">
        <v>22744</v>
      </c>
      <c r="H1106" s="1363" t="s">
        <v>6899</v>
      </c>
    </row>
    <row r="1107" spans="2:8" x14ac:dyDescent="0.25">
      <c r="B1107" s="1358" t="s">
        <v>6897</v>
      </c>
      <c r="C1107" s="1359" t="s">
        <v>6991</v>
      </c>
      <c r="D1107" s="1360">
        <v>8367</v>
      </c>
      <c r="E1107" s="1361" t="s">
        <v>3682</v>
      </c>
      <c r="F1107" s="1360" t="s">
        <v>2021</v>
      </c>
      <c r="G1107" s="1362">
        <v>33320</v>
      </c>
      <c r="H1107" s="1363" t="s">
        <v>6899</v>
      </c>
    </row>
    <row r="1108" spans="2:8" x14ac:dyDescent="0.25">
      <c r="B1108" s="1358" t="s">
        <v>6897</v>
      </c>
      <c r="C1108" s="1359" t="s">
        <v>6991</v>
      </c>
      <c r="D1108" s="1360">
        <v>8369</v>
      </c>
      <c r="E1108" s="1361" t="s">
        <v>3683</v>
      </c>
      <c r="F1108" s="1360" t="s">
        <v>2021</v>
      </c>
      <c r="G1108" s="1362">
        <v>36628</v>
      </c>
      <c r="H1108" s="1363" t="s">
        <v>6899</v>
      </c>
    </row>
    <row r="1109" spans="2:8" x14ac:dyDescent="0.25">
      <c r="B1109" s="1358" t="s">
        <v>6897</v>
      </c>
      <c r="C1109" s="1359" t="s">
        <v>6991</v>
      </c>
      <c r="D1109" s="1360">
        <v>8370</v>
      </c>
      <c r="E1109" s="1361" t="s">
        <v>3684</v>
      </c>
      <c r="F1109" s="1360" t="s">
        <v>2021</v>
      </c>
      <c r="G1109" s="1362">
        <v>36628</v>
      </c>
      <c r="H1109" s="1363" t="s">
        <v>6899</v>
      </c>
    </row>
    <row r="1110" spans="2:8" x14ac:dyDescent="0.25">
      <c r="B1110" s="1358" t="s">
        <v>6897</v>
      </c>
      <c r="C1110" s="1359" t="s">
        <v>6917</v>
      </c>
      <c r="D1110" s="1360">
        <v>8404</v>
      </c>
      <c r="E1110" s="1361" t="s">
        <v>2022</v>
      </c>
      <c r="F1110" s="1360" t="s">
        <v>1155</v>
      </c>
      <c r="G1110" s="1362">
        <v>68923</v>
      </c>
      <c r="H1110" s="1363" t="s">
        <v>3538</v>
      </c>
    </row>
    <row r="1111" spans="2:8" x14ac:dyDescent="0.25">
      <c r="B1111" s="1358" t="s">
        <v>6897</v>
      </c>
      <c r="C1111" s="1359" t="s">
        <v>6947</v>
      </c>
      <c r="D1111" s="1360">
        <v>8430</v>
      </c>
      <c r="E1111" s="1361" t="s">
        <v>7012</v>
      </c>
      <c r="F1111" s="1360" t="s">
        <v>266</v>
      </c>
      <c r="G1111" s="1362">
        <v>96782311</v>
      </c>
      <c r="H1111" s="1363" t="s">
        <v>6899</v>
      </c>
    </row>
    <row r="1112" spans="2:8" x14ac:dyDescent="0.25">
      <c r="B1112" s="1358" t="s">
        <v>6897</v>
      </c>
      <c r="C1112" s="1359" t="s">
        <v>6947</v>
      </c>
      <c r="D1112" s="1360">
        <v>8431</v>
      </c>
      <c r="E1112" s="1361" t="s">
        <v>7013</v>
      </c>
      <c r="F1112" s="1360" t="s">
        <v>266</v>
      </c>
      <c r="G1112" s="1362">
        <v>103103605</v>
      </c>
      <c r="H1112" s="1363" t="s">
        <v>6899</v>
      </c>
    </row>
    <row r="1113" spans="2:8" x14ac:dyDescent="0.25">
      <c r="B1113" s="1358" t="s">
        <v>6897</v>
      </c>
      <c r="C1113" s="1359" t="s">
        <v>6947</v>
      </c>
      <c r="D1113" s="1360">
        <v>8432</v>
      </c>
      <c r="E1113" s="1361" t="s">
        <v>7014</v>
      </c>
      <c r="F1113" s="1360" t="s">
        <v>13</v>
      </c>
      <c r="G1113" s="1362">
        <v>434311</v>
      </c>
      <c r="H1113" s="1363" t="s">
        <v>6899</v>
      </c>
    </row>
    <row r="1114" spans="2:8" x14ac:dyDescent="0.25">
      <c r="B1114" s="1358" t="s">
        <v>6897</v>
      </c>
      <c r="C1114" s="1359" t="s">
        <v>6947</v>
      </c>
      <c r="D1114" s="1360">
        <v>8434</v>
      </c>
      <c r="E1114" s="1361" t="s">
        <v>7015</v>
      </c>
      <c r="F1114" s="1360" t="s">
        <v>13</v>
      </c>
      <c r="G1114" s="1362">
        <v>525881</v>
      </c>
      <c r="H1114" s="1363" t="s">
        <v>6899</v>
      </c>
    </row>
    <row r="1115" spans="2:8" x14ac:dyDescent="0.25">
      <c r="B1115" s="1358" t="s">
        <v>6897</v>
      </c>
      <c r="C1115" s="1359" t="s">
        <v>6947</v>
      </c>
      <c r="D1115" s="1360">
        <v>8435</v>
      </c>
      <c r="E1115" s="1361" t="s">
        <v>7016</v>
      </c>
      <c r="F1115" s="1360" t="s">
        <v>266</v>
      </c>
      <c r="G1115" s="1362">
        <v>573521</v>
      </c>
      <c r="H1115" s="1363" t="s">
        <v>6899</v>
      </c>
    </row>
    <row r="1116" spans="2:8" x14ac:dyDescent="0.25">
      <c r="B1116" s="1358" t="s">
        <v>6897</v>
      </c>
      <c r="C1116" s="1359" t="s">
        <v>6947</v>
      </c>
      <c r="D1116" s="1360">
        <v>8436</v>
      </c>
      <c r="E1116" s="1361" t="s">
        <v>7017</v>
      </c>
      <c r="F1116" s="1360" t="s">
        <v>13</v>
      </c>
      <c r="G1116" s="1362">
        <v>654154</v>
      </c>
      <c r="H1116" s="1363" t="s">
        <v>6899</v>
      </c>
    </row>
    <row r="1117" spans="2:8" x14ac:dyDescent="0.25">
      <c r="B1117" s="1358" t="s">
        <v>6897</v>
      </c>
      <c r="C1117" s="1359" t="s">
        <v>6947</v>
      </c>
      <c r="D1117" s="1360">
        <v>8437</v>
      </c>
      <c r="E1117" s="1361" t="s">
        <v>7018</v>
      </c>
      <c r="F1117" s="1360" t="s">
        <v>266</v>
      </c>
      <c r="G1117" s="1362">
        <v>607257</v>
      </c>
      <c r="H1117" s="1363" t="s">
        <v>6899</v>
      </c>
    </row>
    <row r="1118" spans="2:8" x14ac:dyDescent="0.25">
      <c r="B1118" s="1358" t="s">
        <v>6897</v>
      </c>
      <c r="C1118" s="1359" t="s">
        <v>6947</v>
      </c>
      <c r="D1118" s="1360">
        <v>8438</v>
      </c>
      <c r="E1118" s="1361" t="s">
        <v>7019</v>
      </c>
      <c r="F1118" s="1360" t="s">
        <v>13</v>
      </c>
      <c r="G1118" s="1362">
        <v>762870</v>
      </c>
      <c r="H1118" s="1363" t="s">
        <v>6899</v>
      </c>
    </row>
    <row r="1119" spans="2:8" x14ac:dyDescent="0.25">
      <c r="B1119" s="1358" t="s">
        <v>6897</v>
      </c>
      <c r="C1119" s="1359" t="s">
        <v>6947</v>
      </c>
      <c r="D1119" s="1360">
        <v>8440</v>
      </c>
      <c r="E1119" s="1361" t="s">
        <v>7020</v>
      </c>
      <c r="F1119" s="1360" t="s">
        <v>13</v>
      </c>
      <c r="G1119" s="1362">
        <v>907732</v>
      </c>
      <c r="H1119" s="1363" t="s">
        <v>6899</v>
      </c>
    </row>
    <row r="1120" spans="2:8" x14ac:dyDescent="0.25">
      <c r="B1120" s="1358" t="s">
        <v>6897</v>
      </c>
      <c r="C1120" s="1359" t="s">
        <v>6947</v>
      </c>
      <c r="D1120" s="1360">
        <v>8441</v>
      </c>
      <c r="E1120" s="1361" t="s">
        <v>7021</v>
      </c>
      <c r="F1120" s="1360" t="s">
        <v>266</v>
      </c>
      <c r="G1120" s="1362">
        <v>686779</v>
      </c>
      <c r="H1120" s="1363" t="s">
        <v>6899</v>
      </c>
    </row>
    <row r="1121" spans="2:8" x14ac:dyDescent="0.25">
      <c r="B1121" s="1358" t="s">
        <v>6897</v>
      </c>
      <c r="C1121" s="1359" t="s">
        <v>6947</v>
      </c>
      <c r="D1121" s="1360">
        <v>8442</v>
      </c>
      <c r="E1121" s="1361" t="s">
        <v>7022</v>
      </c>
      <c r="F1121" s="1360" t="s">
        <v>13</v>
      </c>
      <c r="G1121" s="1362">
        <v>1106442</v>
      </c>
      <c r="H1121" s="1363" t="s">
        <v>6899</v>
      </c>
    </row>
    <row r="1122" spans="2:8" x14ac:dyDescent="0.25">
      <c r="B1122" s="1358" t="s">
        <v>6897</v>
      </c>
      <c r="C1122" s="1359" t="s">
        <v>6947</v>
      </c>
      <c r="D1122" s="1360">
        <v>8443</v>
      </c>
      <c r="E1122" s="1361" t="s">
        <v>7023</v>
      </c>
      <c r="F1122" s="1360" t="s">
        <v>266</v>
      </c>
      <c r="G1122" s="1362">
        <v>720515</v>
      </c>
      <c r="H1122" s="1363" t="s">
        <v>6899</v>
      </c>
    </row>
    <row r="1123" spans="2:8" x14ac:dyDescent="0.25">
      <c r="B1123" s="1358" t="s">
        <v>6897</v>
      </c>
      <c r="C1123" s="1359" t="s">
        <v>6947</v>
      </c>
      <c r="D1123" s="1360">
        <v>8444</v>
      </c>
      <c r="E1123" s="1361" t="s">
        <v>7024</v>
      </c>
      <c r="F1123" s="1360" t="s">
        <v>13</v>
      </c>
      <c r="G1123" s="1362">
        <v>6703350</v>
      </c>
      <c r="H1123" s="1363" t="s">
        <v>6899</v>
      </c>
    </row>
    <row r="1124" spans="2:8" x14ac:dyDescent="0.25">
      <c r="B1124" s="1358" t="s">
        <v>6897</v>
      </c>
      <c r="C1124" s="1359" t="s">
        <v>6947</v>
      </c>
      <c r="D1124" s="1360">
        <v>8445</v>
      </c>
      <c r="E1124" s="1361" t="s">
        <v>7025</v>
      </c>
      <c r="F1124" s="1360" t="s">
        <v>266</v>
      </c>
      <c r="G1124" s="1362">
        <v>2376014</v>
      </c>
      <c r="H1124" s="1363" t="s">
        <v>6899</v>
      </c>
    </row>
    <row r="1125" spans="2:8" x14ac:dyDescent="0.25">
      <c r="B1125" s="1358" t="s">
        <v>6897</v>
      </c>
      <c r="C1125" s="1359" t="s">
        <v>6947</v>
      </c>
      <c r="D1125" s="1360">
        <v>8447</v>
      </c>
      <c r="E1125" s="1361" t="s">
        <v>7026</v>
      </c>
      <c r="F1125" s="1360" t="s">
        <v>13</v>
      </c>
      <c r="G1125" s="1362">
        <v>7132285</v>
      </c>
      <c r="H1125" s="1363" t="s">
        <v>6899</v>
      </c>
    </row>
    <row r="1126" spans="2:8" x14ac:dyDescent="0.25">
      <c r="B1126" s="1358" t="s">
        <v>6897</v>
      </c>
      <c r="C1126" s="1359" t="s">
        <v>6947</v>
      </c>
      <c r="D1126" s="1360">
        <v>8448</v>
      </c>
      <c r="E1126" s="1361" t="s">
        <v>7027</v>
      </c>
      <c r="F1126" s="1360" t="s">
        <v>266</v>
      </c>
      <c r="G1126" s="1362">
        <v>3118217</v>
      </c>
      <c r="H1126" s="1363" t="s">
        <v>6899</v>
      </c>
    </row>
    <row r="1127" spans="2:8" x14ac:dyDescent="0.25">
      <c r="B1127" s="1358" t="s">
        <v>6897</v>
      </c>
      <c r="C1127" s="1359" t="s">
        <v>6947</v>
      </c>
      <c r="D1127" s="1360">
        <v>8449</v>
      </c>
      <c r="E1127" s="1361" t="s">
        <v>7028</v>
      </c>
      <c r="F1127" s="1360" t="s">
        <v>266</v>
      </c>
      <c r="G1127" s="1362">
        <v>27173053</v>
      </c>
      <c r="H1127" s="1363" t="s">
        <v>6899</v>
      </c>
    </row>
    <row r="1128" spans="2:8" x14ac:dyDescent="0.25">
      <c r="B1128" s="1358" t="s">
        <v>6897</v>
      </c>
      <c r="C1128" s="1359" t="s">
        <v>6947</v>
      </c>
      <c r="D1128" s="1360">
        <v>8450</v>
      </c>
      <c r="E1128" s="1361" t="s">
        <v>7029</v>
      </c>
      <c r="F1128" s="1360" t="s">
        <v>266</v>
      </c>
      <c r="G1128" s="1362">
        <v>27173053</v>
      </c>
      <c r="H1128" s="1363" t="s">
        <v>6899</v>
      </c>
    </row>
    <row r="1129" spans="2:8" x14ac:dyDescent="0.25">
      <c r="B1129" s="1358" t="s">
        <v>6897</v>
      </c>
      <c r="C1129" s="1359" t="s">
        <v>6947</v>
      </c>
      <c r="D1129" s="1360">
        <v>8451</v>
      </c>
      <c r="E1129" s="1361" t="s">
        <v>7030</v>
      </c>
      <c r="F1129" s="1360" t="s">
        <v>266</v>
      </c>
      <c r="G1129" s="1362">
        <v>28966029</v>
      </c>
      <c r="H1129" s="1363" t="s">
        <v>6899</v>
      </c>
    </row>
    <row r="1130" spans="2:8" x14ac:dyDescent="0.25">
      <c r="B1130" s="1358" t="s">
        <v>6897</v>
      </c>
      <c r="C1130" s="1359" t="s">
        <v>6947</v>
      </c>
      <c r="D1130" s="1360">
        <v>8452</v>
      </c>
      <c r="E1130" s="1361" t="s">
        <v>7031</v>
      </c>
      <c r="F1130" s="1360" t="s">
        <v>266</v>
      </c>
      <c r="G1130" s="1362">
        <v>31774069</v>
      </c>
      <c r="H1130" s="1363" t="s">
        <v>6899</v>
      </c>
    </row>
    <row r="1131" spans="2:8" x14ac:dyDescent="0.25">
      <c r="B1131" s="1358" t="s">
        <v>6897</v>
      </c>
      <c r="C1131" s="1359" t="s">
        <v>6947</v>
      </c>
      <c r="D1131" s="1360">
        <v>8453</v>
      </c>
      <c r="E1131" s="1361" t="s">
        <v>7032</v>
      </c>
      <c r="F1131" s="1360" t="s">
        <v>266</v>
      </c>
      <c r="G1131" s="1362">
        <v>38621661</v>
      </c>
      <c r="H1131" s="1363" t="s">
        <v>6899</v>
      </c>
    </row>
    <row r="1132" spans="2:8" x14ac:dyDescent="0.25">
      <c r="B1132" s="1358" t="s">
        <v>6897</v>
      </c>
      <c r="C1132" s="1359" t="s">
        <v>6947</v>
      </c>
      <c r="D1132" s="1360">
        <v>8454</v>
      </c>
      <c r="E1132" s="1361" t="s">
        <v>7033</v>
      </c>
      <c r="F1132" s="1360" t="s">
        <v>266</v>
      </c>
      <c r="G1132" s="1362">
        <v>46730179</v>
      </c>
      <c r="H1132" s="1363" t="s">
        <v>6899</v>
      </c>
    </row>
    <row r="1133" spans="2:8" x14ac:dyDescent="0.25">
      <c r="B1133" s="1358" t="s">
        <v>6897</v>
      </c>
      <c r="C1133" s="1359" t="s">
        <v>6947</v>
      </c>
      <c r="D1133" s="1360">
        <v>8455</v>
      </c>
      <c r="E1133" s="1361" t="s">
        <v>7034</v>
      </c>
      <c r="F1133" s="1360" t="s">
        <v>266</v>
      </c>
      <c r="G1133" s="1362">
        <v>55497584</v>
      </c>
      <c r="H1133" s="1363" t="s">
        <v>6899</v>
      </c>
    </row>
    <row r="1134" spans="2:8" x14ac:dyDescent="0.25">
      <c r="B1134" s="1358" t="s">
        <v>6897</v>
      </c>
      <c r="C1134" s="1359" t="s">
        <v>6947</v>
      </c>
      <c r="D1134" s="1360">
        <v>8456</v>
      </c>
      <c r="E1134" s="1361" t="s">
        <v>7035</v>
      </c>
      <c r="F1134" s="1360" t="s">
        <v>266</v>
      </c>
      <c r="G1134" s="1362">
        <v>61691194</v>
      </c>
      <c r="H1134" s="1363" t="s">
        <v>6899</v>
      </c>
    </row>
    <row r="1135" spans="2:8" x14ac:dyDescent="0.25">
      <c r="B1135" s="1358" t="s">
        <v>6897</v>
      </c>
      <c r="C1135" s="1359" t="s">
        <v>6947</v>
      </c>
      <c r="D1135" s="1360">
        <v>8457</v>
      </c>
      <c r="E1135" s="1361" t="s">
        <v>7036</v>
      </c>
      <c r="F1135" s="1360" t="s">
        <v>266</v>
      </c>
      <c r="G1135" s="1362">
        <v>68694427</v>
      </c>
      <c r="H1135" s="1363" t="s">
        <v>6899</v>
      </c>
    </row>
    <row r="1136" spans="2:8" x14ac:dyDescent="0.25">
      <c r="B1136" s="1358" t="s">
        <v>6897</v>
      </c>
      <c r="C1136" s="1359" t="s">
        <v>7010</v>
      </c>
      <c r="D1136" s="1360">
        <v>8460</v>
      </c>
      <c r="E1136" s="1361" t="s">
        <v>2023</v>
      </c>
      <c r="F1136" s="1360" t="s">
        <v>266</v>
      </c>
      <c r="G1136" s="1362">
        <v>9296</v>
      </c>
      <c r="H1136" s="1363" t="s">
        <v>3538</v>
      </c>
    </row>
    <row r="1137" spans="2:8" x14ac:dyDescent="0.25">
      <c r="B1137" s="1358" t="s">
        <v>6897</v>
      </c>
      <c r="C1137" s="1359" t="s">
        <v>7010</v>
      </c>
      <c r="D1137" s="1360">
        <v>8461</v>
      </c>
      <c r="E1137" s="1361" t="s">
        <v>2024</v>
      </c>
      <c r="F1137" s="1360" t="s">
        <v>13</v>
      </c>
      <c r="G1137" s="1362">
        <v>15850</v>
      </c>
      <c r="H1137" s="1363" t="s">
        <v>3538</v>
      </c>
    </row>
    <row r="1138" spans="2:8" x14ac:dyDescent="0.25">
      <c r="B1138" s="1358" t="s">
        <v>6897</v>
      </c>
      <c r="C1138" s="1359" t="s">
        <v>7009</v>
      </c>
      <c r="D1138" s="1360">
        <v>8462</v>
      </c>
      <c r="E1138" s="1361" t="s">
        <v>2025</v>
      </c>
      <c r="F1138" s="1360" t="s">
        <v>266</v>
      </c>
      <c r="G1138" s="1362">
        <v>354141</v>
      </c>
      <c r="H1138" s="1363" t="s">
        <v>6899</v>
      </c>
    </row>
    <row r="1139" spans="2:8" x14ac:dyDescent="0.25">
      <c r="B1139" s="1358" t="s">
        <v>6897</v>
      </c>
      <c r="C1139" s="1359" t="s">
        <v>7009</v>
      </c>
      <c r="D1139" s="1360">
        <v>8463</v>
      </c>
      <c r="E1139" s="1361" t="s">
        <v>2026</v>
      </c>
      <c r="F1139" s="1360" t="s">
        <v>266</v>
      </c>
      <c r="G1139" s="1362">
        <v>728969</v>
      </c>
      <c r="H1139" s="1363" t="s">
        <v>6899</v>
      </c>
    </row>
    <row r="1140" spans="2:8" x14ac:dyDescent="0.25">
      <c r="B1140" s="1358" t="s">
        <v>6897</v>
      </c>
      <c r="C1140" s="1359" t="s">
        <v>6931</v>
      </c>
      <c r="D1140" s="1360">
        <v>8473</v>
      </c>
      <c r="E1140" s="1361" t="s">
        <v>2027</v>
      </c>
      <c r="F1140" s="1360" t="s">
        <v>12</v>
      </c>
      <c r="G1140" s="1362">
        <v>1501</v>
      </c>
      <c r="H1140" s="1363" t="s">
        <v>3538</v>
      </c>
    </row>
    <row r="1141" spans="2:8" x14ac:dyDescent="0.25">
      <c r="B1141" s="1358" t="s">
        <v>6897</v>
      </c>
      <c r="C1141" s="1359" t="s">
        <v>1798</v>
      </c>
      <c r="D1141" s="1360">
        <v>8474</v>
      </c>
      <c r="E1141" s="1361" t="s">
        <v>2028</v>
      </c>
      <c r="F1141" s="1360" t="s">
        <v>6</v>
      </c>
      <c r="G1141" s="1362">
        <v>6844</v>
      </c>
      <c r="H1141" s="1363" t="s">
        <v>6899</v>
      </c>
    </row>
    <row r="1142" spans="2:8" x14ac:dyDescent="0.25">
      <c r="B1142" s="1358" t="s">
        <v>6897</v>
      </c>
      <c r="C1142" s="1359" t="s">
        <v>1798</v>
      </c>
      <c r="D1142" s="1360">
        <v>8475</v>
      </c>
      <c r="E1142" s="1361" t="s">
        <v>2029</v>
      </c>
      <c r="F1142" s="1360" t="s">
        <v>6</v>
      </c>
      <c r="G1142" s="1362">
        <v>6418</v>
      </c>
      <c r="H1142" s="1363" t="s">
        <v>6899</v>
      </c>
    </row>
    <row r="1143" spans="2:8" x14ac:dyDescent="0.25">
      <c r="B1143" s="1358" t="s">
        <v>6897</v>
      </c>
      <c r="C1143" s="1359" t="s">
        <v>1798</v>
      </c>
      <c r="D1143" s="1360">
        <v>8476</v>
      </c>
      <c r="E1143" s="1361" t="s">
        <v>2030</v>
      </c>
      <c r="F1143" s="1360" t="s">
        <v>12</v>
      </c>
      <c r="G1143" s="1362">
        <v>23982</v>
      </c>
      <c r="H1143" s="1363" t="s">
        <v>6899</v>
      </c>
    </row>
    <row r="1144" spans="2:8" x14ac:dyDescent="0.25">
      <c r="B1144" s="1358" t="s">
        <v>6897</v>
      </c>
      <c r="C1144" s="1359" t="s">
        <v>6931</v>
      </c>
      <c r="D1144" s="1360">
        <v>8478</v>
      </c>
      <c r="E1144" s="1361" t="s">
        <v>2031</v>
      </c>
      <c r="F1144" s="1360" t="s">
        <v>266</v>
      </c>
      <c r="G1144" s="1362">
        <v>23900</v>
      </c>
      <c r="H1144" s="1363" t="s">
        <v>3538</v>
      </c>
    </row>
    <row r="1145" spans="2:8" x14ac:dyDescent="0.25">
      <c r="B1145" s="1358" t="s">
        <v>6897</v>
      </c>
      <c r="C1145" s="1359" t="s">
        <v>6931</v>
      </c>
      <c r="D1145" s="1360">
        <v>8479</v>
      </c>
      <c r="E1145" s="1361" t="s">
        <v>2032</v>
      </c>
      <c r="F1145" s="1360" t="s">
        <v>266</v>
      </c>
      <c r="G1145" s="1362">
        <v>125</v>
      </c>
      <c r="H1145" s="1363" t="s">
        <v>3538</v>
      </c>
    </row>
    <row r="1146" spans="2:8" x14ac:dyDescent="0.25">
      <c r="B1146" s="1358" t="s">
        <v>6897</v>
      </c>
      <c r="C1146" s="1359" t="s">
        <v>6931</v>
      </c>
      <c r="D1146" s="1360">
        <v>8480</v>
      </c>
      <c r="E1146" s="1361" t="s">
        <v>2033</v>
      </c>
      <c r="F1146" s="1360" t="s">
        <v>266</v>
      </c>
      <c r="G1146" s="1362">
        <v>1231</v>
      </c>
      <c r="H1146" s="1363" t="s">
        <v>3538</v>
      </c>
    </row>
    <row r="1147" spans="2:8" x14ac:dyDescent="0.25">
      <c r="B1147" s="1358" t="s">
        <v>6897</v>
      </c>
      <c r="C1147" s="1359" t="s">
        <v>6917</v>
      </c>
      <c r="D1147" s="1360">
        <v>8481</v>
      </c>
      <c r="E1147" s="1361" t="s">
        <v>2034</v>
      </c>
      <c r="F1147" s="1360" t="s">
        <v>1155</v>
      </c>
      <c r="G1147" s="1362">
        <v>80000</v>
      </c>
      <c r="H1147" s="1363" t="s">
        <v>3538</v>
      </c>
    </row>
    <row r="1148" spans="2:8" x14ac:dyDescent="0.25">
      <c r="B1148" s="1358" t="s">
        <v>6897</v>
      </c>
      <c r="C1148" s="1359" t="s">
        <v>6917</v>
      </c>
      <c r="D1148" s="1360">
        <v>8482</v>
      </c>
      <c r="E1148" s="1361" t="s">
        <v>2035</v>
      </c>
      <c r="F1148" s="1360" t="s">
        <v>1155</v>
      </c>
      <c r="G1148" s="1362">
        <v>62600</v>
      </c>
      <c r="H1148" s="1363" t="s">
        <v>3538</v>
      </c>
    </row>
    <row r="1149" spans="2:8" x14ac:dyDescent="0.25">
      <c r="B1149" s="1358" t="s">
        <v>6897</v>
      </c>
      <c r="C1149" s="1359" t="s">
        <v>6931</v>
      </c>
      <c r="D1149" s="1360">
        <v>8483</v>
      </c>
      <c r="E1149" s="1361" t="s">
        <v>2036</v>
      </c>
      <c r="F1149" s="1360" t="s">
        <v>266</v>
      </c>
      <c r="G1149" s="1362">
        <v>191800</v>
      </c>
      <c r="H1149" s="1363" t="s">
        <v>3538</v>
      </c>
    </row>
    <row r="1150" spans="2:8" x14ac:dyDescent="0.25">
      <c r="B1150" s="1358" t="s">
        <v>6897</v>
      </c>
      <c r="C1150" s="1359" t="s">
        <v>6910</v>
      </c>
      <c r="D1150" s="1360">
        <v>8500</v>
      </c>
      <c r="E1150" s="1361" t="s">
        <v>3685</v>
      </c>
      <c r="F1150" s="1360" t="s">
        <v>13</v>
      </c>
      <c r="G1150" s="1362">
        <v>121094</v>
      </c>
      <c r="H1150" s="1363" t="s">
        <v>6899</v>
      </c>
    </row>
    <row r="1151" spans="2:8" x14ac:dyDescent="0.25">
      <c r="B1151" s="1358" t="s">
        <v>6897</v>
      </c>
      <c r="C1151" s="1359" t="s">
        <v>6937</v>
      </c>
      <c r="D1151" s="1360">
        <v>8501</v>
      </c>
      <c r="E1151" s="1361" t="s">
        <v>3686</v>
      </c>
      <c r="F1151" s="1360" t="s">
        <v>266</v>
      </c>
      <c r="G1151" s="1362">
        <v>1441090</v>
      </c>
      <c r="H1151" s="1363" t="s">
        <v>6899</v>
      </c>
    </row>
    <row r="1152" spans="2:8" x14ac:dyDescent="0.25">
      <c r="B1152" s="1358" t="s">
        <v>6897</v>
      </c>
      <c r="C1152" s="1359" t="s">
        <v>6903</v>
      </c>
      <c r="D1152" s="1360">
        <v>8502</v>
      </c>
      <c r="E1152" s="1361" t="s">
        <v>2037</v>
      </c>
      <c r="F1152" s="1360" t="s">
        <v>6</v>
      </c>
      <c r="G1152" s="1362">
        <v>8152</v>
      </c>
      <c r="H1152" s="1363" t="s">
        <v>6899</v>
      </c>
    </row>
    <row r="1153" spans="2:8" x14ac:dyDescent="0.25">
      <c r="B1153" s="1358" t="s">
        <v>6897</v>
      </c>
      <c r="C1153" s="1359" t="s">
        <v>6917</v>
      </c>
      <c r="D1153" s="1360">
        <v>8506</v>
      </c>
      <c r="E1153" s="1361" t="s">
        <v>2038</v>
      </c>
      <c r="F1153" s="1360" t="s">
        <v>1155</v>
      </c>
      <c r="G1153" s="1362">
        <v>112000</v>
      </c>
      <c r="H1153" s="1363" t="s">
        <v>3538</v>
      </c>
    </row>
    <row r="1154" spans="2:8" x14ac:dyDescent="0.25">
      <c r="B1154" s="1358" t="s">
        <v>6897</v>
      </c>
      <c r="C1154" s="1359" t="s">
        <v>6917</v>
      </c>
      <c r="D1154" s="1360">
        <v>8508</v>
      </c>
      <c r="E1154" s="1361" t="s">
        <v>2039</v>
      </c>
      <c r="F1154" s="1360" t="s">
        <v>1155</v>
      </c>
      <c r="G1154" s="1362">
        <v>112000</v>
      </c>
      <c r="H1154" s="1363" t="s">
        <v>3538</v>
      </c>
    </row>
    <row r="1155" spans="2:8" x14ac:dyDescent="0.25">
      <c r="B1155" s="1358" t="s">
        <v>6897</v>
      </c>
      <c r="C1155" s="1359" t="s">
        <v>6917</v>
      </c>
      <c r="D1155" s="1360">
        <v>8509</v>
      </c>
      <c r="E1155" s="1361" t="s">
        <v>2040</v>
      </c>
      <c r="F1155" s="1360" t="s">
        <v>1155</v>
      </c>
      <c r="G1155" s="1362">
        <v>112000</v>
      </c>
      <c r="H1155" s="1363" t="s">
        <v>3538</v>
      </c>
    </row>
    <row r="1156" spans="2:8" x14ac:dyDescent="0.25">
      <c r="B1156" s="1358" t="s">
        <v>6897</v>
      </c>
      <c r="C1156" s="1359" t="s">
        <v>6917</v>
      </c>
      <c r="D1156" s="1360">
        <v>8511</v>
      </c>
      <c r="E1156" s="1361" t="s">
        <v>2041</v>
      </c>
      <c r="F1156" s="1360" t="s">
        <v>1155</v>
      </c>
      <c r="G1156" s="1362">
        <v>112000</v>
      </c>
      <c r="H1156" s="1363" t="s">
        <v>3538</v>
      </c>
    </row>
    <row r="1157" spans="2:8" x14ac:dyDescent="0.25">
      <c r="B1157" s="1358" t="s">
        <v>6897</v>
      </c>
      <c r="C1157" s="1359" t="s">
        <v>6927</v>
      </c>
      <c r="D1157" s="1360">
        <v>8515</v>
      </c>
      <c r="E1157" s="1361" t="s">
        <v>2042</v>
      </c>
      <c r="F1157" s="1360" t="s">
        <v>6</v>
      </c>
      <c r="G1157" s="1362">
        <v>14920</v>
      </c>
      <c r="H1157" s="1363" t="s">
        <v>6899</v>
      </c>
    </row>
    <row r="1158" spans="2:8" x14ac:dyDescent="0.25">
      <c r="B1158" s="1358" t="s">
        <v>6897</v>
      </c>
      <c r="C1158" s="1359" t="s">
        <v>6902</v>
      </c>
      <c r="D1158" s="1360">
        <v>8516</v>
      </c>
      <c r="E1158" s="1361" t="s">
        <v>2043</v>
      </c>
      <c r="F1158" s="1360" t="s">
        <v>12</v>
      </c>
      <c r="G1158" s="1362">
        <v>39798</v>
      </c>
      <c r="H1158" s="1363" t="s">
        <v>3538</v>
      </c>
    </row>
    <row r="1159" spans="2:8" x14ac:dyDescent="0.25">
      <c r="B1159" s="1358" t="s">
        <v>6897</v>
      </c>
      <c r="C1159" s="1359" t="s">
        <v>6902</v>
      </c>
      <c r="D1159" s="1360">
        <v>8520</v>
      </c>
      <c r="E1159" s="1361" t="s">
        <v>2044</v>
      </c>
      <c r="F1159" s="1360" t="s">
        <v>2045</v>
      </c>
      <c r="G1159" s="1362">
        <v>1529</v>
      </c>
      <c r="H1159" s="1363" t="s">
        <v>3538</v>
      </c>
    </row>
    <row r="1160" spans="2:8" x14ac:dyDescent="0.25">
      <c r="B1160" s="1358" t="s">
        <v>6897</v>
      </c>
      <c r="C1160" s="1359" t="s">
        <v>6931</v>
      </c>
      <c r="D1160" s="1360">
        <v>8522</v>
      </c>
      <c r="E1160" s="1361" t="s">
        <v>2046</v>
      </c>
      <c r="F1160" s="1360" t="s">
        <v>12</v>
      </c>
      <c r="G1160" s="1362">
        <v>8440</v>
      </c>
      <c r="H1160" s="1363" t="s">
        <v>3538</v>
      </c>
    </row>
    <row r="1161" spans="2:8" x14ac:dyDescent="0.25">
      <c r="B1161" s="1358" t="s">
        <v>6897</v>
      </c>
      <c r="C1161" s="1359" t="s">
        <v>6927</v>
      </c>
      <c r="D1161" s="1360">
        <v>8524</v>
      </c>
      <c r="E1161" s="1361" t="s">
        <v>2047</v>
      </c>
      <c r="F1161" s="1360" t="s">
        <v>266</v>
      </c>
      <c r="G1161" s="1362">
        <v>55900</v>
      </c>
      <c r="H1161" s="1363" t="s">
        <v>6899</v>
      </c>
    </row>
    <row r="1162" spans="2:8" x14ac:dyDescent="0.25">
      <c r="B1162" s="1358" t="s">
        <v>6897</v>
      </c>
      <c r="C1162" s="1359" t="s">
        <v>1474</v>
      </c>
      <c r="D1162" s="1360">
        <v>8525</v>
      </c>
      <c r="E1162" s="1361" t="s">
        <v>2048</v>
      </c>
      <c r="F1162" s="1360" t="s">
        <v>12</v>
      </c>
      <c r="G1162" s="1362">
        <v>18936</v>
      </c>
      <c r="H1162" s="1363" t="s">
        <v>6899</v>
      </c>
    </row>
    <row r="1163" spans="2:8" x14ac:dyDescent="0.25">
      <c r="B1163" s="1358" t="s">
        <v>6897</v>
      </c>
      <c r="C1163" s="1359" t="s">
        <v>6917</v>
      </c>
      <c r="D1163" s="1360">
        <v>8529</v>
      </c>
      <c r="E1163" s="1361" t="s">
        <v>2049</v>
      </c>
      <c r="F1163" s="1360" t="s">
        <v>1155</v>
      </c>
      <c r="G1163" s="1362">
        <v>69468</v>
      </c>
      <c r="H1163" s="1363" t="s">
        <v>3538</v>
      </c>
    </row>
    <row r="1164" spans="2:8" x14ac:dyDescent="0.25">
      <c r="B1164" s="1358" t="s">
        <v>6897</v>
      </c>
      <c r="C1164" s="1359" t="s">
        <v>6930</v>
      </c>
      <c r="D1164" s="1360">
        <v>8530</v>
      </c>
      <c r="E1164" s="1361" t="s">
        <v>2050</v>
      </c>
      <c r="F1164" s="1360" t="s">
        <v>266</v>
      </c>
      <c r="G1164" s="1362">
        <v>10900</v>
      </c>
      <c r="H1164" s="1363" t="s">
        <v>6899</v>
      </c>
    </row>
    <row r="1165" spans="2:8" x14ac:dyDescent="0.25">
      <c r="B1165" s="1358" t="s">
        <v>6897</v>
      </c>
      <c r="C1165" s="1359" t="s">
        <v>6917</v>
      </c>
      <c r="D1165" s="1360">
        <v>8531</v>
      </c>
      <c r="E1165" s="1361" t="s">
        <v>2051</v>
      </c>
      <c r="F1165" s="1360" t="s">
        <v>1155</v>
      </c>
      <c r="G1165" s="1362">
        <v>24500</v>
      </c>
      <c r="H1165" s="1363" t="s">
        <v>3538</v>
      </c>
    </row>
    <row r="1166" spans="2:8" x14ac:dyDescent="0.25">
      <c r="B1166" s="1358" t="s">
        <v>6897</v>
      </c>
      <c r="C1166" s="1359" t="s">
        <v>6904</v>
      </c>
      <c r="D1166" s="1360">
        <v>8539</v>
      </c>
      <c r="E1166" s="1361" t="s">
        <v>2052</v>
      </c>
      <c r="F1166" s="1360" t="s">
        <v>266</v>
      </c>
      <c r="G1166" s="1362">
        <v>4900</v>
      </c>
      <c r="H1166" s="1363" t="s">
        <v>6899</v>
      </c>
    </row>
    <row r="1167" spans="2:8" x14ac:dyDescent="0.25">
      <c r="B1167" s="1358" t="s">
        <v>6897</v>
      </c>
      <c r="C1167" s="1359" t="s">
        <v>6931</v>
      </c>
      <c r="D1167" s="1360">
        <v>8555</v>
      </c>
      <c r="E1167" s="1361" t="s">
        <v>2053</v>
      </c>
      <c r="F1167" s="1360" t="s">
        <v>266</v>
      </c>
      <c r="G1167" s="1362">
        <v>1450</v>
      </c>
      <c r="H1167" s="1363" t="s">
        <v>3538</v>
      </c>
    </row>
    <row r="1168" spans="2:8" x14ac:dyDescent="0.25">
      <c r="B1168" s="1358" t="s">
        <v>6897</v>
      </c>
      <c r="C1168" s="1359" t="s">
        <v>6910</v>
      </c>
      <c r="D1168" s="1360">
        <v>8560</v>
      </c>
      <c r="E1168" s="1361" t="s">
        <v>7037</v>
      </c>
      <c r="F1168" s="1360" t="s">
        <v>266</v>
      </c>
      <c r="G1168" s="1362">
        <v>9871</v>
      </c>
      <c r="H1168" s="1363" t="s">
        <v>6899</v>
      </c>
    </row>
    <row r="1169" spans="2:8" x14ac:dyDescent="0.25">
      <c r="B1169" s="1358" t="s">
        <v>6897</v>
      </c>
      <c r="C1169" s="1359" t="s">
        <v>6931</v>
      </c>
      <c r="D1169" s="1360">
        <v>8565</v>
      </c>
      <c r="E1169" s="1361" t="s">
        <v>2054</v>
      </c>
      <c r="F1169" s="1360" t="s">
        <v>6</v>
      </c>
      <c r="G1169" s="1362">
        <v>6069</v>
      </c>
      <c r="H1169" s="1363" t="s">
        <v>3538</v>
      </c>
    </row>
    <row r="1170" spans="2:8" x14ac:dyDescent="0.25">
      <c r="B1170" s="1358" t="s">
        <v>6897</v>
      </c>
      <c r="C1170" s="1359" t="s">
        <v>6931</v>
      </c>
      <c r="D1170" s="1360">
        <v>8566</v>
      </c>
      <c r="E1170" s="1361" t="s">
        <v>2055</v>
      </c>
      <c r="F1170" s="1360" t="s">
        <v>13</v>
      </c>
      <c r="G1170" s="1362">
        <v>1729</v>
      </c>
      <c r="H1170" s="1363" t="s">
        <v>3538</v>
      </c>
    </row>
    <row r="1171" spans="2:8" x14ac:dyDescent="0.25">
      <c r="B1171" s="1358" t="s">
        <v>6897</v>
      </c>
      <c r="C1171" s="1359" t="s">
        <v>6915</v>
      </c>
      <c r="D1171" s="1360">
        <v>8567</v>
      </c>
      <c r="E1171" s="1361" t="s">
        <v>2056</v>
      </c>
      <c r="F1171" s="1360" t="s">
        <v>12</v>
      </c>
      <c r="G1171" s="1362">
        <v>71341</v>
      </c>
      <c r="H1171" s="1363" t="s">
        <v>6899</v>
      </c>
    </row>
    <row r="1172" spans="2:8" x14ac:dyDescent="0.25">
      <c r="B1172" s="1358" t="s">
        <v>6897</v>
      </c>
      <c r="C1172" s="1359" t="s">
        <v>7038</v>
      </c>
      <c r="D1172" s="1360">
        <v>8570</v>
      </c>
      <c r="E1172" s="1361" t="s">
        <v>2057</v>
      </c>
      <c r="F1172" s="1360" t="s">
        <v>2058</v>
      </c>
      <c r="G1172" s="1362">
        <v>22868</v>
      </c>
      <c r="H1172" s="1363" t="s">
        <v>3538</v>
      </c>
    </row>
    <row r="1173" spans="2:8" x14ac:dyDescent="0.25">
      <c r="B1173" s="1358" t="s">
        <v>6897</v>
      </c>
      <c r="C1173" s="1359" t="s">
        <v>6930</v>
      </c>
      <c r="D1173" s="1360">
        <v>8576</v>
      </c>
      <c r="E1173" s="1361" t="s">
        <v>2059</v>
      </c>
      <c r="F1173" s="1360" t="s">
        <v>1155</v>
      </c>
      <c r="G1173" s="1362">
        <v>109900</v>
      </c>
      <c r="H1173" s="1363" t="s">
        <v>6899</v>
      </c>
    </row>
    <row r="1174" spans="2:8" x14ac:dyDescent="0.25">
      <c r="B1174" s="1358" t="s">
        <v>6897</v>
      </c>
      <c r="C1174" s="1359" t="s">
        <v>6916</v>
      </c>
      <c r="D1174" s="1360">
        <v>8577</v>
      </c>
      <c r="E1174" s="1361" t="s">
        <v>2060</v>
      </c>
      <c r="F1174" s="1360" t="s">
        <v>13</v>
      </c>
      <c r="G1174" s="1362">
        <v>22586</v>
      </c>
      <c r="H1174" s="1363" t="s">
        <v>3538</v>
      </c>
    </row>
    <row r="1175" spans="2:8" x14ac:dyDescent="0.25">
      <c r="B1175" s="1358" t="s">
        <v>6897</v>
      </c>
      <c r="C1175" s="1359" t="s">
        <v>6916</v>
      </c>
      <c r="D1175" s="1360">
        <v>8578</v>
      </c>
      <c r="E1175" s="1361" t="s">
        <v>2061</v>
      </c>
      <c r="F1175" s="1360" t="s">
        <v>266</v>
      </c>
      <c r="G1175" s="1362">
        <v>4031</v>
      </c>
      <c r="H1175" s="1363" t="s">
        <v>3538</v>
      </c>
    </row>
    <row r="1176" spans="2:8" x14ac:dyDescent="0.25">
      <c r="B1176" s="1358" t="s">
        <v>6897</v>
      </c>
      <c r="C1176" s="1359" t="s">
        <v>6916</v>
      </c>
      <c r="D1176" s="1360">
        <v>8579</v>
      </c>
      <c r="E1176" s="1361" t="s">
        <v>2062</v>
      </c>
      <c r="F1176" s="1360" t="s">
        <v>266</v>
      </c>
      <c r="G1176" s="1362">
        <v>16235</v>
      </c>
      <c r="H1176" s="1363" t="s">
        <v>3538</v>
      </c>
    </row>
    <row r="1177" spans="2:8" x14ac:dyDescent="0.25">
      <c r="B1177" s="1358" t="s">
        <v>6897</v>
      </c>
      <c r="C1177" s="1359" t="s">
        <v>6916</v>
      </c>
      <c r="D1177" s="1360">
        <v>8584</v>
      </c>
      <c r="E1177" s="1361" t="s">
        <v>2063</v>
      </c>
      <c r="F1177" s="1360" t="s">
        <v>13</v>
      </c>
      <c r="G1177" s="1362">
        <v>119913</v>
      </c>
      <c r="H1177" s="1363" t="s">
        <v>3538</v>
      </c>
    </row>
    <row r="1178" spans="2:8" x14ac:dyDescent="0.25">
      <c r="B1178" s="1358" t="s">
        <v>6897</v>
      </c>
      <c r="C1178" s="1359" t="s">
        <v>6916</v>
      </c>
      <c r="D1178" s="1360">
        <v>8586</v>
      </c>
      <c r="E1178" s="1361" t="s">
        <v>2064</v>
      </c>
      <c r="F1178" s="1360" t="s">
        <v>13</v>
      </c>
      <c r="G1178" s="1362">
        <v>13221</v>
      </c>
      <c r="H1178" s="1363" t="s">
        <v>3538</v>
      </c>
    </row>
    <row r="1179" spans="2:8" x14ac:dyDescent="0.25">
      <c r="B1179" s="1358" t="s">
        <v>6897</v>
      </c>
      <c r="C1179" s="1359" t="s">
        <v>6908</v>
      </c>
      <c r="D1179" s="1360">
        <v>8588</v>
      </c>
      <c r="E1179" s="1361" t="s">
        <v>2065</v>
      </c>
      <c r="F1179" s="1360" t="s">
        <v>13</v>
      </c>
      <c r="G1179" s="1362">
        <v>5871</v>
      </c>
      <c r="H1179" s="1363" t="s">
        <v>3538</v>
      </c>
    </row>
    <row r="1180" spans="2:8" x14ac:dyDescent="0.25">
      <c r="B1180" s="1358" t="s">
        <v>6897</v>
      </c>
      <c r="C1180" s="1359" t="s">
        <v>6931</v>
      </c>
      <c r="D1180" s="1360">
        <v>8634</v>
      </c>
      <c r="E1180" s="1361" t="s">
        <v>2066</v>
      </c>
      <c r="F1180" s="1360" t="s">
        <v>266</v>
      </c>
      <c r="G1180" s="1362">
        <v>172172</v>
      </c>
      <c r="H1180" s="1363" t="s">
        <v>3538</v>
      </c>
    </row>
    <row r="1181" spans="2:8" x14ac:dyDescent="0.25">
      <c r="B1181" s="1358" t="s">
        <v>6897</v>
      </c>
      <c r="C1181" s="1359" t="s">
        <v>6908</v>
      </c>
      <c r="D1181" s="1360">
        <v>8635</v>
      </c>
      <c r="E1181" s="1361" t="s">
        <v>2067</v>
      </c>
      <c r="F1181" s="1360" t="s">
        <v>266</v>
      </c>
      <c r="G1181" s="1362">
        <v>2637</v>
      </c>
      <c r="H1181" s="1363" t="s">
        <v>3538</v>
      </c>
    </row>
    <row r="1182" spans="2:8" x14ac:dyDescent="0.25">
      <c r="B1182" s="1358" t="s">
        <v>6897</v>
      </c>
      <c r="C1182" s="1359" t="s">
        <v>6909</v>
      </c>
      <c r="D1182" s="1360">
        <v>8636</v>
      </c>
      <c r="E1182" s="1361" t="s">
        <v>3687</v>
      </c>
      <c r="F1182" s="1360" t="s">
        <v>6</v>
      </c>
      <c r="G1182" s="1362">
        <v>1826</v>
      </c>
      <c r="H1182" s="1363" t="s">
        <v>6899</v>
      </c>
    </row>
    <row r="1183" spans="2:8" x14ac:dyDescent="0.25">
      <c r="B1183" s="1358" t="s">
        <v>6897</v>
      </c>
      <c r="C1183" s="1359" t="s">
        <v>6931</v>
      </c>
      <c r="D1183" s="1360">
        <v>8644</v>
      </c>
      <c r="E1183" s="1361" t="s">
        <v>2068</v>
      </c>
      <c r="F1183" s="1360" t="s">
        <v>266</v>
      </c>
      <c r="G1183" s="1362">
        <v>189900</v>
      </c>
      <c r="H1183" s="1363" t="s">
        <v>3538</v>
      </c>
    </row>
    <row r="1184" spans="2:8" x14ac:dyDescent="0.25">
      <c r="B1184" s="1358" t="s">
        <v>6897</v>
      </c>
      <c r="C1184" s="1359" t="s">
        <v>6931</v>
      </c>
      <c r="D1184" s="1360">
        <v>8645</v>
      </c>
      <c r="E1184" s="1361" t="s">
        <v>2069</v>
      </c>
      <c r="F1184" s="1360" t="s">
        <v>266</v>
      </c>
      <c r="G1184" s="1362">
        <v>477412</v>
      </c>
      <c r="H1184" s="1363" t="s">
        <v>3538</v>
      </c>
    </row>
    <row r="1185" spans="2:8" x14ac:dyDescent="0.25">
      <c r="B1185" s="1358" t="s">
        <v>6897</v>
      </c>
      <c r="C1185" s="1359" t="s">
        <v>6903</v>
      </c>
      <c r="D1185" s="1360">
        <v>8654</v>
      </c>
      <c r="E1185" s="1361" t="s">
        <v>2070</v>
      </c>
      <c r="F1185" s="1360" t="s">
        <v>6</v>
      </c>
      <c r="G1185" s="1362">
        <v>5569</v>
      </c>
      <c r="H1185" s="1363" t="s">
        <v>6899</v>
      </c>
    </row>
    <row r="1186" spans="2:8" x14ac:dyDescent="0.25">
      <c r="B1186" s="1358" t="s">
        <v>6897</v>
      </c>
      <c r="C1186" s="1359" t="s">
        <v>7010</v>
      </c>
      <c r="D1186" s="1360">
        <v>8666</v>
      </c>
      <c r="E1186" s="1361" t="s">
        <v>2071</v>
      </c>
      <c r="F1186" s="1360" t="s">
        <v>13</v>
      </c>
      <c r="G1186" s="1362">
        <v>4315</v>
      </c>
      <c r="H1186" s="1363" t="s">
        <v>3538</v>
      </c>
    </row>
    <row r="1187" spans="2:8" x14ac:dyDescent="0.25">
      <c r="B1187" s="1358" t="s">
        <v>6897</v>
      </c>
      <c r="C1187" s="1359" t="s">
        <v>7010</v>
      </c>
      <c r="D1187" s="1360">
        <v>8672</v>
      </c>
      <c r="E1187" s="1361" t="s">
        <v>2072</v>
      </c>
      <c r="F1187" s="1360" t="s">
        <v>266</v>
      </c>
      <c r="G1187" s="1362">
        <v>3808</v>
      </c>
      <c r="H1187" s="1363" t="s">
        <v>3538</v>
      </c>
    </row>
    <row r="1188" spans="2:8" x14ac:dyDescent="0.25">
      <c r="B1188" s="1358" t="s">
        <v>6897</v>
      </c>
      <c r="C1188" s="1359" t="s">
        <v>7010</v>
      </c>
      <c r="D1188" s="1360">
        <v>8674</v>
      </c>
      <c r="E1188" s="1361" t="s">
        <v>2073</v>
      </c>
      <c r="F1188" s="1360" t="s">
        <v>266</v>
      </c>
      <c r="G1188" s="1362">
        <v>4600</v>
      </c>
      <c r="H1188" s="1363" t="s">
        <v>3538</v>
      </c>
    </row>
    <row r="1189" spans="2:8" x14ac:dyDescent="0.25">
      <c r="B1189" s="1358" t="s">
        <v>6897</v>
      </c>
      <c r="C1189" s="1359" t="s">
        <v>7010</v>
      </c>
      <c r="D1189" s="1360">
        <v>8675</v>
      </c>
      <c r="E1189" s="1361" t="s">
        <v>2074</v>
      </c>
      <c r="F1189" s="1360" t="s">
        <v>266</v>
      </c>
      <c r="G1189" s="1362">
        <v>36890</v>
      </c>
      <c r="H1189" s="1363" t="s">
        <v>3538</v>
      </c>
    </row>
    <row r="1190" spans="2:8" x14ac:dyDescent="0.25">
      <c r="B1190" s="1358" t="s">
        <v>6897</v>
      </c>
      <c r="C1190" s="1359" t="s">
        <v>7010</v>
      </c>
      <c r="D1190" s="1360">
        <v>8676</v>
      </c>
      <c r="E1190" s="1361" t="s">
        <v>2075</v>
      </c>
      <c r="F1190" s="1360" t="s">
        <v>266</v>
      </c>
      <c r="G1190" s="1362">
        <v>10591</v>
      </c>
      <c r="H1190" s="1363" t="s">
        <v>3538</v>
      </c>
    </row>
    <row r="1191" spans="2:8" x14ac:dyDescent="0.25">
      <c r="B1191" s="1358" t="s">
        <v>6897</v>
      </c>
      <c r="C1191" s="1359" t="s">
        <v>6910</v>
      </c>
      <c r="D1191" s="1360">
        <v>8679</v>
      </c>
      <c r="E1191" s="1361" t="s">
        <v>3688</v>
      </c>
      <c r="F1191" s="1360" t="s">
        <v>266</v>
      </c>
      <c r="G1191" s="1362">
        <v>53194</v>
      </c>
      <c r="H1191" s="1363" t="s">
        <v>6899</v>
      </c>
    </row>
    <row r="1192" spans="2:8" x14ac:dyDescent="0.25">
      <c r="B1192" s="1358" t="s">
        <v>6897</v>
      </c>
      <c r="C1192" s="1359" t="s">
        <v>6931</v>
      </c>
      <c r="D1192" s="1360">
        <v>8688</v>
      </c>
      <c r="E1192" s="1361" t="s">
        <v>2076</v>
      </c>
      <c r="F1192" s="1360" t="s">
        <v>816</v>
      </c>
      <c r="G1192" s="1362">
        <v>1000</v>
      </c>
      <c r="H1192" s="1363" t="s">
        <v>6914</v>
      </c>
    </row>
    <row r="1193" spans="2:8" x14ac:dyDescent="0.25">
      <c r="B1193" s="1358" t="s">
        <v>6897</v>
      </c>
      <c r="C1193" s="1359" t="s">
        <v>6913</v>
      </c>
      <c r="D1193" s="1360">
        <v>8689</v>
      </c>
      <c r="E1193" s="1361" t="s">
        <v>3689</v>
      </c>
      <c r="F1193" s="1360" t="s">
        <v>342</v>
      </c>
      <c r="G1193" s="1362">
        <v>118638</v>
      </c>
      <c r="H1193" s="1363" t="s">
        <v>3548</v>
      </c>
    </row>
    <row r="1194" spans="2:8" x14ac:dyDescent="0.25">
      <c r="B1194" s="1358" t="s">
        <v>6897</v>
      </c>
      <c r="C1194" s="1359" t="s">
        <v>6913</v>
      </c>
      <c r="D1194" s="1360">
        <v>8690</v>
      </c>
      <c r="E1194" s="1361" t="s">
        <v>3690</v>
      </c>
      <c r="F1194" s="1360" t="s">
        <v>342</v>
      </c>
      <c r="G1194" s="1362">
        <v>118638</v>
      </c>
      <c r="H1194" s="1363" t="s">
        <v>3548</v>
      </c>
    </row>
    <row r="1195" spans="2:8" x14ac:dyDescent="0.25">
      <c r="B1195" s="1358" t="s">
        <v>6897</v>
      </c>
      <c r="C1195" s="1359" t="s">
        <v>7010</v>
      </c>
      <c r="D1195" s="1360">
        <v>8694</v>
      </c>
      <c r="E1195" s="1361" t="s">
        <v>2077</v>
      </c>
      <c r="F1195" s="1360" t="s">
        <v>13</v>
      </c>
      <c r="G1195" s="1362">
        <v>4000</v>
      </c>
      <c r="H1195" s="1363" t="s">
        <v>3538</v>
      </c>
    </row>
    <row r="1196" spans="2:8" x14ac:dyDescent="0.25">
      <c r="B1196" s="1358" t="s">
        <v>6897</v>
      </c>
      <c r="C1196" s="1359" t="s">
        <v>7010</v>
      </c>
      <c r="D1196" s="1360">
        <v>8695</v>
      </c>
      <c r="E1196" s="1361" t="s">
        <v>2078</v>
      </c>
      <c r="F1196" s="1360" t="s">
        <v>13</v>
      </c>
      <c r="G1196" s="1362">
        <v>6250</v>
      </c>
      <c r="H1196" s="1363" t="s">
        <v>3538</v>
      </c>
    </row>
    <row r="1197" spans="2:8" x14ac:dyDescent="0.25">
      <c r="B1197" s="1358" t="s">
        <v>6897</v>
      </c>
      <c r="C1197" s="1359" t="s">
        <v>7010</v>
      </c>
      <c r="D1197" s="1360">
        <v>8696</v>
      </c>
      <c r="E1197" s="1361" t="s">
        <v>2079</v>
      </c>
      <c r="F1197" s="1360" t="s">
        <v>13</v>
      </c>
      <c r="G1197" s="1362">
        <v>9650</v>
      </c>
      <c r="H1197" s="1363" t="s">
        <v>3538</v>
      </c>
    </row>
    <row r="1198" spans="2:8" x14ac:dyDescent="0.25">
      <c r="B1198" s="1358" t="s">
        <v>6897</v>
      </c>
      <c r="C1198" s="1359" t="s">
        <v>7010</v>
      </c>
      <c r="D1198" s="1360">
        <v>8698</v>
      </c>
      <c r="E1198" s="1361" t="s">
        <v>2080</v>
      </c>
      <c r="F1198" s="1360" t="s">
        <v>13</v>
      </c>
      <c r="G1198" s="1362">
        <v>18250</v>
      </c>
      <c r="H1198" s="1363" t="s">
        <v>3538</v>
      </c>
    </row>
    <row r="1199" spans="2:8" x14ac:dyDescent="0.25">
      <c r="B1199" s="1358" t="s">
        <v>6897</v>
      </c>
      <c r="C1199" s="1359" t="s">
        <v>7010</v>
      </c>
      <c r="D1199" s="1360">
        <v>8699</v>
      </c>
      <c r="E1199" s="1361" t="s">
        <v>2081</v>
      </c>
      <c r="F1199" s="1360" t="s">
        <v>13</v>
      </c>
      <c r="G1199" s="1362">
        <v>23400</v>
      </c>
      <c r="H1199" s="1363" t="s">
        <v>3538</v>
      </c>
    </row>
    <row r="1200" spans="2:8" x14ac:dyDescent="0.25">
      <c r="B1200" s="1358" t="s">
        <v>6897</v>
      </c>
      <c r="C1200" s="1359" t="s">
        <v>7010</v>
      </c>
      <c r="D1200" s="1360">
        <v>8700</v>
      </c>
      <c r="E1200" s="1361" t="s">
        <v>2082</v>
      </c>
      <c r="F1200" s="1360" t="s">
        <v>13</v>
      </c>
      <c r="G1200" s="1362">
        <v>44792</v>
      </c>
      <c r="H1200" s="1363" t="s">
        <v>3538</v>
      </c>
    </row>
    <row r="1201" spans="2:8" x14ac:dyDescent="0.25">
      <c r="B1201" s="1358" t="s">
        <v>6897</v>
      </c>
      <c r="C1201" s="1359" t="s">
        <v>7010</v>
      </c>
      <c r="D1201" s="1360">
        <v>8706</v>
      </c>
      <c r="E1201" s="1361" t="s">
        <v>2083</v>
      </c>
      <c r="F1201" s="1360" t="s">
        <v>266</v>
      </c>
      <c r="G1201" s="1362">
        <v>7771</v>
      </c>
      <c r="H1201" s="1363" t="s">
        <v>3538</v>
      </c>
    </row>
    <row r="1202" spans="2:8" x14ac:dyDescent="0.25">
      <c r="B1202" s="1358" t="s">
        <v>6897</v>
      </c>
      <c r="C1202" s="1359" t="s">
        <v>7010</v>
      </c>
      <c r="D1202" s="1360">
        <v>8708</v>
      </c>
      <c r="E1202" s="1361" t="s">
        <v>2084</v>
      </c>
      <c r="F1202" s="1360" t="s">
        <v>266</v>
      </c>
      <c r="G1202" s="1362">
        <v>34600</v>
      </c>
      <c r="H1202" s="1363" t="s">
        <v>3538</v>
      </c>
    </row>
    <row r="1203" spans="2:8" x14ac:dyDescent="0.25">
      <c r="B1203" s="1358" t="s">
        <v>6897</v>
      </c>
      <c r="C1203" s="1359" t="s">
        <v>6910</v>
      </c>
      <c r="D1203" s="1360">
        <v>8710</v>
      </c>
      <c r="E1203" s="1361" t="s">
        <v>3691</v>
      </c>
      <c r="F1203" s="1360" t="s">
        <v>266</v>
      </c>
      <c r="G1203" s="1362">
        <v>62500</v>
      </c>
      <c r="H1203" s="1363" t="s">
        <v>6899</v>
      </c>
    </row>
    <row r="1204" spans="2:8" x14ac:dyDescent="0.25">
      <c r="B1204" s="1358" t="s">
        <v>6897</v>
      </c>
      <c r="C1204" s="1359" t="s">
        <v>6910</v>
      </c>
      <c r="D1204" s="1360">
        <v>8712</v>
      </c>
      <c r="E1204" s="1361" t="s">
        <v>3692</v>
      </c>
      <c r="F1204" s="1360" t="s">
        <v>266</v>
      </c>
      <c r="G1204" s="1362">
        <v>24731</v>
      </c>
      <c r="H1204" s="1363" t="s">
        <v>6899</v>
      </c>
    </row>
    <row r="1205" spans="2:8" x14ac:dyDescent="0.25">
      <c r="B1205" s="1358" t="s">
        <v>6897</v>
      </c>
      <c r="C1205" s="1359" t="s">
        <v>7010</v>
      </c>
      <c r="D1205" s="1360">
        <v>8721</v>
      </c>
      <c r="E1205" s="1361" t="s">
        <v>2085</v>
      </c>
      <c r="F1205" s="1360" t="s">
        <v>13</v>
      </c>
      <c r="G1205" s="1362">
        <v>76200</v>
      </c>
      <c r="H1205" s="1363" t="s">
        <v>3538</v>
      </c>
    </row>
    <row r="1206" spans="2:8" x14ac:dyDescent="0.25">
      <c r="B1206" s="1358" t="s">
        <v>6897</v>
      </c>
      <c r="C1206" s="1359" t="s">
        <v>7010</v>
      </c>
      <c r="D1206" s="1360">
        <v>8722</v>
      </c>
      <c r="E1206" s="1361" t="s">
        <v>2086</v>
      </c>
      <c r="F1206" s="1360" t="s">
        <v>13</v>
      </c>
      <c r="G1206" s="1362">
        <v>6250</v>
      </c>
      <c r="H1206" s="1363" t="s">
        <v>3538</v>
      </c>
    </row>
    <row r="1207" spans="2:8" x14ac:dyDescent="0.25">
      <c r="B1207" s="1358" t="s">
        <v>6897</v>
      </c>
      <c r="C1207" s="1359" t="s">
        <v>6910</v>
      </c>
      <c r="D1207" s="1360">
        <v>8729</v>
      </c>
      <c r="E1207" s="1361" t="s">
        <v>3693</v>
      </c>
      <c r="F1207" s="1360" t="s">
        <v>266</v>
      </c>
      <c r="G1207" s="1362">
        <v>8850</v>
      </c>
      <c r="H1207" s="1363" t="s">
        <v>6899</v>
      </c>
    </row>
    <row r="1208" spans="2:8" x14ac:dyDescent="0.25">
      <c r="B1208" s="1358" t="s">
        <v>6897</v>
      </c>
      <c r="C1208" s="1359" t="s">
        <v>6910</v>
      </c>
      <c r="D1208" s="1360">
        <v>8731</v>
      </c>
      <c r="E1208" s="1361" t="s">
        <v>3694</v>
      </c>
      <c r="F1208" s="1360" t="s">
        <v>266</v>
      </c>
      <c r="G1208" s="1362">
        <v>3800</v>
      </c>
      <c r="H1208" s="1363" t="s">
        <v>6899</v>
      </c>
    </row>
    <row r="1209" spans="2:8" x14ac:dyDescent="0.25">
      <c r="B1209" s="1358" t="s">
        <v>6897</v>
      </c>
      <c r="C1209" s="1359" t="s">
        <v>6910</v>
      </c>
      <c r="D1209" s="1360">
        <v>8732</v>
      </c>
      <c r="E1209" s="1361" t="s">
        <v>3695</v>
      </c>
      <c r="F1209" s="1360" t="s">
        <v>266</v>
      </c>
      <c r="G1209" s="1362">
        <v>14450</v>
      </c>
      <c r="H1209" s="1363" t="s">
        <v>6899</v>
      </c>
    </row>
    <row r="1210" spans="2:8" x14ac:dyDescent="0.25">
      <c r="B1210" s="1358" t="s">
        <v>6897</v>
      </c>
      <c r="C1210" s="1359" t="s">
        <v>6910</v>
      </c>
      <c r="D1210" s="1360">
        <v>8734</v>
      </c>
      <c r="E1210" s="1361" t="s">
        <v>3696</v>
      </c>
      <c r="F1210" s="1360" t="s">
        <v>266</v>
      </c>
      <c r="G1210" s="1362">
        <v>6300</v>
      </c>
      <c r="H1210" s="1363" t="s">
        <v>6899</v>
      </c>
    </row>
    <row r="1211" spans="2:8" x14ac:dyDescent="0.25">
      <c r="B1211" s="1358" t="s">
        <v>6897</v>
      </c>
      <c r="C1211" s="1359" t="s">
        <v>7010</v>
      </c>
      <c r="D1211" s="1360">
        <v>8737</v>
      </c>
      <c r="E1211" s="1361" t="s">
        <v>2087</v>
      </c>
      <c r="F1211" s="1360" t="s">
        <v>13</v>
      </c>
      <c r="G1211" s="1362">
        <v>67983</v>
      </c>
      <c r="H1211" s="1363" t="s">
        <v>3538</v>
      </c>
    </row>
    <row r="1212" spans="2:8" x14ac:dyDescent="0.25">
      <c r="B1212" s="1358" t="s">
        <v>6897</v>
      </c>
      <c r="C1212" s="1359" t="s">
        <v>7010</v>
      </c>
      <c r="D1212" s="1360">
        <v>8738</v>
      </c>
      <c r="E1212" s="1361" t="s">
        <v>2088</v>
      </c>
      <c r="F1212" s="1360" t="s">
        <v>13</v>
      </c>
      <c r="G1212" s="1362">
        <v>21700</v>
      </c>
      <c r="H1212" s="1363" t="s">
        <v>3538</v>
      </c>
    </row>
    <row r="1213" spans="2:8" x14ac:dyDescent="0.25">
      <c r="B1213" s="1358" t="s">
        <v>6897</v>
      </c>
      <c r="C1213" s="1359" t="s">
        <v>6907</v>
      </c>
      <c r="D1213" s="1360">
        <v>8742</v>
      </c>
      <c r="E1213" s="1361" t="s">
        <v>2089</v>
      </c>
      <c r="F1213" s="1360" t="s">
        <v>13</v>
      </c>
      <c r="G1213" s="1362">
        <v>23150</v>
      </c>
      <c r="H1213" s="1363" t="s">
        <v>3535</v>
      </c>
    </row>
    <row r="1214" spans="2:8" x14ac:dyDescent="0.25">
      <c r="B1214" s="1358" t="s">
        <v>6897</v>
      </c>
      <c r="C1214" s="1359" t="s">
        <v>7010</v>
      </c>
      <c r="D1214" s="1360">
        <v>8743</v>
      </c>
      <c r="E1214" s="1361" t="s">
        <v>2090</v>
      </c>
      <c r="F1214" s="1360" t="s">
        <v>266</v>
      </c>
      <c r="G1214" s="1362">
        <v>29174</v>
      </c>
      <c r="H1214" s="1363" t="s">
        <v>3538</v>
      </c>
    </row>
    <row r="1215" spans="2:8" x14ac:dyDescent="0.25">
      <c r="B1215" s="1358" t="s">
        <v>6897</v>
      </c>
      <c r="C1215" s="1359" t="s">
        <v>7010</v>
      </c>
      <c r="D1215" s="1360">
        <v>8746</v>
      </c>
      <c r="E1215" s="1361" t="s">
        <v>2091</v>
      </c>
      <c r="F1215" s="1360" t="s">
        <v>13</v>
      </c>
      <c r="G1215" s="1362">
        <v>77074</v>
      </c>
      <c r="H1215" s="1363" t="s">
        <v>3538</v>
      </c>
    </row>
    <row r="1216" spans="2:8" x14ac:dyDescent="0.25">
      <c r="B1216" s="1358" t="s">
        <v>6897</v>
      </c>
      <c r="C1216" s="1359" t="s">
        <v>7010</v>
      </c>
      <c r="D1216" s="1360">
        <v>8749</v>
      </c>
      <c r="E1216" s="1361" t="s">
        <v>2092</v>
      </c>
      <c r="F1216" s="1360" t="s">
        <v>13</v>
      </c>
      <c r="G1216" s="1362">
        <v>178850</v>
      </c>
      <c r="H1216" s="1363" t="s">
        <v>3538</v>
      </c>
    </row>
    <row r="1217" spans="2:8" x14ac:dyDescent="0.25">
      <c r="B1217" s="1358" t="s">
        <v>6897</v>
      </c>
      <c r="C1217" s="1359" t="s">
        <v>6908</v>
      </c>
      <c r="D1217" s="1360">
        <v>8750</v>
      </c>
      <c r="E1217" s="1361" t="s">
        <v>2093</v>
      </c>
      <c r="F1217" s="1360" t="s">
        <v>13</v>
      </c>
      <c r="G1217" s="1362">
        <v>34029</v>
      </c>
      <c r="H1217" s="1363" t="s">
        <v>3538</v>
      </c>
    </row>
    <row r="1218" spans="2:8" x14ac:dyDescent="0.25">
      <c r="B1218" s="1358" t="s">
        <v>6897</v>
      </c>
      <c r="C1218" s="1359" t="s">
        <v>6907</v>
      </c>
      <c r="D1218" s="1360">
        <v>8752</v>
      </c>
      <c r="E1218" s="1361" t="s">
        <v>2094</v>
      </c>
      <c r="F1218" s="1360" t="s">
        <v>13</v>
      </c>
      <c r="G1218" s="1362">
        <v>70974</v>
      </c>
      <c r="H1218" s="1363" t="s">
        <v>3535</v>
      </c>
    </row>
    <row r="1219" spans="2:8" x14ac:dyDescent="0.25">
      <c r="B1219" s="1358" t="s">
        <v>6897</v>
      </c>
      <c r="C1219" s="1359" t="s">
        <v>7010</v>
      </c>
      <c r="D1219" s="1360">
        <v>8760</v>
      </c>
      <c r="E1219" s="1361" t="s">
        <v>2095</v>
      </c>
      <c r="F1219" s="1360" t="s">
        <v>13</v>
      </c>
      <c r="G1219" s="1362">
        <v>9401</v>
      </c>
      <c r="H1219" s="1363" t="s">
        <v>3538</v>
      </c>
    </row>
    <row r="1220" spans="2:8" x14ac:dyDescent="0.25">
      <c r="B1220" s="1358" t="s">
        <v>6897</v>
      </c>
      <c r="C1220" s="1359" t="s">
        <v>7010</v>
      </c>
      <c r="D1220" s="1360">
        <v>8768</v>
      </c>
      <c r="E1220" s="1361" t="s">
        <v>2096</v>
      </c>
      <c r="F1220" s="1360" t="s">
        <v>13</v>
      </c>
      <c r="G1220" s="1362">
        <v>45850</v>
      </c>
      <c r="H1220" s="1363" t="s">
        <v>3538</v>
      </c>
    </row>
    <row r="1221" spans="2:8" x14ac:dyDescent="0.25">
      <c r="B1221" s="1358" t="s">
        <v>6897</v>
      </c>
      <c r="C1221" s="1359" t="s">
        <v>7010</v>
      </c>
      <c r="D1221" s="1360">
        <v>8771</v>
      </c>
      <c r="E1221" s="1361" t="s">
        <v>2097</v>
      </c>
      <c r="F1221" s="1360" t="s">
        <v>266</v>
      </c>
      <c r="G1221" s="1362">
        <v>5350</v>
      </c>
      <c r="H1221" s="1363" t="s">
        <v>3538</v>
      </c>
    </row>
    <row r="1222" spans="2:8" x14ac:dyDescent="0.25">
      <c r="B1222" s="1358" t="s">
        <v>6897</v>
      </c>
      <c r="C1222" s="1359" t="s">
        <v>7010</v>
      </c>
      <c r="D1222" s="1360">
        <v>8774</v>
      </c>
      <c r="E1222" s="1361" t="s">
        <v>2098</v>
      </c>
      <c r="F1222" s="1360" t="s">
        <v>266</v>
      </c>
      <c r="G1222" s="1362">
        <v>250</v>
      </c>
      <c r="H1222" s="1363" t="s">
        <v>3538</v>
      </c>
    </row>
    <row r="1223" spans="2:8" x14ac:dyDescent="0.25">
      <c r="B1223" s="1358" t="s">
        <v>6897</v>
      </c>
      <c r="C1223" s="1359" t="s">
        <v>7010</v>
      </c>
      <c r="D1223" s="1360">
        <v>8777</v>
      </c>
      <c r="E1223" s="1361" t="s">
        <v>2099</v>
      </c>
      <c r="F1223" s="1360" t="s">
        <v>13</v>
      </c>
      <c r="G1223" s="1362">
        <v>4000</v>
      </c>
      <c r="H1223" s="1363" t="s">
        <v>3538</v>
      </c>
    </row>
    <row r="1224" spans="2:8" x14ac:dyDescent="0.25">
      <c r="B1224" s="1358" t="s">
        <v>6897</v>
      </c>
      <c r="C1224" s="1359" t="s">
        <v>7010</v>
      </c>
      <c r="D1224" s="1360">
        <v>8779</v>
      </c>
      <c r="E1224" s="1361" t="s">
        <v>2100</v>
      </c>
      <c r="F1224" s="1360" t="s">
        <v>266</v>
      </c>
      <c r="G1224" s="1362">
        <v>3808</v>
      </c>
      <c r="H1224" s="1363" t="s">
        <v>3538</v>
      </c>
    </row>
    <row r="1225" spans="2:8" x14ac:dyDescent="0.25">
      <c r="B1225" s="1358" t="s">
        <v>6897</v>
      </c>
      <c r="C1225" s="1359" t="s">
        <v>6931</v>
      </c>
      <c r="D1225" s="1360">
        <v>8789</v>
      </c>
      <c r="E1225" s="1361" t="s">
        <v>2101</v>
      </c>
      <c r="F1225" s="1360" t="s">
        <v>1155</v>
      </c>
      <c r="G1225" s="1362">
        <v>15660</v>
      </c>
      <c r="H1225" s="1363" t="s">
        <v>3538</v>
      </c>
    </row>
    <row r="1226" spans="2:8" x14ac:dyDescent="0.25">
      <c r="B1226" s="1358" t="s">
        <v>6897</v>
      </c>
      <c r="C1226" s="1359" t="s">
        <v>6931</v>
      </c>
      <c r="D1226" s="1360">
        <v>8790</v>
      </c>
      <c r="E1226" s="1361" t="s">
        <v>2102</v>
      </c>
      <c r="F1226" s="1360" t="s">
        <v>12</v>
      </c>
      <c r="G1226" s="1362">
        <v>187695</v>
      </c>
      <c r="H1226" s="1363" t="s">
        <v>3538</v>
      </c>
    </row>
    <row r="1227" spans="2:8" x14ac:dyDescent="0.25">
      <c r="B1227" s="1358" t="s">
        <v>6897</v>
      </c>
      <c r="C1227" s="1359" t="s">
        <v>6931</v>
      </c>
      <c r="D1227" s="1360">
        <v>8794</v>
      </c>
      <c r="E1227" s="1361" t="s">
        <v>2103</v>
      </c>
      <c r="F1227" s="1360" t="s">
        <v>12</v>
      </c>
      <c r="G1227" s="1362">
        <v>101150</v>
      </c>
      <c r="H1227" s="1363" t="s">
        <v>3538</v>
      </c>
    </row>
    <row r="1228" spans="2:8" x14ac:dyDescent="0.25">
      <c r="B1228" s="1358" t="s">
        <v>6897</v>
      </c>
      <c r="C1228" s="1359" t="s">
        <v>6912</v>
      </c>
      <c r="D1228" s="1360">
        <v>8844</v>
      </c>
      <c r="E1228" s="1361" t="s">
        <v>3697</v>
      </c>
      <c r="F1228" s="1360" t="s">
        <v>202</v>
      </c>
      <c r="G1228" s="1362">
        <v>4862</v>
      </c>
      <c r="H1228" s="1363" t="s">
        <v>6899</v>
      </c>
    </row>
    <row r="1229" spans="2:8" x14ac:dyDescent="0.25">
      <c r="B1229" s="1358" t="s">
        <v>6897</v>
      </c>
      <c r="C1229" s="1359" t="s">
        <v>6913</v>
      </c>
      <c r="D1229" s="1360">
        <v>8845</v>
      </c>
      <c r="E1229" s="1361" t="s">
        <v>3698</v>
      </c>
      <c r="F1229" s="1360" t="s">
        <v>342</v>
      </c>
      <c r="G1229" s="1362">
        <v>118638</v>
      </c>
      <c r="H1229" s="1363" t="s">
        <v>3548</v>
      </c>
    </row>
    <row r="1230" spans="2:8" x14ac:dyDescent="0.25">
      <c r="B1230" s="1358" t="s">
        <v>6897</v>
      </c>
      <c r="C1230" s="1359" t="s">
        <v>6922</v>
      </c>
      <c r="D1230" s="1360">
        <v>8846</v>
      </c>
      <c r="E1230" s="1361" t="s">
        <v>3699</v>
      </c>
      <c r="F1230" s="1360" t="s">
        <v>266</v>
      </c>
      <c r="G1230" s="1362">
        <v>153956</v>
      </c>
      <c r="H1230" s="1363" t="s">
        <v>3538</v>
      </c>
    </row>
    <row r="1231" spans="2:8" x14ac:dyDescent="0.25">
      <c r="B1231" s="1358" t="s">
        <v>6897</v>
      </c>
      <c r="C1231" s="1359" t="s">
        <v>7009</v>
      </c>
      <c r="D1231" s="1360">
        <v>8854</v>
      </c>
      <c r="E1231" s="1361" t="s">
        <v>2104</v>
      </c>
      <c r="F1231" s="1360" t="s">
        <v>266</v>
      </c>
      <c r="G1231" s="1362">
        <v>3900979</v>
      </c>
      <c r="H1231" s="1363" t="s">
        <v>6899</v>
      </c>
    </row>
    <row r="1232" spans="2:8" x14ac:dyDescent="0.25">
      <c r="B1232" s="1358" t="s">
        <v>6897</v>
      </c>
      <c r="C1232" s="1359" t="s">
        <v>7010</v>
      </c>
      <c r="D1232" s="1360">
        <v>8855</v>
      </c>
      <c r="E1232" s="1361" t="s">
        <v>2105</v>
      </c>
      <c r="F1232" s="1360" t="s">
        <v>266</v>
      </c>
      <c r="G1232" s="1362">
        <v>2499</v>
      </c>
      <c r="H1232" s="1363" t="s">
        <v>3538</v>
      </c>
    </row>
    <row r="1233" spans="2:8" x14ac:dyDescent="0.25">
      <c r="B1233" s="1358" t="s">
        <v>6897</v>
      </c>
      <c r="C1233" s="1359" t="s">
        <v>7010</v>
      </c>
      <c r="D1233" s="1360">
        <v>8856</v>
      </c>
      <c r="E1233" s="1361" t="s">
        <v>2106</v>
      </c>
      <c r="F1233" s="1360" t="s">
        <v>266</v>
      </c>
      <c r="G1233" s="1362">
        <v>1607</v>
      </c>
      <c r="H1233" s="1363" t="s">
        <v>3538</v>
      </c>
    </row>
    <row r="1234" spans="2:8" x14ac:dyDescent="0.25">
      <c r="B1234" s="1358" t="s">
        <v>6897</v>
      </c>
      <c r="C1234" s="1359" t="s">
        <v>7010</v>
      </c>
      <c r="D1234" s="1360">
        <v>8858</v>
      </c>
      <c r="E1234" s="1361" t="s">
        <v>2107</v>
      </c>
      <c r="F1234" s="1360" t="s">
        <v>13</v>
      </c>
      <c r="G1234" s="1362">
        <v>1059</v>
      </c>
      <c r="H1234" s="1363" t="s">
        <v>3538</v>
      </c>
    </row>
    <row r="1235" spans="2:8" x14ac:dyDescent="0.25">
      <c r="B1235" s="1358" t="s">
        <v>6897</v>
      </c>
      <c r="C1235" s="1359" t="s">
        <v>7010</v>
      </c>
      <c r="D1235" s="1360">
        <v>8859</v>
      </c>
      <c r="E1235" s="1361" t="s">
        <v>2108</v>
      </c>
      <c r="F1235" s="1360" t="s">
        <v>13</v>
      </c>
      <c r="G1235" s="1362">
        <v>14150</v>
      </c>
      <c r="H1235" s="1363" t="s">
        <v>3538</v>
      </c>
    </row>
    <row r="1236" spans="2:8" x14ac:dyDescent="0.25">
      <c r="B1236" s="1358" t="s">
        <v>6897</v>
      </c>
      <c r="C1236" s="1359" t="s">
        <v>7010</v>
      </c>
      <c r="D1236" s="1360">
        <v>8860</v>
      </c>
      <c r="E1236" s="1361" t="s">
        <v>2109</v>
      </c>
      <c r="F1236" s="1360" t="s">
        <v>13</v>
      </c>
      <c r="G1236" s="1362">
        <v>2850</v>
      </c>
      <c r="H1236" s="1363" t="s">
        <v>3538</v>
      </c>
    </row>
    <row r="1237" spans="2:8" x14ac:dyDescent="0.25">
      <c r="B1237" s="1358" t="s">
        <v>6897</v>
      </c>
      <c r="C1237" s="1359" t="s">
        <v>7010</v>
      </c>
      <c r="D1237" s="1360">
        <v>8861</v>
      </c>
      <c r="E1237" s="1361" t="s">
        <v>2110</v>
      </c>
      <c r="F1237" s="1360" t="s">
        <v>13</v>
      </c>
      <c r="G1237" s="1362">
        <v>2945</v>
      </c>
      <c r="H1237" s="1363" t="s">
        <v>3538</v>
      </c>
    </row>
    <row r="1238" spans="2:8" x14ac:dyDescent="0.25">
      <c r="B1238" s="1358" t="s">
        <v>6897</v>
      </c>
      <c r="C1238" s="1359" t="s">
        <v>7010</v>
      </c>
      <c r="D1238" s="1360">
        <v>8862</v>
      </c>
      <c r="E1238" s="1361" t="s">
        <v>2111</v>
      </c>
      <c r="F1238" s="1360" t="s">
        <v>13</v>
      </c>
      <c r="G1238" s="1362">
        <v>4106</v>
      </c>
      <c r="H1238" s="1363" t="s">
        <v>3538</v>
      </c>
    </row>
    <row r="1239" spans="2:8" x14ac:dyDescent="0.25">
      <c r="B1239" s="1358" t="s">
        <v>6897</v>
      </c>
      <c r="C1239" s="1359" t="s">
        <v>7010</v>
      </c>
      <c r="D1239" s="1360">
        <v>8865</v>
      </c>
      <c r="E1239" s="1361" t="s">
        <v>2112</v>
      </c>
      <c r="F1239" s="1360" t="s">
        <v>266</v>
      </c>
      <c r="G1239" s="1362">
        <v>559993</v>
      </c>
      <c r="H1239" s="1363" t="s">
        <v>3538</v>
      </c>
    </row>
    <row r="1240" spans="2:8" x14ac:dyDescent="0.25">
      <c r="B1240" s="1358" t="s">
        <v>6897</v>
      </c>
      <c r="C1240" s="1359" t="s">
        <v>7010</v>
      </c>
      <c r="D1240" s="1360">
        <v>8866</v>
      </c>
      <c r="E1240" s="1361" t="s">
        <v>2113</v>
      </c>
      <c r="F1240" s="1360" t="s">
        <v>266</v>
      </c>
      <c r="G1240" s="1362">
        <v>13066</v>
      </c>
      <c r="H1240" s="1363" t="s">
        <v>3538</v>
      </c>
    </row>
    <row r="1241" spans="2:8" x14ac:dyDescent="0.25">
      <c r="B1241" s="1358" t="s">
        <v>6897</v>
      </c>
      <c r="C1241" s="1359" t="s">
        <v>7010</v>
      </c>
      <c r="D1241" s="1360">
        <v>8867</v>
      </c>
      <c r="E1241" s="1361" t="s">
        <v>7039</v>
      </c>
      <c r="F1241" s="1360" t="s">
        <v>266</v>
      </c>
      <c r="G1241" s="1362">
        <v>53850</v>
      </c>
      <c r="H1241" s="1363" t="s">
        <v>3538</v>
      </c>
    </row>
    <row r="1242" spans="2:8" x14ac:dyDescent="0.25">
      <c r="B1242" s="1358" t="s">
        <v>6897</v>
      </c>
      <c r="C1242" s="1359" t="s">
        <v>7010</v>
      </c>
      <c r="D1242" s="1360">
        <v>8868</v>
      </c>
      <c r="E1242" s="1361" t="s">
        <v>2114</v>
      </c>
      <c r="F1242" s="1360" t="s">
        <v>13</v>
      </c>
      <c r="G1242" s="1362">
        <v>47469</v>
      </c>
      <c r="H1242" s="1363" t="s">
        <v>3538</v>
      </c>
    </row>
    <row r="1243" spans="2:8" x14ac:dyDescent="0.25">
      <c r="B1243" s="1358" t="s">
        <v>6897</v>
      </c>
      <c r="C1243" s="1359" t="s">
        <v>7010</v>
      </c>
      <c r="D1243" s="1360">
        <v>8869</v>
      </c>
      <c r="E1243" s="1361" t="s">
        <v>2115</v>
      </c>
      <c r="F1243" s="1360" t="s">
        <v>13</v>
      </c>
      <c r="G1243" s="1362">
        <v>27278</v>
      </c>
      <c r="H1243" s="1363" t="s">
        <v>3538</v>
      </c>
    </row>
    <row r="1244" spans="2:8" x14ac:dyDescent="0.25">
      <c r="B1244" s="1358" t="s">
        <v>6897</v>
      </c>
      <c r="C1244" s="1359" t="s">
        <v>7010</v>
      </c>
      <c r="D1244" s="1360">
        <v>8870</v>
      </c>
      <c r="E1244" s="1361" t="s">
        <v>2116</v>
      </c>
      <c r="F1244" s="1360" t="s">
        <v>266</v>
      </c>
      <c r="G1244" s="1362">
        <v>3050</v>
      </c>
      <c r="H1244" s="1363" t="s">
        <v>3538</v>
      </c>
    </row>
    <row r="1245" spans="2:8" x14ac:dyDescent="0.25">
      <c r="B1245" s="1358" t="s">
        <v>6897</v>
      </c>
      <c r="C1245" s="1359" t="s">
        <v>7010</v>
      </c>
      <c r="D1245" s="1360">
        <v>8871</v>
      </c>
      <c r="E1245" s="1361" t="s">
        <v>2117</v>
      </c>
      <c r="F1245" s="1360" t="s">
        <v>266</v>
      </c>
      <c r="G1245" s="1362">
        <v>1950</v>
      </c>
      <c r="H1245" s="1363" t="s">
        <v>3538</v>
      </c>
    </row>
    <row r="1246" spans="2:8" x14ac:dyDescent="0.25">
      <c r="B1246" s="1358" t="s">
        <v>6897</v>
      </c>
      <c r="C1246" s="1359" t="s">
        <v>7010</v>
      </c>
      <c r="D1246" s="1360">
        <v>8872</v>
      </c>
      <c r="E1246" s="1361" t="s">
        <v>2118</v>
      </c>
      <c r="F1246" s="1360" t="s">
        <v>266</v>
      </c>
      <c r="G1246" s="1362">
        <v>15388</v>
      </c>
      <c r="H1246" s="1363" t="s">
        <v>3538</v>
      </c>
    </row>
    <row r="1247" spans="2:8" x14ac:dyDescent="0.25">
      <c r="B1247" s="1358" t="s">
        <v>6897</v>
      </c>
      <c r="C1247" s="1359" t="s">
        <v>7010</v>
      </c>
      <c r="D1247" s="1360">
        <v>8873</v>
      </c>
      <c r="E1247" s="1361" t="s">
        <v>2119</v>
      </c>
      <c r="F1247" s="1360" t="s">
        <v>6</v>
      </c>
      <c r="G1247" s="1362">
        <v>6684</v>
      </c>
      <c r="H1247" s="1363" t="s">
        <v>3538</v>
      </c>
    </row>
    <row r="1248" spans="2:8" x14ac:dyDescent="0.25">
      <c r="B1248" s="1358" t="s">
        <v>6897</v>
      </c>
      <c r="C1248" s="1359" t="s">
        <v>7010</v>
      </c>
      <c r="D1248" s="1360">
        <v>8874</v>
      </c>
      <c r="E1248" s="1361" t="s">
        <v>2120</v>
      </c>
      <c r="F1248" s="1360" t="s">
        <v>266</v>
      </c>
      <c r="G1248" s="1362">
        <v>68500</v>
      </c>
      <c r="H1248" s="1363" t="s">
        <v>3538</v>
      </c>
    </row>
    <row r="1249" spans="2:8" x14ac:dyDescent="0.25">
      <c r="B1249" s="1358" t="s">
        <v>6897</v>
      </c>
      <c r="C1249" s="1359" t="s">
        <v>7010</v>
      </c>
      <c r="D1249" s="1360">
        <v>8875</v>
      </c>
      <c r="E1249" s="1361" t="s">
        <v>2121</v>
      </c>
      <c r="F1249" s="1360" t="s">
        <v>266</v>
      </c>
      <c r="G1249" s="1362">
        <v>195885</v>
      </c>
      <c r="H1249" s="1363" t="s">
        <v>3538</v>
      </c>
    </row>
    <row r="1250" spans="2:8" x14ac:dyDescent="0.25">
      <c r="B1250" s="1358" t="s">
        <v>6897</v>
      </c>
      <c r="C1250" s="1359" t="s">
        <v>6930</v>
      </c>
      <c r="D1250" s="1360">
        <v>8876</v>
      </c>
      <c r="E1250" s="1361" t="s">
        <v>2122</v>
      </c>
      <c r="F1250" s="1360" t="s">
        <v>266</v>
      </c>
      <c r="G1250" s="1362">
        <v>17742</v>
      </c>
      <c r="H1250" s="1363" t="s">
        <v>6899</v>
      </c>
    </row>
    <row r="1251" spans="2:8" x14ac:dyDescent="0.25">
      <c r="B1251" s="1358" t="s">
        <v>6897</v>
      </c>
      <c r="C1251" s="1359" t="s">
        <v>7010</v>
      </c>
      <c r="D1251" s="1360">
        <v>8877</v>
      </c>
      <c r="E1251" s="1361" t="s">
        <v>2123</v>
      </c>
      <c r="F1251" s="1360" t="s">
        <v>266</v>
      </c>
      <c r="G1251" s="1362">
        <v>36295</v>
      </c>
      <c r="H1251" s="1363" t="s">
        <v>3538</v>
      </c>
    </row>
    <row r="1252" spans="2:8" x14ac:dyDescent="0.25">
      <c r="B1252" s="1358" t="s">
        <v>6897</v>
      </c>
      <c r="C1252" s="1359" t="s">
        <v>6910</v>
      </c>
      <c r="D1252" s="1360">
        <v>8880</v>
      </c>
      <c r="E1252" s="1361" t="s">
        <v>7040</v>
      </c>
      <c r="F1252" s="1360" t="s">
        <v>13</v>
      </c>
      <c r="G1252" s="1362">
        <v>159583</v>
      </c>
      <c r="H1252" s="1363" t="s">
        <v>6899</v>
      </c>
    </row>
    <row r="1253" spans="2:8" x14ac:dyDescent="0.25">
      <c r="B1253" s="1358" t="s">
        <v>6897</v>
      </c>
      <c r="C1253" s="1359" t="s">
        <v>7010</v>
      </c>
      <c r="D1253" s="1360">
        <v>8883</v>
      </c>
      <c r="E1253" s="1361" t="s">
        <v>2124</v>
      </c>
      <c r="F1253" s="1360" t="s">
        <v>266</v>
      </c>
      <c r="G1253" s="1362">
        <v>1902</v>
      </c>
      <c r="H1253" s="1363" t="s">
        <v>3538</v>
      </c>
    </row>
    <row r="1254" spans="2:8" x14ac:dyDescent="0.25">
      <c r="B1254" s="1358" t="s">
        <v>6897</v>
      </c>
      <c r="C1254" s="1359" t="s">
        <v>7010</v>
      </c>
      <c r="D1254" s="1360">
        <v>8884</v>
      </c>
      <c r="E1254" s="1361" t="s">
        <v>2125</v>
      </c>
      <c r="F1254" s="1360" t="s">
        <v>266</v>
      </c>
      <c r="G1254" s="1362">
        <v>1150</v>
      </c>
      <c r="H1254" s="1363" t="s">
        <v>3538</v>
      </c>
    </row>
    <row r="1255" spans="2:8" x14ac:dyDescent="0.25">
      <c r="B1255" s="1358" t="s">
        <v>6897</v>
      </c>
      <c r="C1255" s="1359" t="s">
        <v>6930</v>
      </c>
      <c r="D1255" s="1360">
        <v>8885</v>
      </c>
      <c r="E1255" s="1361" t="s">
        <v>2126</v>
      </c>
      <c r="F1255" s="1360" t="s">
        <v>266</v>
      </c>
      <c r="G1255" s="1362">
        <v>14750</v>
      </c>
      <c r="H1255" s="1363" t="s">
        <v>6899</v>
      </c>
    </row>
    <row r="1256" spans="2:8" x14ac:dyDescent="0.25">
      <c r="B1256" s="1358" t="s">
        <v>6897</v>
      </c>
      <c r="C1256" s="1359" t="s">
        <v>6920</v>
      </c>
      <c r="D1256" s="1360">
        <v>8892</v>
      </c>
      <c r="E1256" s="1361" t="s">
        <v>2127</v>
      </c>
      <c r="F1256" s="1360" t="s">
        <v>266</v>
      </c>
      <c r="G1256" s="1362">
        <v>2277961</v>
      </c>
      <c r="H1256" s="1363" t="s">
        <v>6899</v>
      </c>
    </row>
    <row r="1257" spans="2:8" x14ac:dyDescent="0.25">
      <c r="B1257" s="1358" t="s">
        <v>6897</v>
      </c>
      <c r="C1257" s="1359" t="s">
        <v>1474</v>
      </c>
      <c r="D1257" s="1360">
        <v>8907</v>
      </c>
      <c r="E1257" s="1361" t="s">
        <v>2128</v>
      </c>
      <c r="F1257" s="1360" t="s">
        <v>13</v>
      </c>
      <c r="G1257" s="1362">
        <v>114194</v>
      </c>
      <c r="H1257" s="1363" t="s">
        <v>6899</v>
      </c>
    </row>
    <row r="1258" spans="2:8" x14ac:dyDescent="0.25">
      <c r="B1258" s="1358" t="s">
        <v>6897</v>
      </c>
      <c r="C1258" s="1359" t="s">
        <v>1474</v>
      </c>
      <c r="D1258" s="1360">
        <v>8908</v>
      </c>
      <c r="E1258" s="1361" t="s">
        <v>2129</v>
      </c>
      <c r="F1258" s="1360" t="s">
        <v>13</v>
      </c>
      <c r="G1258" s="1362">
        <v>134568</v>
      </c>
      <c r="H1258" s="1363" t="s">
        <v>6899</v>
      </c>
    </row>
    <row r="1259" spans="2:8" x14ac:dyDescent="0.25">
      <c r="B1259" s="1358" t="s">
        <v>6897</v>
      </c>
      <c r="C1259" s="1359" t="s">
        <v>6913</v>
      </c>
      <c r="D1259" s="1360">
        <v>8911</v>
      </c>
      <c r="E1259" s="1361" t="s">
        <v>3700</v>
      </c>
      <c r="F1259" s="1360" t="s">
        <v>342</v>
      </c>
      <c r="G1259" s="1362">
        <v>138986</v>
      </c>
      <c r="H1259" s="1363" t="s">
        <v>3548</v>
      </c>
    </row>
    <row r="1260" spans="2:8" x14ac:dyDescent="0.25">
      <c r="B1260" s="1358" t="s">
        <v>6897</v>
      </c>
      <c r="C1260" s="1359" t="s">
        <v>1474</v>
      </c>
      <c r="D1260" s="1360">
        <v>8913</v>
      </c>
      <c r="E1260" s="1361" t="s">
        <v>2130</v>
      </c>
      <c r="F1260" s="1360" t="s">
        <v>266</v>
      </c>
      <c r="G1260" s="1362">
        <v>40020</v>
      </c>
      <c r="H1260" s="1363" t="s">
        <v>6899</v>
      </c>
    </row>
    <row r="1261" spans="2:8" x14ac:dyDescent="0.25">
      <c r="B1261" s="1358" t="s">
        <v>6897</v>
      </c>
      <c r="C1261" s="1359" t="s">
        <v>6908</v>
      </c>
      <c r="D1261" s="1360">
        <v>8928</v>
      </c>
      <c r="E1261" s="1361" t="s">
        <v>2131</v>
      </c>
      <c r="F1261" s="1360" t="s">
        <v>13</v>
      </c>
      <c r="G1261" s="1362">
        <v>510495</v>
      </c>
      <c r="H1261" s="1363" t="s">
        <v>3538</v>
      </c>
    </row>
    <row r="1262" spans="2:8" x14ac:dyDescent="0.25">
      <c r="B1262" s="1358" t="s">
        <v>6897</v>
      </c>
      <c r="C1262" s="1359" t="s">
        <v>6921</v>
      </c>
      <c r="D1262" s="1360">
        <v>8929</v>
      </c>
      <c r="E1262" s="1361" t="s">
        <v>2132</v>
      </c>
      <c r="F1262" s="1360" t="s">
        <v>266</v>
      </c>
      <c r="G1262" s="1362">
        <v>1153860</v>
      </c>
      <c r="H1262" s="1363" t="s">
        <v>3538</v>
      </c>
    </row>
    <row r="1263" spans="2:8" x14ac:dyDescent="0.25">
      <c r="B1263" s="1358" t="s">
        <v>6897</v>
      </c>
      <c r="C1263" s="1359" t="s">
        <v>6921</v>
      </c>
      <c r="D1263" s="1360">
        <v>8930</v>
      </c>
      <c r="E1263" s="1361" t="s">
        <v>2133</v>
      </c>
      <c r="F1263" s="1360" t="s">
        <v>266</v>
      </c>
      <c r="G1263" s="1362">
        <v>1889219</v>
      </c>
      <c r="H1263" s="1363" t="s">
        <v>3538</v>
      </c>
    </row>
    <row r="1264" spans="2:8" x14ac:dyDescent="0.25">
      <c r="B1264" s="1358" t="s">
        <v>6897</v>
      </c>
      <c r="C1264" s="1359" t="s">
        <v>6921</v>
      </c>
      <c r="D1264" s="1360">
        <v>8931</v>
      </c>
      <c r="E1264" s="1361" t="s">
        <v>2134</v>
      </c>
      <c r="F1264" s="1360" t="s">
        <v>266</v>
      </c>
      <c r="G1264" s="1362">
        <v>4528337</v>
      </c>
      <c r="H1264" s="1363" t="s">
        <v>3538</v>
      </c>
    </row>
    <row r="1265" spans="2:8" x14ac:dyDescent="0.25">
      <c r="B1265" s="1358" t="s">
        <v>6897</v>
      </c>
      <c r="C1265" s="1359" t="s">
        <v>6921</v>
      </c>
      <c r="D1265" s="1360">
        <v>8932</v>
      </c>
      <c r="E1265" s="1361" t="s">
        <v>2135</v>
      </c>
      <c r="F1265" s="1360" t="s">
        <v>266</v>
      </c>
      <c r="G1265" s="1362">
        <v>158270</v>
      </c>
      <c r="H1265" s="1363" t="s">
        <v>3538</v>
      </c>
    </row>
    <row r="1266" spans="2:8" x14ac:dyDescent="0.25">
      <c r="B1266" s="1358" t="s">
        <v>6897</v>
      </c>
      <c r="C1266" s="1359" t="s">
        <v>6921</v>
      </c>
      <c r="D1266" s="1360">
        <v>8933</v>
      </c>
      <c r="E1266" s="1361" t="s">
        <v>2136</v>
      </c>
      <c r="F1266" s="1360" t="s">
        <v>266</v>
      </c>
      <c r="G1266" s="1362">
        <v>2148612</v>
      </c>
      <c r="H1266" s="1363" t="s">
        <v>3538</v>
      </c>
    </row>
    <row r="1267" spans="2:8" x14ac:dyDescent="0.25">
      <c r="B1267" s="1358" t="s">
        <v>6897</v>
      </c>
      <c r="C1267" s="1359" t="s">
        <v>7010</v>
      </c>
      <c r="D1267" s="1360">
        <v>8938</v>
      </c>
      <c r="E1267" s="1361" t="s">
        <v>2137</v>
      </c>
      <c r="F1267" s="1360" t="s">
        <v>266</v>
      </c>
      <c r="G1267" s="1362">
        <v>2142</v>
      </c>
      <c r="H1267" s="1363" t="s">
        <v>3538</v>
      </c>
    </row>
    <row r="1268" spans="2:8" x14ac:dyDescent="0.25">
      <c r="B1268" s="1358" t="s">
        <v>6897</v>
      </c>
      <c r="C1268" s="1359" t="s">
        <v>7010</v>
      </c>
      <c r="D1268" s="1360">
        <v>8939</v>
      </c>
      <c r="E1268" s="1361" t="s">
        <v>2138</v>
      </c>
      <c r="F1268" s="1360" t="s">
        <v>13</v>
      </c>
      <c r="G1268" s="1362">
        <v>3199</v>
      </c>
      <c r="H1268" s="1363" t="s">
        <v>3538</v>
      </c>
    </row>
    <row r="1269" spans="2:8" x14ac:dyDescent="0.25">
      <c r="B1269" s="1358" t="s">
        <v>6897</v>
      </c>
      <c r="C1269" s="1359" t="s">
        <v>7010</v>
      </c>
      <c r="D1269" s="1360">
        <v>8941</v>
      </c>
      <c r="E1269" s="1361" t="s">
        <v>2139</v>
      </c>
      <c r="F1269" s="1360" t="s">
        <v>266</v>
      </c>
      <c r="G1269" s="1362">
        <v>196600</v>
      </c>
      <c r="H1269" s="1363" t="s">
        <v>3538</v>
      </c>
    </row>
    <row r="1270" spans="2:8" x14ac:dyDescent="0.25">
      <c r="B1270" s="1358" t="s">
        <v>6897</v>
      </c>
      <c r="C1270" s="1359" t="s">
        <v>7010</v>
      </c>
      <c r="D1270" s="1360">
        <v>8942</v>
      </c>
      <c r="E1270" s="1361" t="s">
        <v>2140</v>
      </c>
      <c r="F1270" s="1360" t="s">
        <v>13</v>
      </c>
      <c r="G1270" s="1362">
        <v>52326</v>
      </c>
      <c r="H1270" s="1363" t="s">
        <v>3538</v>
      </c>
    </row>
    <row r="1271" spans="2:8" x14ac:dyDescent="0.25">
      <c r="B1271" s="1358" t="s">
        <v>6897</v>
      </c>
      <c r="C1271" s="1359" t="s">
        <v>6925</v>
      </c>
      <c r="D1271" s="1360">
        <v>8968</v>
      </c>
      <c r="E1271" s="1361" t="s">
        <v>2141</v>
      </c>
      <c r="F1271" s="1360" t="s">
        <v>816</v>
      </c>
      <c r="G1271" s="1362">
        <v>1000</v>
      </c>
      <c r="H1271" s="1363" t="s">
        <v>6914</v>
      </c>
    </row>
    <row r="1272" spans="2:8" x14ac:dyDescent="0.25">
      <c r="B1272" s="1358" t="s">
        <v>6897</v>
      </c>
      <c r="C1272" s="1359" t="s">
        <v>6925</v>
      </c>
      <c r="D1272" s="1360">
        <v>8969</v>
      </c>
      <c r="E1272" s="1361" t="s">
        <v>3701</v>
      </c>
      <c r="F1272" s="1360" t="s">
        <v>816</v>
      </c>
      <c r="G1272" s="1362">
        <v>1000</v>
      </c>
      <c r="H1272" s="1363" t="s">
        <v>6914</v>
      </c>
    </row>
    <row r="1273" spans="2:8" x14ac:dyDescent="0.25">
      <c r="B1273" s="1358" t="s">
        <v>6897</v>
      </c>
      <c r="C1273" s="1359" t="s">
        <v>6898</v>
      </c>
      <c r="D1273" s="1360">
        <v>8972</v>
      </c>
      <c r="E1273" s="1361" t="s">
        <v>2142</v>
      </c>
      <c r="F1273" s="1360" t="s">
        <v>3</v>
      </c>
      <c r="G1273" s="1362">
        <v>609512</v>
      </c>
      <c r="H1273" s="1363" t="s">
        <v>6899</v>
      </c>
    </row>
    <row r="1274" spans="2:8" x14ac:dyDescent="0.25">
      <c r="B1274" s="1358" t="s">
        <v>6897</v>
      </c>
      <c r="C1274" s="1359" t="s">
        <v>6930</v>
      </c>
      <c r="D1274" s="1360">
        <v>8973</v>
      </c>
      <c r="E1274" s="1361" t="s">
        <v>2143</v>
      </c>
      <c r="F1274" s="1360" t="s">
        <v>6</v>
      </c>
      <c r="G1274" s="1362">
        <v>23250</v>
      </c>
      <c r="H1274" s="1363" t="s">
        <v>6899</v>
      </c>
    </row>
    <row r="1275" spans="2:8" x14ac:dyDescent="0.25">
      <c r="B1275" s="1358" t="s">
        <v>6897</v>
      </c>
      <c r="C1275" s="1359" t="s">
        <v>1798</v>
      </c>
      <c r="D1275" s="1360">
        <v>8975</v>
      </c>
      <c r="E1275" s="1361" t="s">
        <v>2144</v>
      </c>
      <c r="F1275" s="1360" t="s">
        <v>13</v>
      </c>
      <c r="G1275" s="1362">
        <v>6783</v>
      </c>
      <c r="H1275" s="1363" t="s">
        <v>6899</v>
      </c>
    </row>
    <row r="1276" spans="2:8" x14ac:dyDescent="0.25">
      <c r="B1276" s="1358" t="s">
        <v>6897</v>
      </c>
      <c r="C1276" s="1359" t="s">
        <v>1798</v>
      </c>
      <c r="D1276" s="1360">
        <v>8978</v>
      </c>
      <c r="E1276" s="1361" t="s">
        <v>2145</v>
      </c>
      <c r="F1276" s="1360" t="s">
        <v>6</v>
      </c>
      <c r="G1276" s="1362">
        <v>2440</v>
      </c>
      <c r="H1276" s="1363" t="s">
        <v>6899</v>
      </c>
    </row>
    <row r="1277" spans="2:8" x14ac:dyDescent="0.25">
      <c r="B1277" s="1358" t="s">
        <v>6897</v>
      </c>
      <c r="C1277" s="1359" t="s">
        <v>1798</v>
      </c>
      <c r="D1277" s="1360">
        <v>8979</v>
      </c>
      <c r="E1277" s="1361" t="s">
        <v>154</v>
      </c>
      <c r="F1277" s="1360" t="s">
        <v>3</v>
      </c>
      <c r="G1277" s="1362">
        <v>16065</v>
      </c>
      <c r="H1277" s="1363" t="s">
        <v>6899</v>
      </c>
    </row>
    <row r="1278" spans="2:8" x14ac:dyDescent="0.25">
      <c r="B1278" s="1358" t="s">
        <v>6897</v>
      </c>
      <c r="C1278" s="1359" t="s">
        <v>1798</v>
      </c>
      <c r="D1278" s="1360">
        <v>8981</v>
      </c>
      <c r="E1278" s="1361" t="s">
        <v>2146</v>
      </c>
      <c r="F1278" s="1360" t="s">
        <v>6</v>
      </c>
      <c r="G1278" s="1362">
        <v>4526</v>
      </c>
      <c r="H1278" s="1363" t="s">
        <v>6899</v>
      </c>
    </row>
    <row r="1279" spans="2:8" x14ac:dyDescent="0.25">
      <c r="B1279" s="1358" t="s">
        <v>6897</v>
      </c>
      <c r="C1279" s="1359" t="s">
        <v>1798</v>
      </c>
      <c r="D1279" s="1360">
        <v>8983</v>
      </c>
      <c r="E1279" s="1361" t="s">
        <v>2147</v>
      </c>
      <c r="F1279" s="1360" t="s">
        <v>6</v>
      </c>
      <c r="G1279" s="1362">
        <v>7854</v>
      </c>
      <c r="H1279" s="1363" t="s">
        <v>6899</v>
      </c>
    </row>
    <row r="1280" spans="2:8" x14ac:dyDescent="0.25">
      <c r="B1280" s="1358" t="s">
        <v>6897</v>
      </c>
      <c r="C1280" s="1359" t="s">
        <v>1798</v>
      </c>
      <c r="D1280" s="1360">
        <v>8984</v>
      </c>
      <c r="E1280" s="1361" t="s">
        <v>2148</v>
      </c>
      <c r="F1280" s="1360" t="s">
        <v>6</v>
      </c>
      <c r="G1280" s="1362">
        <v>6069</v>
      </c>
      <c r="H1280" s="1363" t="s">
        <v>6899</v>
      </c>
    </row>
    <row r="1281" spans="2:8" x14ac:dyDescent="0.25">
      <c r="B1281" s="1358" t="s">
        <v>6897</v>
      </c>
      <c r="C1281" s="1359" t="s">
        <v>7010</v>
      </c>
      <c r="D1281" s="1360">
        <v>8985</v>
      </c>
      <c r="E1281" s="1361" t="s">
        <v>2149</v>
      </c>
      <c r="F1281" s="1360" t="s">
        <v>266</v>
      </c>
      <c r="G1281" s="1362">
        <v>14042</v>
      </c>
      <c r="H1281" s="1363" t="s">
        <v>3538</v>
      </c>
    </row>
    <row r="1282" spans="2:8" x14ac:dyDescent="0.25">
      <c r="B1282" s="1358" t="s">
        <v>6897</v>
      </c>
      <c r="C1282" s="1359" t="s">
        <v>7010</v>
      </c>
      <c r="D1282" s="1360">
        <v>8986</v>
      </c>
      <c r="E1282" s="1361" t="s">
        <v>2150</v>
      </c>
      <c r="F1282" s="1360" t="s">
        <v>266</v>
      </c>
      <c r="G1282" s="1362">
        <v>14042</v>
      </c>
      <c r="H1282" s="1363" t="s">
        <v>3538</v>
      </c>
    </row>
    <row r="1283" spans="2:8" x14ac:dyDescent="0.25">
      <c r="B1283" s="1358" t="s">
        <v>6897</v>
      </c>
      <c r="C1283" s="1359" t="s">
        <v>7010</v>
      </c>
      <c r="D1283" s="1360">
        <v>8987</v>
      </c>
      <c r="E1283" s="1361" t="s">
        <v>2151</v>
      </c>
      <c r="F1283" s="1360" t="s">
        <v>266</v>
      </c>
      <c r="G1283" s="1362">
        <v>42156</v>
      </c>
      <c r="H1283" s="1363" t="s">
        <v>3538</v>
      </c>
    </row>
    <row r="1284" spans="2:8" x14ac:dyDescent="0.25">
      <c r="B1284" s="1358" t="s">
        <v>6897</v>
      </c>
      <c r="C1284" s="1359" t="s">
        <v>7010</v>
      </c>
      <c r="D1284" s="1360">
        <v>8988</v>
      </c>
      <c r="E1284" s="1361" t="s">
        <v>2152</v>
      </c>
      <c r="F1284" s="1360" t="s">
        <v>266</v>
      </c>
      <c r="G1284" s="1362">
        <v>14042</v>
      </c>
      <c r="H1284" s="1363" t="s">
        <v>3538</v>
      </c>
    </row>
    <row r="1285" spans="2:8" x14ac:dyDescent="0.25">
      <c r="B1285" s="1358" t="s">
        <v>6897</v>
      </c>
      <c r="C1285" s="1359" t="s">
        <v>7010</v>
      </c>
      <c r="D1285" s="1360">
        <v>8990</v>
      </c>
      <c r="E1285" s="1361" t="s">
        <v>2153</v>
      </c>
      <c r="F1285" s="1360" t="s">
        <v>266</v>
      </c>
      <c r="G1285" s="1362">
        <v>83866</v>
      </c>
      <c r="H1285" s="1363" t="s">
        <v>3538</v>
      </c>
    </row>
    <row r="1286" spans="2:8" x14ac:dyDescent="0.25">
      <c r="B1286" s="1358" t="s">
        <v>6897</v>
      </c>
      <c r="C1286" s="1359" t="s">
        <v>7010</v>
      </c>
      <c r="D1286" s="1360">
        <v>8993</v>
      </c>
      <c r="E1286" s="1361" t="s">
        <v>2154</v>
      </c>
      <c r="F1286" s="1360" t="s">
        <v>266</v>
      </c>
      <c r="G1286" s="1362">
        <v>568820</v>
      </c>
      <c r="H1286" s="1363" t="s">
        <v>3538</v>
      </c>
    </row>
    <row r="1287" spans="2:8" x14ac:dyDescent="0.25">
      <c r="B1287" s="1358" t="s">
        <v>6897</v>
      </c>
      <c r="C1287" s="1359" t="s">
        <v>7010</v>
      </c>
      <c r="D1287" s="1360">
        <v>8994</v>
      </c>
      <c r="E1287" s="1361" t="s">
        <v>2155</v>
      </c>
      <c r="F1287" s="1360" t="s">
        <v>266</v>
      </c>
      <c r="G1287" s="1362">
        <v>2100</v>
      </c>
      <c r="H1287" s="1363" t="s">
        <v>3538</v>
      </c>
    </row>
    <row r="1288" spans="2:8" x14ac:dyDescent="0.25">
      <c r="B1288" s="1358" t="s">
        <v>6897</v>
      </c>
      <c r="C1288" s="1359" t="s">
        <v>7010</v>
      </c>
      <c r="D1288" s="1360">
        <v>8995</v>
      </c>
      <c r="E1288" s="1361" t="s">
        <v>2156</v>
      </c>
      <c r="F1288" s="1360" t="s">
        <v>266</v>
      </c>
      <c r="G1288" s="1362">
        <v>10650</v>
      </c>
      <c r="H1288" s="1363" t="s">
        <v>3538</v>
      </c>
    </row>
    <row r="1289" spans="2:8" x14ac:dyDescent="0.25">
      <c r="B1289" s="1358" t="s">
        <v>6897</v>
      </c>
      <c r="C1289" s="1359" t="s">
        <v>7010</v>
      </c>
      <c r="D1289" s="1360">
        <v>8996</v>
      </c>
      <c r="E1289" s="1361" t="s">
        <v>2157</v>
      </c>
      <c r="F1289" s="1360" t="s">
        <v>266</v>
      </c>
      <c r="G1289" s="1362">
        <v>390000</v>
      </c>
      <c r="H1289" s="1363" t="s">
        <v>3538</v>
      </c>
    </row>
    <row r="1290" spans="2:8" x14ac:dyDescent="0.25">
      <c r="B1290" s="1358" t="s">
        <v>6897</v>
      </c>
      <c r="C1290" s="1359" t="s">
        <v>7010</v>
      </c>
      <c r="D1290" s="1360">
        <v>8997</v>
      </c>
      <c r="E1290" s="1361" t="s">
        <v>2158</v>
      </c>
      <c r="F1290" s="1360" t="s">
        <v>266</v>
      </c>
      <c r="G1290" s="1362">
        <v>49980</v>
      </c>
      <c r="H1290" s="1363" t="s">
        <v>3538</v>
      </c>
    </row>
    <row r="1291" spans="2:8" x14ac:dyDescent="0.25">
      <c r="B1291" s="1358" t="s">
        <v>6897</v>
      </c>
      <c r="C1291" s="1359" t="s">
        <v>7010</v>
      </c>
      <c r="D1291" s="1360">
        <v>9000</v>
      </c>
      <c r="E1291" s="1361" t="s">
        <v>2159</v>
      </c>
      <c r="F1291" s="1360" t="s">
        <v>266</v>
      </c>
      <c r="G1291" s="1362">
        <v>211820</v>
      </c>
      <c r="H1291" s="1363" t="s">
        <v>3538</v>
      </c>
    </row>
    <row r="1292" spans="2:8" x14ac:dyDescent="0.25">
      <c r="B1292" s="1358" t="s">
        <v>6897</v>
      </c>
      <c r="C1292" s="1359" t="s">
        <v>7010</v>
      </c>
      <c r="D1292" s="1360">
        <v>9001</v>
      </c>
      <c r="E1292" s="1361" t="s">
        <v>2160</v>
      </c>
      <c r="F1292" s="1360" t="s">
        <v>266</v>
      </c>
      <c r="G1292" s="1362">
        <v>211820</v>
      </c>
      <c r="H1292" s="1363" t="s">
        <v>3538</v>
      </c>
    </row>
    <row r="1293" spans="2:8" x14ac:dyDescent="0.25">
      <c r="B1293" s="1358" t="s">
        <v>6897</v>
      </c>
      <c r="C1293" s="1359" t="s">
        <v>7010</v>
      </c>
      <c r="D1293" s="1360">
        <v>9003</v>
      </c>
      <c r="E1293" s="1361" t="s">
        <v>2161</v>
      </c>
      <c r="F1293" s="1360" t="s">
        <v>266</v>
      </c>
      <c r="G1293" s="1362">
        <v>5000</v>
      </c>
      <c r="H1293" s="1363" t="s">
        <v>3538</v>
      </c>
    </row>
    <row r="1294" spans="2:8" x14ac:dyDescent="0.25">
      <c r="B1294" s="1358" t="s">
        <v>6897</v>
      </c>
      <c r="C1294" s="1359" t="s">
        <v>6918</v>
      </c>
      <c r="D1294" s="1360">
        <v>9004</v>
      </c>
      <c r="E1294" s="1361" t="s">
        <v>2162</v>
      </c>
      <c r="F1294" s="1360" t="s">
        <v>13</v>
      </c>
      <c r="G1294" s="1362">
        <v>244253</v>
      </c>
      <c r="H1294" s="1363" t="s">
        <v>6899</v>
      </c>
    </row>
    <row r="1295" spans="2:8" x14ac:dyDescent="0.25">
      <c r="B1295" s="1358" t="s">
        <v>6897</v>
      </c>
      <c r="C1295" s="1359" t="s">
        <v>6918</v>
      </c>
      <c r="D1295" s="1360">
        <v>9005</v>
      </c>
      <c r="E1295" s="1361" t="s">
        <v>2163</v>
      </c>
      <c r="F1295" s="1360" t="s">
        <v>13</v>
      </c>
      <c r="G1295" s="1362">
        <v>522653</v>
      </c>
      <c r="H1295" s="1363" t="s">
        <v>6899</v>
      </c>
    </row>
    <row r="1296" spans="2:8" x14ac:dyDescent="0.25">
      <c r="B1296" s="1358" t="s">
        <v>6897</v>
      </c>
      <c r="C1296" s="1359" t="s">
        <v>6918</v>
      </c>
      <c r="D1296" s="1360">
        <v>9006</v>
      </c>
      <c r="E1296" s="1361" t="s">
        <v>2164</v>
      </c>
      <c r="F1296" s="1360" t="s">
        <v>13</v>
      </c>
      <c r="G1296" s="1362">
        <v>649106</v>
      </c>
      <c r="H1296" s="1363" t="s">
        <v>6899</v>
      </c>
    </row>
    <row r="1297" spans="2:8" x14ac:dyDescent="0.25">
      <c r="B1297" s="1358" t="s">
        <v>6897</v>
      </c>
      <c r="C1297" s="1359" t="s">
        <v>6918</v>
      </c>
      <c r="D1297" s="1360">
        <v>9007</v>
      </c>
      <c r="E1297" s="1361" t="s">
        <v>2165</v>
      </c>
      <c r="F1297" s="1360" t="s">
        <v>13</v>
      </c>
      <c r="G1297" s="1362">
        <v>765235</v>
      </c>
      <c r="H1297" s="1363" t="s">
        <v>6899</v>
      </c>
    </row>
    <row r="1298" spans="2:8" x14ac:dyDescent="0.25">
      <c r="B1298" s="1358" t="s">
        <v>6897</v>
      </c>
      <c r="C1298" s="1359" t="s">
        <v>7041</v>
      </c>
      <c r="D1298" s="1360">
        <v>9016</v>
      </c>
      <c r="E1298" s="1361" t="s">
        <v>3702</v>
      </c>
      <c r="F1298" s="1360" t="s">
        <v>266</v>
      </c>
      <c r="G1298" s="1362">
        <v>119600</v>
      </c>
      <c r="H1298" s="1363" t="s">
        <v>3548</v>
      </c>
    </row>
    <row r="1299" spans="2:8" x14ac:dyDescent="0.25">
      <c r="B1299" s="1358" t="s">
        <v>6897</v>
      </c>
      <c r="C1299" s="1359" t="s">
        <v>7041</v>
      </c>
      <c r="D1299" s="1360">
        <v>9017</v>
      </c>
      <c r="E1299" s="1361" t="s">
        <v>3703</v>
      </c>
      <c r="F1299" s="1360" t="s">
        <v>266</v>
      </c>
      <c r="G1299" s="1362">
        <v>252200</v>
      </c>
      <c r="H1299" s="1363" t="s">
        <v>3548</v>
      </c>
    </row>
    <row r="1300" spans="2:8" x14ac:dyDescent="0.25">
      <c r="B1300" s="1358" t="s">
        <v>6897</v>
      </c>
      <c r="C1300" s="1359" t="s">
        <v>7041</v>
      </c>
      <c r="D1300" s="1360">
        <v>9018</v>
      </c>
      <c r="E1300" s="1361" t="s">
        <v>3704</v>
      </c>
      <c r="F1300" s="1360" t="s">
        <v>266</v>
      </c>
      <c r="G1300" s="1362">
        <v>163800</v>
      </c>
      <c r="H1300" s="1363" t="s">
        <v>3548</v>
      </c>
    </row>
    <row r="1301" spans="2:8" x14ac:dyDescent="0.25">
      <c r="B1301" s="1358" t="s">
        <v>6897</v>
      </c>
      <c r="C1301" s="1359" t="s">
        <v>7041</v>
      </c>
      <c r="D1301" s="1360">
        <v>9019</v>
      </c>
      <c r="E1301" s="1361" t="s">
        <v>3705</v>
      </c>
      <c r="F1301" s="1360" t="s">
        <v>266</v>
      </c>
      <c r="G1301" s="1362">
        <v>339300</v>
      </c>
      <c r="H1301" s="1363" t="s">
        <v>3548</v>
      </c>
    </row>
    <row r="1302" spans="2:8" x14ac:dyDescent="0.25">
      <c r="B1302" s="1358" t="s">
        <v>6897</v>
      </c>
      <c r="C1302" s="1359" t="s">
        <v>7041</v>
      </c>
      <c r="D1302" s="1360">
        <v>9020</v>
      </c>
      <c r="E1302" s="1361" t="s">
        <v>3706</v>
      </c>
      <c r="F1302" s="1360" t="s">
        <v>266</v>
      </c>
      <c r="G1302" s="1362">
        <v>208000</v>
      </c>
      <c r="H1302" s="1363" t="s">
        <v>3548</v>
      </c>
    </row>
    <row r="1303" spans="2:8" x14ac:dyDescent="0.25">
      <c r="B1303" s="1358" t="s">
        <v>6897</v>
      </c>
      <c r="C1303" s="1359" t="s">
        <v>7041</v>
      </c>
      <c r="D1303" s="1360">
        <v>9021</v>
      </c>
      <c r="E1303" s="1361" t="s">
        <v>3707</v>
      </c>
      <c r="F1303" s="1360" t="s">
        <v>266</v>
      </c>
      <c r="G1303" s="1362">
        <v>427700</v>
      </c>
      <c r="H1303" s="1363" t="s">
        <v>3548</v>
      </c>
    </row>
    <row r="1304" spans="2:8" x14ac:dyDescent="0.25">
      <c r="B1304" s="1358" t="s">
        <v>6897</v>
      </c>
      <c r="C1304" s="1359" t="s">
        <v>7041</v>
      </c>
      <c r="D1304" s="1360">
        <v>9022</v>
      </c>
      <c r="E1304" s="1361" t="s">
        <v>3708</v>
      </c>
      <c r="F1304" s="1360" t="s">
        <v>266</v>
      </c>
      <c r="G1304" s="1362">
        <v>252200</v>
      </c>
      <c r="H1304" s="1363" t="s">
        <v>3548</v>
      </c>
    </row>
    <row r="1305" spans="2:8" x14ac:dyDescent="0.25">
      <c r="B1305" s="1358" t="s">
        <v>6897</v>
      </c>
      <c r="C1305" s="1359" t="s">
        <v>7041</v>
      </c>
      <c r="D1305" s="1360">
        <v>9023</v>
      </c>
      <c r="E1305" s="1361" t="s">
        <v>3709</v>
      </c>
      <c r="F1305" s="1360" t="s">
        <v>266</v>
      </c>
      <c r="G1305" s="1362">
        <v>516100</v>
      </c>
      <c r="H1305" s="1363" t="s">
        <v>3548</v>
      </c>
    </row>
    <row r="1306" spans="2:8" x14ac:dyDescent="0.25">
      <c r="B1306" s="1358" t="s">
        <v>6897</v>
      </c>
      <c r="C1306" s="1359" t="s">
        <v>7041</v>
      </c>
      <c r="D1306" s="1360">
        <v>9024</v>
      </c>
      <c r="E1306" s="1361" t="s">
        <v>3710</v>
      </c>
      <c r="F1306" s="1360" t="s">
        <v>266</v>
      </c>
      <c r="G1306" s="1362">
        <v>339300</v>
      </c>
      <c r="H1306" s="1363" t="s">
        <v>3548</v>
      </c>
    </row>
    <row r="1307" spans="2:8" x14ac:dyDescent="0.25">
      <c r="B1307" s="1358" t="s">
        <v>6897</v>
      </c>
      <c r="C1307" s="1359" t="s">
        <v>7041</v>
      </c>
      <c r="D1307" s="1360">
        <v>9025</v>
      </c>
      <c r="E1307" s="1361" t="s">
        <v>3711</v>
      </c>
      <c r="F1307" s="1360" t="s">
        <v>266</v>
      </c>
      <c r="G1307" s="1362">
        <v>691600</v>
      </c>
      <c r="H1307" s="1363" t="s">
        <v>3548</v>
      </c>
    </row>
    <row r="1308" spans="2:8" x14ac:dyDescent="0.25">
      <c r="B1308" s="1358" t="s">
        <v>6897</v>
      </c>
      <c r="C1308" s="1359" t="s">
        <v>7041</v>
      </c>
      <c r="D1308" s="1360">
        <v>9026</v>
      </c>
      <c r="E1308" s="1361" t="s">
        <v>3712</v>
      </c>
      <c r="F1308" s="1360" t="s">
        <v>266</v>
      </c>
      <c r="G1308" s="1362">
        <v>503100</v>
      </c>
      <c r="H1308" s="1363" t="s">
        <v>3548</v>
      </c>
    </row>
    <row r="1309" spans="2:8" x14ac:dyDescent="0.25">
      <c r="B1309" s="1358" t="s">
        <v>6897</v>
      </c>
      <c r="C1309" s="1359" t="s">
        <v>7041</v>
      </c>
      <c r="D1309" s="1360">
        <v>9027</v>
      </c>
      <c r="E1309" s="1361" t="s">
        <v>3713</v>
      </c>
      <c r="F1309" s="1360" t="s">
        <v>266</v>
      </c>
      <c r="G1309" s="1362">
        <v>867100</v>
      </c>
      <c r="H1309" s="1363" t="s">
        <v>3548</v>
      </c>
    </row>
    <row r="1310" spans="2:8" x14ac:dyDescent="0.25">
      <c r="B1310" s="1358" t="s">
        <v>6897</v>
      </c>
      <c r="C1310" s="1359" t="s">
        <v>7041</v>
      </c>
      <c r="D1310" s="1360">
        <v>9028</v>
      </c>
      <c r="E1310" s="1361" t="s">
        <v>3714</v>
      </c>
      <c r="F1310" s="1360" t="s">
        <v>266</v>
      </c>
      <c r="G1310" s="1362">
        <v>666900</v>
      </c>
      <c r="H1310" s="1363" t="s">
        <v>3548</v>
      </c>
    </row>
    <row r="1311" spans="2:8" x14ac:dyDescent="0.25">
      <c r="B1311" s="1358" t="s">
        <v>6897</v>
      </c>
      <c r="C1311" s="1359" t="s">
        <v>7041</v>
      </c>
      <c r="D1311" s="1360">
        <v>9029</v>
      </c>
      <c r="E1311" s="1361" t="s">
        <v>3715</v>
      </c>
      <c r="F1311" s="1360" t="s">
        <v>266</v>
      </c>
      <c r="G1311" s="1362">
        <v>1307800</v>
      </c>
      <c r="H1311" s="1363" t="s">
        <v>3548</v>
      </c>
    </row>
    <row r="1312" spans="2:8" x14ac:dyDescent="0.25">
      <c r="B1312" s="1358" t="s">
        <v>6897</v>
      </c>
      <c r="C1312" s="1359" t="s">
        <v>7041</v>
      </c>
      <c r="D1312" s="1360">
        <v>9030</v>
      </c>
      <c r="E1312" s="1361" t="s">
        <v>3716</v>
      </c>
      <c r="F1312" s="1360" t="s">
        <v>266</v>
      </c>
      <c r="G1312" s="1362">
        <v>1107600</v>
      </c>
      <c r="H1312" s="1363" t="s">
        <v>3548</v>
      </c>
    </row>
    <row r="1313" spans="2:8" x14ac:dyDescent="0.25">
      <c r="B1313" s="1358" t="s">
        <v>6897</v>
      </c>
      <c r="C1313" s="1359" t="s">
        <v>7041</v>
      </c>
      <c r="D1313" s="1360">
        <v>9031</v>
      </c>
      <c r="E1313" s="1361" t="s">
        <v>3717</v>
      </c>
      <c r="F1313" s="1360" t="s">
        <v>266</v>
      </c>
      <c r="G1313" s="1362">
        <v>2515500</v>
      </c>
      <c r="H1313" s="1363" t="s">
        <v>3548</v>
      </c>
    </row>
    <row r="1314" spans="2:8" x14ac:dyDescent="0.25">
      <c r="B1314" s="1358" t="s">
        <v>6897</v>
      </c>
      <c r="C1314" s="1359" t="s">
        <v>7041</v>
      </c>
      <c r="D1314" s="1360">
        <v>9032</v>
      </c>
      <c r="E1314" s="1361" t="s">
        <v>3718</v>
      </c>
      <c r="F1314" s="1360" t="s">
        <v>266</v>
      </c>
      <c r="G1314" s="1362">
        <v>1371500</v>
      </c>
      <c r="H1314" s="1363" t="s">
        <v>3548</v>
      </c>
    </row>
    <row r="1315" spans="2:8" x14ac:dyDescent="0.25">
      <c r="B1315" s="1358" t="s">
        <v>6897</v>
      </c>
      <c r="C1315" s="1359" t="s">
        <v>7041</v>
      </c>
      <c r="D1315" s="1360">
        <v>9033</v>
      </c>
      <c r="E1315" s="1361" t="s">
        <v>3719</v>
      </c>
      <c r="F1315" s="1360" t="s">
        <v>266</v>
      </c>
      <c r="G1315" s="1362">
        <v>2954900</v>
      </c>
      <c r="H1315" s="1363" t="s">
        <v>3548</v>
      </c>
    </row>
    <row r="1316" spans="2:8" x14ac:dyDescent="0.25">
      <c r="B1316" s="1358" t="s">
        <v>6897</v>
      </c>
      <c r="C1316" s="1359" t="s">
        <v>6922</v>
      </c>
      <c r="D1316" s="1360">
        <v>9034</v>
      </c>
      <c r="E1316" s="1361" t="s">
        <v>2166</v>
      </c>
      <c r="F1316" s="1360" t="s">
        <v>266</v>
      </c>
      <c r="G1316" s="1362">
        <v>200648</v>
      </c>
      <c r="H1316" s="1363" t="s">
        <v>3538</v>
      </c>
    </row>
    <row r="1317" spans="2:8" x14ac:dyDescent="0.25">
      <c r="B1317" s="1358" t="s">
        <v>6897</v>
      </c>
      <c r="C1317" s="1359" t="s">
        <v>6922</v>
      </c>
      <c r="D1317" s="1360">
        <v>9035</v>
      </c>
      <c r="E1317" s="1361" t="s">
        <v>2167</v>
      </c>
      <c r="F1317" s="1360" t="s">
        <v>266</v>
      </c>
      <c r="G1317" s="1362">
        <v>217175</v>
      </c>
      <c r="H1317" s="1363" t="s">
        <v>3538</v>
      </c>
    </row>
    <row r="1318" spans="2:8" x14ac:dyDescent="0.25">
      <c r="B1318" s="1358" t="s">
        <v>6897</v>
      </c>
      <c r="C1318" s="1359" t="s">
        <v>6922</v>
      </c>
      <c r="D1318" s="1360">
        <v>9036</v>
      </c>
      <c r="E1318" s="1361" t="s">
        <v>2168</v>
      </c>
      <c r="F1318" s="1360" t="s">
        <v>266</v>
      </c>
      <c r="G1318" s="1362">
        <v>53907</v>
      </c>
      <c r="H1318" s="1363" t="s">
        <v>3538</v>
      </c>
    </row>
    <row r="1319" spans="2:8" x14ac:dyDescent="0.25">
      <c r="B1319" s="1358" t="s">
        <v>6897</v>
      </c>
      <c r="C1319" s="1359" t="s">
        <v>6907</v>
      </c>
      <c r="D1319" s="1360">
        <v>9037</v>
      </c>
      <c r="E1319" s="1361" t="s">
        <v>2169</v>
      </c>
      <c r="F1319" s="1360" t="s">
        <v>266</v>
      </c>
      <c r="G1319" s="1362">
        <v>20706</v>
      </c>
      <c r="H1319" s="1363" t="s">
        <v>3535</v>
      </c>
    </row>
    <row r="1320" spans="2:8" x14ac:dyDescent="0.25">
      <c r="B1320" s="1358" t="s">
        <v>6897</v>
      </c>
      <c r="C1320" s="1359" t="s">
        <v>7009</v>
      </c>
      <c r="D1320" s="1360">
        <v>9038</v>
      </c>
      <c r="E1320" s="1361" t="s">
        <v>2170</v>
      </c>
      <c r="F1320" s="1360" t="s">
        <v>266</v>
      </c>
      <c r="G1320" s="1362">
        <v>3434646</v>
      </c>
      <c r="H1320" s="1363" t="s">
        <v>6899</v>
      </c>
    </row>
    <row r="1321" spans="2:8" x14ac:dyDescent="0.25">
      <c r="B1321" s="1358" t="s">
        <v>6897</v>
      </c>
      <c r="C1321" s="1359" t="s">
        <v>1474</v>
      </c>
      <c r="D1321" s="1360">
        <v>9043</v>
      </c>
      <c r="E1321" s="1361" t="s">
        <v>3720</v>
      </c>
      <c r="F1321" s="1360" t="s">
        <v>12</v>
      </c>
      <c r="G1321" s="1362">
        <v>19492</v>
      </c>
      <c r="H1321" s="1363" t="s">
        <v>6899</v>
      </c>
    </row>
    <row r="1322" spans="2:8" x14ac:dyDescent="0.25">
      <c r="B1322" s="1358" t="s">
        <v>6897</v>
      </c>
      <c r="C1322" s="1359" t="s">
        <v>1474</v>
      </c>
      <c r="D1322" s="1360">
        <v>9044</v>
      </c>
      <c r="E1322" s="1361" t="s">
        <v>3721</v>
      </c>
      <c r="F1322" s="1360" t="s">
        <v>12</v>
      </c>
      <c r="G1322" s="1362">
        <v>23990</v>
      </c>
      <c r="H1322" s="1363" t="s">
        <v>6899</v>
      </c>
    </row>
    <row r="1323" spans="2:8" x14ac:dyDescent="0.25">
      <c r="B1323" s="1358" t="s">
        <v>6897</v>
      </c>
      <c r="C1323" s="1359" t="s">
        <v>6922</v>
      </c>
      <c r="D1323" s="1360">
        <v>9048</v>
      </c>
      <c r="E1323" s="1361" t="s">
        <v>2171</v>
      </c>
      <c r="F1323" s="1360" t="s">
        <v>266</v>
      </c>
      <c r="G1323" s="1362">
        <v>520354</v>
      </c>
      <c r="H1323" s="1363" t="s">
        <v>3538</v>
      </c>
    </row>
    <row r="1324" spans="2:8" x14ac:dyDescent="0.25">
      <c r="B1324" s="1358" t="s">
        <v>6897</v>
      </c>
      <c r="C1324" s="1359" t="s">
        <v>6992</v>
      </c>
      <c r="D1324" s="1360">
        <v>9050</v>
      </c>
      <c r="E1324" s="1361" t="s">
        <v>3722</v>
      </c>
      <c r="F1324" s="1360" t="s">
        <v>266</v>
      </c>
      <c r="G1324" s="1362">
        <v>541646</v>
      </c>
      <c r="H1324" s="1363" t="s">
        <v>3538</v>
      </c>
    </row>
    <row r="1325" spans="2:8" x14ac:dyDescent="0.25">
      <c r="B1325" s="1358" t="s">
        <v>6897</v>
      </c>
      <c r="C1325" s="1359" t="s">
        <v>7042</v>
      </c>
      <c r="D1325" s="1360">
        <v>9054</v>
      </c>
      <c r="E1325" s="1361" t="s">
        <v>3723</v>
      </c>
      <c r="F1325" s="1360" t="s">
        <v>12</v>
      </c>
      <c r="G1325" s="1362">
        <v>344300</v>
      </c>
      <c r="H1325" s="1363" t="s">
        <v>6899</v>
      </c>
    </row>
    <row r="1326" spans="2:8" x14ac:dyDescent="0.25">
      <c r="B1326" s="1358" t="s">
        <v>6897</v>
      </c>
      <c r="C1326" s="1359" t="s">
        <v>7042</v>
      </c>
      <c r="D1326" s="1360">
        <v>9056</v>
      </c>
      <c r="E1326" s="1361" t="s">
        <v>2172</v>
      </c>
      <c r="F1326" s="1360" t="s">
        <v>12</v>
      </c>
      <c r="G1326" s="1362">
        <v>646281</v>
      </c>
      <c r="H1326" s="1363" t="s">
        <v>6899</v>
      </c>
    </row>
    <row r="1327" spans="2:8" x14ac:dyDescent="0.25">
      <c r="B1327" s="1358" t="s">
        <v>6897</v>
      </c>
      <c r="C1327" s="1359" t="s">
        <v>7042</v>
      </c>
      <c r="D1327" s="1360">
        <v>9057</v>
      </c>
      <c r="E1327" s="1361" t="s">
        <v>2173</v>
      </c>
      <c r="F1327" s="1360" t="s">
        <v>12</v>
      </c>
      <c r="G1327" s="1362">
        <v>314800</v>
      </c>
      <c r="H1327" s="1363" t="s">
        <v>6899</v>
      </c>
    </row>
    <row r="1328" spans="2:8" x14ac:dyDescent="0.25">
      <c r="B1328" s="1358" t="s">
        <v>6897</v>
      </c>
      <c r="C1328" s="1359" t="s">
        <v>6922</v>
      </c>
      <c r="D1328" s="1360">
        <v>9062</v>
      </c>
      <c r="E1328" s="1361" t="s">
        <v>2174</v>
      </c>
      <c r="F1328" s="1360" t="s">
        <v>266</v>
      </c>
      <c r="G1328" s="1362">
        <v>369444</v>
      </c>
      <c r="H1328" s="1363" t="s">
        <v>3538</v>
      </c>
    </row>
    <row r="1329" spans="2:8" x14ac:dyDescent="0.25">
      <c r="B1329" s="1358" t="s">
        <v>6897</v>
      </c>
      <c r="C1329" s="1359" t="s">
        <v>7043</v>
      </c>
      <c r="D1329" s="1360">
        <v>9083</v>
      </c>
      <c r="E1329" s="1361" t="s">
        <v>3724</v>
      </c>
      <c r="F1329" s="1360" t="s">
        <v>1124</v>
      </c>
      <c r="G1329" s="1362">
        <v>154000</v>
      </c>
      <c r="H1329" s="1363" t="s">
        <v>3548</v>
      </c>
    </row>
    <row r="1330" spans="2:8" x14ac:dyDescent="0.25">
      <c r="B1330" s="1358" t="s">
        <v>6897</v>
      </c>
      <c r="C1330" s="1359" t="s">
        <v>6913</v>
      </c>
      <c r="D1330" s="1360">
        <v>9084</v>
      </c>
      <c r="E1330" s="1361" t="s">
        <v>3725</v>
      </c>
      <c r="F1330" s="1360" t="s">
        <v>677</v>
      </c>
      <c r="G1330" s="1362">
        <v>3241000</v>
      </c>
      <c r="H1330" s="1363" t="s">
        <v>3548</v>
      </c>
    </row>
    <row r="1331" spans="2:8" x14ac:dyDescent="0.25">
      <c r="B1331" s="1358" t="s">
        <v>6897</v>
      </c>
      <c r="C1331" s="1359" t="s">
        <v>6913</v>
      </c>
      <c r="D1331" s="1360">
        <v>9085</v>
      </c>
      <c r="E1331" s="1361" t="s">
        <v>3726</v>
      </c>
      <c r="F1331" s="1360" t="s">
        <v>677</v>
      </c>
      <c r="G1331" s="1362">
        <v>2849000</v>
      </c>
      <c r="H1331" s="1363" t="s">
        <v>3548</v>
      </c>
    </row>
    <row r="1332" spans="2:8" x14ac:dyDescent="0.25">
      <c r="B1332" s="1358" t="s">
        <v>6897</v>
      </c>
      <c r="C1332" s="1359" t="s">
        <v>6913</v>
      </c>
      <c r="D1332" s="1360">
        <v>9086</v>
      </c>
      <c r="E1332" s="1361" t="s">
        <v>3727</v>
      </c>
      <c r="F1332" s="1360" t="s">
        <v>677</v>
      </c>
      <c r="G1332" s="1362">
        <v>2988000</v>
      </c>
      <c r="H1332" s="1363" t="s">
        <v>3548</v>
      </c>
    </row>
    <row r="1333" spans="2:8" x14ac:dyDescent="0.25">
      <c r="B1333" s="1358" t="s">
        <v>6897</v>
      </c>
      <c r="C1333" s="1359" t="s">
        <v>6913</v>
      </c>
      <c r="D1333" s="1360">
        <v>9087</v>
      </c>
      <c r="E1333" s="1361" t="s">
        <v>3728</v>
      </c>
      <c r="F1333" s="1360" t="s">
        <v>677</v>
      </c>
      <c r="G1333" s="1362">
        <v>2414000</v>
      </c>
      <c r="H1333" s="1363" t="s">
        <v>3548</v>
      </c>
    </row>
    <row r="1334" spans="2:8" x14ac:dyDescent="0.25">
      <c r="B1334" s="1358" t="s">
        <v>6897</v>
      </c>
      <c r="C1334" s="1359" t="s">
        <v>6913</v>
      </c>
      <c r="D1334" s="1360">
        <v>9088</v>
      </c>
      <c r="E1334" s="1361" t="s">
        <v>3729</v>
      </c>
      <c r="F1334" s="1360" t="s">
        <v>677</v>
      </c>
      <c r="G1334" s="1362">
        <v>3379000</v>
      </c>
      <c r="H1334" s="1363" t="s">
        <v>3548</v>
      </c>
    </row>
    <row r="1335" spans="2:8" x14ac:dyDescent="0.25">
      <c r="B1335" s="1358" t="s">
        <v>6897</v>
      </c>
      <c r="C1335" s="1359" t="s">
        <v>6913</v>
      </c>
      <c r="D1335" s="1360">
        <v>9089</v>
      </c>
      <c r="E1335" s="1361" t="s">
        <v>3730</v>
      </c>
      <c r="F1335" s="1360" t="s">
        <v>677</v>
      </c>
      <c r="G1335" s="1362">
        <v>2993000</v>
      </c>
      <c r="H1335" s="1363" t="s">
        <v>3548</v>
      </c>
    </row>
    <row r="1336" spans="2:8" x14ac:dyDescent="0.25">
      <c r="B1336" s="1358" t="s">
        <v>6897</v>
      </c>
      <c r="C1336" s="1359" t="s">
        <v>6913</v>
      </c>
      <c r="D1336" s="1360">
        <v>9090</v>
      </c>
      <c r="E1336" s="1361" t="s">
        <v>3731</v>
      </c>
      <c r="F1336" s="1360" t="s">
        <v>677</v>
      </c>
      <c r="G1336" s="1362">
        <v>2095000</v>
      </c>
      <c r="H1336" s="1363" t="s">
        <v>3548</v>
      </c>
    </row>
    <row r="1337" spans="2:8" x14ac:dyDescent="0.25">
      <c r="B1337" s="1358" t="s">
        <v>6897</v>
      </c>
      <c r="C1337" s="1359" t="s">
        <v>6913</v>
      </c>
      <c r="D1337" s="1360">
        <v>9091</v>
      </c>
      <c r="E1337" s="1361" t="s">
        <v>3732</v>
      </c>
      <c r="F1337" s="1360" t="s">
        <v>677</v>
      </c>
      <c r="G1337" s="1362">
        <v>3924546</v>
      </c>
      <c r="H1337" s="1363" t="s">
        <v>3548</v>
      </c>
    </row>
    <row r="1338" spans="2:8" x14ac:dyDescent="0.25">
      <c r="B1338" s="1358" t="s">
        <v>6897</v>
      </c>
      <c r="C1338" s="1359" t="s">
        <v>6913</v>
      </c>
      <c r="D1338" s="1360">
        <v>9092</v>
      </c>
      <c r="E1338" s="1361" t="s">
        <v>3733</v>
      </c>
      <c r="F1338" s="1360" t="s">
        <v>677</v>
      </c>
      <c r="G1338" s="1362">
        <v>2868481</v>
      </c>
      <c r="H1338" s="1363" t="s">
        <v>3548</v>
      </c>
    </row>
    <row r="1339" spans="2:8" x14ac:dyDescent="0.25">
      <c r="B1339" s="1358" t="s">
        <v>6897</v>
      </c>
      <c r="C1339" s="1359" t="s">
        <v>6913</v>
      </c>
      <c r="D1339" s="1360">
        <v>9093</v>
      </c>
      <c r="E1339" s="1361" t="s">
        <v>3734</v>
      </c>
      <c r="F1339" s="1360" t="s">
        <v>677</v>
      </c>
      <c r="G1339" s="1362">
        <v>2458000</v>
      </c>
      <c r="H1339" s="1363" t="s">
        <v>3548</v>
      </c>
    </row>
    <row r="1340" spans="2:8" x14ac:dyDescent="0.25">
      <c r="B1340" s="1358" t="s">
        <v>6897</v>
      </c>
      <c r="C1340" s="1359" t="s">
        <v>6913</v>
      </c>
      <c r="D1340" s="1360">
        <v>9094</v>
      </c>
      <c r="E1340" s="1361" t="s">
        <v>3735</v>
      </c>
      <c r="F1340" s="1360" t="s">
        <v>677</v>
      </c>
      <c r="G1340" s="1362">
        <v>2213000</v>
      </c>
      <c r="H1340" s="1363" t="s">
        <v>3548</v>
      </c>
    </row>
    <row r="1341" spans="2:8" x14ac:dyDescent="0.25">
      <c r="B1341" s="1358" t="s">
        <v>6897</v>
      </c>
      <c r="C1341" s="1359" t="s">
        <v>6913</v>
      </c>
      <c r="D1341" s="1360">
        <v>9095</v>
      </c>
      <c r="E1341" s="1361" t="s">
        <v>3736</v>
      </c>
      <c r="F1341" s="1360" t="s">
        <v>677</v>
      </c>
      <c r="G1341" s="1362">
        <v>2771000</v>
      </c>
      <c r="H1341" s="1363" t="s">
        <v>3548</v>
      </c>
    </row>
    <row r="1342" spans="2:8" x14ac:dyDescent="0.25">
      <c r="B1342" s="1358" t="s">
        <v>6897</v>
      </c>
      <c r="C1342" s="1359" t="s">
        <v>6913</v>
      </c>
      <c r="D1342" s="1360">
        <v>9096</v>
      </c>
      <c r="E1342" s="1361" t="s">
        <v>3737</v>
      </c>
      <c r="F1342" s="1360" t="s">
        <v>677</v>
      </c>
      <c r="G1342" s="1362">
        <v>3379000</v>
      </c>
      <c r="H1342" s="1363" t="s">
        <v>3548</v>
      </c>
    </row>
    <row r="1343" spans="2:8" x14ac:dyDescent="0.25">
      <c r="B1343" s="1358" t="s">
        <v>6897</v>
      </c>
      <c r="C1343" s="1359" t="s">
        <v>6913</v>
      </c>
      <c r="D1343" s="1360">
        <v>9097</v>
      </c>
      <c r="E1343" s="1361" t="s">
        <v>3738</v>
      </c>
      <c r="F1343" s="1360" t="s">
        <v>677</v>
      </c>
      <c r="G1343" s="1362">
        <v>2771000</v>
      </c>
      <c r="H1343" s="1363" t="s">
        <v>3548</v>
      </c>
    </row>
    <row r="1344" spans="2:8" x14ac:dyDescent="0.25">
      <c r="B1344" s="1358" t="s">
        <v>6897</v>
      </c>
      <c r="C1344" s="1359" t="s">
        <v>6913</v>
      </c>
      <c r="D1344" s="1360">
        <v>9098</v>
      </c>
      <c r="E1344" s="1361" t="s">
        <v>3739</v>
      </c>
      <c r="F1344" s="1360" t="s">
        <v>677</v>
      </c>
      <c r="G1344" s="1362">
        <v>2095000</v>
      </c>
      <c r="H1344" s="1363" t="s">
        <v>3548</v>
      </c>
    </row>
    <row r="1345" spans="2:8" x14ac:dyDescent="0.25">
      <c r="B1345" s="1358" t="s">
        <v>6897</v>
      </c>
      <c r="C1345" s="1359" t="s">
        <v>6913</v>
      </c>
      <c r="D1345" s="1360">
        <v>9099</v>
      </c>
      <c r="E1345" s="1361" t="s">
        <v>3740</v>
      </c>
      <c r="F1345" s="1360" t="s">
        <v>677</v>
      </c>
      <c r="G1345" s="1362">
        <v>1825000</v>
      </c>
      <c r="H1345" s="1363" t="s">
        <v>3548</v>
      </c>
    </row>
    <row r="1346" spans="2:8" x14ac:dyDescent="0.25">
      <c r="B1346" s="1358" t="s">
        <v>6897</v>
      </c>
      <c r="C1346" s="1359" t="s">
        <v>6913</v>
      </c>
      <c r="D1346" s="1360">
        <v>9100</v>
      </c>
      <c r="E1346" s="1361" t="s">
        <v>3741</v>
      </c>
      <c r="F1346" s="1360" t="s">
        <v>677</v>
      </c>
      <c r="G1346" s="1362">
        <v>1518000</v>
      </c>
      <c r="H1346" s="1363" t="s">
        <v>3548</v>
      </c>
    </row>
    <row r="1347" spans="2:8" x14ac:dyDescent="0.25">
      <c r="B1347" s="1358" t="s">
        <v>6897</v>
      </c>
      <c r="C1347" s="1359" t="s">
        <v>6913</v>
      </c>
      <c r="D1347" s="1360">
        <v>9101</v>
      </c>
      <c r="E1347" s="1361" t="s">
        <v>3742</v>
      </c>
      <c r="F1347" s="1360" t="s">
        <v>677</v>
      </c>
      <c r="G1347" s="1362">
        <v>3900000</v>
      </c>
      <c r="H1347" s="1363" t="s">
        <v>3548</v>
      </c>
    </row>
    <row r="1348" spans="2:8" x14ac:dyDescent="0.25">
      <c r="B1348" s="1358" t="s">
        <v>6897</v>
      </c>
      <c r="C1348" s="1359" t="s">
        <v>6913</v>
      </c>
      <c r="D1348" s="1360">
        <v>9102</v>
      </c>
      <c r="E1348" s="1361" t="s">
        <v>3743</v>
      </c>
      <c r="F1348" s="1360" t="s">
        <v>677</v>
      </c>
      <c r="G1348" s="1362">
        <v>3146000</v>
      </c>
      <c r="H1348" s="1363" t="s">
        <v>3548</v>
      </c>
    </row>
    <row r="1349" spans="2:8" x14ac:dyDescent="0.25">
      <c r="B1349" s="1358" t="s">
        <v>6897</v>
      </c>
      <c r="C1349" s="1359" t="s">
        <v>6913</v>
      </c>
      <c r="D1349" s="1360">
        <v>9103</v>
      </c>
      <c r="E1349" s="1361" t="s">
        <v>3744</v>
      </c>
      <c r="F1349" s="1360" t="s">
        <v>677</v>
      </c>
      <c r="G1349" s="1362">
        <v>2244000</v>
      </c>
      <c r="H1349" s="1363" t="s">
        <v>3548</v>
      </c>
    </row>
    <row r="1350" spans="2:8" x14ac:dyDescent="0.25">
      <c r="B1350" s="1358" t="s">
        <v>6897</v>
      </c>
      <c r="C1350" s="1359" t="s">
        <v>6913</v>
      </c>
      <c r="D1350" s="1360">
        <v>9104</v>
      </c>
      <c r="E1350" s="1361" t="s">
        <v>3745</v>
      </c>
      <c r="F1350" s="1360" t="s">
        <v>677</v>
      </c>
      <c r="G1350" s="1362">
        <v>1825000</v>
      </c>
      <c r="H1350" s="1363" t="s">
        <v>3548</v>
      </c>
    </row>
    <row r="1351" spans="2:8" x14ac:dyDescent="0.25">
      <c r="B1351" s="1358" t="s">
        <v>6897</v>
      </c>
      <c r="C1351" s="1359" t="s">
        <v>6913</v>
      </c>
      <c r="D1351" s="1360">
        <v>9105</v>
      </c>
      <c r="E1351" s="1361" t="s">
        <v>3746</v>
      </c>
      <c r="F1351" s="1360" t="s">
        <v>677</v>
      </c>
      <c r="G1351" s="1362">
        <v>1518000</v>
      </c>
      <c r="H1351" s="1363" t="s">
        <v>3548</v>
      </c>
    </row>
    <row r="1352" spans="2:8" x14ac:dyDescent="0.25">
      <c r="B1352" s="1358" t="s">
        <v>6897</v>
      </c>
      <c r="C1352" s="1359" t="s">
        <v>6913</v>
      </c>
      <c r="D1352" s="1360">
        <v>9107</v>
      </c>
      <c r="E1352" s="1361" t="s">
        <v>3747</v>
      </c>
      <c r="F1352" s="1360" t="s">
        <v>677</v>
      </c>
      <c r="G1352" s="1362">
        <v>15725000</v>
      </c>
      <c r="H1352" s="1363" t="s">
        <v>3548</v>
      </c>
    </row>
    <row r="1353" spans="2:8" x14ac:dyDescent="0.25">
      <c r="B1353" s="1358" t="s">
        <v>6897</v>
      </c>
      <c r="C1353" s="1359" t="s">
        <v>6913</v>
      </c>
      <c r="D1353" s="1360">
        <v>9108</v>
      </c>
      <c r="E1353" s="1361" t="s">
        <v>3748</v>
      </c>
      <c r="F1353" s="1360" t="s">
        <v>677</v>
      </c>
      <c r="G1353" s="1362">
        <v>11985000</v>
      </c>
      <c r="H1353" s="1363" t="s">
        <v>3548</v>
      </c>
    </row>
    <row r="1354" spans="2:8" x14ac:dyDescent="0.25">
      <c r="B1354" s="1358" t="s">
        <v>6897</v>
      </c>
      <c r="C1354" s="1359" t="s">
        <v>6913</v>
      </c>
      <c r="D1354" s="1360">
        <v>9109</v>
      </c>
      <c r="E1354" s="1361" t="s">
        <v>3749</v>
      </c>
      <c r="F1354" s="1360" t="s">
        <v>677</v>
      </c>
      <c r="G1354" s="1362">
        <v>10114000</v>
      </c>
      <c r="H1354" s="1363" t="s">
        <v>3548</v>
      </c>
    </row>
    <row r="1355" spans="2:8" x14ac:dyDescent="0.25">
      <c r="B1355" s="1358" t="s">
        <v>6897</v>
      </c>
      <c r="C1355" s="1359" t="s">
        <v>6913</v>
      </c>
      <c r="D1355" s="1360">
        <v>9110</v>
      </c>
      <c r="E1355" s="1361" t="s">
        <v>3750</v>
      </c>
      <c r="F1355" s="1360" t="s">
        <v>677</v>
      </c>
      <c r="G1355" s="1362">
        <v>8612000</v>
      </c>
      <c r="H1355" s="1363" t="s">
        <v>3548</v>
      </c>
    </row>
    <row r="1356" spans="2:8" x14ac:dyDescent="0.25">
      <c r="B1356" s="1358" t="s">
        <v>6897</v>
      </c>
      <c r="C1356" s="1359" t="s">
        <v>6913</v>
      </c>
      <c r="D1356" s="1360">
        <v>9111</v>
      </c>
      <c r="E1356" s="1361" t="s">
        <v>3751</v>
      </c>
      <c r="F1356" s="1360" t="s">
        <v>677</v>
      </c>
      <c r="G1356" s="1362">
        <v>7768000</v>
      </c>
      <c r="H1356" s="1363" t="s">
        <v>3548</v>
      </c>
    </row>
    <row r="1357" spans="2:8" x14ac:dyDescent="0.25">
      <c r="B1357" s="1358" t="s">
        <v>6897</v>
      </c>
      <c r="C1357" s="1359" t="s">
        <v>6913</v>
      </c>
      <c r="D1357" s="1360">
        <v>9112</v>
      </c>
      <c r="E1357" s="1361" t="s">
        <v>3752</v>
      </c>
      <c r="F1357" s="1360" t="s">
        <v>677</v>
      </c>
      <c r="G1357" s="1362">
        <v>6927000</v>
      </c>
      <c r="H1357" s="1363" t="s">
        <v>3548</v>
      </c>
    </row>
    <row r="1358" spans="2:8" x14ac:dyDescent="0.25">
      <c r="B1358" s="1358" t="s">
        <v>6897</v>
      </c>
      <c r="C1358" s="1359" t="s">
        <v>6913</v>
      </c>
      <c r="D1358" s="1360">
        <v>9113</v>
      </c>
      <c r="E1358" s="1361" t="s">
        <v>3753</v>
      </c>
      <c r="F1358" s="1360" t="s">
        <v>677</v>
      </c>
      <c r="G1358" s="1362">
        <v>5238000</v>
      </c>
      <c r="H1358" s="1363" t="s">
        <v>3548</v>
      </c>
    </row>
    <row r="1359" spans="2:8" x14ac:dyDescent="0.25">
      <c r="B1359" s="1358" t="s">
        <v>6897</v>
      </c>
      <c r="C1359" s="1359" t="s">
        <v>6913</v>
      </c>
      <c r="D1359" s="1360">
        <v>9114</v>
      </c>
      <c r="E1359" s="1361" t="s">
        <v>3754</v>
      </c>
      <c r="F1359" s="1360" t="s">
        <v>677</v>
      </c>
      <c r="G1359" s="1362">
        <v>4943000</v>
      </c>
      <c r="H1359" s="1363" t="s">
        <v>3548</v>
      </c>
    </row>
    <row r="1360" spans="2:8" x14ac:dyDescent="0.25">
      <c r="B1360" s="1358" t="s">
        <v>6897</v>
      </c>
      <c r="C1360" s="1359" t="s">
        <v>7043</v>
      </c>
      <c r="D1360" s="1360">
        <v>9115</v>
      </c>
      <c r="E1360" s="1361" t="s">
        <v>3755</v>
      </c>
      <c r="F1360" s="1360" t="s">
        <v>677</v>
      </c>
      <c r="G1360" s="1362">
        <v>4484000</v>
      </c>
      <c r="H1360" s="1363" t="s">
        <v>3548</v>
      </c>
    </row>
    <row r="1361" spans="2:8" x14ac:dyDescent="0.25">
      <c r="B1361" s="1358" t="s">
        <v>6897</v>
      </c>
      <c r="C1361" s="1359" t="s">
        <v>7043</v>
      </c>
      <c r="D1361" s="1360">
        <v>9116</v>
      </c>
      <c r="E1361" s="1361" t="s">
        <v>3756</v>
      </c>
      <c r="F1361" s="1360" t="s">
        <v>1124</v>
      </c>
      <c r="G1361" s="1362">
        <v>242000</v>
      </c>
      <c r="H1361" s="1363" t="s">
        <v>3548</v>
      </c>
    </row>
    <row r="1362" spans="2:8" x14ac:dyDescent="0.25">
      <c r="B1362" s="1358" t="s">
        <v>6897</v>
      </c>
      <c r="C1362" s="1359" t="s">
        <v>7043</v>
      </c>
      <c r="D1362" s="1360">
        <v>9117</v>
      </c>
      <c r="E1362" s="1361" t="s">
        <v>3757</v>
      </c>
      <c r="F1362" s="1360" t="s">
        <v>677</v>
      </c>
      <c r="G1362" s="1362">
        <v>6993000</v>
      </c>
      <c r="H1362" s="1363" t="s">
        <v>3548</v>
      </c>
    </row>
    <row r="1363" spans="2:8" x14ac:dyDescent="0.25">
      <c r="B1363" s="1358" t="s">
        <v>6897</v>
      </c>
      <c r="C1363" s="1359" t="s">
        <v>7043</v>
      </c>
      <c r="D1363" s="1360">
        <v>9118</v>
      </c>
      <c r="E1363" s="1361" t="s">
        <v>3758</v>
      </c>
      <c r="F1363" s="1360" t="s">
        <v>1124</v>
      </c>
      <c r="G1363" s="1362">
        <v>417000</v>
      </c>
      <c r="H1363" s="1363" t="s">
        <v>3548</v>
      </c>
    </row>
    <row r="1364" spans="2:8" x14ac:dyDescent="0.25">
      <c r="B1364" s="1358" t="s">
        <v>6897</v>
      </c>
      <c r="C1364" s="1359" t="s">
        <v>7043</v>
      </c>
      <c r="D1364" s="1360">
        <v>9119</v>
      </c>
      <c r="E1364" s="1361" t="s">
        <v>3759</v>
      </c>
      <c r="F1364" s="1360" t="s">
        <v>677</v>
      </c>
      <c r="G1364" s="1362">
        <v>12362000</v>
      </c>
      <c r="H1364" s="1363" t="s">
        <v>3548</v>
      </c>
    </row>
    <row r="1365" spans="2:8" x14ac:dyDescent="0.25">
      <c r="B1365" s="1358" t="s">
        <v>6897</v>
      </c>
      <c r="C1365" s="1359" t="s">
        <v>7043</v>
      </c>
      <c r="D1365" s="1360">
        <v>9120</v>
      </c>
      <c r="E1365" s="1361" t="s">
        <v>3760</v>
      </c>
      <c r="F1365" s="1360" t="s">
        <v>1124</v>
      </c>
      <c r="G1365" s="1362">
        <v>298000</v>
      </c>
      <c r="H1365" s="1363" t="s">
        <v>3548</v>
      </c>
    </row>
    <row r="1366" spans="2:8" x14ac:dyDescent="0.25">
      <c r="B1366" s="1358" t="s">
        <v>6897</v>
      </c>
      <c r="C1366" s="1359" t="s">
        <v>7043</v>
      </c>
      <c r="D1366" s="1360">
        <v>9121</v>
      </c>
      <c r="E1366" s="1361" t="s">
        <v>3761</v>
      </c>
      <c r="F1366" s="1360" t="s">
        <v>677</v>
      </c>
      <c r="G1366" s="1362">
        <v>8973000</v>
      </c>
      <c r="H1366" s="1363" t="s">
        <v>3548</v>
      </c>
    </row>
    <row r="1367" spans="2:8" x14ac:dyDescent="0.25">
      <c r="B1367" s="1358" t="s">
        <v>6897</v>
      </c>
      <c r="C1367" s="1359" t="s">
        <v>7043</v>
      </c>
      <c r="D1367" s="1360">
        <v>9122</v>
      </c>
      <c r="E1367" s="1361" t="s">
        <v>3762</v>
      </c>
      <c r="F1367" s="1360" t="s">
        <v>1124</v>
      </c>
      <c r="G1367" s="1362">
        <v>45542</v>
      </c>
      <c r="H1367" s="1363" t="s">
        <v>3548</v>
      </c>
    </row>
    <row r="1368" spans="2:8" x14ac:dyDescent="0.25">
      <c r="B1368" s="1358" t="s">
        <v>6897</v>
      </c>
      <c r="C1368" s="1359" t="s">
        <v>7043</v>
      </c>
      <c r="D1368" s="1360">
        <v>9123</v>
      </c>
      <c r="E1368" s="1361" t="s">
        <v>3763</v>
      </c>
      <c r="F1368" s="1360" t="s">
        <v>677</v>
      </c>
      <c r="G1368" s="1362">
        <v>1371463</v>
      </c>
      <c r="H1368" s="1363" t="s">
        <v>3548</v>
      </c>
    </row>
    <row r="1369" spans="2:8" x14ac:dyDescent="0.25">
      <c r="B1369" s="1358" t="s">
        <v>6897</v>
      </c>
      <c r="C1369" s="1359" t="s">
        <v>7043</v>
      </c>
      <c r="D1369" s="1360">
        <v>9124</v>
      </c>
      <c r="E1369" s="1361" t="s">
        <v>3764</v>
      </c>
      <c r="F1369" s="1360" t="s">
        <v>1124</v>
      </c>
      <c r="G1369" s="1362">
        <v>293000</v>
      </c>
      <c r="H1369" s="1363" t="s">
        <v>3548</v>
      </c>
    </row>
    <row r="1370" spans="2:8" x14ac:dyDescent="0.25">
      <c r="B1370" s="1358" t="s">
        <v>6897</v>
      </c>
      <c r="C1370" s="1359" t="s">
        <v>7043</v>
      </c>
      <c r="D1370" s="1360">
        <v>9125</v>
      </c>
      <c r="E1370" s="1361" t="s">
        <v>3765</v>
      </c>
      <c r="F1370" s="1360" t="s">
        <v>677</v>
      </c>
      <c r="G1370" s="1362">
        <v>8760000</v>
      </c>
      <c r="H1370" s="1363" t="s">
        <v>3548</v>
      </c>
    </row>
    <row r="1371" spans="2:8" x14ac:dyDescent="0.25">
      <c r="B1371" s="1358" t="s">
        <v>6897</v>
      </c>
      <c r="C1371" s="1359" t="s">
        <v>6921</v>
      </c>
      <c r="D1371" s="1360">
        <v>9143</v>
      </c>
      <c r="E1371" s="1361" t="s">
        <v>2175</v>
      </c>
      <c r="F1371" s="1360" t="s">
        <v>266</v>
      </c>
      <c r="G1371" s="1362">
        <v>58178</v>
      </c>
      <c r="H1371" s="1363" t="s">
        <v>3538</v>
      </c>
    </row>
    <row r="1372" spans="2:8" x14ac:dyDescent="0.25">
      <c r="B1372" s="1358" t="s">
        <v>6897</v>
      </c>
      <c r="C1372" s="1359" t="s">
        <v>6993</v>
      </c>
      <c r="D1372" s="1360">
        <v>9144</v>
      </c>
      <c r="E1372" s="1361" t="s">
        <v>2176</v>
      </c>
      <c r="F1372" s="1360" t="s">
        <v>266</v>
      </c>
      <c r="G1372" s="1362">
        <v>690200</v>
      </c>
      <c r="H1372" s="1363" t="s">
        <v>6899</v>
      </c>
    </row>
    <row r="1373" spans="2:8" x14ac:dyDescent="0.25">
      <c r="B1373" s="1358" t="s">
        <v>6897</v>
      </c>
      <c r="C1373" s="1359" t="s">
        <v>6993</v>
      </c>
      <c r="D1373" s="1360">
        <v>9145</v>
      </c>
      <c r="E1373" s="1361" t="s">
        <v>2177</v>
      </c>
      <c r="F1373" s="1360" t="s">
        <v>266</v>
      </c>
      <c r="G1373" s="1362">
        <v>690200</v>
      </c>
      <c r="H1373" s="1363" t="s">
        <v>6899</v>
      </c>
    </row>
    <row r="1374" spans="2:8" x14ac:dyDescent="0.25">
      <c r="B1374" s="1358" t="s">
        <v>6897</v>
      </c>
      <c r="C1374" s="1359" t="s">
        <v>7009</v>
      </c>
      <c r="D1374" s="1360">
        <v>9146</v>
      </c>
      <c r="E1374" s="1361" t="s">
        <v>2178</v>
      </c>
      <c r="F1374" s="1360" t="s">
        <v>266</v>
      </c>
      <c r="G1374" s="1362">
        <v>17278541</v>
      </c>
      <c r="H1374" s="1363" t="s">
        <v>6899</v>
      </c>
    </row>
    <row r="1375" spans="2:8" x14ac:dyDescent="0.25">
      <c r="B1375" s="1358" t="s">
        <v>6897</v>
      </c>
      <c r="C1375" s="1359" t="s">
        <v>7009</v>
      </c>
      <c r="D1375" s="1360">
        <v>9147</v>
      </c>
      <c r="E1375" s="1361" t="s">
        <v>2179</v>
      </c>
      <c r="F1375" s="1360" t="s">
        <v>266</v>
      </c>
      <c r="G1375" s="1362">
        <v>1937971</v>
      </c>
      <c r="H1375" s="1363" t="s">
        <v>6899</v>
      </c>
    </row>
    <row r="1376" spans="2:8" x14ac:dyDescent="0.25">
      <c r="B1376" s="1358" t="s">
        <v>6897</v>
      </c>
      <c r="C1376" s="1359" t="s">
        <v>6900</v>
      </c>
      <c r="D1376" s="1360">
        <v>9148</v>
      </c>
      <c r="E1376" s="1361" t="s">
        <v>3766</v>
      </c>
      <c r="F1376" s="1360" t="s">
        <v>677</v>
      </c>
      <c r="G1376" s="1362">
        <v>3511768</v>
      </c>
      <c r="H1376" s="1363" t="s">
        <v>6899</v>
      </c>
    </row>
    <row r="1377" spans="2:8" x14ac:dyDescent="0.25">
      <c r="B1377" s="1358" t="s">
        <v>6897</v>
      </c>
      <c r="C1377" s="1359" t="s">
        <v>6902</v>
      </c>
      <c r="D1377" s="1360">
        <v>9159</v>
      </c>
      <c r="E1377" s="1361" t="s">
        <v>3767</v>
      </c>
      <c r="F1377" s="1360" t="s">
        <v>3539</v>
      </c>
      <c r="G1377" s="1362">
        <v>209440</v>
      </c>
      <c r="H1377" s="1363" t="s">
        <v>3538</v>
      </c>
    </row>
    <row r="1378" spans="2:8" x14ac:dyDescent="0.25">
      <c r="B1378" s="1358" t="s">
        <v>6897</v>
      </c>
      <c r="C1378" s="1359" t="s">
        <v>7006</v>
      </c>
      <c r="D1378" s="1360">
        <v>9164</v>
      </c>
      <c r="E1378" s="1361" t="s">
        <v>3768</v>
      </c>
      <c r="F1378" s="1360" t="s">
        <v>1124</v>
      </c>
      <c r="G1378" s="1362">
        <v>376000</v>
      </c>
      <c r="H1378" s="1363" t="s">
        <v>3548</v>
      </c>
    </row>
    <row r="1379" spans="2:8" x14ac:dyDescent="0.25">
      <c r="B1379" s="1358" t="s">
        <v>6897</v>
      </c>
      <c r="C1379" s="1359" t="s">
        <v>7006</v>
      </c>
      <c r="D1379" s="1360">
        <v>9165</v>
      </c>
      <c r="E1379" s="1361" t="s">
        <v>3769</v>
      </c>
      <c r="F1379" s="1360" t="s">
        <v>677</v>
      </c>
      <c r="G1379" s="1362">
        <v>7939000</v>
      </c>
      <c r="H1379" s="1363" t="s">
        <v>3548</v>
      </c>
    </row>
    <row r="1380" spans="2:8" x14ac:dyDescent="0.25">
      <c r="B1380" s="1358" t="s">
        <v>6897</v>
      </c>
      <c r="C1380" s="1359" t="s">
        <v>7006</v>
      </c>
      <c r="D1380" s="1360">
        <v>9166</v>
      </c>
      <c r="E1380" s="1361" t="s">
        <v>3770</v>
      </c>
      <c r="F1380" s="1360" t="s">
        <v>677</v>
      </c>
      <c r="G1380" s="1362">
        <v>11341000</v>
      </c>
      <c r="H1380" s="1363" t="s">
        <v>3548</v>
      </c>
    </row>
    <row r="1381" spans="2:8" x14ac:dyDescent="0.25">
      <c r="B1381" s="1358" t="s">
        <v>6897</v>
      </c>
      <c r="C1381" s="1359" t="s">
        <v>7006</v>
      </c>
      <c r="D1381" s="1360">
        <v>9167</v>
      </c>
      <c r="E1381" s="1361" t="s">
        <v>3771</v>
      </c>
      <c r="F1381" s="1360" t="s">
        <v>1124</v>
      </c>
      <c r="G1381" s="1362">
        <v>515000</v>
      </c>
      <c r="H1381" s="1363" t="s">
        <v>3548</v>
      </c>
    </row>
    <row r="1382" spans="2:8" x14ac:dyDescent="0.25">
      <c r="B1382" s="1358" t="s">
        <v>6897</v>
      </c>
      <c r="C1382" s="1359" t="s">
        <v>7006</v>
      </c>
      <c r="D1382" s="1360">
        <v>9168</v>
      </c>
      <c r="E1382" s="1361" t="s">
        <v>3772</v>
      </c>
      <c r="F1382" s="1360" t="s">
        <v>677</v>
      </c>
      <c r="G1382" s="1362">
        <v>15431000</v>
      </c>
      <c r="H1382" s="1363" t="s">
        <v>3548</v>
      </c>
    </row>
    <row r="1383" spans="2:8" x14ac:dyDescent="0.25">
      <c r="B1383" s="1358" t="s">
        <v>6897</v>
      </c>
      <c r="C1383" s="1359" t="s">
        <v>6922</v>
      </c>
      <c r="D1383" s="1360">
        <v>9169</v>
      </c>
      <c r="E1383" s="1361" t="s">
        <v>2180</v>
      </c>
      <c r="F1383" s="1360" t="s">
        <v>266</v>
      </c>
      <c r="G1383" s="1362">
        <v>29750</v>
      </c>
      <c r="H1383" s="1363" t="s">
        <v>3538</v>
      </c>
    </row>
    <row r="1384" spans="2:8" x14ac:dyDescent="0.25">
      <c r="B1384" s="1358" t="s">
        <v>6897</v>
      </c>
      <c r="C1384" s="1359" t="s">
        <v>1798</v>
      </c>
      <c r="D1384" s="1360">
        <v>9170</v>
      </c>
      <c r="E1384" s="1361" t="s">
        <v>2181</v>
      </c>
      <c r="F1384" s="1360" t="s">
        <v>6</v>
      </c>
      <c r="G1384" s="1362">
        <v>10895</v>
      </c>
      <c r="H1384" s="1363" t="s">
        <v>6899</v>
      </c>
    </row>
    <row r="1385" spans="2:8" x14ac:dyDescent="0.25">
      <c r="B1385" s="1358" t="s">
        <v>6897</v>
      </c>
      <c r="C1385" s="1359" t="s">
        <v>1798</v>
      </c>
      <c r="D1385" s="1360">
        <v>9171</v>
      </c>
      <c r="E1385" s="1361" t="s">
        <v>2182</v>
      </c>
      <c r="F1385" s="1360" t="s">
        <v>6</v>
      </c>
      <c r="G1385" s="1362">
        <v>9433</v>
      </c>
      <c r="H1385" s="1363" t="s">
        <v>6899</v>
      </c>
    </row>
    <row r="1386" spans="2:8" x14ac:dyDescent="0.25">
      <c r="B1386" s="1358" t="s">
        <v>6897</v>
      </c>
      <c r="C1386" s="1359" t="s">
        <v>6925</v>
      </c>
      <c r="D1386" s="1360">
        <v>9172</v>
      </c>
      <c r="E1386" s="1361" t="s">
        <v>2183</v>
      </c>
      <c r="F1386" s="1360" t="s">
        <v>563</v>
      </c>
      <c r="G1386" s="1362">
        <v>132962</v>
      </c>
      <c r="H1386" s="1363" t="s">
        <v>6899</v>
      </c>
    </row>
    <row r="1387" spans="2:8" x14ac:dyDescent="0.25">
      <c r="B1387" s="1358" t="s">
        <v>6897</v>
      </c>
      <c r="C1387" s="1359" t="s">
        <v>6912</v>
      </c>
      <c r="D1387" s="1360">
        <v>9176</v>
      </c>
      <c r="E1387" s="1361" t="s">
        <v>3773</v>
      </c>
      <c r="F1387" s="1360" t="s">
        <v>677</v>
      </c>
      <c r="G1387" s="1362">
        <v>749700</v>
      </c>
      <c r="H1387" s="1363" t="s">
        <v>6899</v>
      </c>
    </row>
    <row r="1388" spans="2:8" x14ac:dyDescent="0.25">
      <c r="B1388" s="1358" t="s">
        <v>6897</v>
      </c>
      <c r="C1388" s="1359" t="s">
        <v>6922</v>
      </c>
      <c r="D1388" s="1360">
        <v>9184</v>
      </c>
      <c r="E1388" s="1361" t="s">
        <v>2184</v>
      </c>
      <c r="F1388" s="1360" t="s">
        <v>266</v>
      </c>
      <c r="G1388" s="1362">
        <v>405238</v>
      </c>
      <c r="H1388" s="1363" t="s">
        <v>3538</v>
      </c>
    </row>
    <row r="1389" spans="2:8" x14ac:dyDescent="0.25">
      <c r="B1389" s="1358" t="s">
        <v>6897</v>
      </c>
      <c r="C1389" s="1359" t="s">
        <v>7009</v>
      </c>
      <c r="D1389" s="1360">
        <v>9185</v>
      </c>
      <c r="E1389" s="1361" t="s">
        <v>2185</v>
      </c>
      <c r="F1389" s="1360" t="s">
        <v>266</v>
      </c>
      <c r="G1389" s="1362">
        <v>5798613</v>
      </c>
      <c r="H1389" s="1363" t="s">
        <v>6899</v>
      </c>
    </row>
    <row r="1390" spans="2:8" x14ac:dyDescent="0.25">
      <c r="B1390" s="1358" t="s">
        <v>6897</v>
      </c>
      <c r="C1390" s="1359" t="s">
        <v>7010</v>
      </c>
      <c r="D1390" s="1360">
        <v>9186</v>
      </c>
      <c r="E1390" s="1361" t="s">
        <v>2186</v>
      </c>
      <c r="F1390" s="1360" t="s">
        <v>266</v>
      </c>
      <c r="G1390" s="1362">
        <v>7891753</v>
      </c>
      <c r="H1390" s="1363" t="s">
        <v>3538</v>
      </c>
    </row>
    <row r="1391" spans="2:8" x14ac:dyDescent="0.25">
      <c r="B1391" s="1358" t="s">
        <v>6897</v>
      </c>
      <c r="C1391" s="1359" t="s">
        <v>7009</v>
      </c>
      <c r="D1391" s="1360">
        <v>9187</v>
      </c>
      <c r="E1391" s="1361" t="s">
        <v>2187</v>
      </c>
      <c r="F1391" s="1360" t="s">
        <v>266</v>
      </c>
      <c r="G1391" s="1362">
        <v>4517471</v>
      </c>
      <c r="H1391" s="1363" t="s">
        <v>6899</v>
      </c>
    </row>
    <row r="1392" spans="2:8" x14ac:dyDescent="0.25">
      <c r="B1392" s="1358" t="s">
        <v>6897</v>
      </c>
      <c r="C1392" s="1359" t="s">
        <v>7009</v>
      </c>
      <c r="D1392" s="1360">
        <v>9188</v>
      </c>
      <c r="E1392" s="1361" t="s">
        <v>2188</v>
      </c>
      <c r="F1392" s="1360" t="s">
        <v>266</v>
      </c>
      <c r="G1392" s="1362">
        <v>5652500</v>
      </c>
      <c r="H1392" s="1363" t="s">
        <v>6899</v>
      </c>
    </row>
    <row r="1393" spans="2:8" x14ac:dyDescent="0.25">
      <c r="B1393" s="1358" t="s">
        <v>6897</v>
      </c>
      <c r="C1393" s="1359" t="s">
        <v>7009</v>
      </c>
      <c r="D1393" s="1360">
        <v>9189</v>
      </c>
      <c r="E1393" s="1361" t="s">
        <v>2189</v>
      </c>
      <c r="F1393" s="1360" t="s">
        <v>266</v>
      </c>
      <c r="G1393" s="1362">
        <v>7217469</v>
      </c>
      <c r="H1393" s="1363" t="s">
        <v>6899</v>
      </c>
    </row>
    <row r="1394" spans="2:8" x14ac:dyDescent="0.25">
      <c r="B1394" s="1358" t="s">
        <v>6897</v>
      </c>
      <c r="C1394" s="1359" t="s">
        <v>7009</v>
      </c>
      <c r="D1394" s="1360">
        <v>9190</v>
      </c>
      <c r="E1394" s="1361" t="s">
        <v>2190</v>
      </c>
      <c r="F1394" s="1360" t="s">
        <v>266</v>
      </c>
      <c r="G1394" s="1362">
        <v>13449973</v>
      </c>
      <c r="H1394" s="1363" t="s">
        <v>6899</v>
      </c>
    </row>
    <row r="1395" spans="2:8" x14ac:dyDescent="0.25">
      <c r="B1395" s="1358" t="s">
        <v>6897</v>
      </c>
      <c r="C1395" s="1359" t="s">
        <v>7009</v>
      </c>
      <c r="D1395" s="1360">
        <v>9191</v>
      </c>
      <c r="E1395" s="1361" t="s">
        <v>2191</v>
      </c>
      <c r="F1395" s="1360" t="s">
        <v>266</v>
      </c>
      <c r="G1395" s="1362">
        <v>4599352</v>
      </c>
      <c r="H1395" s="1363" t="s">
        <v>6899</v>
      </c>
    </row>
    <row r="1396" spans="2:8" x14ac:dyDescent="0.25">
      <c r="B1396" s="1358" t="s">
        <v>6897</v>
      </c>
      <c r="C1396" s="1359" t="s">
        <v>7009</v>
      </c>
      <c r="D1396" s="1360">
        <v>9192</v>
      </c>
      <c r="E1396" s="1361" t="s">
        <v>2192</v>
      </c>
      <c r="F1396" s="1360" t="s">
        <v>266</v>
      </c>
      <c r="G1396" s="1362">
        <v>4480262</v>
      </c>
      <c r="H1396" s="1363" t="s">
        <v>6899</v>
      </c>
    </row>
    <row r="1397" spans="2:8" x14ac:dyDescent="0.25">
      <c r="B1397" s="1358" t="s">
        <v>6897</v>
      </c>
      <c r="C1397" s="1359" t="s">
        <v>7009</v>
      </c>
      <c r="D1397" s="1360">
        <v>9193</v>
      </c>
      <c r="E1397" s="1361" t="s">
        <v>2193</v>
      </c>
      <c r="F1397" s="1360" t="s">
        <v>266</v>
      </c>
      <c r="G1397" s="1362">
        <v>4150137</v>
      </c>
      <c r="H1397" s="1363" t="s">
        <v>6899</v>
      </c>
    </row>
    <row r="1398" spans="2:8" x14ac:dyDescent="0.25">
      <c r="B1398" s="1358" t="s">
        <v>6897</v>
      </c>
      <c r="C1398" s="1359" t="s">
        <v>7009</v>
      </c>
      <c r="D1398" s="1360">
        <v>9194</v>
      </c>
      <c r="E1398" s="1361" t="s">
        <v>2194</v>
      </c>
      <c r="F1398" s="1360" t="s">
        <v>266</v>
      </c>
      <c r="G1398" s="1362">
        <v>4102977</v>
      </c>
      <c r="H1398" s="1363" t="s">
        <v>6899</v>
      </c>
    </row>
    <row r="1399" spans="2:8" x14ac:dyDescent="0.25">
      <c r="B1399" s="1358" t="s">
        <v>6897</v>
      </c>
      <c r="C1399" s="1359" t="s">
        <v>6898</v>
      </c>
      <c r="D1399" s="1360">
        <v>9197</v>
      </c>
      <c r="E1399" s="1361" t="s">
        <v>2195</v>
      </c>
      <c r="F1399" s="1360" t="s">
        <v>3</v>
      </c>
      <c r="G1399" s="1362">
        <v>803866</v>
      </c>
      <c r="H1399" s="1363" t="s">
        <v>6899</v>
      </c>
    </row>
    <row r="1400" spans="2:8" x14ac:dyDescent="0.25">
      <c r="B1400" s="1358" t="s">
        <v>6897</v>
      </c>
      <c r="C1400" s="1359" t="s">
        <v>6898</v>
      </c>
      <c r="D1400" s="1360">
        <v>9199</v>
      </c>
      <c r="E1400" s="1361" t="s">
        <v>2196</v>
      </c>
      <c r="F1400" s="1360" t="s">
        <v>3</v>
      </c>
      <c r="G1400" s="1362">
        <v>659879</v>
      </c>
      <c r="H1400" s="1363" t="s">
        <v>6899</v>
      </c>
    </row>
    <row r="1401" spans="2:8" x14ac:dyDescent="0.25">
      <c r="B1401" s="1358" t="s">
        <v>6897</v>
      </c>
      <c r="C1401" s="1359" t="s">
        <v>6922</v>
      </c>
      <c r="D1401" s="1360">
        <v>9200</v>
      </c>
      <c r="E1401" s="1361" t="s">
        <v>2197</v>
      </c>
      <c r="F1401" s="1360" t="s">
        <v>266</v>
      </c>
      <c r="G1401" s="1362">
        <v>512890</v>
      </c>
      <c r="H1401" s="1363" t="s">
        <v>3538</v>
      </c>
    </row>
    <row r="1402" spans="2:8" x14ac:dyDescent="0.25">
      <c r="B1402" s="1358" t="s">
        <v>6897</v>
      </c>
      <c r="C1402" s="1359" t="s">
        <v>6922</v>
      </c>
      <c r="D1402" s="1360">
        <v>9201</v>
      </c>
      <c r="E1402" s="1361" t="s">
        <v>2198</v>
      </c>
      <c r="F1402" s="1360" t="s">
        <v>266</v>
      </c>
      <c r="G1402" s="1362">
        <v>492378</v>
      </c>
      <c r="H1402" s="1363" t="s">
        <v>3538</v>
      </c>
    </row>
    <row r="1403" spans="2:8" x14ac:dyDescent="0.25">
      <c r="B1403" s="1358" t="s">
        <v>6897</v>
      </c>
      <c r="C1403" s="1359" t="s">
        <v>6922</v>
      </c>
      <c r="D1403" s="1360">
        <v>9202</v>
      </c>
      <c r="E1403" s="1361" t="s">
        <v>2199</v>
      </c>
      <c r="F1403" s="1360" t="s">
        <v>266</v>
      </c>
      <c r="G1403" s="1362">
        <v>503446</v>
      </c>
      <c r="H1403" s="1363" t="s">
        <v>3538</v>
      </c>
    </row>
    <row r="1404" spans="2:8" x14ac:dyDescent="0.25">
      <c r="B1404" s="1358" t="s">
        <v>6897</v>
      </c>
      <c r="C1404" s="1359" t="s">
        <v>6922</v>
      </c>
      <c r="D1404" s="1360">
        <v>9203</v>
      </c>
      <c r="E1404" s="1361" t="s">
        <v>2200</v>
      </c>
      <c r="F1404" s="1360" t="s">
        <v>266</v>
      </c>
      <c r="G1404" s="1362">
        <v>503446</v>
      </c>
      <c r="H1404" s="1363" t="s">
        <v>3538</v>
      </c>
    </row>
    <row r="1405" spans="2:8" x14ac:dyDescent="0.25">
      <c r="B1405" s="1358" t="s">
        <v>6897</v>
      </c>
      <c r="C1405" s="1359" t="s">
        <v>6922</v>
      </c>
      <c r="D1405" s="1360">
        <v>9204</v>
      </c>
      <c r="E1405" s="1361" t="s">
        <v>2201</v>
      </c>
      <c r="F1405" s="1360" t="s">
        <v>266</v>
      </c>
      <c r="G1405" s="1362">
        <v>503446</v>
      </c>
      <c r="H1405" s="1363" t="s">
        <v>3538</v>
      </c>
    </row>
    <row r="1406" spans="2:8" x14ac:dyDescent="0.25">
      <c r="B1406" s="1358" t="s">
        <v>6897</v>
      </c>
      <c r="C1406" s="1359" t="s">
        <v>6922</v>
      </c>
      <c r="D1406" s="1360">
        <v>9209</v>
      </c>
      <c r="E1406" s="1361" t="s">
        <v>2202</v>
      </c>
      <c r="F1406" s="1360" t="s">
        <v>266</v>
      </c>
      <c r="G1406" s="1362">
        <v>385560</v>
      </c>
      <c r="H1406" s="1363" t="s">
        <v>3538</v>
      </c>
    </row>
    <row r="1407" spans="2:8" x14ac:dyDescent="0.25">
      <c r="B1407" s="1358" t="s">
        <v>6897</v>
      </c>
      <c r="C1407" s="1359" t="s">
        <v>6900</v>
      </c>
      <c r="D1407" s="1360">
        <v>9210</v>
      </c>
      <c r="E1407" s="1361" t="s">
        <v>3774</v>
      </c>
      <c r="F1407" s="1360" t="s">
        <v>1124</v>
      </c>
      <c r="G1407" s="1362">
        <v>1416474</v>
      </c>
      <c r="H1407" s="1363" t="s">
        <v>6899</v>
      </c>
    </row>
    <row r="1408" spans="2:8" x14ac:dyDescent="0.25">
      <c r="B1408" s="1358" t="s">
        <v>6897</v>
      </c>
      <c r="C1408" s="1359" t="s">
        <v>6994</v>
      </c>
      <c r="D1408" s="1360">
        <v>9211</v>
      </c>
      <c r="E1408" s="1361" t="s">
        <v>2203</v>
      </c>
      <c r="F1408" s="1360" t="s">
        <v>266</v>
      </c>
      <c r="G1408" s="1362">
        <v>533120</v>
      </c>
      <c r="H1408" s="1363" t="s">
        <v>3538</v>
      </c>
    </row>
    <row r="1409" spans="2:8" x14ac:dyDescent="0.25">
      <c r="B1409" s="1358" t="s">
        <v>6897</v>
      </c>
      <c r="C1409" s="1359" t="s">
        <v>7011</v>
      </c>
      <c r="D1409" s="1360">
        <v>9216</v>
      </c>
      <c r="E1409" s="1361" t="s">
        <v>3775</v>
      </c>
      <c r="F1409" s="1360" t="s">
        <v>266</v>
      </c>
      <c r="G1409" s="1362">
        <v>118643</v>
      </c>
      <c r="H1409" s="1363" t="s">
        <v>6899</v>
      </c>
    </row>
    <row r="1410" spans="2:8" x14ac:dyDescent="0.25">
      <c r="B1410" s="1358" t="s">
        <v>6897</v>
      </c>
      <c r="C1410" s="1359" t="s">
        <v>7011</v>
      </c>
      <c r="D1410" s="1360">
        <v>9217</v>
      </c>
      <c r="E1410" s="1361" t="s">
        <v>3776</v>
      </c>
      <c r="F1410" s="1360" t="s">
        <v>266</v>
      </c>
      <c r="G1410" s="1362">
        <v>271320</v>
      </c>
      <c r="H1410" s="1363" t="s">
        <v>6899</v>
      </c>
    </row>
    <row r="1411" spans="2:8" x14ac:dyDescent="0.25">
      <c r="B1411" s="1358" t="s">
        <v>6897</v>
      </c>
      <c r="C1411" s="1359" t="s">
        <v>7011</v>
      </c>
      <c r="D1411" s="1360">
        <v>9219</v>
      </c>
      <c r="E1411" s="1361" t="s">
        <v>3777</v>
      </c>
      <c r="F1411" s="1360" t="s">
        <v>266</v>
      </c>
      <c r="G1411" s="1362">
        <v>104720</v>
      </c>
      <c r="H1411" s="1363" t="s">
        <v>6899</v>
      </c>
    </row>
    <row r="1412" spans="2:8" x14ac:dyDescent="0.25">
      <c r="B1412" s="1358" t="s">
        <v>6897</v>
      </c>
      <c r="C1412" s="1359" t="s">
        <v>6906</v>
      </c>
      <c r="D1412" s="1360">
        <v>9229</v>
      </c>
      <c r="E1412" s="1361" t="s">
        <v>2204</v>
      </c>
      <c r="F1412" s="1360" t="s">
        <v>2205</v>
      </c>
      <c r="G1412" s="1362">
        <v>503115</v>
      </c>
      <c r="H1412" s="1363" t="s">
        <v>3535</v>
      </c>
    </row>
    <row r="1413" spans="2:8" x14ac:dyDescent="0.25">
      <c r="B1413" s="1358" t="s">
        <v>6897</v>
      </c>
      <c r="C1413" s="1359" t="s">
        <v>7042</v>
      </c>
      <c r="D1413" s="1360">
        <v>9247</v>
      </c>
      <c r="E1413" s="1361" t="s">
        <v>3778</v>
      </c>
      <c r="F1413" s="1360" t="s">
        <v>12</v>
      </c>
      <c r="G1413" s="1362">
        <v>50226</v>
      </c>
      <c r="H1413" s="1363" t="s">
        <v>6899</v>
      </c>
    </row>
    <row r="1414" spans="2:8" x14ac:dyDescent="0.25">
      <c r="B1414" s="1358" t="s">
        <v>6897</v>
      </c>
      <c r="C1414" s="1359" t="s">
        <v>6992</v>
      </c>
      <c r="D1414" s="1360">
        <v>9253</v>
      </c>
      <c r="E1414" s="1361" t="s">
        <v>2206</v>
      </c>
      <c r="F1414" s="1360" t="s">
        <v>266</v>
      </c>
      <c r="G1414" s="1362">
        <v>230853</v>
      </c>
      <c r="H1414" s="1363" t="s">
        <v>3538</v>
      </c>
    </row>
    <row r="1415" spans="2:8" x14ac:dyDescent="0.25">
      <c r="B1415" s="1358" t="s">
        <v>6897</v>
      </c>
      <c r="C1415" s="1359" t="s">
        <v>6913</v>
      </c>
      <c r="D1415" s="1360">
        <v>9254</v>
      </c>
      <c r="E1415" s="1361" t="s">
        <v>3779</v>
      </c>
      <c r="F1415" s="1360" t="s">
        <v>342</v>
      </c>
      <c r="G1415" s="1362">
        <v>230900</v>
      </c>
      <c r="H1415" s="1363" t="s">
        <v>3548</v>
      </c>
    </row>
    <row r="1416" spans="2:8" x14ac:dyDescent="0.25">
      <c r="B1416" s="1358" t="s">
        <v>6897</v>
      </c>
      <c r="C1416" s="1359" t="s">
        <v>6898</v>
      </c>
      <c r="D1416" s="1360">
        <v>9255</v>
      </c>
      <c r="E1416" s="1361" t="s">
        <v>2207</v>
      </c>
      <c r="F1416" s="1360" t="s">
        <v>3</v>
      </c>
      <c r="G1416" s="1362">
        <v>684333</v>
      </c>
      <c r="H1416" s="1363" t="s">
        <v>6899</v>
      </c>
    </row>
    <row r="1417" spans="2:8" x14ac:dyDescent="0.25">
      <c r="B1417" s="1358" t="s">
        <v>6897</v>
      </c>
      <c r="C1417" s="1359" t="s">
        <v>6918</v>
      </c>
      <c r="D1417" s="1360">
        <v>9256</v>
      </c>
      <c r="E1417" s="1361" t="s">
        <v>2208</v>
      </c>
      <c r="F1417" s="1360" t="s">
        <v>13</v>
      </c>
      <c r="G1417" s="1362">
        <v>844446</v>
      </c>
      <c r="H1417" s="1363" t="s">
        <v>6899</v>
      </c>
    </row>
    <row r="1418" spans="2:8" x14ac:dyDescent="0.25">
      <c r="B1418" s="1358" t="s">
        <v>6897</v>
      </c>
      <c r="C1418" s="1359" t="s">
        <v>6918</v>
      </c>
      <c r="D1418" s="1360">
        <v>9257</v>
      </c>
      <c r="E1418" s="1361" t="s">
        <v>2209</v>
      </c>
      <c r="F1418" s="1360" t="s">
        <v>13</v>
      </c>
      <c r="G1418" s="1362">
        <v>1127231</v>
      </c>
      <c r="H1418" s="1363" t="s">
        <v>6899</v>
      </c>
    </row>
    <row r="1419" spans="2:8" x14ac:dyDescent="0.25">
      <c r="B1419" s="1358" t="s">
        <v>6897</v>
      </c>
      <c r="C1419" s="1359" t="s">
        <v>6918</v>
      </c>
      <c r="D1419" s="1360">
        <v>9259</v>
      </c>
      <c r="E1419" s="1361" t="s">
        <v>2210</v>
      </c>
      <c r="F1419" s="1360" t="s">
        <v>13</v>
      </c>
      <c r="G1419" s="1362">
        <v>2216903</v>
      </c>
      <c r="H1419" s="1363" t="s">
        <v>6899</v>
      </c>
    </row>
    <row r="1420" spans="2:8" x14ac:dyDescent="0.25">
      <c r="B1420" s="1358" t="s">
        <v>6897</v>
      </c>
      <c r="C1420" s="1359" t="s">
        <v>6921</v>
      </c>
      <c r="D1420" s="1360">
        <v>9260</v>
      </c>
      <c r="E1420" s="1361" t="s">
        <v>2211</v>
      </c>
      <c r="F1420" s="1360" t="s">
        <v>266</v>
      </c>
      <c r="G1420" s="1362">
        <v>2668116</v>
      </c>
      <c r="H1420" s="1363" t="s">
        <v>3538</v>
      </c>
    </row>
    <row r="1421" spans="2:8" x14ac:dyDescent="0.25">
      <c r="B1421" s="1358" t="s">
        <v>6897</v>
      </c>
      <c r="C1421" s="1359" t="s">
        <v>6937</v>
      </c>
      <c r="D1421" s="1360">
        <v>9275</v>
      </c>
      <c r="E1421" s="1361" t="s">
        <v>3780</v>
      </c>
      <c r="F1421" s="1360" t="s">
        <v>266</v>
      </c>
      <c r="G1421" s="1362">
        <v>416500</v>
      </c>
      <c r="H1421" s="1363" t="s">
        <v>6899</v>
      </c>
    </row>
    <row r="1422" spans="2:8" x14ac:dyDescent="0.25">
      <c r="B1422" s="1358" t="s">
        <v>6897</v>
      </c>
      <c r="C1422" s="1359" t="s">
        <v>6937</v>
      </c>
      <c r="D1422" s="1360">
        <v>9276</v>
      </c>
      <c r="E1422" s="1361" t="s">
        <v>3781</v>
      </c>
      <c r="F1422" s="1360" t="s">
        <v>266</v>
      </c>
      <c r="G1422" s="1362">
        <v>511700</v>
      </c>
      <c r="H1422" s="1363" t="s">
        <v>6899</v>
      </c>
    </row>
    <row r="1423" spans="2:8" x14ac:dyDescent="0.25">
      <c r="B1423" s="1358" t="s">
        <v>6897</v>
      </c>
      <c r="C1423" s="1359" t="s">
        <v>6937</v>
      </c>
      <c r="D1423" s="1360">
        <v>9277</v>
      </c>
      <c r="E1423" s="1361" t="s">
        <v>3782</v>
      </c>
      <c r="F1423" s="1360" t="s">
        <v>266</v>
      </c>
      <c r="G1423" s="1362">
        <v>604044</v>
      </c>
      <c r="H1423" s="1363" t="s">
        <v>6899</v>
      </c>
    </row>
    <row r="1424" spans="2:8" x14ac:dyDescent="0.25">
      <c r="B1424" s="1358" t="s">
        <v>6897</v>
      </c>
      <c r="C1424" s="1359" t="s">
        <v>6937</v>
      </c>
      <c r="D1424" s="1360">
        <v>9278</v>
      </c>
      <c r="E1424" s="1361" t="s">
        <v>3783</v>
      </c>
      <c r="F1424" s="1360" t="s">
        <v>266</v>
      </c>
      <c r="G1424" s="1362">
        <v>910350</v>
      </c>
      <c r="H1424" s="1363" t="s">
        <v>6899</v>
      </c>
    </row>
    <row r="1425" spans="2:8" x14ac:dyDescent="0.25">
      <c r="B1425" s="1358" t="s">
        <v>6897</v>
      </c>
      <c r="C1425" s="1359" t="s">
        <v>6937</v>
      </c>
      <c r="D1425" s="1360">
        <v>9279</v>
      </c>
      <c r="E1425" s="1361" t="s">
        <v>3784</v>
      </c>
      <c r="F1425" s="1360" t="s">
        <v>266</v>
      </c>
      <c r="G1425" s="1362">
        <v>59500</v>
      </c>
      <c r="H1425" s="1363" t="s">
        <v>6899</v>
      </c>
    </row>
    <row r="1426" spans="2:8" x14ac:dyDescent="0.25">
      <c r="B1426" s="1358" t="s">
        <v>6897</v>
      </c>
      <c r="C1426" s="1359" t="s">
        <v>6931</v>
      </c>
      <c r="D1426" s="1360">
        <v>9280</v>
      </c>
      <c r="E1426" s="1361" t="s">
        <v>2212</v>
      </c>
      <c r="F1426" s="1360" t="s">
        <v>266</v>
      </c>
      <c r="G1426" s="1362">
        <v>12900</v>
      </c>
      <c r="H1426" s="1363" t="s">
        <v>3538</v>
      </c>
    </row>
    <row r="1427" spans="2:8" x14ac:dyDescent="0.25">
      <c r="B1427" s="1358" t="s">
        <v>6897</v>
      </c>
      <c r="C1427" s="1359" t="s">
        <v>6946</v>
      </c>
      <c r="D1427" s="1360">
        <v>9283</v>
      </c>
      <c r="E1427" s="1361" t="s">
        <v>2213</v>
      </c>
      <c r="F1427" s="1360" t="s">
        <v>710</v>
      </c>
      <c r="G1427" s="1362">
        <v>6500</v>
      </c>
      <c r="H1427" s="1363" t="s">
        <v>6899</v>
      </c>
    </row>
    <row r="1428" spans="2:8" x14ac:dyDescent="0.25">
      <c r="B1428" s="1358" t="s">
        <v>6897</v>
      </c>
      <c r="C1428" s="1359" t="s">
        <v>6946</v>
      </c>
      <c r="D1428" s="1360">
        <v>9286</v>
      </c>
      <c r="E1428" s="1361" t="s">
        <v>2214</v>
      </c>
      <c r="F1428" s="1360" t="s">
        <v>266</v>
      </c>
      <c r="G1428" s="1362">
        <v>71019</v>
      </c>
      <c r="H1428" s="1363" t="s">
        <v>6899</v>
      </c>
    </row>
    <row r="1429" spans="2:8" x14ac:dyDescent="0.25">
      <c r="B1429" s="1358" t="s">
        <v>6897</v>
      </c>
      <c r="C1429" s="1359" t="s">
        <v>6931</v>
      </c>
      <c r="D1429" s="1360">
        <v>9287</v>
      </c>
      <c r="E1429" s="1361" t="s">
        <v>3785</v>
      </c>
      <c r="F1429" s="1360" t="s">
        <v>266</v>
      </c>
      <c r="G1429" s="1362">
        <v>21106</v>
      </c>
      <c r="H1429" s="1363" t="s">
        <v>3538</v>
      </c>
    </row>
    <row r="1430" spans="2:8" x14ac:dyDescent="0.25">
      <c r="B1430" s="1358" t="s">
        <v>6897</v>
      </c>
      <c r="C1430" s="1359" t="s">
        <v>6931</v>
      </c>
      <c r="D1430" s="1360">
        <v>9288</v>
      </c>
      <c r="E1430" s="1361" t="s">
        <v>2215</v>
      </c>
      <c r="F1430" s="1360" t="s">
        <v>266</v>
      </c>
      <c r="G1430" s="1362">
        <v>128496</v>
      </c>
      <c r="H1430" s="1363" t="s">
        <v>3538</v>
      </c>
    </row>
    <row r="1431" spans="2:8" x14ac:dyDescent="0.25">
      <c r="B1431" s="1358" t="s">
        <v>6897</v>
      </c>
      <c r="C1431" s="1359" t="s">
        <v>6946</v>
      </c>
      <c r="D1431" s="1360">
        <v>9289</v>
      </c>
      <c r="E1431" s="1361" t="s">
        <v>2216</v>
      </c>
      <c r="F1431" s="1360" t="s">
        <v>266</v>
      </c>
      <c r="G1431" s="1362">
        <v>12350</v>
      </c>
      <c r="H1431" s="1363" t="s">
        <v>6899</v>
      </c>
    </row>
    <row r="1432" spans="2:8" x14ac:dyDescent="0.25">
      <c r="B1432" s="1358" t="s">
        <v>6897</v>
      </c>
      <c r="C1432" s="1359" t="s">
        <v>6931</v>
      </c>
      <c r="D1432" s="1360">
        <v>9290</v>
      </c>
      <c r="E1432" s="1361" t="s">
        <v>2217</v>
      </c>
      <c r="F1432" s="1360" t="s">
        <v>266</v>
      </c>
      <c r="G1432" s="1362">
        <v>136420</v>
      </c>
      <c r="H1432" s="1363" t="s">
        <v>3538</v>
      </c>
    </row>
    <row r="1433" spans="2:8" x14ac:dyDescent="0.25">
      <c r="B1433" s="1358" t="s">
        <v>6897</v>
      </c>
      <c r="C1433" s="1359" t="s">
        <v>6898</v>
      </c>
      <c r="D1433" s="1360">
        <v>9302</v>
      </c>
      <c r="E1433" s="1361" t="s">
        <v>2218</v>
      </c>
      <c r="F1433" s="1360" t="s">
        <v>3</v>
      </c>
      <c r="G1433" s="1362">
        <v>691063</v>
      </c>
      <c r="H1433" s="1363" t="s">
        <v>6899</v>
      </c>
    </row>
    <row r="1434" spans="2:8" x14ac:dyDescent="0.25">
      <c r="B1434" s="1358" t="s">
        <v>6897</v>
      </c>
      <c r="C1434" s="1359" t="s">
        <v>6920</v>
      </c>
      <c r="D1434" s="1360">
        <v>9303</v>
      </c>
      <c r="E1434" s="1361" t="s">
        <v>2219</v>
      </c>
      <c r="F1434" s="1360" t="s">
        <v>266</v>
      </c>
      <c r="G1434" s="1362">
        <v>178500</v>
      </c>
      <c r="H1434" s="1363" t="s">
        <v>6899</v>
      </c>
    </row>
    <row r="1435" spans="2:8" x14ac:dyDescent="0.25">
      <c r="B1435" s="1358" t="s">
        <v>6897</v>
      </c>
      <c r="C1435" s="1359" t="s">
        <v>6931</v>
      </c>
      <c r="D1435" s="1360">
        <v>9306</v>
      </c>
      <c r="E1435" s="1361" t="s">
        <v>2220</v>
      </c>
      <c r="F1435" s="1360" t="s">
        <v>20</v>
      </c>
      <c r="G1435" s="1362">
        <v>173968</v>
      </c>
      <c r="H1435" s="1363" t="s">
        <v>3538</v>
      </c>
    </row>
    <row r="1436" spans="2:8" x14ac:dyDescent="0.25">
      <c r="B1436" s="1358" t="s">
        <v>6897</v>
      </c>
      <c r="C1436" s="1359" t="s">
        <v>6931</v>
      </c>
      <c r="D1436" s="1360">
        <v>9307</v>
      </c>
      <c r="E1436" s="1361" t="s">
        <v>3786</v>
      </c>
      <c r="F1436" s="1360" t="s">
        <v>6</v>
      </c>
      <c r="G1436" s="1362">
        <v>8900</v>
      </c>
      <c r="H1436" s="1363" t="s">
        <v>3538</v>
      </c>
    </row>
    <row r="1437" spans="2:8" x14ac:dyDescent="0.25">
      <c r="B1437" s="1358" t="s">
        <v>6897</v>
      </c>
      <c r="C1437" s="1359" t="s">
        <v>6912</v>
      </c>
      <c r="D1437" s="1360">
        <v>9309</v>
      </c>
      <c r="E1437" s="1361" t="s">
        <v>2221</v>
      </c>
      <c r="F1437" s="1360" t="s">
        <v>266</v>
      </c>
      <c r="G1437" s="1362">
        <v>144900</v>
      </c>
      <c r="H1437" s="1363" t="s">
        <v>6899</v>
      </c>
    </row>
    <row r="1438" spans="2:8" x14ac:dyDescent="0.25">
      <c r="B1438" s="1358" t="s">
        <v>6897</v>
      </c>
      <c r="C1438" s="1359" t="s">
        <v>6996</v>
      </c>
      <c r="D1438" s="1360">
        <v>9310</v>
      </c>
      <c r="E1438" s="1361" t="s">
        <v>2222</v>
      </c>
      <c r="F1438" s="1360" t="s">
        <v>93</v>
      </c>
      <c r="G1438" s="1362">
        <v>26300</v>
      </c>
      <c r="H1438" s="1363" t="s">
        <v>3538</v>
      </c>
    </row>
    <row r="1439" spans="2:8" x14ac:dyDescent="0.25">
      <c r="B1439" s="1358" t="s">
        <v>6897</v>
      </c>
      <c r="C1439" s="1359" t="s">
        <v>6996</v>
      </c>
      <c r="D1439" s="1360">
        <v>9311</v>
      </c>
      <c r="E1439" s="1361" t="s">
        <v>2223</v>
      </c>
      <c r="F1439" s="1360" t="s">
        <v>1964</v>
      </c>
      <c r="G1439" s="1362">
        <v>105</v>
      </c>
      <c r="H1439" s="1363" t="s">
        <v>3538</v>
      </c>
    </row>
    <row r="1440" spans="2:8" x14ac:dyDescent="0.25">
      <c r="B1440" s="1358" t="s">
        <v>6897</v>
      </c>
      <c r="C1440" s="1359" t="s">
        <v>6913</v>
      </c>
      <c r="D1440" s="1360">
        <v>9314</v>
      </c>
      <c r="E1440" s="1361" t="s">
        <v>3787</v>
      </c>
      <c r="F1440" s="1360" t="s">
        <v>342</v>
      </c>
      <c r="G1440" s="1362">
        <v>118638</v>
      </c>
      <c r="H1440" s="1363" t="s">
        <v>3548</v>
      </c>
    </row>
    <row r="1441" spans="2:8" x14ac:dyDescent="0.25">
      <c r="B1441" s="1358" t="s">
        <v>6897</v>
      </c>
      <c r="C1441" s="1359" t="s">
        <v>6913</v>
      </c>
      <c r="D1441" s="1360">
        <v>9317</v>
      </c>
      <c r="E1441" s="1361" t="s">
        <v>3788</v>
      </c>
      <c r="F1441" s="1360" t="s">
        <v>342</v>
      </c>
      <c r="G1441" s="1362">
        <v>134324</v>
      </c>
      <c r="H1441" s="1363" t="s">
        <v>3548</v>
      </c>
    </row>
    <row r="1442" spans="2:8" x14ac:dyDescent="0.25">
      <c r="B1442" s="1358" t="s">
        <v>6897</v>
      </c>
      <c r="C1442" s="1359" t="s">
        <v>6913</v>
      </c>
      <c r="D1442" s="1360">
        <v>9318</v>
      </c>
      <c r="E1442" s="1361" t="s">
        <v>3789</v>
      </c>
      <c r="F1442" s="1360" t="s">
        <v>202</v>
      </c>
      <c r="G1442" s="1362">
        <v>17148</v>
      </c>
      <c r="H1442" s="1363" t="s">
        <v>3548</v>
      </c>
    </row>
    <row r="1443" spans="2:8" x14ac:dyDescent="0.25">
      <c r="B1443" s="1358" t="s">
        <v>6897</v>
      </c>
      <c r="C1443" s="1359" t="s">
        <v>6913</v>
      </c>
      <c r="D1443" s="1360">
        <v>9319</v>
      </c>
      <c r="E1443" s="1361" t="s">
        <v>3790</v>
      </c>
      <c r="F1443" s="1360" t="s">
        <v>342</v>
      </c>
      <c r="G1443" s="1362">
        <v>183042</v>
      </c>
      <c r="H1443" s="1363" t="s">
        <v>3548</v>
      </c>
    </row>
    <row r="1444" spans="2:8" x14ac:dyDescent="0.25">
      <c r="B1444" s="1358" t="s">
        <v>6897</v>
      </c>
      <c r="C1444" s="1359" t="s">
        <v>6913</v>
      </c>
      <c r="D1444" s="1360">
        <v>9320</v>
      </c>
      <c r="E1444" s="1361" t="s">
        <v>3791</v>
      </c>
      <c r="F1444" s="1360" t="s">
        <v>342</v>
      </c>
      <c r="G1444" s="1362">
        <v>115646</v>
      </c>
      <c r="H1444" s="1363" t="s">
        <v>3548</v>
      </c>
    </row>
    <row r="1445" spans="2:8" x14ac:dyDescent="0.25">
      <c r="B1445" s="1358" t="s">
        <v>6897</v>
      </c>
      <c r="C1445" s="1359" t="s">
        <v>6913</v>
      </c>
      <c r="D1445" s="1360">
        <v>9321</v>
      </c>
      <c r="E1445" s="1361" t="s">
        <v>3792</v>
      </c>
      <c r="F1445" s="1360" t="s">
        <v>342</v>
      </c>
      <c r="G1445" s="1362">
        <v>127471</v>
      </c>
      <c r="H1445" s="1363" t="s">
        <v>3548</v>
      </c>
    </row>
    <row r="1446" spans="2:8" x14ac:dyDescent="0.25">
      <c r="B1446" s="1358" t="s">
        <v>6897</v>
      </c>
      <c r="C1446" s="1359" t="s">
        <v>6913</v>
      </c>
      <c r="D1446" s="1360">
        <v>9323</v>
      </c>
      <c r="E1446" s="1361" t="s">
        <v>3793</v>
      </c>
      <c r="F1446" s="1360" t="s">
        <v>342</v>
      </c>
      <c r="G1446" s="1362">
        <v>164169</v>
      </c>
      <c r="H1446" s="1363" t="s">
        <v>3548</v>
      </c>
    </row>
    <row r="1447" spans="2:8" x14ac:dyDescent="0.25">
      <c r="B1447" s="1358" t="s">
        <v>6897</v>
      </c>
      <c r="C1447" s="1359" t="s">
        <v>6913</v>
      </c>
      <c r="D1447" s="1360">
        <v>9324</v>
      </c>
      <c r="E1447" s="1361" t="s">
        <v>3794</v>
      </c>
      <c r="F1447" s="1360" t="s">
        <v>342</v>
      </c>
      <c r="G1447" s="1362">
        <v>96919</v>
      </c>
      <c r="H1447" s="1363" t="s">
        <v>3548</v>
      </c>
    </row>
    <row r="1448" spans="2:8" x14ac:dyDescent="0.25">
      <c r="B1448" s="1358" t="s">
        <v>6897</v>
      </c>
      <c r="C1448" s="1359" t="s">
        <v>6900</v>
      </c>
      <c r="D1448" s="1360">
        <v>9325</v>
      </c>
      <c r="E1448" s="1361" t="s">
        <v>2224</v>
      </c>
      <c r="F1448" s="1360" t="s">
        <v>563</v>
      </c>
      <c r="G1448" s="1362">
        <v>300000</v>
      </c>
      <c r="H1448" s="1363" t="s">
        <v>6899</v>
      </c>
    </row>
    <row r="1449" spans="2:8" x14ac:dyDescent="0.25">
      <c r="B1449" s="1358" t="s">
        <v>6897</v>
      </c>
      <c r="C1449" s="1359" t="s">
        <v>6937</v>
      </c>
      <c r="D1449" s="1360">
        <v>9333</v>
      </c>
      <c r="E1449" s="1361" t="s">
        <v>3795</v>
      </c>
      <c r="F1449" s="1360" t="s">
        <v>266</v>
      </c>
      <c r="G1449" s="1362">
        <v>308448</v>
      </c>
      <c r="H1449" s="1363" t="s">
        <v>6899</v>
      </c>
    </row>
    <row r="1450" spans="2:8" x14ac:dyDescent="0.25">
      <c r="B1450" s="1358" t="s">
        <v>6897</v>
      </c>
      <c r="C1450" s="1359" t="s">
        <v>6937</v>
      </c>
      <c r="D1450" s="1360">
        <v>9334</v>
      </c>
      <c r="E1450" s="1361" t="s">
        <v>3796</v>
      </c>
      <c r="F1450" s="1360" t="s">
        <v>266</v>
      </c>
      <c r="G1450" s="1362">
        <v>142800</v>
      </c>
      <c r="H1450" s="1363" t="s">
        <v>6899</v>
      </c>
    </row>
    <row r="1451" spans="2:8" x14ac:dyDescent="0.25">
      <c r="B1451" s="1358" t="s">
        <v>6897</v>
      </c>
      <c r="C1451" s="1359" t="s">
        <v>6937</v>
      </c>
      <c r="D1451" s="1360">
        <v>9335</v>
      </c>
      <c r="E1451" s="1361" t="s">
        <v>3797</v>
      </c>
      <c r="F1451" s="1360" t="s">
        <v>266</v>
      </c>
      <c r="G1451" s="1362">
        <v>44982</v>
      </c>
      <c r="H1451" s="1363" t="s">
        <v>6899</v>
      </c>
    </row>
    <row r="1452" spans="2:8" x14ac:dyDescent="0.25">
      <c r="B1452" s="1358" t="s">
        <v>6897</v>
      </c>
      <c r="C1452" s="1359" t="s">
        <v>6938</v>
      </c>
      <c r="D1452" s="1360">
        <v>9342</v>
      </c>
      <c r="E1452" s="1361" t="s">
        <v>3798</v>
      </c>
      <c r="F1452" s="1360" t="s">
        <v>266</v>
      </c>
      <c r="G1452" s="1362">
        <v>51408</v>
      </c>
      <c r="H1452" s="1363" t="s">
        <v>6899</v>
      </c>
    </row>
    <row r="1453" spans="2:8" x14ac:dyDescent="0.25">
      <c r="B1453" s="1358" t="s">
        <v>6897</v>
      </c>
      <c r="C1453" s="1359" t="s">
        <v>6938</v>
      </c>
      <c r="D1453" s="1360">
        <v>9343</v>
      </c>
      <c r="E1453" s="1361" t="s">
        <v>3799</v>
      </c>
      <c r="F1453" s="1360" t="s">
        <v>266</v>
      </c>
      <c r="G1453" s="1362">
        <v>36890</v>
      </c>
      <c r="H1453" s="1363" t="s">
        <v>6899</v>
      </c>
    </row>
    <row r="1454" spans="2:8" x14ac:dyDescent="0.25">
      <c r="B1454" s="1358" t="s">
        <v>6897</v>
      </c>
      <c r="C1454" s="1359" t="s">
        <v>6938</v>
      </c>
      <c r="D1454" s="1360">
        <v>9344</v>
      </c>
      <c r="E1454" s="1361" t="s">
        <v>3800</v>
      </c>
      <c r="F1454" s="1360" t="s">
        <v>266</v>
      </c>
      <c r="G1454" s="1362">
        <v>53550</v>
      </c>
      <c r="H1454" s="1363" t="s">
        <v>6899</v>
      </c>
    </row>
    <row r="1455" spans="2:8" x14ac:dyDescent="0.25">
      <c r="B1455" s="1358" t="s">
        <v>6897</v>
      </c>
      <c r="C1455" s="1359" t="s">
        <v>6938</v>
      </c>
      <c r="D1455" s="1360">
        <v>9345</v>
      </c>
      <c r="E1455" s="1361" t="s">
        <v>3801</v>
      </c>
      <c r="F1455" s="1360" t="s">
        <v>266</v>
      </c>
      <c r="G1455" s="1362">
        <v>287980</v>
      </c>
      <c r="H1455" s="1363" t="s">
        <v>6899</v>
      </c>
    </row>
    <row r="1456" spans="2:8" x14ac:dyDescent="0.25">
      <c r="B1456" s="1358" t="s">
        <v>6897</v>
      </c>
      <c r="C1456" s="1359" t="s">
        <v>6938</v>
      </c>
      <c r="D1456" s="1360">
        <v>9346</v>
      </c>
      <c r="E1456" s="1361" t="s">
        <v>3802</v>
      </c>
      <c r="F1456" s="1360" t="s">
        <v>266</v>
      </c>
      <c r="G1456" s="1362">
        <v>140063</v>
      </c>
      <c r="H1456" s="1363" t="s">
        <v>6899</v>
      </c>
    </row>
    <row r="1457" spans="2:8" x14ac:dyDescent="0.25">
      <c r="B1457" s="1358" t="s">
        <v>6897</v>
      </c>
      <c r="C1457" s="1359" t="s">
        <v>6938</v>
      </c>
      <c r="D1457" s="1360">
        <v>9347</v>
      </c>
      <c r="E1457" s="1361" t="s">
        <v>3803</v>
      </c>
      <c r="F1457" s="1360" t="s">
        <v>266</v>
      </c>
      <c r="G1457" s="1362">
        <v>85680</v>
      </c>
      <c r="H1457" s="1363" t="s">
        <v>6899</v>
      </c>
    </row>
    <row r="1458" spans="2:8" x14ac:dyDescent="0.25">
      <c r="B1458" s="1358" t="s">
        <v>6897</v>
      </c>
      <c r="C1458" s="1359" t="s">
        <v>6938</v>
      </c>
      <c r="D1458" s="1360">
        <v>9348</v>
      </c>
      <c r="E1458" s="1361" t="s">
        <v>3804</v>
      </c>
      <c r="F1458" s="1360" t="s">
        <v>266</v>
      </c>
      <c r="G1458" s="1362">
        <v>262157</v>
      </c>
      <c r="H1458" s="1363" t="s">
        <v>6899</v>
      </c>
    </row>
    <row r="1459" spans="2:8" x14ac:dyDescent="0.25">
      <c r="B1459" s="1358" t="s">
        <v>6897</v>
      </c>
      <c r="C1459" s="1359" t="s">
        <v>6938</v>
      </c>
      <c r="D1459" s="1360">
        <v>9350</v>
      </c>
      <c r="E1459" s="1361" t="s">
        <v>3805</v>
      </c>
      <c r="F1459" s="1360" t="s">
        <v>266</v>
      </c>
      <c r="G1459" s="1362">
        <v>305000</v>
      </c>
      <c r="H1459" s="1363" t="s">
        <v>6899</v>
      </c>
    </row>
    <row r="1460" spans="2:8" x14ac:dyDescent="0.25">
      <c r="B1460" s="1358" t="s">
        <v>6897</v>
      </c>
      <c r="C1460" s="1359" t="s">
        <v>6941</v>
      </c>
      <c r="D1460" s="1360">
        <v>9351</v>
      </c>
      <c r="E1460" s="1361" t="s">
        <v>3806</v>
      </c>
      <c r="F1460" s="1360" t="s">
        <v>266</v>
      </c>
      <c r="G1460" s="1362">
        <v>452200</v>
      </c>
      <c r="H1460" s="1363" t="s">
        <v>6899</v>
      </c>
    </row>
    <row r="1461" spans="2:8" x14ac:dyDescent="0.25">
      <c r="B1461" s="1358" t="s">
        <v>6897</v>
      </c>
      <c r="C1461" s="1359" t="s">
        <v>6938</v>
      </c>
      <c r="D1461" s="1360">
        <v>9352</v>
      </c>
      <c r="E1461" s="1361" t="s">
        <v>3807</v>
      </c>
      <c r="F1461" s="1360" t="s">
        <v>266</v>
      </c>
      <c r="G1461" s="1362">
        <v>63665</v>
      </c>
      <c r="H1461" s="1363" t="s">
        <v>6899</v>
      </c>
    </row>
    <row r="1462" spans="2:8" x14ac:dyDescent="0.25">
      <c r="B1462" s="1358" t="s">
        <v>6897</v>
      </c>
      <c r="C1462" s="1359" t="s">
        <v>6938</v>
      </c>
      <c r="D1462" s="1360">
        <v>9353</v>
      </c>
      <c r="E1462" s="1361" t="s">
        <v>3808</v>
      </c>
      <c r="F1462" s="1360" t="s">
        <v>266</v>
      </c>
      <c r="G1462" s="1362">
        <v>233835</v>
      </c>
      <c r="H1462" s="1363" t="s">
        <v>6899</v>
      </c>
    </row>
    <row r="1463" spans="2:8" x14ac:dyDescent="0.25">
      <c r="B1463" s="1358" t="s">
        <v>6897</v>
      </c>
      <c r="C1463" s="1359" t="s">
        <v>6938</v>
      </c>
      <c r="D1463" s="1360">
        <v>9354</v>
      </c>
      <c r="E1463" s="1361" t="s">
        <v>3809</v>
      </c>
      <c r="F1463" s="1360" t="s">
        <v>266</v>
      </c>
      <c r="G1463" s="1362">
        <v>112217</v>
      </c>
      <c r="H1463" s="1363" t="s">
        <v>6899</v>
      </c>
    </row>
    <row r="1464" spans="2:8" x14ac:dyDescent="0.25">
      <c r="B1464" s="1358" t="s">
        <v>6897</v>
      </c>
      <c r="C1464" s="1359" t="s">
        <v>6938</v>
      </c>
      <c r="D1464" s="1360">
        <v>9355</v>
      </c>
      <c r="E1464" s="1361" t="s">
        <v>3810</v>
      </c>
      <c r="F1464" s="1360" t="s">
        <v>266</v>
      </c>
      <c r="G1464" s="1362">
        <v>157080</v>
      </c>
      <c r="H1464" s="1363" t="s">
        <v>6899</v>
      </c>
    </row>
    <row r="1465" spans="2:8" x14ac:dyDescent="0.25">
      <c r="B1465" s="1358" t="s">
        <v>6897</v>
      </c>
      <c r="C1465" s="1359" t="s">
        <v>6938</v>
      </c>
      <c r="D1465" s="1360">
        <v>9356</v>
      </c>
      <c r="E1465" s="1361" t="s">
        <v>3811</v>
      </c>
      <c r="F1465" s="1360" t="s">
        <v>266</v>
      </c>
      <c r="G1465" s="1362">
        <v>1832600</v>
      </c>
      <c r="H1465" s="1363" t="s">
        <v>6899</v>
      </c>
    </row>
    <row r="1466" spans="2:8" x14ac:dyDescent="0.25">
      <c r="B1466" s="1358" t="s">
        <v>6897</v>
      </c>
      <c r="C1466" s="1359" t="s">
        <v>6938</v>
      </c>
      <c r="D1466" s="1360">
        <v>9357</v>
      </c>
      <c r="E1466" s="1361" t="s">
        <v>3812</v>
      </c>
      <c r="F1466" s="1360" t="s">
        <v>266</v>
      </c>
      <c r="G1466" s="1362">
        <v>1714790</v>
      </c>
      <c r="H1466" s="1363" t="s">
        <v>6899</v>
      </c>
    </row>
    <row r="1467" spans="2:8" x14ac:dyDescent="0.25">
      <c r="B1467" s="1358" t="s">
        <v>6897</v>
      </c>
      <c r="C1467" s="1359" t="s">
        <v>6938</v>
      </c>
      <c r="D1467" s="1360">
        <v>9358</v>
      </c>
      <c r="E1467" s="1361" t="s">
        <v>3813</v>
      </c>
      <c r="F1467" s="1360" t="s">
        <v>266</v>
      </c>
      <c r="G1467" s="1362">
        <v>1915900</v>
      </c>
      <c r="H1467" s="1363" t="s">
        <v>6899</v>
      </c>
    </row>
    <row r="1468" spans="2:8" x14ac:dyDescent="0.25">
      <c r="B1468" s="1358" t="s">
        <v>6897</v>
      </c>
      <c r="C1468" s="1359" t="s">
        <v>6942</v>
      </c>
      <c r="D1468" s="1360">
        <v>9359</v>
      </c>
      <c r="E1468" s="1361" t="s">
        <v>3814</v>
      </c>
      <c r="F1468" s="1360" t="s">
        <v>266</v>
      </c>
      <c r="G1468" s="1362">
        <v>229075</v>
      </c>
      <c r="H1468" s="1363" t="s">
        <v>6899</v>
      </c>
    </row>
    <row r="1469" spans="2:8" x14ac:dyDescent="0.25">
      <c r="B1469" s="1358" t="s">
        <v>6897</v>
      </c>
      <c r="C1469" s="1359" t="s">
        <v>6942</v>
      </c>
      <c r="D1469" s="1360">
        <v>9360</v>
      </c>
      <c r="E1469" s="1361" t="s">
        <v>3815</v>
      </c>
      <c r="F1469" s="1360" t="s">
        <v>266</v>
      </c>
      <c r="G1469" s="1362">
        <v>120428</v>
      </c>
      <c r="H1469" s="1363" t="s">
        <v>6899</v>
      </c>
    </row>
    <row r="1470" spans="2:8" x14ac:dyDescent="0.25">
      <c r="B1470" s="1358" t="s">
        <v>6897</v>
      </c>
      <c r="C1470" s="1359" t="s">
        <v>6942</v>
      </c>
      <c r="D1470" s="1360">
        <v>9361</v>
      </c>
      <c r="E1470" s="1361" t="s">
        <v>3816</v>
      </c>
      <c r="F1470" s="1360" t="s">
        <v>266</v>
      </c>
      <c r="G1470" s="1362">
        <v>381395</v>
      </c>
      <c r="H1470" s="1363" t="s">
        <v>6899</v>
      </c>
    </row>
    <row r="1471" spans="2:8" x14ac:dyDescent="0.25">
      <c r="B1471" s="1358" t="s">
        <v>6897</v>
      </c>
      <c r="C1471" s="1359" t="s">
        <v>6942</v>
      </c>
      <c r="D1471" s="1360">
        <v>9363</v>
      </c>
      <c r="E1471" s="1361" t="s">
        <v>3817</v>
      </c>
      <c r="F1471" s="1360" t="s">
        <v>266</v>
      </c>
      <c r="G1471" s="1362">
        <v>358190</v>
      </c>
      <c r="H1471" s="1363" t="s">
        <v>6899</v>
      </c>
    </row>
    <row r="1472" spans="2:8" x14ac:dyDescent="0.25">
      <c r="B1472" s="1358" t="s">
        <v>6897</v>
      </c>
      <c r="C1472" s="1359" t="s">
        <v>6942</v>
      </c>
      <c r="D1472" s="1360">
        <v>9364</v>
      </c>
      <c r="E1472" s="1361" t="s">
        <v>3818</v>
      </c>
      <c r="F1472" s="1360" t="s">
        <v>266</v>
      </c>
      <c r="G1472" s="1362">
        <v>678300</v>
      </c>
      <c r="H1472" s="1363" t="s">
        <v>6899</v>
      </c>
    </row>
    <row r="1473" spans="2:8" x14ac:dyDescent="0.25">
      <c r="B1473" s="1358" t="s">
        <v>6897</v>
      </c>
      <c r="C1473" s="1359" t="s">
        <v>6943</v>
      </c>
      <c r="D1473" s="1360">
        <v>9366</v>
      </c>
      <c r="E1473" s="1361" t="s">
        <v>3819</v>
      </c>
      <c r="F1473" s="1360" t="s">
        <v>266</v>
      </c>
      <c r="G1473" s="1362">
        <v>57834</v>
      </c>
      <c r="H1473" s="1363" t="s">
        <v>6899</v>
      </c>
    </row>
    <row r="1474" spans="2:8" x14ac:dyDescent="0.25">
      <c r="B1474" s="1358" t="s">
        <v>6897</v>
      </c>
      <c r="C1474" s="1359" t="s">
        <v>6943</v>
      </c>
      <c r="D1474" s="1360">
        <v>9367</v>
      </c>
      <c r="E1474" s="1361" t="s">
        <v>3820</v>
      </c>
      <c r="F1474" s="1360" t="s">
        <v>266</v>
      </c>
      <c r="G1474" s="1362">
        <v>122831</v>
      </c>
      <c r="H1474" s="1363" t="s">
        <v>6899</v>
      </c>
    </row>
    <row r="1475" spans="2:8" x14ac:dyDescent="0.25">
      <c r="B1475" s="1358" t="s">
        <v>6897</v>
      </c>
      <c r="C1475" s="1359" t="s">
        <v>6943</v>
      </c>
      <c r="D1475" s="1360">
        <v>9368</v>
      </c>
      <c r="E1475" s="1361" t="s">
        <v>3821</v>
      </c>
      <c r="F1475" s="1360" t="s">
        <v>266</v>
      </c>
      <c r="G1475" s="1362">
        <v>53550</v>
      </c>
      <c r="H1475" s="1363" t="s">
        <v>6899</v>
      </c>
    </row>
    <row r="1476" spans="2:8" x14ac:dyDescent="0.25">
      <c r="B1476" s="1358" t="s">
        <v>6897</v>
      </c>
      <c r="C1476" s="1359" t="s">
        <v>6942</v>
      </c>
      <c r="D1476" s="1360">
        <v>9369</v>
      </c>
      <c r="E1476" s="1361" t="s">
        <v>3822</v>
      </c>
      <c r="F1476" s="1360" t="s">
        <v>266</v>
      </c>
      <c r="G1476" s="1362">
        <v>1182265</v>
      </c>
      <c r="H1476" s="1363" t="s">
        <v>6899</v>
      </c>
    </row>
    <row r="1477" spans="2:8" x14ac:dyDescent="0.25">
      <c r="B1477" s="1358" t="s">
        <v>6897</v>
      </c>
      <c r="C1477" s="1359" t="s">
        <v>6943</v>
      </c>
      <c r="D1477" s="1360">
        <v>9370</v>
      </c>
      <c r="E1477" s="1361" t="s">
        <v>3823</v>
      </c>
      <c r="F1477" s="1360" t="s">
        <v>266</v>
      </c>
      <c r="G1477" s="1362">
        <v>1303050</v>
      </c>
      <c r="H1477" s="1363" t="s">
        <v>6899</v>
      </c>
    </row>
    <row r="1478" spans="2:8" x14ac:dyDescent="0.25">
      <c r="B1478" s="1358" t="s">
        <v>6897</v>
      </c>
      <c r="C1478" s="1359" t="s">
        <v>6943</v>
      </c>
      <c r="D1478" s="1360">
        <v>9371</v>
      </c>
      <c r="E1478" s="1361" t="s">
        <v>3824</v>
      </c>
      <c r="F1478" s="1360" t="s">
        <v>266</v>
      </c>
      <c r="G1478" s="1362">
        <v>737800</v>
      </c>
      <c r="H1478" s="1363" t="s">
        <v>6899</v>
      </c>
    </row>
    <row r="1479" spans="2:8" x14ac:dyDescent="0.25">
      <c r="B1479" s="1358" t="s">
        <v>6897</v>
      </c>
      <c r="C1479" s="1359" t="s">
        <v>6943</v>
      </c>
      <c r="D1479" s="1360">
        <v>9373</v>
      </c>
      <c r="E1479" s="1361" t="s">
        <v>3825</v>
      </c>
      <c r="F1479" s="1360" t="s">
        <v>266</v>
      </c>
      <c r="G1479" s="1362">
        <v>209154</v>
      </c>
      <c r="H1479" s="1363" t="s">
        <v>6899</v>
      </c>
    </row>
    <row r="1480" spans="2:8" x14ac:dyDescent="0.25">
      <c r="B1480" s="1358" t="s">
        <v>6897</v>
      </c>
      <c r="C1480" s="1359" t="s">
        <v>6943</v>
      </c>
      <c r="D1480" s="1360">
        <v>9374</v>
      </c>
      <c r="E1480" s="1361" t="s">
        <v>3826</v>
      </c>
      <c r="F1480" s="1360" t="s">
        <v>266</v>
      </c>
      <c r="G1480" s="1362">
        <v>69377</v>
      </c>
      <c r="H1480" s="1363" t="s">
        <v>6899</v>
      </c>
    </row>
    <row r="1481" spans="2:8" x14ac:dyDescent="0.25">
      <c r="B1481" s="1358" t="s">
        <v>6897</v>
      </c>
      <c r="C1481" s="1359" t="s">
        <v>6943</v>
      </c>
      <c r="D1481" s="1360">
        <v>9375</v>
      </c>
      <c r="E1481" s="1361" t="s">
        <v>3827</v>
      </c>
      <c r="F1481" s="1360" t="s">
        <v>266</v>
      </c>
      <c r="G1481" s="1362">
        <v>4046000</v>
      </c>
      <c r="H1481" s="1363" t="s">
        <v>6899</v>
      </c>
    </row>
    <row r="1482" spans="2:8" x14ac:dyDescent="0.25">
      <c r="B1482" s="1358" t="s">
        <v>6897</v>
      </c>
      <c r="C1482" s="1359" t="s">
        <v>6942</v>
      </c>
      <c r="D1482" s="1360">
        <v>9379</v>
      </c>
      <c r="E1482" s="1361" t="s">
        <v>3828</v>
      </c>
      <c r="F1482" s="1360" t="s">
        <v>266</v>
      </c>
      <c r="G1482" s="1362">
        <v>157913</v>
      </c>
      <c r="H1482" s="1363" t="s">
        <v>6899</v>
      </c>
    </row>
    <row r="1483" spans="2:8" x14ac:dyDescent="0.25">
      <c r="B1483" s="1358" t="s">
        <v>6897</v>
      </c>
      <c r="C1483" s="1359" t="s">
        <v>6942</v>
      </c>
      <c r="D1483" s="1360">
        <v>9381</v>
      </c>
      <c r="E1483" s="1361" t="s">
        <v>3829</v>
      </c>
      <c r="F1483" s="1360" t="s">
        <v>266</v>
      </c>
      <c r="G1483" s="1362">
        <v>77588</v>
      </c>
      <c r="H1483" s="1363" t="s">
        <v>6899</v>
      </c>
    </row>
    <row r="1484" spans="2:8" x14ac:dyDescent="0.25">
      <c r="B1484" s="1358" t="s">
        <v>6897</v>
      </c>
      <c r="C1484" s="1359" t="s">
        <v>6942</v>
      </c>
      <c r="D1484" s="1360">
        <v>9383</v>
      </c>
      <c r="E1484" s="1361" t="s">
        <v>3830</v>
      </c>
      <c r="F1484" s="1360" t="s">
        <v>266</v>
      </c>
      <c r="G1484" s="1362">
        <v>202062</v>
      </c>
      <c r="H1484" s="1363" t="s">
        <v>6899</v>
      </c>
    </row>
    <row r="1485" spans="2:8" x14ac:dyDescent="0.25">
      <c r="B1485" s="1358" t="s">
        <v>6897</v>
      </c>
      <c r="C1485" s="1359" t="s">
        <v>6942</v>
      </c>
      <c r="D1485" s="1360">
        <v>9384</v>
      </c>
      <c r="E1485" s="1361" t="s">
        <v>3831</v>
      </c>
      <c r="F1485" s="1360" t="s">
        <v>266</v>
      </c>
      <c r="G1485" s="1362">
        <v>139230</v>
      </c>
      <c r="H1485" s="1363" t="s">
        <v>6899</v>
      </c>
    </row>
    <row r="1486" spans="2:8" x14ac:dyDescent="0.25">
      <c r="B1486" s="1358" t="s">
        <v>6897</v>
      </c>
      <c r="C1486" s="1359" t="s">
        <v>7044</v>
      </c>
      <c r="D1486" s="1360">
        <v>9385</v>
      </c>
      <c r="E1486" s="1361" t="s">
        <v>3832</v>
      </c>
      <c r="F1486" s="1360" t="s">
        <v>266</v>
      </c>
      <c r="G1486" s="1362">
        <v>41650</v>
      </c>
      <c r="H1486" s="1363" t="s">
        <v>6899</v>
      </c>
    </row>
    <row r="1487" spans="2:8" x14ac:dyDescent="0.25">
      <c r="B1487" s="1358" t="s">
        <v>6897</v>
      </c>
      <c r="C1487" s="1359" t="s">
        <v>7044</v>
      </c>
      <c r="D1487" s="1360">
        <v>9386</v>
      </c>
      <c r="E1487" s="1361" t="s">
        <v>3833</v>
      </c>
      <c r="F1487" s="1360" t="s">
        <v>266</v>
      </c>
      <c r="G1487" s="1362">
        <v>47600</v>
      </c>
      <c r="H1487" s="1363" t="s">
        <v>6899</v>
      </c>
    </row>
    <row r="1488" spans="2:8" x14ac:dyDescent="0.25">
      <c r="B1488" s="1358" t="s">
        <v>6897</v>
      </c>
      <c r="C1488" s="1359" t="s">
        <v>6941</v>
      </c>
      <c r="D1488" s="1360">
        <v>9387</v>
      </c>
      <c r="E1488" s="1361" t="s">
        <v>2225</v>
      </c>
      <c r="F1488" s="1360" t="s">
        <v>266</v>
      </c>
      <c r="G1488" s="1362">
        <v>595000</v>
      </c>
      <c r="H1488" s="1363" t="s">
        <v>6899</v>
      </c>
    </row>
    <row r="1489" spans="2:8" x14ac:dyDescent="0.25">
      <c r="B1489" s="1358" t="s">
        <v>6897</v>
      </c>
      <c r="C1489" s="1359" t="s">
        <v>6940</v>
      </c>
      <c r="D1489" s="1360">
        <v>9388</v>
      </c>
      <c r="E1489" s="1361" t="s">
        <v>3834</v>
      </c>
      <c r="F1489" s="1360" t="s">
        <v>266</v>
      </c>
      <c r="G1489" s="1362">
        <v>55930</v>
      </c>
      <c r="H1489" s="1363" t="s">
        <v>6899</v>
      </c>
    </row>
    <row r="1490" spans="2:8" x14ac:dyDescent="0.25">
      <c r="B1490" s="1358" t="s">
        <v>6897</v>
      </c>
      <c r="C1490" s="1359" t="s">
        <v>7045</v>
      </c>
      <c r="D1490" s="1360">
        <v>9389</v>
      </c>
      <c r="E1490" s="1361" t="s">
        <v>3835</v>
      </c>
      <c r="F1490" s="1360" t="s">
        <v>266</v>
      </c>
      <c r="G1490" s="1362">
        <v>345100</v>
      </c>
      <c r="H1490" s="1363" t="s">
        <v>6899</v>
      </c>
    </row>
    <row r="1491" spans="2:8" x14ac:dyDescent="0.25">
      <c r="B1491" s="1358" t="s">
        <v>6897</v>
      </c>
      <c r="C1491" s="1359" t="s">
        <v>7044</v>
      </c>
      <c r="D1491" s="1360">
        <v>9396</v>
      </c>
      <c r="E1491" s="1361" t="s">
        <v>3836</v>
      </c>
      <c r="F1491" s="1360" t="s">
        <v>266</v>
      </c>
      <c r="G1491" s="1362">
        <v>37218</v>
      </c>
      <c r="H1491" s="1363" t="s">
        <v>6899</v>
      </c>
    </row>
    <row r="1492" spans="2:8" x14ac:dyDescent="0.25">
      <c r="B1492" s="1358" t="s">
        <v>6897</v>
      </c>
      <c r="C1492" s="1359" t="s">
        <v>7044</v>
      </c>
      <c r="D1492" s="1360">
        <v>9397</v>
      </c>
      <c r="E1492" s="1361" t="s">
        <v>3837</v>
      </c>
      <c r="F1492" s="1360" t="s">
        <v>266</v>
      </c>
      <c r="G1492" s="1362">
        <v>33415</v>
      </c>
      <c r="H1492" s="1363" t="s">
        <v>6899</v>
      </c>
    </row>
    <row r="1493" spans="2:8" x14ac:dyDescent="0.25">
      <c r="B1493" s="1358" t="s">
        <v>6897</v>
      </c>
      <c r="C1493" s="1359" t="s">
        <v>7044</v>
      </c>
      <c r="D1493" s="1360">
        <v>9398</v>
      </c>
      <c r="E1493" s="1361" t="s">
        <v>3838</v>
      </c>
      <c r="F1493" s="1360" t="s">
        <v>266</v>
      </c>
      <c r="G1493" s="1362">
        <v>105375</v>
      </c>
      <c r="H1493" s="1363" t="s">
        <v>6899</v>
      </c>
    </row>
    <row r="1494" spans="2:8" x14ac:dyDescent="0.25">
      <c r="B1494" s="1358" t="s">
        <v>6897</v>
      </c>
      <c r="C1494" s="1359" t="s">
        <v>7044</v>
      </c>
      <c r="D1494" s="1360">
        <v>9401</v>
      </c>
      <c r="E1494" s="1361" t="s">
        <v>3839</v>
      </c>
      <c r="F1494" s="1360" t="s">
        <v>266</v>
      </c>
      <c r="G1494" s="1362">
        <v>61166</v>
      </c>
      <c r="H1494" s="1363" t="s">
        <v>6899</v>
      </c>
    </row>
    <row r="1495" spans="2:8" x14ac:dyDescent="0.25">
      <c r="B1495" s="1358" t="s">
        <v>6897</v>
      </c>
      <c r="C1495" s="1359" t="s">
        <v>7044</v>
      </c>
      <c r="D1495" s="1360">
        <v>9402</v>
      </c>
      <c r="E1495" s="1361" t="s">
        <v>3840</v>
      </c>
      <c r="F1495" s="1360" t="s">
        <v>266</v>
      </c>
      <c r="G1495" s="1362">
        <v>41650</v>
      </c>
      <c r="H1495" s="1363" t="s">
        <v>6899</v>
      </c>
    </row>
    <row r="1496" spans="2:8" x14ac:dyDescent="0.25">
      <c r="B1496" s="1358" t="s">
        <v>6897</v>
      </c>
      <c r="C1496" s="1359" t="s">
        <v>7044</v>
      </c>
      <c r="D1496" s="1360">
        <v>9404</v>
      </c>
      <c r="E1496" s="1361" t="s">
        <v>3841</v>
      </c>
      <c r="F1496" s="1360" t="s">
        <v>266</v>
      </c>
      <c r="G1496" s="1362">
        <v>79730</v>
      </c>
      <c r="H1496" s="1363" t="s">
        <v>6899</v>
      </c>
    </row>
    <row r="1497" spans="2:8" x14ac:dyDescent="0.25">
      <c r="B1497" s="1358" t="s">
        <v>6897</v>
      </c>
      <c r="C1497" s="1359" t="s">
        <v>7044</v>
      </c>
      <c r="D1497" s="1360">
        <v>9405</v>
      </c>
      <c r="E1497" s="1361" t="s">
        <v>3842</v>
      </c>
      <c r="F1497" s="1360" t="s">
        <v>266</v>
      </c>
      <c r="G1497" s="1362">
        <v>269892</v>
      </c>
      <c r="H1497" s="1363" t="s">
        <v>6899</v>
      </c>
    </row>
    <row r="1498" spans="2:8" x14ac:dyDescent="0.25">
      <c r="B1498" s="1358" t="s">
        <v>6897</v>
      </c>
      <c r="C1498" s="1359" t="s">
        <v>6940</v>
      </c>
      <c r="D1498" s="1360">
        <v>9407</v>
      </c>
      <c r="E1498" s="1361" t="s">
        <v>3843</v>
      </c>
      <c r="F1498" s="1360" t="s">
        <v>266</v>
      </c>
      <c r="G1498" s="1362">
        <v>130900</v>
      </c>
      <c r="H1498" s="1363" t="s">
        <v>6899</v>
      </c>
    </row>
    <row r="1499" spans="2:8" x14ac:dyDescent="0.25">
      <c r="B1499" s="1358" t="s">
        <v>6897</v>
      </c>
      <c r="C1499" s="1359" t="s">
        <v>6992</v>
      </c>
      <c r="D1499" s="1360">
        <v>9408</v>
      </c>
      <c r="E1499" s="1361" t="s">
        <v>2226</v>
      </c>
      <c r="F1499" s="1360" t="s">
        <v>266</v>
      </c>
      <c r="G1499" s="1362">
        <v>199702</v>
      </c>
      <c r="H1499" s="1363" t="s">
        <v>3538</v>
      </c>
    </row>
    <row r="1500" spans="2:8" x14ac:dyDescent="0.25">
      <c r="B1500" s="1358" t="s">
        <v>6897</v>
      </c>
      <c r="C1500" s="1359" t="s">
        <v>6992</v>
      </c>
      <c r="D1500" s="1360">
        <v>9409</v>
      </c>
      <c r="E1500" s="1361" t="s">
        <v>2227</v>
      </c>
      <c r="F1500" s="1360" t="s">
        <v>266</v>
      </c>
      <c r="G1500" s="1362">
        <v>180511</v>
      </c>
      <c r="H1500" s="1363" t="s">
        <v>3538</v>
      </c>
    </row>
    <row r="1501" spans="2:8" x14ac:dyDescent="0.25">
      <c r="B1501" s="1358" t="s">
        <v>6897</v>
      </c>
      <c r="C1501" s="1359" t="s">
        <v>1798</v>
      </c>
      <c r="D1501" s="1360">
        <v>9413</v>
      </c>
      <c r="E1501" s="1361" t="s">
        <v>2228</v>
      </c>
      <c r="F1501" s="1360" t="s">
        <v>6</v>
      </c>
      <c r="G1501" s="1362">
        <v>6486</v>
      </c>
      <c r="H1501" s="1363" t="s">
        <v>6899</v>
      </c>
    </row>
    <row r="1502" spans="2:8" x14ac:dyDescent="0.25">
      <c r="B1502" s="1358" t="s">
        <v>6897</v>
      </c>
      <c r="C1502" s="1359" t="s">
        <v>6992</v>
      </c>
      <c r="D1502" s="1360">
        <v>9414</v>
      </c>
      <c r="E1502" s="1361" t="s">
        <v>2229</v>
      </c>
      <c r="F1502" s="1360" t="s">
        <v>266</v>
      </c>
      <c r="G1502" s="1362">
        <v>34900</v>
      </c>
      <c r="H1502" s="1363" t="s">
        <v>3538</v>
      </c>
    </row>
    <row r="1503" spans="2:8" x14ac:dyDescent="0.25">
      <c r="B1503" s="1358" t="s">
        <v>6897</v>
      </c>
      <c r="C1503" s="1359" t="s">
        <v>6913</v>
      </c>
      <c r="D1503" s="1360">
        <v>9423</v>
      </c>
      <c r="E1503" s="1361" t="s">
        <v>3844</v>
      </c>
      <c r="F1503" s="1360" t="s">
        <v>677</v>
      </c>
      <c r="G1503" s="1362">
        <v>3559147</v>
      </c>
      <c r="H1503" s="1363" t="s">
        <v>3548</v>
      </c>
    </row>
    <row r="1504" spans="2:8" x14ac:dyDescent="0.25">
      <c r="B1504" s="1358" t="s">
        <v>6897</v>
      </c>
      <c r="C1504" s="1359" t="s">
        <v>6913</v>
      </c>
      <c r="D1504" s="1360">
        <v>9424</v>
      </c>
      <c r="E1504" s="1361" t="s">
        <v>3845</v>
      </c>
      <c r="F1504" s="1360" t="s">
        <v>677</v>
      </c>
      <c r="G1504" s="1362">
        <v>2147411</v>
      </c>
      <c r="H1504" s="1363" t="s">
        <v>3548</v>
      </c>
    </row>
    <row r="1505" spans="2:8" x14ac:dyDescent="0.25">
      <c r="B1505" s="1358" t="s">
        <v>6897</v>
      </c>
      <c r="C1505" s="1359" t="s">
        <v>7046</v>
      </c>
      <c r="D1505" s="1360">
        <v>9427</v>
      </c>
      <c r="E1505" s="1361" t="s">
        <v>3846</v>
      </c>
      <c r="F1505" s="1360" t="s">
        <v>266</v>
      </c>
      <c r="G1505" s="1362">
        <v>11900</v>
      </c>
      <c r="H1505" s="1363" t="s">
        <v>3548</v>
      </c>
    </row>
    <row r="1506" spans="2:8" x14ac:dyDescent="0.25">
      <c r="B1506" s="1358" t="s">
        <v>6897</v>
      </c>
      <c r="C1506" s="1359" t="s">
        <v>7047</v>
      </c>
      <c r="D1506" s="1360">
        <v>9428</v>
      </c>
      <c r="E1506" s="1361" t="s">
        <v>2230</v>
      </c>
      <c r="F1506" s="1360" t="s">
        <v>266</v>
      </c>
      <c r="G1506" s="1362">
        <v>22184</v>
      </c>
      <c r="H1506" s="1363" t="s">
        <v>3548</v>
      </c>
    </row>
    <row r="1507" spans="2:8" x14ac:dyDescent="0.25">
      <c r="B1507" s="1358" t="s">
        <v>6897</v>
      </c>
      <c r="C1507" s="1359" t="s">
        <v>6937</v>
      </c>
      <c r="D1507" s="1360">
        <v>9433</v>
      </c>
      <c r="E1507" s="1361" t="s">
        <v>3847</v>
      </c>
      <c r="F1507" s="1360" t="s">
        <v>266</v>
      </c>
      <c r="G1507" s="1362">
        <v>167076</v>
      </c>
      <c r="H1507" s="1363" t="s">
        <v>6899</v>
      </c>
    </row>
    <row r="1508" spans="2:8" x14ac:dyDescent="0.25">
      <c r="B1508" s="1358" t="s">
        <v>6897</v>
      </c>
      <c r="C1508" s="1359" t="s">
        <v>6993</v>
      </c>
      <c r="D1508" s="1360">
        <v>9434</v>
      </c>
      <c r="E1508" s="1361" t="s">
        <v>2231</v>
      </c>
      <c r="F1508" s="1360" t="s">
        <v>6</v>
      </c>
      <c r="G1508" s="1362">
        <v>381</v>
      </c>
      <c r="H1508" s="1363" t="s">
        <v>6899</v>
      </c>
    </row>
    <row r="1509" spans="2:8" x14ac:dyDescent="0.25">
      <c r="B1509" s="1358" t="s">
        <v>6897</v>
      </c>
      <c r="C1509" s="1359" t="s">
        <v>6928</v>
      </c>
      <c r="D1509" s="1360">
        <v>9437</v>
      </c>
      <c r="E1509" s="1361" t="s">
        <v>3848</v>
      </c>
      <c r="F1509" s="1360" t="s">
        <v>266</v>
      </c>
      <c r="G1509" s="1362">
        <v>721810</v>
      </c>
      <c r="H1509" s="1363" t="s">
        <v>6899</v>
      </c>
    </row>
    <row r="1510" spans="2:8" x14ac:dyDescent="0.25">
      <c r="B1510" s="1358" t="s">
        <v>6897</v>
      </c>
      <c r="C1510" s="1359" t="s">
        <v>6922</v>
      </c>
      <c r="D1510" s="1360">
        <v>9441</v>
      </c>
      <c r="E1510" s="1361" t="s">
        <v>2232</v>
      </c>
      <c r="F1510" s="1360" t="s">
        <v>266</v>
      </c>
      <c r="G1510" s="1362">
        <v>1011500</v>
      </c>
      <c r="H1510" s="1363" t="s">
        <v>3538</v>
      </c>
    </row>
    <row r="1511" spans="2:8" x14ac:dyDescent="0.25">
      <c r="B1511" s="1358" t="s">
        <v>6897</v>
      </c>
      <c r="C1511" s="1359" t="s">
        <v>6938</v>
      </c>
      <c r="D1511" s="1360">
        <v>9443</v>
      </c>
      <c r="E1511" s="1361" t="s">
        <v>3849</v>
      </c>
      <c r="F1511" s="1360" t="s">
        <v>266</v>
      </c>
      <c r="G1511" s="1362">
        <v>1773100</v>
      </c>
      <c r="H1511" s="1363" t="s">
        <v>6899</v>
      </c>
    </row>
    <row r="1512" spans="2:8" x14ac:dyDescent="0.25">
      <c r="B1512" s="1358" t="s">
        <v>6897</v>
      </c>
      <c r="C1512" s="1359" t="s">
        <v>6943</v>
      </c>
      <c r="D1512" s="1360">
        <v>9444</v>
      </c>
      <c r="E1512" s="1361" t="s">
        <v>3850</v>
      </c>
      <c r="F1512" s="1360" t="s">
        <v>266</v>
      </c>
      <c r="G1512" s="1362">
        <v>196469</v>
      </c>
      <c r="H1512" s="1363" t="s">
        <v>6899</v>
      </c>
    </row>
    <row r="1513" spans="2:8" x14ac:dyDescent="0.25">
      <c r="B1513" s="1358" t="s">
        <v>6897</v>
      </c>
      <c r="C1513" s="1359" t="s">
        <v>6943</v>
      </c>
      <c r="D1513" s="1360">
        <v>9445</v>
      </c>
      <c r="E1513" s="1361" t="s">
        <v>3851</v>
      </c>
      <c r="F1513" s="1360" t="s">
        <v>266</v>
      </c>
      <c r="G1513" s="1362">
        <v>265370</v>
      </c>
      <c r="H1513" s="1363" t="s">
        <v>6899</v>
      </c>
    </row>
    <row r="1514" spans="2:8" x14ac:dyDescent="0.25">
      <c r="B1514" s="1358" t="s">
        <v>6897</v>
      </c>
      <c r="C1514" s="1359" t="s">
        <v>6943</v>
      </c>
      <c r="D1514" s="1360">
        <v>9446</v>
      </c>
      <c r="E1514" s="1361" t="s">
        <v>3852</v>
      </c>
      <c r="F1514" s="1360" t="s">
        <v>266</v>
      </c>
      <c r="G1514" s="1362">
        <v>77350</v>
      </c>
      <c r="H1514" s="1363" t="s">
        <v>6899</v>
      </c>
    </row>
    <row r="1515" spans="2:8" x14ac:dyDescent="0.25">
      <c r="B1515" s="1358" t="s">
        <v>6897</v>
      </c>
      <c r="C1515" s="1359" t="s">
        <v>6943</v>
      </c>
      <c r="D1515" s="1360">
        <v>9447</v>
      </c>
      <c r="E1515" s="1361" t="s">
        <v>3853</v>
      </c>
      <c r="F1515" s="1360" t="s">
        <v>266</v>
      </c>
      <c r="G1515" s="1362">
        <v>1731450</v>
      </c>
      <c r="H1515" s="1363" t="s">
        <v>6899</v>
      </c>
    </row>
    <row r="1516" spans="2:8" x14ac:dyDescent="0.25">
      <c r="B1516" s="1358" t="s">
        <v>6897</v>
      </c>
      <c r="C1516" s="1359" t="s">
        <v>6942</v>
      </c>
      <c r="D1516" s="1360">
        <v>9448</v>
      </c>
      <c r="E1516" s="1361" t="s">
        <v>3854</v>
      </c>
      <c r="F1516" s="1360" t="s">
        <v>266</v>
      </c>
      <c r="G1516" s="1362">
        <v>236215</v>
      </c>
      <c r="H1516" s="1363" t="s">
        <v>6899</v>
      </c>
    </row>
    <row r="1517" spans="2:8" x14ac:dyDescent="0.25">
      <c r="B1517" s="1358" t="s">
        <v>6897</v>
      </c>
      <c r="C1517" s="1359" t="s">
        <v>6942</v>
      </c>
      <c r="D1517" s="1360">
        <v>9449</v>
      </c>
      <c r="E1517" s="1361" t="s">
        <v>3855</v>
      </c>
      <c r="F1517" s="1360" t="s">
        <v>266</v>
      </c>
      <c r="G1517" s="1362">
        <v>64730</v>
      </c>
      <c r="H1517" s="1363" t="s">
        <v>6899</v>
      </c>
    </row>
    <row r="1518" spans="2:8" x14ac:dyDescent="0.25">
      <c r="B1518" s="1358" t="s">
        <v>6897</v>
      </c>
      <c r="C1518" s="1359" t="s">
        <v>6942</v>
      </c>
      <c r="D1518" s="1360">
        <v>9450</v>
      </c>
      <c r="E1518" s="1361" t="s">
        <v>3856</v>
      </c>
      <c r="F1518" s="1360" t="s">
        <v>266</v>
      </c>
      <c r="G1518" s="1362">
        <v>148155</v>
      </c>
      <c r="H1518" s="1363" t="s">
        <v>6899</v>
      </c>
    </row>
    <row r="1519" spans="2:8" x14ac:dyDescent="0.25">
      <c r="B1519" s="1358" t="s">
        <v>6897</v>
      </c>
      <c r="C1519" s="1359" t="s">
        <v>6942</v>
      </c>
      <c r="D1519" s="1360">
        <v>9451</v>
      </c>
      <c r="E1519" s="1361" t="s">
        <v>3857</v>
      </c>
      <c r="F1519" s="1360" t="s">
        <v>266</v>
      </c>
      <c r="G1519" s="1362">
        <v>84490</v>
      </c>
      <c r="H1519" s="1363" t="s">
        <v>6899</v>
      </c>
    </row>
    <row r="1520" spans="2:8" x14ac:dyDescent="0.25">
      <c r="B1520" s="1358" t="s">
        <v>6897</v>
      </c>
      <c r="C1520" s="1359" t="s">
        <v>6942</v>
      </c>
      <c r="D1520" s="1360">
        <v>9452</v>
      </c>
      <c r="E1520" s="1361" t="s">
        <v>3858</v>
      </c>
      <c r="F1520" s="1360" t="s">
        <v>266</v>
      </c>
      <c r="G1520" s="1362">
        <v>69020</v>
      </c>
      <c r="H1520" s="1363" t="s">
        <v>6899</v>
      </c>
    </row>
    <row r="1521" spans="2:8" x14ac:dyDescent="0.25">
      <c r="B1521" s="1358" t="s">
        <v>6897</v>
      </c>
      <c r="C1521" s="1359" t="s">
        <v>6942</v>
      </c>
      <c r="D1521" s="1360">
        <v>9453</v>
      </c>
      <c r="E1521" s="1361" t="s">
        <v>3859</v>
      </c>
      <c r="F1521" s="1360" t="s">
        <v>266</v>
      </c>
      <c r="G1521" s="1362">
        <v>273700</v>
      </c>
      <c r="H1521" s="1363" t="s">
        <v>6899</v>
      </c>
    </row>
    <row r="1522" spans="2:8" x14ac:dyDescent="0.25">
      <c r="B1522" s="1358" t="s">
        <v>6897</v>
      </c>
      <c r="C1522" s="1359" t="s">
        <v>6940</v>
      </c>
      <c r="D1522" s="1360">
        <v>9454</v>
      </c>
      <c r="E1522" s="1361" t="s">
        <v>3860</v>
      </c>
      <c r="F1522" s="1360" t="s">
        <v>266</v>
      </c>
      <c r="G1522" s="1362">
        <v>59500</v>
      </c>
      <c r="H1522" s="1363" t="s">
        <v>6899</v>
      </c>
    </row>
    <row r="1523" spans="2:8" x14ac:dyDescent="0.25">
      <c r="B1523" s="1358" t="s">
        <v>6897</v>
      </c>
      <c r="C1523" s="1359" t="s">
        <v>6913</v>
      </c>
      <c r="D1523" s="1360">
        <v>9455</v>
      </c>
      <c r="E1523" s="1361" t="s">
        <v>3861</v>
      </c>
      <c r="F1523" s="1360" t="s">
        <v>677</v>
      </c>
      <c r="G1523" s="1362">
        <v>1300000</v>
      </c>
      <c r="H1523" s="1363" t="s">
        <v>3548</v>
      </c>
    </row>
    <row r="1524" spans="2:8" x14ac:dyDescent="0.25">
      <c r="B1524" s="1358" t="s">
        <v>6897</v>
      </c>
      <c r="C1524" s="1359" t="s">
        <v>7006</v>
      </c>
      <c r="D1524" s="1360">
        <v>9456</v>
      </c>
      <c r="E1524" s="1361" t="s">
        <v>3862</v>
      </c>
      <c r="F1524" s="1360" t="s">
        <v>677</v>
      </c>
      <c r="G1524" s="1362">
        <v>5954250</v>
      </c>
      <c r="H1524" s="1363" t="s">
        <v>3548</v>
      </c>
    </row>
    <row r="1525" spans="2:8" x14ac:dyDescent="0.25">
      <c r="B1525" s="1358" t="s">
        <v>6897</v>
      </c>
      <c r="C1525" s="1359" t="s">
        <v>6913</v>
      </c>
      <c r="D1525" s="1360">
        <v>9457</v>
      </c>
      <c r="E1525" s="1361" t="s">
        <v>3863</v>
      </c>
      <c r="F1525" s="1360" t="s">
        <v>677</v>
      </c>
      <c r="G1525" s="1362">
        <v>3318300</v>
      </c>
      <c r="H1525" s="1363" t="s">
        <v>3548</v>
      </c>
    </row>
    <row r="1526" spans="2:8" x14ac:dyDescent="0.25">
      <c r="B1526" s="1358" t="s">
        <v>6897</v>
      </c>
      <c r="C1526" s="1359" t="s">
        <v>6913</v>
      </c>
      <c r="D1526" s="1360">
        <v>9459</v>
      </c>
      <c r="E1526" s="1361" t="s">
        <v>3864</v>
      </c>
      <c r="F1526" s="1360" t="s">
        <v>677</v>
      </c>
      <c r="G1526" s="1362">
        <v>2688000</v>
      </c>
      <c r="H1526" s="1363" t="s">
        <v>3548</v>
      </c>
    </row>
    <row r="1527" spans="2:8" x14ac:dyDescent="0.25">
      <c r="B1527" s="1358" t="s">
        <v>6897</v>
      </c>
      <c r="C1527" s="1359" t="s">
        <v>6913</v>
      </c>
      <c r="D1527" s="1360">
        <v>9460</v>
      </c>
      <c r="E1527" s="1361" t="s">
        <v>3865</v>
      </c>
      <c r="F1527" s="1360" t="s">
        <v>677</v>
      </c>
      <c r="G1527" s="1362">
        <v>1798000</v>
      </c>
      <c r="H1527" s="1363" t="s">
        <v>3548</v>
      </c>
    </row>
    <row r="1528" spans="2:8" x14ac:dyDescent="0.25">
      <c r="B1528" s="1358" t="s">
        <v>6897</v>
      </c>
      <c r="C1528" s="1359" t="s">
        <v>6913</v>
      </c>
      <c r="D1528" s="1360">
        <v>9461</v>
      </c>
      <c r="E1528" s="1361" t="s">
        <v>3866</v>
      </c>
      <c r="F1528" s="1360" t="s">
        <v>677</v>
      </c>
      <c r="G1528" s="1362">
        <v>1950000</v>
      </c>
      <c r="H1528" s="1363" t="s">
        <v>3548</v>
      </c>
    </row>
    <row r="1529" spans="2:8" x14ac:dyDescent="0.25">
      <c r="B1529" s="1358" t="s">
        <v>6897</v>
      </c>
      <c r="C1529" s="1359" t="s">
        <v>6913</v>
      </c>
      <c r="D1529" s="1360">
        <v>9462</v>
      </c>
      <c r="E1529" s="1361" t="s">
        <v>3867</v>
      </c>
      <c r="F1529" s="1360" t="s">
        <v>677</v>
      </c>
      <c r="G1529" s="1362">
        <v>2275000</v>
      </c>
      <c r="H1529" s="1363" t="s">
        <v>3548</v>
      </c>
    </row>
    <row r="1530" spans="2:8" x14ac:dyDescent="0.25">
      <c r="B1530" s="1358" t="s">
        <v>6897</v>
      </c>
      <c r="C1530" s="1359" t="s">
        <v>6913</v>
      </c>
      <c r="D1530" s="1360">
        <v>9463</v>
      </c>
      <c r="E1530" s="1361" t="s">
        <v>3868</v>
      </c>
      <c r="F1530" s="1360" t="s">
        <v>677</v>
      </c>
      <c r="G1530" s="1362">
        <v>2275000</v>
      </c>
      <c r="H1530" s="1363" t="s">
        <v>3548</v>
      </c>
    </row>
    <row r="1531" spans="2:8" x14ac:dyDescent="0.25">
      <c r="B1531" s="1358" t="s">
        <v>6897</v>
      </c>
      <c r="C1531" s="1359" t="s">
        <v>6913</v>
      </c>
      <c r="D1531" s="1360">
        <v>9464</v>
      </c>
      <c r="E1531" s="1361" t="s">
        <v>3869</v>
      </c>
      <c r="F1531" s="1360" t="s">
        <v>677</v>
      </c>
      <c r="G1531" s="1362">
        <v>2600000</v>
      </c>
      <c r="H1531" s="1363" t="s">
        <v>3548</v>
      </c>
    </row>
    <row r="1532" spans="2:8" x14ac:dyDescent="0.25">
      <c r="B1532" s="1358" t="s">
        <v>6897</v>
      </c>
      <c r="C1532" s="1359" t="s">
        <v>6913</v>
      </c>
      <c r="D1532" s="1360">
        <v>9465</v>
      </c>
      <c r="E1532" s="1361" t="s">
        <v>3870</v>
      </c>
      <c r="F1532" s="1360" t="s">
        <v>677</v>
      </c>
      <c r="G1532" s="1362">
        <v>24924127</v>
      </c>
      <c r="H1532" s="1363" t="s">
        <v>3548</v>
      </c>
    </row>
    <row r="1533" spans="2:8" x14ac:dyDescent="0.25">
      <c r="B1533" s="1358" t="s">
        <v>6897</v>
      </c>
      <c r="C1533" s="1359" t="s">
        <v>6913</v>
      </c>
      <c r="D1533" s="1360">
        <v>9466</v>
      </c>
      <c r="E1533" s="1361" t="s">
        <v>3871</v>
      </c>
      <c r="F1533" s="1360" t="s">
        <v>677</v>
      </c>
      <c r="G1533" s="1362">
        <v>17385981</v>
      </c>
      <c r="H1533" s="1363" t="s">
        <v>3548</v>
      </c>
    </row>
    <row r="1534" spans="2:8" x14ac:dyDescent="0.25">
      <c r="B1534" s="1358" t="s">
        <v>6897</v>
      </c>
      <c r="C1534" s="1359" t="s">
        <v>6913</v>
      </c>
      <c r="D1534" s="1360">
        <v>9467</v>
      </c>
      <c r="E1534" s="1361" t="s">
        <v>3872</v>
      </c>
      <c r="F1534" s="1360" t="s">
        <v>677</v>
      </c>
      <c r="G1534" s="1362">
        <v>14676897</v>
      </c>
      <c r="H1534" s="1363" t="s">
        <v>3548</v>
      </c>
    </row>
    <row r="1535" spans="2:8" x14ac:dyDescent="0.25">
      <c r="B1535" s="1358" t="s">
        <v>6897</v>
      </c>
      <c r="C1535" s="1359" t="s">
        <v>6913</v>
      </c>
      <c r="D1535" s="1360">
        <v>9468</v>
      </c>
      <c r="E1535" s="1361" t="s">
        <v>3873</v>
      </c>
      <c r="F1535" s="1360" t="s">
        <v>677</v>
      </c>
      <c r="G1535" s="1362">
        <v>12502101</v>
      </c>
      <c r="H1535" s="1363" t="s">
        <v>3548</v>
      </c>
    </row>
    <row r="1536" spans="2:8" x14ac:dyDescent="0.25">
      <c r="B1536" s="1358" t="s">
        <v>6897</v>
      </c>
      <c r="C1536" s="1359" t="s">
        <v>6913</v>
      </c>
      <c r="D1536" s="1360">
        <v>9469</v>
      </c>
      <c r="E1536" s="1361" t="s">
        <v>3874</v>
      </c>
      <c r="F1536" s="1360" t="s">
        <v>677</v>
      </c>
      <c r="G1536" s="1362">
        <v>11280046</v>
      </c>
      <c r="H1536" s="1363" t="s">
        <v>3548</v>
      </c>
    </row>
    <row r="1537" spans="2:8" x14ac:dyDescent="0.25">
      <c r="B1537" s="1358" t="s">
        <v>6897</v>
      </c>
      <c r="C1537" s="1359" t="s">
        <v>6913</v>
      </c>
      <c r="D1537" s="1360">
        <v>9470</v>
      </c>
      <c r="E1537" s="1361" t="s">
        <v>3875</v>
      </c>
      <c r="F1537" s="1360" t="s">
        <v>677</v>
      </c>
      <c r="G1537" s="1362">
        <v>10062335</v>
      </c>
      <c r="H1537" s="1363" t="s">
        <v>3548</v>
      </c>
    </row>
    <row r="1538" spans="2:8" x14ac:dyDescent="0.25">
      <c r="B1538" s="1358" t="s">
        <v>6897</v>
      </c>
      <c r="C1538" s="1359" t="s">
        <v>6913</v>
      </c>
      <c r="D1538" s="1360">
        <v>9471</v>
      </c>
      <c r="E1538" s="1361" t="s">
        <v>3876</v>
      </c>
      <c r="F1538" s="1360" t="s">
        <v>677</v>
      </c>
      <c r="G1538" s="1362">
        <v>7616775</v>
      </c>
      <c r="H1538" s="1363" t="s">
        <v>3548</v>
      </c>
    </row>
    <row r="1539" spans="2:8" x14ac:dyDescent="0.25">
      <c r="B1539" s="1358" t="s">
        <v>6897</v>
      </c>
      <c r="C1539" s="1359" t="s">
        <v>6913</v>
      </c>
      <c r="D1539" s="1360">
        <v>9472</v>
      </c>
      <c r="E1539" s="1361" t="s">
        <v>3877</v>
      </c>
      <c r="F1539" s="1360" t="s">
        <v>677</v>
      </c>
      <c r="G1539" s="1362">
        <v>7189634</v>
      </c>
      <c r="H1539" s="1363" t="s">
        <v>3548</v>
      </c>
    </row>
    <row r="1540" spans="2:8" x14ac:dyDescent="0.25">
      <c r="B1540" s="1358" t="s">
        <v>6897</v>
      </c>
      <c r="C1540" s="1359" t="s">
        <v>6913</v>
      </c>
      <c r="D1540" s="1360">
        <v>9473</v>
      </c>
      <c r="E1540" s="1361" t="s">
        <v>3878</v>
      </c>
      <c r="F1540" s="1360" t="s">
        <v>677</v>
      </c>
      <c r="G1540" s="1362">
        <v>4725253</v>
      </c>
      <c r="H1540" s="1363" t="s">
        <v>3548</v>
      </c>
    </row>
    <row r="1541" spans="2:8" x14ac:dyDescent="0.25">
      <c r="B1541" s="1358" t="s">
        <v>6897</v>
      </c>
      <c r="C1541" s="1359" t="s">
        <v>6913</v>
      </c>
      <c r="D1541" s="1360">
        <v>9474</v>
      </c>
      <c r="E1541" s="1361" t="s">
        <v>3879</v>
      </c>
      <c r="F1541" s="1360" t="s">
        <v>677</v>
      </c>
      <c r="G1541" s="1362">
        <v>4157662</v>
      </c>
      <c r="H1541" s="1363" t="s">
        <v>3548</v>
      </c>
    </row>
    <row r="1542" spans="2:8" x14ac:dyDescent="0.25">
      <c r="B1542" s="1358" t="s">
        <v>6897</v>
      </c>
      <c r="C1542" s="1359" t="s">
        <v>6913</v>
      </c>
      <c r="D1542" s="1360">
        <v>9475</v>
      </c>
      <c r="E1542" s="1361" t="s">
        <v>3880</v>
      </c>
      <c r="F1542" s="1360" t="s">
        <v>677</v>
      </c>
      <c r="G1542" s="1362">
        <v>4358925</v>
      </c>
      <c r="H1542" s="1363" t="s">
        <v>3548</v>
      </c>
    </row>
    <row r="1543" spans="2:8" x14ac:dyDescent="0.25">
      <c r="B1543" s="1358" t="s">
        <v>6897</v>
      </c>
      <c r="C1543" s="1359" t="s">
        <v>6913</v>
      </c>
      <c r="D1543" s="1360">
        <v>9476</v>
      </c>
      <c r="E1543" s="1361" t="s">
        <v>3881</v>
      </c>
      <c r="F1543" s="1360" t="s">
        <v>677</v>
      </c>
      <c r="G1543" s="1362">
        <v>3760408</v>
      </c>
      <c r="H1543" s="1363" t="s">
        <v>3548</v>
      </c>
    </row>
    <row r="1544" spans="2:8" x14ac:dyDescent="0.25">
      <c r="B1544" s="1358" t="s">
        <v>6897</v>
      </c>
      <c r="C1544" s="1359" t="s">
        <v>6913</v>
      </c>
      <c r="D1544" s="1360">
        <v>9477</v>
      </c>
      <c r="E1544" s="1361" t="s">
        <v>3882</v>
      </c>
      <c r="F1544" s="1360" t="s">
        <v>677</v>
      </c>
      <c r="G1544" s="1362">
        <v>4925067</v>
      </c>
      <c r="H1544" s="1363" t="s">
        <v>3548</v>
      </c>
    </row>
    <row r="1545" spans="2:8" x14ac:dyDescent="0.25">
      <c r="B1545" s="1358" t="s">
        <v>6897</v>
      </c>
      <c r="C1545" s="1359" t="s">
        <v>6913</v>
      </c>
      <c r="D1545" s="1360">
        <v>9478</v>
      </c>
      <c r="E1545" s="1361" t="s">
        <v>3883</v>
      </c>
      <c r="F1545" s="1360" t="s">
        <v>677</v>
      </c>
      <c r="G1545" s="1362">
        <v>4044724</v>
      </c>
      <c r="H1545" s="1363" t="s">
        <v>3548</v>
      </c>
    </row>
    <row r="1546" spans="2:8" x14ac:dyDescent="0.25">
      <c r="B1546" s="1358" t="s">
        <v>6897</v>
      </c>
      <c r="C1546" s="1359" t="s">
        <v>6913</v>
      </c>
      <c r="D1546" s="1360">
        <v>9479</v>
      </c>
      <c r="E1546" s="1361" t="s">
        <v>3884</v>
      </c>
      <c r="F1546" s="1360" t="s">
        <v>677</v>
      </c>
      <c r="G1546" s="1362">
        <v>4925067</v>
      </c>
      <c r="H1546" s="1363" t="s">
        <v>3548</v>
      </c>
    </row>
    <row r="1547" spans="2:8" x14ac:dyDescent="0.25">
      <c r="B1547" s="1358" t="s">
        <v>6897</v>
      </c>
      <c r="C1547" s="1359" t="s">
        <v>6913</v>
      </c>
      <c r="D1547" s="1360">
        <v>9480</v>
      </c>
      <c r="E1547" s="1361" t="s">
        <v>3885</v>
      </c>
      <c r="F1547" s="1360" t="s">
        <v>677</v>
      </c>
      <c r="G1547" s="1362">
        <v>4044724</v>
      </c>
      <c r="H1547" s="1363" t="s">
        <v>3548</v>
      </c>
    </row>
    <row r="1548" spans="2:8" x14ac:dyDescent="0.25">
      <c r="B1548" s="1358" t="s">
        <v>6897</v>
      </c>
      <c r="C1548" s="1359" t="s">
        <v>6913</v>
      </c>
      <c r="D1548" s="1360">
        <v>9481</v>
      </c>
      <c r="E1548" s="1361" t="s">
        <v>3886</v>
      </c>
      <c r="F1548" s="1360" t="s">
        <v>677</v>
      </c>
      <c r="G1548" s="1362">
        <v>4366164</v>
      </c>
      <c r="H1548" s="1363" t="s">
        <v>3548</v>
      </c>
    </row>
    <row r="1549" spans="2:8" x14ac:dyDescent="0.25">
      <c r="B1549" s="1358" t="s">
        <v>6897</v>
      </c>
      <c r="C1549" s="1359" t="s">
        <v>6913</v>
      </c>
      <c r="D1549" s="1360">
        <v>9482</v>
      </c>
      <c r="E1549" s="1361" t="s">
        <v>3887</v>
      </c>
      <c r="F1549" s="1360" t="s">
        <v>677</v>
      </c>
      <c r="G1549" s="1362">
        <v>3298518</v>
      </c>
      <c r="H1549" s="1363" t="s">
        <v>3548</v>
      </c>
    </row>
    <row r="1550" spans="2:8" x14ac:dyDescent="0.25">
      <c r="B1550" s="1358" t="s">
        <v>6897</v>
      </c>
      <c r="C1550" s="1359" t="s">
        <v>6913</v>
      </c>
      <c r="D1550" s="1360">
        <v>9483</v>
      </c>
      <c r="E1550" s="1361" t="s">
        <v>3888</v>
      </c>
      <c r="F1550" s="1360" t="s">
        <v>677</v>
      </c>
      <c r="G1550" s="1362">
        <v>3824118</v>
      </c>
      <c r="H1550" s="1363" t="s">
        <v>3548</v>
      </c>
    </row>
    <row r="1551" spans="2:8" x14ac:dyDescent="0.25">
      <c r="B1551" s="1358" t="s">
        <v>6897</v>
      </c>
      <c r="C1551" s="1359" t="s">
        <v>6913</v>
      </c>
      <c r="D1551" s="1360">
        <v>9484</v>
      </c>
      <c r="E1551" s="1361" t="s">
        <v>3889</v>
      </c>
      <c r="F1551" s="1360" t="s">
        <v>677</v>
      </c>
      <c r="G1551" s="1362">
        <v>3469373</v>
      </c>
      <c r="H1551" s="1363" t="s">
        <v>3548</v>
      </c>
    </row>
    <row r="1552" spans="2:8" x14ac:dyDescent="0.25">
      <c r="B1552" s="1358" t="s">
        <v>6897</v>
      </c>
      <c r="C1552" s="1359" t="s">
        <v>6913</v>
      </c>
      <c r="D1552" s="1360">
        <v>9485</v>
      </c>
      <c r="E1552" s="1361" t="s">
        <v>3890</v>
      </c>
      <c r="F1552" s="1360" t="s">
        <v>677</v>
      </c>
      <c r="G1552" s="1362">
        <v>4587698</v>
      </c>
      <c r="H1552" s="1363" t="s">
        <v>3548</v>
      </c>
    </row>
    <row r="1553" spans="2:8" x14ac:dyDescent="0.25">
      <c r="B1553" s="1358" t="s">
        <v>6897</v>
      </c>
      <c r="C1553" s="1359" t="s">
        <v>6913</v>
      </c>
      <c r="D1553" s="1360">
        <v>9486</v>
      </c>
      <c r="E1553" s="1361" t="s">
        <v>3891</v>
      </c>
      <c r="F1553" s="1360" t="s">
        <v>677</v>
      </c>
      <c r="G1553" s="1362">
        <v>3514259</v>
      </c>
      <c r="H1553" s="1363" t="s">
        <v>3548</v>
      </c>
    </row>
    <row r="1554" spans="2:8" x14ac:dyDescent="0.25">
      <c r="B1554" s="1358" t="s">
        <v>6897</v>
      </c>
      <c r="C1554" s="1359" t="s">
        <v>6913</v>
      </c>
      <c r="D1554" s="1360">
        <v>9487</v>
      </c>
      <c r="E1554" s="1361" t="s">
        <v>3892</v>
      </c>
      <c r="F1554" s="1360" t="s">
        <v>677</v>
      </c>
      <c r="G1554" s="1362">
        <v>2907576</v>
      </c>
      <c r="H1554" s="1363" t="s">
        <v>3548</v>
      </c>
    </row>
    <row r="1555" spans="2:8" x14ac:dyDescent="0.25">
      <c r="B1555" s="1358" t="s">
        <v>6897</v>
      </c>
      <c r="C1555" s="1359" t="s">
        <v>6913</v>
      </c>
      <c r="D1555" s="1360">
        <v>9488</v>
      </c>
      <c r="E1555" s="1361" t="s">
        <v>3893</v>
      </c>
      <c r="F1555" s="1360" t="s">
        <v>677</v>
      </c>
      <c r="G1555" s="1362">
        <v>2463060</v>
      </c>
      <c r="H1555" s="1363" t="s">
        <v>3548</v>
      </c>
    </row>
    <row r="1556" spans="2:8" x14ac:dyDescent="0.25">
      <c r="B1556" s="1358" t="s">
        <v>6897</v>
      </c>
      <c r="C1556" s="1359" t="s">
        <v>6913</v>
      </c>
      <c r="D1556" s="1360">
        <v>9489</v>
      </c>
      <c r="E1556" s="1361" t="s">
        <v>3894</v>
      </c>
      <c r="F1556" s="1360" t="s">
        <v>677</v>
      </c>
      <c r="G1556" s="1362">
        <v>3298518</v>
      </c>
      <c r="H1556" s="1363" t="s">
        <v>3548</v>
      </c>
    </row>
    <row r="1557" spans="2:8" x14ac:dyDescent="0.25">
      <c r="B1557" s="1358" t="s">
        <v>6897</v>
      </c>
      <c r="C1557" s="1359" t="s">
        <v>6913</v>
      </c>
      <c r="D1557" s="1360">
        <v>9490</v>
      </c>
      <c r="E1557" s="1361" t="s">
        <v>3895</v>
      </c>
      <c r="F1557" s="1360" t="s">
        <v>677</v>
      </c>
      <c r="G1557" s="1362">
        <v>2907576</v>
      </c>
      <c r="H1557" s="1363" t="s">
        <v>3548</v>
      </c>
    </row>
    <row r="1558" spans="2:8" x14ac:dyDescent="0.25">
      <c r="B1558" s="1358" t="s">
        <v>6897</v>
      </c>
      <c r="C1558" s="1359" t="s">
        <v>6913</v>
      </c>
      <c r="D1558" s="1360">
        <v>9491</v>
      </c>
      <c r="E1558" s="1361" t="s">
        <v>3896</v>
      </c>
      <c r="F1558" s="1360" t="s">
        <v>677</v>
      </c>
      <c r="G1558" s="1362">
        <v>2463060</v>
      </c>
      <c r="H1558" s="1363" t="s">
        <v>3548</v>
      </c>
    </row>
    <row r="1559" spans="2:8" x14ac:dyDescent="0.25">
      <c r="B1559" s="1358" t="s">
        <v>6897</v>
      </c>
      <c r="C1559" s="1359" t="s">
        <v>6913</v>
      </c>
      <c r="D1559" s="1360">
        <v>9492</v>
      </c>
      <c r="E1559" s="1361" t="s">
        <v>3897</v>
      </c>
      <c r="F1559" s="1360" t="s">
        <v>677</v>
      </c>
      <c r="G1559" s="1362">
        <v>5679440</v>
      </c>
      <c r="H1559" s="1363" t="s">
        <v>3548</v>
      </c>
    </row>
    <row r="1560" spans="2:8" x14ac:dyDescent="0.25">
      <c r="B1560" s="1358" t="s">
        <v>6897</v>
      </c>
      <c r="C1560" s="1359" t="s">
        <v>6913</v>
      </c>
      <c r="D1560" s="1360">
        <v>9493</v>
      </c>
      <c r="E1560" s="1361" t="s">
        <v>3898</v>
      </c>
      <c r="F1560" s="1360" t="s">
        <v>677</v>
      </c>
      <c r="G1560" s="1362">
        <v>3088567</v>
      </c>
      <c r="H1560" s="1363" t="s">
        <v>3548</v>
      </c>
    </row>
    <row r="1561" spans="2:8" x14ac:dyDescent="0.25">
      <c r="B1561" s="1358" t="s">
        <v>6897</v>
      </c>
      <c r="C1561" s="1359" t="s">
        <v>6913</v>
      </c>
      <c r="D1561" s="1360">
        <v>9494</v>
      </c>
      <c r="E1561" s="1361" t="s">
        <v>3899</v>
      </c>
      <c r="F1561" s="1360" t="s">
        <v>677</v>
      </c>
      <c r="G1561" s="1362">
        <v>4029725</v>
      </c>
      <c r="H1561" s="1363" t="s">
        <v>3548</v>
      </c>
    </row>
    <row r="1562" spans="2:8" x14ac:dyDescent="0.25">
      <c r="B1562" s="1358" t="s">
        <v>6897</v>
      </c>
      <c r="C1562" s="1359" t="s">
        <v>1798</v>
      </c>
      <c r="D1562" s="1360">
        <v>9495</v>
      </c>
      <c r="E1562" s="1361" t="s">
        <v>2233</v>
      </c>
      <c r="F1562" s="1360" t="s">
        <v>6</v>
      </c>
      <c r="G1562" s="1362">
        <v>11777</v>
      </c>
      <c r="H1562" s="1363" t="s">
        <v>6899</v>
      </c>
    </row>
    <row r="1563" spans="2:8" x14ac:dyDescent="0.25">
      <c r="B1563" s="1358" t="s">
        <v>6897</v>
      </c>
      <c r="C1563" s="1359" t="s">
        <v>1798</v>
      </c>
      <c r="D1563" s="1360">
        <v>9496</v>
      </c>
      <c r="E1563" s="1361" t="s">
        <v>2234</v>
      </c>
      <c r="F1563" s="1360" t="s">
        <v>6</v>
      </c>
      <c r="G1563" s="1362">
        <v>9994</v>
      </c>
      <c r="H1563" s="1363" t="s">
        <v>6899</v>
      </c>
    </row>
    <row r="1564" spans="2:8" x14ac:dyDescent="0.25">
      <c r="B1564" s="1358" t="s">
        <v>6897</v>
      </c>
      <c r="C1564" s="1359" t="s">
        <v>6913</v>
      </c>
      <c r="D1564" s="1360">
        <v>9497</v>
      </c>
      <c r="E1564" s="1361" t="s">
        <v>3900</v>
      </c>
      <c r="F1564" s="1360" t="s">
        <v>202</v>
      </c>
      <c r="G1564" s="1362">
        <v>12080</v>
      </c>
      <c r="H1564" s="1363" t="s">
        <v>3548</v>
      </c>
    </row>
    <row r="1565" spans="2:8" x14ac:dyDescent="0.25">
      <c r="B1565" s="1358" t="s">
        <v>6897</v>
      </c>
      <c r="C1565" s="1359" t="s">
        <v>6898</v>
      </c>
      <c r="D1565" s="1360">
        <v>9499</v>
      </c>
      <c r="E1565" s="1361" t="s">
        <v>2235</v>
      </c>
      <c r="F1565" s="1360" t="s">
        <v>3</v>
      </c>
      <c r="G1565" s="1362">
        <v>606335</v>
      </c>
      <c r="H1565" s="1363" t="s">
        <v>6899</v>
      </c>
    </row>
    <row r="1566" spans="2:8" x14ac:dyDescent="0.25">
      <c r="B1566" s="1358" t="s">
        <v>6897</v>
      </c>
      <c r="C1566" s="1359" t="s">
        <v>1798</v>
      </c>
      <c r="D1566" s="1360">
        <v>9500</v>
      </c>
      <c r="E1566" s="1361" t="s">
        <v>2236</v>
      </c>
      <c r="F1566" s="1360" t="s">
        <v>12</v>
      </c>
      <c r="G1566" s="1362">
        <v>106505</v>
      </c>
      <c r="H1566" s="1363" t="s">
        <v>6899</v>
      </c>
    </row>
    <row r="1567" spans="2:8" x14ac:dyDescent="0.25">
      <c r="B1567" s="1358" t="s">
        <v>6897</v>
      </c>
      <c r="C1567" s="1359" t="s">
        <v>1798</v>
      </c>
      <c r="D1567" s="1360">
        <v>9501</v>
      </c>
      <c r="E1567" s="1361" t="s">
        <v>2237</v>
      </c>
      <c r="F1567" s="1360" t="s">
        <v>12</v>
      </c>
      <c r="G1567" s="1362">
        <v>79730</v>
      </c>
      <c r="H1567" s="1363" t="s">
        <v>6899</v>
      </c>
    </row>
    <row r="1568" spans="2:8" x14ac:dyDescent="0.25">
      <c r="B1568" s="1358" t="s">
        <v>6897</v>
      </c>
      <c r="C1568" s="1359" t="s">
        <v>6913</v>
      </c>
      <c r="D1568" s="1360">
        <v>9505</v>
      </c>
      <c r="E1568" s="1361" t="s">
        <v>3901</v>
      </c>
      <c r="F1568" s="1360" t="s">
        <v>342</v>
      </c>
      <c r="G1568" s="1362">
        <v>830805</v>
      </c>
      <c r="H1568" s="1363" t="s">
        <v>3548</v>
      </c>
    </row>
    <row r="1569" spans="2:8" x14ac:dyDescent="0.25">
      <c r="B1569" s="1358" t="s">
        <v>6897</v>
      </c>
      <c r="C1569" s="1359" t="s">
        <v>6913</v>
      </c>
      <c r="D1569" s="1360">
        <v>9506</v>
      </c>
      <c r="E1569" s="1361" t="s">
        <v>3902</v>
      </c>
      <c r="F1569" s="1360" t="s">
        <v>342</v>
      </c>
      <c r="G1569" s="1362">
        <v>579534</v>
      </c>
      <c r="H1569" s="1363" t="s">
        <v>3548</v>
      </c>
    </row>
    <row r="1570" spans="2:8" x14ac:dyDescent="0.25">
      <c r="B1570" s="1358" t="s">
        <v>6897</v>
      </c>
      <c r="C1570" s="1359" t="s">
        <v>6913</v>
      </c>
      <c r="D1570" s="1360">
        <v>9507</v>
      </c>
      <c r="E1570" s="1361" t="s">
        <v>3903</v>
      </c>
      <c r="F1570" s="1360" t="s">
        <v>342</v>
      </c>
      <c r="G1570" s="1362">
        <v>489230</v>
      </c>
      <c r="H1570" s="1363" t="s">
        <v>3548</v>
      </c>
    </row>
    <row r="1571" spans="2:8" x14ac:dyDescent="0.25">
      <c r="B1571" s="1358" t="s">
        <v>6897</v>
      </c>
      <c r="C1571" s="1359" t="s">
        <v>6913</v>
      </c>
      <c r="D1571" s="1360">
        <v>9508</v>
      </c>
      <c r="E1571" s="1361" t="s">
        <v>3904</v>
      </c>
      <c r="F1571" s="1360" t="s">
        <v>342</v>
      </c>
      <c r="G1571" s="1362">
        <v>416737</v>
      </c>
      <c r="H1571" s="1363" t="s">
        <v>3548</v>
      </c>
    </row>
    <row r="1572" spans="2:8" x14ac:dyDescent="0.25">
      <c r="B1572" s="1358" t="s">
        <v>6897</v>
      </c>
      <c r="C1572" s="1359" t="s">
        <v>6913</v>
      </c>
      <c r="D1572" s="1360">
        <v>9509</v>
      </c>
      <c r="E1572" s="1361" t="s">
        <v>3905</v>
      </c>
      <c r="F1572" s="1360" t="s">
        <v>342</v>
      </c>
      <c r="G1572" s="1362">
        <v>376002</v>
      </c>
      <c r="H1572" s="1363" t="s">
        <v>3548</v>
      </c>
    </row>
    <row r="1573" spans="2:8" x14ac:dyDescent="0.25">
      <c r="B1573" s="1358" t="s">
        <v>6897</v>
      </c>
      <c r="C1573" s="1359" t="s">
        <v>6913</v>
      </c>
      <c r="D1573" s="1360">
        <v>9510</v>
      </c>
      <c r="E1573" s="1361" t="s">
        <v>3906</v>
      </c>
      <c r="F1573" s="1360" t="s">
        <v>342</v>
      </c>
      <c r="G1573" s="1362">
        <v>335411</v>
      </c>
      <c r="H1573" s="1363" t="s">
        <v>3548</v>
      </c>
    </row>
    <row r="1574" spans="2:8" x14ac:dyDescent="0.25">
      <c r="B1574" s="1358" t="s">
        <v>6897</v>
      </c>
      <c r="C1574" s="1359" t="s">
        <v>6913</v>
      </c>
      <c r="D1574" s="1360">
        <v>9511</v>
      </c>
      <c r="E1574" s="1361" t="s">
        <v>3907</v>
      </c>
      <c r="F1574" s="1360" t="s">
        <v>342</v>
      </c>
      <c r="G1574" s="1362">
        <v>253892</v>
      </c>
      <c r="H1574" s="1363" t="s">
        <v>3548</v>
      </c>
    </row>
    <row r="1575" spans="2:8" x14ac:dyDescent="0.25">
      <c r="B1575" s="1358" t="s">
        <v>6897</v>
      </c>
      <c r="C1575" s="1359" t="s">
        <v>6913</v>
      </c>
      <c r="D1575" s="1360">
        <v>9512</v>
      </c>
      <c r="E1575" s="1361" t="s">
        <v>3908</v>
      </c>
      <c r="F1575" s="1360" t="s">
        <v>342</v>
      </c>
      <c r="G1575" s="1362">
        <v>157508</v>
      </c>
      <c r="H1575" s="1363" t="s">
        <v>3548</v>
      </c>
    </row>
    <row r="1576" spans="2:8" x14ac:dyDescent="0.25">
      <c r="B1576" s="1358" t="s">
        <v>6897</v>
      </c>
      <c r="C1576" s="1359" t="s">
        <v>6913</v>
      </c>
      <c r="D1576" s="1360">
        <v>9513</v>
      </c>
      <c r="E1576" s="1361" t="s">
        <v>3909</v>
      </c>
      <c r="F1576" s="1360" t="s">
        <v>342</v>
      </c>
      <c r="G1576" s="1362">
        <v>138590</v>
      </c>
      <c r="H1576" s="1363" t="s">
        <v>3548</v>
      </c>
    </row>
    <row r="1577" spans="2:8" x14ac:dyDescent="0.25">
      <c r="B1577" s="1358" t="s">
        <v>6897</v>
      </c>
      <c r="C1577" s="1359" t="s">
        <v>6913</v>
      </c>
      <c r="D1577" s="1360">
        <v>9514</v>
      </c>
      <c r="E1577" s="1361" t="s">
        <v>3910</v>
      </c>
      <c r="F1577" s="1360" t="s">
        <v>342</v>
      </c>
      <c r="G1577" s="1362">
        <v>145298</v>
      </c>
      <c r="H1577" s="1363" t="s">
        <v>3548</v>
      </c>
    </row>
    <row r="1578" spans="2:8" x14ac:dyDescent="0.25">
      <c r="B1578" s="1358" t="s">
        <v>6897</v>
      </c>
      <c r="C1578" s="1359" t="s">
        <v>6913</v>
      </c>
      <c r="D1578" s="1360">
        <v>9515</v>
      </c>
      <c r="E1578" s="1361" t="s">
        <v>3911</v>
      </c>
      <c r="F1578" s="1360" t="s">
        <v>342</v>
      </c>
      <c r="G1578" s="1362">
        <v>125347</v>
      </c>
      <c r="H1578" s="1363" t="s">
        <v>3548</v>
      </c>
    </row>
    <row r="1579" spans="2:8" x14ac:dyDescent="0.25">
      <c r="B1579" s="1358" t="s">
        <v>6897</v>
      </c>
      <c r="C1579" s="1359" t="s">
        <v>6913</v>
      </c>
      <c r="D1579" s="1360">
        <v>9516</v>
      </c>
      <c r="E1579" s="1361" t="s">
        <v>3912</v>
      </c>
      <c r="F1579" s="1360" t="s">
        <v>342</v>
      </c>
      <c r="G1579" s="1362">
        <v>134824</v>
      </c>
      <c r="H1579" s="1363" t="s">
        <v>3548</v>
      </c>
    </row>
    <row r="1580" spans="2:8" x14ac:dyDescent="0.25">
      <c r="B1580" s="1358" t="s">
        <v>6897</v>
      </c>
      <c r="C1580" s="1359" t="s">
        <v>6913</v>
      </c>
      <c r="D1580" s="1360">
        <v>9517</v>
      </c>
      <c r="E1580" s="1361" t="s">
        <v>3913</v>
      </c>
      <c r="F1580" s="1360" t="s">
        <v>342</v>
      </c>
      <c r="G1580" s="1362">
        <v>164169</v>
      </c>
      <c r="H1580" s="1363" t="s">
        <v>3548</v>
      </c>
    </row>
    <row r="1581" spans="2:8" x14ac:dyDescent="0.25">
      <c r="B1581" s="1358" t="s">
        <v>6897</v>
      </c>
      <c r="C1581" s="1359" t="s">
        <v>6913</v>
      </c>
      <c r="D1581" s="1360">
        <v>9518</v>
      </c>
      <c r="E1581" s="1361" t="s">
        <v>3914</v>
      </c>
      <c r="F1581" s="1360" t="s">
        <v>342</v>
      </c>
      <c r="G1581" s="1362">
        <v>134824</v>
      </c>
      <c r="H1581" s="1363" t="s">
        <v>3548</v>
      </c>
    </row>
    <row r="1582" spans="2:8" x14ac:dyDescent="0.25">
      <c r="B1582" s="1358" t="s">
        <v>6897</v>
      </c>
      <c r="C1582" s="1359" t="s">
        <v>6913</v>
      </c>
      <c r="D1582" s="1360">
        <v>9519</v>
      </c>
      <c r="E1582" s="1361" t="s">
        <v>3915</v>
      </c>
      <c r="F1582" s="1360" t="s">
        <v>342</v>
      </c>
      <c r="G1582" s="1362">
        <v>145539</v>
      </c>
      <c r="H1582" s="1363" t="s">
        <v>3548</v>
      </c>
    </row>
    <row r="1583" spans="2:8" x14ac:dyDescent="0.25">
      <c r="B1583" s="1358" t="s">
        <v>6897</v>
      </c>
      <c r="C1583" s="1359" t="s">
        <v>6913</v>
      </c>
      <c r="D1583" s="1360">
        <v>9520</v>
      </c>
      <c r="E1583" s="1361" t="s">
        <v>3916</v>
      </c>
      <c r="F1583" s="1360" t="s">
        <v>342</v>
      </c>
      <c r="G1583" s="1362">
        <v>109950</v>
      </c>
      <c r="H1583" s="1363" t="s">
        <v>3548</v>
      </c>
    </row>
    <row r="1584" spans="2:8" x14ac:dyDescent="0.25">
      <c r="B1584" s="1358" t="s">
        <v>6897</v>
      </c>
      <c r="C1584" s="1359" t="s">
        <v>6913</v>
      </c>
      <c r="D1584" s="1360">
        <v>9521</v>
      </c>
      <c r="E1584" s="1361" t="s">
        <v>3917</v>
      </c>
      <c r="F1584" s="1360" t="s">
        <v>342</v>
      </c>
      <c r="G1584" s="1362">
        <v>130819</v>
      </c>
      <c r="H1584" s="1363" t="s">
        <v>3548</v>
      </c>
    </row>
    <row r="1585" spans="2:8" x14ac:dyDescent="0.25">
      <c r="B1585" s="1358" t="s">
        <v>6897</v>
      </c>
      <c r="C1585" s="1359" t="s">
        <v>6913</v>
      </c>
      <c r="D1585" s="1360">
        <v>9522</v>
      </c>
      <c r="E1585" s="1361" t="s">
        <v>3918</v>
      </c>
      <c r="F1585" s="1360" t="s">
        <v>342</v>
      </c>
      <c r="G1585" s="1362">
        <v>95616</v>
      </c>
      <c r="H1585" s="1363" t="s">
        <v>3548</v>
      </c>
    </row>
    <row r="1586" spans="2:8" x14ac:dyDescent="0.25">
      <c r="B1586" s="1358" t="s">
        <v>6897</v>
      </c>
      <c r="C1586" s="1359" t="s">
        <v>6913</v>
      </c>
      <c r="D1586" s="1360">
        <v>9523</v>
      </c>
      <c r="E1586" s="1361" t="s">
        <v>3919</v>
      </c>
      <c r="F1586" s="1360" t="s">
        <v>342</v>
      </c>
      <c r="G1586" s="1362">
        <v>152923</v>
      </c>
      <c r="H1586" s="1363" t="s">
        <v>3548</v>
      </c>
    </row>
    <row r="1587" spans="2:8" x14ac:dyDescent="0.25">
      <c r="B1587" s="1358" t="s">
        <v>6897</v>
      </c>
      <c r="C1587" s="1359" t="s">
        <v>6913</v>
      </c>
      <c r="D1587" s="1360">
        <v>9524</v>
      </c>
      <c r="E1587" s="1361" t="s">
        <v>3920</v>
      </c>
      <c r="F1587" s="1360" t="s">
        <v>342</v>
      </c>
      <c r="G1587" s="1362">
        <v>117143</v>
      </c>
      <c r="H1587" s="1363" t="s">
        <v>3548</v>
      </c>
    </row>
    <row r="1588" spans="2:8" x14ac:dyDescent="0.25">
      <c r="B1588" s="1358" t="s">
        <v>6897</v>
      </c>
      <c r="C1588" s="1359" t="s">
        <v>6913</v>
      </c>
      <c r="D1588" s="1360">
        <v>9525</v>
      </c>
      <c r="E1588" s="1361" t="s">
        <v>3921</v>
      </c>
      <c r="F1588" s="1360" t="s">
        <v>342</v>
      </c>
      <c r="G1588" s="1362">
        <v>96919</v>
      </c>
      <c r="H1588" s="1363" t="s">
        <v>3548</v>
      </c>
    </row>
    <row r="1589" spans="2:8" x14ac:dyDescent="0.25">
      <c r="B1589" s="1358" t="s">
        <v>6897</v>
      </c>
      <c r="C1589" s="1359" t="s">
        <v>6913</v>
      </c>
      <c r="D1589" s="1360">
        <v>9526</v>
      </c>
      <c r="E1589" s="1361" t="s">
        <v>3922</v>
      </c>
      <c r="F1589" s="1360" t="s">
        <v>342</v>
      </c>
      <c r="G1589" s="1362">
        <v>82102</v>
      </c>
      <c r="H1589" s="1363" t="s">
        <v>3548</v>
      </c>
    </row>
    <row r="1590" spans="2:8" x14ac:dyDescent="0.25">
      <c r="B1590" s="1358" t="s">
        <v>6897</v>
      </c>
      <c r="C1590" s="1359" t="s">
        <v>6913</v>
      </c>
      <c r="D1590" s="1360">
        <v>9527</v>
      </c>
      <c r="E1590" s="1361" t="s">
        <v>3923</v>
      </c>
      <c r="F1590" s="1360" t="s">
        <v>342</v>
      </c>
      <c r="G1590" s="1362">
        <v>109950</v>
      </c>
      <c r="H1590" s="1363" t="s">
        <v>3548</v>
      </c>
    </row>
    <row r="1591" spans="2:8" x14ac:dyDescent="0.25">
      <c r="B1591" s="1358" t="s">
        <v>6897</v>
      </c>
      <c r="C1591" s="1359" t="s">
        <v>6913</v>
      </c>
      <c r="D1591" s="1360">
        <v>9528</v>
      </c>
      <c r="E1591" s="1361" t="s">
        <v>3924</v>
      </c>
      <c r="F1591" s="1360" t="s">
        <v>342</v>
      </c>
      <c r="G1591" s="1362">
        <v>82102</v>
      </c>
      <c r="H1591" s="1363" t="s">
        <v>3548</v>
      </c>
    </row>
    <row r="1592" spans="2:8" x14ac:dyDescent="0.25">
      <c r="B1592" s="1358" t="s">
        <v>6897</v>
      </c>
      <c r="C1592" s="1359" t="s">
        <v>6913</v>
      </c>
      <c r="D1592" s="1360">
        <v>9529</v>
      </c>
      <c r="E1592" s="1361" t="s">
        <v>3925</v>
      </c>
      <c r="F1592" s="1360" t="s">
        <v>342</v>
      </c>
      <c r="G1592" s="1362">
        <v>189315</v>
      </c>
      <c r="H1592" s="1363" t="s">
        <v>3548</v>
      </c>
    </row>
    <row r="1593" spans="2:8" x14ac:dyDescent="0.25">
      <c r="B1593" s="1358" t="s">
        <v>6897</v>
      </c>
      <c r="C1593" s="1359" t="s">
        <v>6913</v>
      </c>
      <c r="D1593" s="1360">
        <v>9530</v>
      </c>
      <c r="E1593" s="1361" t="s">
        <v>3926</v>
      </c>
      <c r="F1593" s="1360" t="s">
        <v>677</v>
      </c>
      <c r="G1593" s="1362">
        <v>3559145</v>
      </c>
      <c r="H1593" s="1363" t="s">
        <v>3548</v>
      </c>
    </row>
    <row r="1594" spans="2:8" x14ac:dyDescent="0.25">
      <c r="B1594" s="1358" t="s">
        <v>6897</v>
      </c>
      <c r="C1594" s="1359" t="s">
        <v>6913</v>
      </c>
      <c r="D1594" s="1360">
        <v>9531</v>
      </c>
      <c r="E1594" s="1361" t="s">
        <v>3927</v>
      </c>
      <c r="F1594" s="1360" t="s">
        <v>202</v>
      </c>
      <c r="G1594" s="1362">
        <v>106060</v>
      </c>
      <c r="H1594" s="1363" t="s">
        <v>3548</v>
      </c>
    </row>
    <row r="1595" spans="2:8" x14ac:dyDescent="0.25">
      <c r="B1595" s="1358" t="s">
        <v>6897</v>
      </c>
      <c r="C1595" s="1359" t="s">
        <v>6913</v>
      </c>
      <c r="D1595" s="1360">
        <v>9532</v>
      </c>
      <c r="E1595" s="1361" t="s">
        <v>3928</v>
      </c>
      <c r="F1595" s="1360" t="s">
        <v>202</v>
      </c>
      <c r="G1595" s="1362">
        <v>73984</v>
      </c>
      <c r="H1595" s="1363" t="s">
        <v>3548</v>
      </c>
    </row>
    <row r="1596" spans="2:8" x14ac:dyDescent="0.25">
      <c r="B1596" s="1358" t="s">
        <v>6897</v>
      </c>
      <c r="C1596" s="1359" t="s">
        <v>6913</v>
      </c>
      <c r="D1596" s="1360">
        <v>9533</v>
      </c>
      <c r="E1596" s="1361" t="s">
        <v>3929</v>
      </c>
      <c r="F1596" s="1360" t="s">
        <v>202</v>
      </c>
      <c r="G1596" s="1362">
        <v>62455</v>
      </c>
      <c r="H1596" s="1363" t="s">
        <v>3548</v>
      </c>
    </row>
    <row r="1597" spans="2:8" x14ac:dyDescent="0.25">
      <c r="B1597" s="1358" t="s">
        <v>6897</v>
      </c>
      <c r="C1597" s="1359" t="s">
        <v>6913</v>
      </c>
      <c r="D1597" s="1360">
        <v>9534</v>
      </c>
      <c r="E1597" s="1361" t="s">
        <v>3930</v>
      </c>
      <c r="F1597" s="1360" t="s">
        <v>202</v>
      </c>
      <c r="G1597" s="1362">
        <v>53200</v>
      </c>
      <c r="H1597" s="1363" t="s">
        <v>3548</v>
      </c>
    </row>
    <row r="1598" spans="2:8" x14ac:dyDescent="0.25">
      <c r="B1598" s="1358" t="s">
        <v>6897</v>
      </c>
      <c r="C1598" s="1359" t="s">
        <v>6913</v>
      </c>
      <c r="D1598" s="1360">
        <v>9535</v>
      </c>
      <c r="E1598" s="1361" t="s">
        <v>3931</v>
      </c>
      <c r="F1598" s="1360" t="s">
        <v>202</v>
      </c>
      <c r="G1598" s="1362">
        <v>48001</v>
      </c>
      <c r="H1598" s="1363" t="s">
        <v>3548</v>
      </c>
    </row>
    <row r="1599" spans="2:8" x14ac:dyDescent="0.25">
      <c r="B1599" s="1358" t="s">
        <v>6897</v>
      </c>
      <c r="C1599" s="1359" t="s">
        <v>6913</v>
      </c>
      <c r="D1599" s="1360">
        <v>9536</v>
      </c>
      <c r="E1599" s="1361" t="s">
        <v>3932</v>
      </c>
      <c r="F1599" s="1360" t="s">
        <v>202</v>
      </c>
      <c r="G1599" s="1362">
        <v>42818</v>
      </c>
      <c r="H1599" s="1363" t="s">
        <v>3548</v>
      </c>
    </row>
    <row r="1600" spans="2:8" x14ac:dyDescent="0.25">
      <c r="B1600" s="1358" t="s">
        <v>6897</v>
      </c>
      <c r="C1600" s="1359" t="s">
        <v>6913</v>
      </c>
      <c r="D1600" s="1360">
        <v>9537</v>
      </c>
      <c r="E1600" s="1361" t="s">
        <v>3933</v>
      </c>
      <c r="F1600" s="1360" t="s">
        <v>202</v>
      </c>
      <c r="G1600" s="1362">
        <v>32412</v>
      </c>
      <c r="H1600" s="1363" t="s">
        <v>3548</v>
      </c>
    </row>
    <row r="1601" spans="2:8" x14ac:dyDescent="0.25">
      <c r="B1601" s="1358" t="s">
        <v>6897</v>
      </c>
      <c r="C1601" s="1359" t="s">
        <v>6913</v>
      </c>
      <c r="D1601" s="1360">
        <v>9538</v>
      </c>
      <c r="E1601" s="1361" t="s">
        <v>3934</v>
      </c>
      <c r="F1601" s="1360" t="s">
        <v>202</v>
      </c>
      <c r="G1601" s="1362">
        <v>30594</v>
      </c>
      <c r="H1601" s="1363" t="s">
        <v>3548</v>
      </c>
    </row>
    <row r="1602" spans="2:8" x14ac:dyDescent="0.25">
      <c r="B1602" s="1358" t="s">
        <v>6897</v>
      </c>
      <c r="C1602" s="1359" t="s">
        <v>6913</v>
      </c>
      <c r="D1602" s="1360">
        <v>9539</v>
      </c>
      <c r="E1602" s="1361" t="s">
        <v>3935</v>
      </c>
      <c r="F1602" s="1360" t="s">
        <v>202</v>
      </c>
      <c r="G1602" s="1362">
        <v>20107</v>
      </c>
      <c r="H1602" s="1363" t="s">
        <v>3548</v>
      </c>
    </row>
    <row r="1603" spans="2:8" x14ac:dyDescent="0.25">
      <c r="B1603" s="1358" t="s">
        <v>6897</v>
      </c>
      <c r="C1603" s="1359" t="s">
        <v>6913</v>
      </c>
      <c r="D1603" s="1360">
        <v>9540</v>
      </c>
      <c r="E1603" s="1361" t="s">
        <v>3936</v>
      </c>
      <c r="F1603" s="1360" t="s">
        <v>202</v>
      </c>
      <c r="G1603" s="1362">
        <v>17693</v>
      </c>
      <c r="H1603" s="1363" t="s">
        <v>3548</v>
      </c>
    </row>
    <row r="1604" spans="2:8" x14ac:dyDescent="0.25">
      <c r="B1604" s="1358" t="s">
        <v>6897</v>
      </c>
      <c r="C1604" s="1359" t="s">
        <v>6913</v>
      </c>
      <c r="D1604" s="1360">
        <v>9541</v>
      </c>
      <c r="E1604" s="1361" t="s">
        <v>3937</v>
      </c>
      <c r="F1604" s="1360" t="s">
        <v>202</v>
      </c>
      <c r="G1604" s="1362">
        <v>18549</v>
      </c>
      <c r="H1604" s="1363" t="s">
        <v>3548</v>
      </c>
    </row>
    <row r="1605" spans="2:8" x14ac:dyDescent="0.25">
      <c r="B1605" s="1358" t="s">
        <v>6897</v>
      </c>
      <c r="C1605" s="1359" t="s">
        <v>6913</v>
      </c>
      <c r="D1605" s="1360">
        <v>9542</v>
      </c>
      <c r="E1605" s="1361" t="s">
        <v>3938</v>
      </c>
      <c r="F1605" s="1360" t="s">
        <v>202</v>
      </c>
      <c r="G1605" s="1362">
        <v>16002</v>
      </c>
      <c r="H1605" s="1363" t="s">
        <v>3548</v>
      </c>
    </row>
    <row r="1606" spans="2:8" x14ac:dyDescent="0.25">
      <c r="B1606" s="1358" t="s">
        <v>6897</v>
      </c>
      <c r="C1606" s="1359" t="s">
        <v>6913</v>
      </c>
      <c r="D1606" s="1360">
        <v>9543</v>
      </c>
      <c r="E1606" s="1361" t="s">
        <v>3939</v>
      </c>
      <c r="F1606" s="1360" t="s">
        <v>202</v>
      </c>
      <c r="G1606" s="1362">
        <v>20957</v>
      </c>
      <c r="H1606" s="1363" t="s">
        <v>3548</v>
      </c>
    </row>
    <row r="1607" spans="2:8" x14ac:dyDescent="0.25">
      <c r="B1607" s="1358" t="s">
        <v>6897</v>
      </c>
      <c r="C1607" s="1359" t="s">
        <v>6913</v>
      </c>
      <c r="D1607" s="1360">
        <v>9544</v>
      </c>
      <c r="E1607" s="1361" t="s">
        <v>3940</v>
      </c>
      <c r="F1607" s="1360" t="s">
        <v>202</v>
      </c>
      <c r="G1607" s="1362">
        <v>17211</v>
      </c>
      <c r="H1607" s="1363" t="s">
        <v>3548</v>
      </c>
    </row>
    <row r="1608" spans="2:8" x14ac:dyDescent="0.25">
      <c r="B1608" s="1358" t="s">
        <v>6897</v>
      </c>
      <c r="C1608" s="1359" t="s">
        <v>6913</v>
      </c>
      <c r="D1608" s="1360">
        <v>9545</v>
      </c>
      <c r="E1608" s="1361" t="s">
        <v>3941</v>
      </c>
      <c r="F1608" s="1360" t="s">
        <v>202</v>
      </c>
      <c r="G1608" s="1362">
        <v>20957</v>
      </c>
      <c r="H1608" s="1363" t="s">
        <v>3548</v>
      </c>
    </row>
    <row r="1609" spans="2:8" x14ac:dyDescent="0.25">
      <c r="B1609" s="1358" t="s">
        <v>6897</v>
      </c>
      <c r="C1609" s="1359" t="s">
        <v>6913</v>
      </c>
      <c r="D1609" s="1360">
        <v>9546</v>
      </c>
      <c r="E1609" s="1361" t="s">
        <v>3942</v>
      </c>
      <c r="F1609" s="1360" t="s">
        <v>202</v>
      </c>
      <c r="G1609" s="1362">
        <v>17211</v>
      </c>
      <c r="H1609" s="1363" t="s">
        <v>3548</v>
      </c>
    </row>
    <row r="1610" spans="2:8" x14ac:dyDescent="0.25">
      <c r="B1610" s="1358" t="s">
        <v>6897</v>
      </c>
      <c r="C1610" s="1359" t="s">
        <v>6913</v>
      </c>
      <c r="D1610" s="1360">
        <v>9547</v>
      </c>
      <c r="E1610" s="1361" t="s">
        <v>3943</v>
      </c>
      <c r="F1610" s="1360" t="s">
        <v>202</v>
      </c>
      <c r="G1610" s="1362">
        <v>18579</v>
      </c>
      <c r="H1610" s="1363" t="s">
        <v>3548</v>
      </c>
    </row>
    <row r="1611" spans="2:8" x14ac:dyDescent="0.25">
      <c r="B1611" s="1358" t="s">
        <v>6897</v>
      </c>
      <c r="C1611" s="1359" t="s">
        <v>6913</v>
      </c>
      <c r="D1611" s="1360">
        <v>9548</v>
      </c>
      <c r="E1611" s="1361" t="s">
        <v>3944</v>
      </c>
      <c r="F1611" s="1360" t="s">
        <v>202</v>
      </c>
      <c r="G1611" s="1362">
        <v>14037</v>
      </c>
      <c r="H1611" s="1363" t="s">
        <v>3548</v>
      </c>
    </row>
    <row r="1612" spans="2:8" x14ac:dyDescent="0.25">
      <c r="B1612" s="1358" t="s">
        <v>6897</v>
      </c>
      <c r="C1612" s="1359" t="s">
        <v>6913</v>
      </c>
      <c r="D1612" s="1360">
        <v>9549</v>
      </c>
      <c r="E1612" s="1361" t="s">
        <v>3945</v>
      </c>
      <c r="F1612" s="1360" t="s">
        <v>202</v>
      </c>
      <c r="G1612" s="1362">
        <v>16699</v>
      </c>
      <c r="H1612" s="1363" t="s">
        <v>3548</v>
      </c>
    </row>
    <row r="1613" spans="2:8" x14ac:dyDescent="0.25">
      <c r="B1613" s="1358" t="s">
        <v>6897</v>
      </c>
      <c r="C1613" s="1359" t="s">
        <v>6913</v>
      </c>
      <c r="D1613" s="1360">
        <v>9550</v>
      </c>
      <c r="E1613" s="1361" t="s">
        <v>3946</v>
      </c>
      <c r="F1613" s="1360" t="s">
        <v>202</v>
      </c>
      <c r="G1613" s="1362">
        <v>12206</v>
      </c>
      <c r="H1613" s="1363" t="s">
        <v>3548</v>
      </c>
    </row>
    <row r="1614" spans="2:8" x14ac:dyDescent="0.25">
      <c r="B1614" s="1358" t="s">
        <v>6897</v>
      </c>
      <c r="C1614" s="1359" t="s">
        <v>6913</v>
      </c>
      <c r="D1614" s="1360">
        <v>9551</v>
      </c>
      <c r="E1614" s="1361" t="s">
        <v>3947</v>
      </c>
      <c r="F1614" s="1360" t="s">
        <v>202</v>
      </c>
      <c r="G1614" s="1362">
        <v>16274</v>
      </c>
      <c r="H1614" s="1363" t="s">
        <v>3548</v>
      </c>
    </row>
    <row r="1615" spans="2:8" x14ac:dyDescent="0.25">
      <c r="B1615" s="1358" t="s">
        <v>6897</v>
      </c>
      <c r="C1615" s="1359" t="s">
        <v>6913</v>
      </c>
      <c r="D1615" s="1360">
        <v>9552</v>
      </c>
      <c r="E1615" s="1361" t="s">
        <v>3948</v>
      </c>
      <c r="F1615" s="1360" t="s">
        <v>202</v>
      </c>
      <c r="G1615" s="1362">
        <v>14763</v>
      </c>
      <c r="H1615" s="1363" t="s">
        <v>3548</v>
      </c>
    </row>
    <row r="1616" spans="2:8" x14ac:dyDescent="0.25">
      <c r="B1616" s="1358" t="s">
        <v>6897</v>
      </c>
      <c r="C1616" s="1359" t="s">
        <v>6913</v>
      </c>
      <c r="D1616" s="1360">
        <v>9553</v>
      </c>
      <c r="E1616" s="1361" t="s">
        <v>3949</v>
      </c>
      <c r="F1616" s="1360" t="s">
        <v>202</v>
      </c>
      <c r="G1616" s="1362">
        <v>19522</v>
      </c>
      <c r="H1616" s="1363" t="s">
        <v>3548</v>
      </c>
    </row>
    <row r="1617" spans="2:8" x14ac:dyDescent="0.25">
      <c r="B1617" s="1358" t="s">
        <v>6897</v>
      </c>
      <c r="C1617" s="1359" t="s">
        <v>6913</v>
      </c>
      <c r="D1617" s="1360">
        <v>9554</v>
      </c>
      <c r="E1617" s="1361" t="s">
        <v>3950</v>
      </c>
      <c r="F1617" s="1360" t="s">
        <v>202</v>
      </c>
      <c r="G1617" s="1362">
        <v>14955</v>
      </c>
      <c r="H1617" s="1363" t="s">
        <v>3548</v>
      </c>
    </row>
    <row r="1618" spans="2:8" x14ac:dyDescent="0.25">
      <c r="B1618" s="1358" t="s">
        <v>6897</v>
      </c>
      <c r="C1618" s="1359" t="s">
        <v>6913</v>
      </c>
      <c r="D1618" s="1360">
        <v>9555</v>
      </c>
      <c r="E1618" s="1361" t="s">
        <v>3951</v>
      </c>
      <c r="F1618" s="1360" t="s">
        <v>202</v>
      </c>
      <c r="G1618" s="1362">
        <v>12373</v>
      </c>
      <c r="H1618" s="1363" t="s">
        <v>3548</v>
      </c>
    </row>
    <row r="1619" spans="2:8" x14ac:dyDescent="0.25">
      <c r="B1619" s="1358" t="s">
        <v>6897</v>
      </c>
      <c r="C1619" s="1359" t="s">
        <v>6913</v>
      </c>
      <c r="D1619" s="1360">
        <v>9556</v>
      </c>
      <c r="E1619" s="1361" t="s">
        <v>3952</v>
      </c>
      <c r="F1619" s="1360" t="s">
        <v>202</v>
      </c>
      <c r="G1619" s="1362">
        <v>10480</v>
      </c>
      <c r="H1619" s="1363" t="s">
        <v>3548</v>
      </c>
    </row>
    <row r="1620" spans="2:8" x14ac:dyDescent="0.25">
      <c r="B1620" s="1358" t="s">
        <v>6897</v>
      </c>
      <c r="C1620" s="1359" t="s">
        <v>6913</v>
      </c>
      <c r="D1620" s="1360">
        <v>9557</v>
      </c>
      <c r="E1620" s="1361" t="s">
        <v>3953</v>
      </c>
      <c r="F1620" s="1360" t="s">
        <v>202</v>
      </c>
      <c r="G1620" s="1362">
        <v>14037</v>
      </c>
      <c r="H1620" s="1363" t="s">
        <v>3548</v>
      </c>
    </row>
    <row r="1621" spans="2:8" x14ac:dyDescent="0.25">
      <c r="B1621" s="1358" t="s">
        <v>6897</v>
      </c>
      <c r="C1621" s="1359" t="s">
        <v>6913</v>
      </c>
      <c r="D1621" s="1360">
        <v>9558</v>
      </c>
      <c r="E1621" s="1361" t="s">
        <v>3954</v>
      </c>
      <c r="F1621" s="1360" t="s">
        <v>202</v>
      </c>
      <c r="G1621" s="1362">
        <v>12373</v>
      </c>
      <c r="H1621" s="1363" t="s">
        <v>3548</v>
      </c>
    </row>
    <row r="1622" spans="2:8" x14ac:dyDescent="0.25">
      <c r="B1622" s="1358" t="s">
        <v>6897</v>
      </c>
      <c r="C1622" s="1359" t="s">
        <v>6913</v>
      </c>
      <c r="D1622" s="1360">
        <v>9559</v>
      </c>
      <c r="E1622" s="1361" t="s">
        <v>3955</v>
      </c>
      <c r="F1622" s="1360" t="s">
        <v>202</v>
      </c>
      <c r="G1622" s="1362">
        <v>10480</v>
      </c>
      <c r="H1622" s="1363" t="s">
        <v>3548</v>
      </c>
    </row>
    <row r="1623" spans="2:8" x14ac:dyDescent="0.25">
      <c r="B1623" s="1358" t="s">
        <v>6897</v>
      </c>
      <c r="C1623" s="1359" t="s">
        <v>6913</v>
      </c>
      <c r="D1623" s="1360">
        <v>9560</v>
      </c>
      <c r="E1623" s="1361" t="s">
        <v>3956</v>
      </c>
      <c r="F1623" s="1360" t="s">
        <v>202</v>
      </c>
      <c r="G1623" s="1362">
        <v>24167</v>
      </c>
      <c r="H1623" s="1363" t="s">
        <v>3548</v>
      </c>
    </row>
    <row r="1624" spans="2:8" x14ac:dyDescent="0.25">
      <c r="B1624" s="1358" t="s">
        <v>6897</v>
      </c>
      <c r="C1624" s="1359" t="s">
        <v>6931</v>
      </c>
      <c r="D1624" s="1360">
        <v>9570</v>
      </c>
      <c r="E1624" s="1361" t="s">
        <v>2238</v>
      </c>
      <c r="F1624" s="1360" t="s">
        <v>266</v>
      </c>
      <c r="G1624" s="1362">
        <v>2112</v>
      </c>
      <c r="H1624" s="1363" t="s">
        <v>3538</v>
      </c>
    </row>
    <row r="1625" spans="2:8" x14ac:dyDescent="0.25">
      <c r="B1625" s="1358" t="s">
        <v>6897</v>
      </c>
      <c r="C1625" s="1359" t="s">
        <v>6931</v>
      </c>
      <c r="D1625" s="1360">
        <v>9571</v>
      </c>
      <c r="E1625" s="1361" t="s">
        <v>2239</v>
      </c>
      <c r="F1625" s="1360" t="s">
        <v>266</v>
      </c>
      <c r="G1625" s="1362">
        <v>11294</v>
      </c>
      <c r="H1625" s="1363" t="s">
        <v>3538</v>
      </c>
    </row>
    <row r="1626" spans="2:8" x14ac:dyDescent="0.25">
      <c r="B1626" s="1358" t="s">
        <v>6897</v>
      </c>
      <c r="C1626" s="1359" t="s">
        <v>6931</v>
      </c>
      <c r="D1626" s="1360">
        <v>9572</v>
      </c>
      <c r="E1626" s="1361" t="s">
        <v>2240</v>
      </c>
      <c r="F1626" s="1360" t="s">
        <v>13</v>
      </c>
      <c r="G1626" s="1362">
        <v>4752</v>
      </c>
      <c r="H1626" s="1363" t="s">
        <v>3538</v>
      </c>
    </row>
    <row r="1627" spans="2:8" x14ac:dyDescent="0.25">
      <c r="B1627" s="1358" t="s">
        <v>6897</v>
      </c>
      <c r="C1627" s="1359" t="s">
        <v>6931</v>
      </c>
      <c r="D1627" s="1360">
        <v>9573</v>
      </c>
      <c r="E1627" s="1361" t="s">
        <v>2241</v>
      </c>
      <c r="F1627" s="1360" t="s">
        <v>13</v>
      </c>
      <c r="G1627" s="1362">
        <v>4429</v>
      </c>
      <c r="H1627" s="1363" t="s">
        <v>3538</v>
      </c>
    </row>
    <row r="1628" spans="2:8" x14ac:dyDescent="0.25">
      <c r="B1628" s="1358" t="s">
        <v>6897</v>
      </c>
      <c r="C1628" s="1359" t="s">
        <v>6931</v>
      </c>
      <c r="D1628" s="1360">
        <v>9574</v>
      </c>
      <c r="E1628" s="1361" t="s">
        <v>2242</v>
      </c>
      <c r="F1628" s="1360" t="s">
        <v>266</v>
      </c>
      <c r="G1628" s="1362">
        <v>1383</v>
      </c>
      <c r="H1628" s="1363" t="s">
        <v>3538</v>
      </c>
    </row>
    <row r="1629" spans="2:8" x14ac:dyDescent="0.25">
      <c r="B1629" s="1358" t="s">
        <v>6897</v>
      </c>
      <c r="C1629" s="1359" t="s">
        <v>6913</v>
      </c>
      <c r="D1629" s="1360">
        <v>9575</v>
      </c>
      <c r="E1629" s="1361" t="s">
        <v>3957</v>
      </c>
      <c r="F1629" s="1360" t="s">
        <v>677</v>
      </c>
      <c r="G1629" s="1362">
        <v>12964464</v>
      </c>
      <c r="H1629" s="1363" t="s">
        <v>3548</v>
      </c>
    </row>
    <row r="1630" spans="2:8" x14ac:dyDescent="0.25">
      <c r="B1630" s="1358" t="s">
        <v>6897</v>
      </c>
      <c r="C1630" s="1359" t="s">
        <v>7046</v>
      </c>
      <c r="D1630" s="1360">
        <v>9576</v>
      </c>
      <c r="E1630" s="1361" t="s">
        <v>3958</v>
      </c>
      <c r="F1630" s="1360" t="s">
        <v>3539</v>
      </c>
      <c r="G1630" s="1362">
        <v>48579</v>
      </c>
      <c r="H1630" s="1363" t="s">
        <v>3548</v>
      </c>
    </row>
    <row r="1631" spans="2:8" x14ac:dyDescent="0.25">
      <c r="B1631" s="1358" t="s">
        <v>6897</v>
      </c>
      <c r="C1631" s="1359" t="s">
        <v>7047</v>
      </c>
      <c r="D1631" s="1360">
        <v>9577</v>
      </c>
      <c r="E1631" s="1361" t="s">
        <v>3959</v>
      </c>
      <c r="F1631" s="1360" t="s">
        <v>3539</v>
      </c>
      <c r="G1631" s="1362">
        <v>33097</v>
      </c>
      <c r="H1631" s="1363" t="s">
        <v>3548</v>
      </c>
    </row>
    <row r="1632" spans="2:8" x14ac:dyDescent="0.25">
      <c r="B1632" s="1358" t="s">
        <v>6897</v>
      </c>
      <c r="C1632" s="1359" t="s">
        <v>7046</v>
      </c>
      <c r="D1632" s="1360">
        <v>9578</v>
      </c>
      <c r="E1632" s="1361" t="s">
        <v>3960</v>
      </c>
      <c r="F1632" s="1360" t="s">
        <v>2243</v>
      </c>
      <c r="G1632" s="1362">
        <v>1140473</v>
      </c>
      <c r="H1632" s="1363" t="s">
        <v>3548</v>
      </c>
    </row>
    <row r="1633" spans="2:8" x14ac:dyDescent="0.25">
      <c r="B1633" s="1358" t="s">
        <v>6897</v>
      </c>
      <c r="C1633" s="1359" t="s">
        <v>7005</v>
      </c>
      <c r="D1633" s="1360">
        <v>9628</v>
      </c>
      <c r="E1633" s="1361" t="s">
        <v>2244</v>
      </c>
      <c r="F1633" s="1360" t="s">
        <v>266</v>
      </c>
      <c r="G1633" s="1362">
        <v>666400</v>
      </c>
      <c r="H1633" s="1363" t="s">
        <v>3538</v>
      </c>
    </row>
    <row r="1634" spans="2:8" x14ac:dyDescent="0.25">
      <c r="B1634" s="1358" t="s">
        <v>6897</v>
      </c>
      <c r="C1634" s="1359" t="s">
        <v>7005</v>
      </c>
      <c r="D1634" s="1360">
        <v>9629</v>
      </c>
      <c r="E1634" s="1361" t="s">
        <v>2245</v>
      </c>
      <c r="F1634" s="1360" t="s">
        <v>822</v>
      </c>
      <c r="G1634" s="1362">
        <v>49980</v>
      </c>
      <c r="H1634" s="1363" t="s">
        <v>3538</v>
      </c>
    </row>
    <row r="1635" spans="2:8" x14ac:dyDescent="0.25">
      <c r="B1635" s="1358" t="s">
        <v>6897</v>
      </c>
      <c r="C1635" s="1359" t="s">
        <v>7005</v>
      </c>
      <c r="D1635" s="1360">
        <v>9630</v>
      </c>
      <c r="E1635" s="1361" t="s">
        <v>2246</v>
      </c>
      <c r="F1635" s="1360" t="s">
        <v>822</v>
      </c>
      <c r="G1635" s="1362">
        <v>49980</v>
      </c>
      <c r="H1635" s="1363" t="s">
        <v>3538</v>
      </c>
    </row>
    <row r="1636" spans="2:8" x14ac:dyDescent="0.25">
      <c r="B1636" s="1358" t="s">
        <v>6897</v>
      </c>
      <c r="C1636" s="1359" t="s">
        <v>7005</v>
      </c>
      <c r="D1636" s="1360">
        <v>9631</v>
      </c>
      <c r="E1636" s="1361" t="s">
        <v>2247</v>
      </c>
      <c r="F1636" s="1360" t="s">
        <v>822</v>
      </c>
      <c r="G1636" s="1362">
        <v>70210</v>
      </c>
      <c r="H1636" s="1363" t="s">
        <v>3538</v>
      </c>
    </row>
    <row r="1637" spans="2:8" x14ac:dyDescent="0.25">
      <c r="B1637" s="1358" t="s">
        <v>6897</v>
      </c>
      <c r="C1637" s="1359" t="s">
        <v>7005</v>
      </c>
      <c r="D1637" s="1360">
        <v>9632</v>
      </c>
      <c r="E1637" s="1361" t="s">
        <v>2248</v>
      </c>
      <c r="F1637" s="1360" t="s">
        <v>822</v>
      </c>
      <c r="G1637" s="1362">
        <v>52925</v>
      </c>
      <c r="H1637" s="1363" t="s">
        <v>3538</v>
      </c>
    </row>
    <row r="1638" spans="2:8" x14ac:dyDescent="0.25">
      <c r="B1638" s="1358" t="s">
        <v>6897</v>
      </c>
      <c r="C1638" s="1359" t="s">
        <v>6927</v>
      </c>
      <c r="D1638" s="1360">
        <v>9635</v>
      </c>
      <c r="E1638" s="1361" t="s">
        <v>2249</v>
      </c>
      <c r="F1638" s="1360" t="s">
        <v>266</v>
      </c>
      <c r="G1638" s="1362">
        <v>211124</v>
      </c>
      <c r="H1638" s="1363" t="s">
        <v>6899</v>
      </c>
    </row>
    <row r="1639" spans="2:8" x14ac:dyDescent="0.25">
      <c r="B1639" s="1358" t="s">
        <v>6897</v>
      </c>
      <c r="C1639" s="1359" t="s">
        <v>6927</v>
      </c>
      <c r="D1639" s="1360">
        <v>9638</v>
      </c>
      <c r="E1639" s="1361" t="s">
        <v>2251</v>
      </c>
      <c r="F1639" s="1360" t="s">
        <v>6</v>
      </c>
      <c r="G1639" s="1362">
        <v>116843</v>
      </c>
      <c r="H1639" s="1363" t="s">
        <v>6899</v>
      </c>
    </row>
    <row r="1640" spans="2:8" x14ac:dyDescent="0.25">
      <c r="B1640" s="1358" t="s">
        <v>6897</v>
      </c>
      <c r="C1640" s="1359" t="s">
        <v>6927</v>
      </c>
      <c r="D1640" s="1360">
        <v>9639</v>
      </c>
      <c r="E1640" s="1361" t="s">
        <v>2252</v>
      </c>
      <c r="F1640" s="1360" t="s">
        <v>6</v>
      </c>
      <c r="G1640" s="1362">
        <v>5303</v>
      </c>
      <c r="H1640" s="1363" t="s">
        <v>6899</v>
      </c>
    </row>
    <row r="1641" spans="2:8" x14ac:dyDescent="0.25">
      <c r="B1641" s="1358" t="s">
        <v>6897</v>
      </c>
      <c r="C1641" s="1359" t="s">
        <v>6927</v>
      </c>
      <c r="D1641" s="1360">
        <v>9640</v>
      </c>
      <c r="E1641" s="1361" t="s">
        <v>2253</v>
      </c>
      <c r="F1641" s="1360" t="s">
        <v>6</v>
      </c>
      <c r="G1641" s="1362">
        <v>18626</v>
      </c>
      <c r="H1641" s="1363" t="s">
        <v>6899</v>
      </c>
    </row>
    <row r="1642" spans="2:8" x14ac:dyDescent="0.25">
      <c r="B1642" s="1358" t="s">
        <v>6897</v>
      </c>
      <c r="C1642" s="1359" t="s">
        <v>6927</v>
      </c>
      <c r="D1642" s="1360">
        <v>9642</v>
      </c>
      <c r="E1642" s="1361" t="s">
        <v>2254</v>
      </c>
      <c r="F1642" s="1360" t="s">
        <v>6</v>
      </c>
      <c r="G1642" s="1362">
        <v>97195</v>
      </c>
      <c r="H1642" s="1363" t="s">
        <v>6899</v>
      </c>
    </row>
    <row r="1643" spans="2:8" x14ac:dyDescent="0.25">
      <c r="B1643" s="1358" t="s">
        <v>6897</v>
      </c>
      <c r="C1643" s="1359" t="s">
        <v>6927</v>
      </c>
      <c r="D1643" s="1360">
        <v>9643</v>
      </c>
      <c r="E1643" s="1361" t="s">
        <v>2255</v>
      </c>
      <c r="F1643" s="1360" t="s">
        <v>13</v>
      </c>
      <c r="G1643" s="1362">
        <v>820</v>
      </c>
      <c r="H1643" s="1363" t="s">
        <v>6899</v>
      </c>
    </row>
    <row r="1644" spans="2:8" x14ac:dyDescent="0.25">
      <c r="B1644" s="1358" t="s">
        <v>6897</v>
      </c>
      <c r="C1644" s="1359" t="s">
        <v>6927</v>
      </c>
      <c r="D1644" s="1360">
        <v>9644</v>
      </c>
      <c r="E1644" s="1361" t="s">
        <v>2256</v>
      </c>
      <c r="F1644" s="1360" t="s">
        <v>13</v>
      </c>
      <c r="G1644" s="1362">
        <v>21480</v>
      </c>
      <c r="H1644" s="1363" t="s">
        <v>6899</v>
      </c>
    </row>
    <row r="1645" spans="2:8" x14ac:dyDescent="0.25">
      <c r="B1645" s="1358" t="s">
        <v>6897</v>
      </c>
      <c r="C1645" s="1359" t="s">
        <v>6927</v>
      </c>
      <c r="D1645" s="1360">
        <v>9645</v>
      </c>
      <c r="E1645" s="1361" t="s">
        <v>2257</v>
      </c>
      <c r="F1645" s="1360" t="s">
        <v>266</v>
      </c>
      <c r="G1645" s="1362">
        <v>81223</v>
      </c>
      <c r="H1645" s="1363" t="s">
        <v>6899</v>
      </c>
    </row>
    <row r="1646" spans="2:8" x14ac:dyDescent="0.25">
      <c r="B1646" s="1358" t="s">
        <v>6897</v>
      </c>
      <c r="C1646" s="1359" t="s">
        <v>6939</v>
      </c>
      <c r="D1646" s="1360">
        <v>9646</v>
      </c>
      <c r="E1646" s="1361" t="s">
        <v>3961</v>
      </c>
      <c r="F1646" s="1360" t="s">
        <v>266</v>
      </c>
      <c r="G1646" s="1362">
        <v>285600</v>
      </c>
      <c r="H1646" s="1363" t="s">
        <v>6899</v>
      </c>
    </row>
    <row r="1647" spans="2:8" x14ac:dyDescent="0.25">
      <c r="B1647" s="1358" t="s">
        <v>6897</v>
      </c>
      <c r="C1647" s="1359" t="s">
        <v>6941</v>
      </c>
      <c r="D1647" s="1360">
        <v>9647</v>
      </c>
      <c r="E1647" s="1361" t="s">
        <v>2258</v>
      </c>
      <c r="F1647" s="1360" t="s">
        <v>266</v>
      </c>
      <c r="G1647" s="1362">
        <v>773500</v>
      </c>
      <c r="H1647" s="1363" t="s">
        <v>6899</v>
      </c>
    </row>
    <row r="1648" spans="2:8" x14ac:dyDescent="0.25">
      <c r="B1648" s="1358" t="s">
        <v>6897</v>
      </c>
      <c r="C1648" s="1359" t="s">
        <v>6939</v>
      </c>
      <c r="D1648" s="1360">
        <v>9648</v>
      </c>
      <c r="E1648" s="1361" t="s">
        <v>2259</v>
      </c>
      <c r="F1648" s="1360" t="s">
        <v>266</v>
      </c>
      <c r="G1648" s="1362">
        <v>25704</v>
      </c>
      <c r="H1648" s="1363" t="s">
        <v>6899</v>
      </c>
    </row>
    <row r="1649" spans="2:8" x14ac:dyDescent="0.25">
      <c r="B1649" s="1358" t="s">
        <v>6897</v>
      </c>
      <c r="C1649" s="1359" t="s">
        <v>6901</v>
      </c>
      <c r="D1649" s="1360">
        <v>9649</v>
      </c>
      <c r="E1649" s="1361" t="s">
        <v>2260</v>
      </c>
      <c r="F1649" s="1360" t="s">
        <v>1155</v>
      </c>
      <c r="G1649" s="1362">
        <v>380800</v>
      </c>
      <c r="H1649" s="1363" t="s">
        <v>3538</v>
      </c>
    </row>
    <row r="1650" spans="2:8" x14ac:dyDescent="0.25">
      <c r="B1650" s="1358" t="s">
        <v>6897</v>
      </c>
      <c r="C1650" s="1359" t="s">
        <v>1798</v>
      </c>
      <c r="D1650" s="1360">
        <v>9650</v>
      </c>
      <c r="E1650" s="1361" t="s">
        <v>2261</v>
      </c>
      <c r="F1650" s="1360" t="s">
        <v>6</v>
      </c>
      <c r="G1650" s="1362">
        <v>5712</v>
      </c>
      <c r="H1650" s="1363" t="s">
        <v>6899</v>
      </c>
    </row>
    <row r="1651" spans="2:8" x14ac:dyDescent="0.25">
      <c r="B1651" s="1358" t="s">
        <v>6897</v>
      </c>
      <c r="C1651" s="1359" t="s">
        <v>1798</v>
      </c>
      <c r="D1651" s="1360">
        <v>9651</v>
      </c>
      <c r="E1651" s="1361" t="s">
        <v>2262</v>
      </c>
      <c r="F1651" s="1360" t="s">
        <v>6</v>
      </c>
      <c r="G1651" s="1362">
        <v>17111</v>
      </c>
      <c r="H1651" s="1363" t="s">
        <v>6899</v>
      </c>
    </row>
    <row r="1652" spans="2:8" x14ac:dyDescent="0.25">
      <c r="B1652" s="1358" t="s">
        <v>6897</v>
      </c>
      <c r="C1652" s="1359" t="s">
        <v>1798</v>
      </c>
      <c r="D1652" s="1360">
        <v>9652</v>
      </c>
      <c r="E1652" s="1361" t="s">
        <v>2263</v>
      </c>
      <c r="F1652" s="1360" t="s">
        <v>6</v>
      </c>
      <c r="G1652" s="1362">
        <v>16475</v>
      </c>
      <c r="H1652" s="1363" t="s">
        <v>6899</v>
      </c>
    </row>
    <row r="1653" spans="2:8" x14ac:dyDescent="0.25">
      <c r="B1653" s="1358" t="s">
        <v>6897</v>
      </c>
      <c r="C1653" s="1359" t="s">
        <v>1798</v>
      </c>
      <c r="D1653" s="1360">
        <v>9653</v>
      </c>
      <c r="E1653" s="1361" t="s">
        <v>2264</v>
      </c>
      <c r="F1653" s="1360" t="s">
        <v>6</v>
      </c>
      <c r="G1653" s="1362">
        <v>17414</v>
      </c>
      <c r="H1653" s="1363" t="s">
        <v>6899</v>
      </c>
    </row>
    <row r="1654" spans="2:8" x14ac:dyDescent="0.25">
      <c r="B1654" s="1358" t="s">
        <v>6897</v>
      </c>
      <c r="C1654" s="1359" t="s">
        <v>1798</v>
      </c>
      <c r="D1654" s="1360">
        <v>9654</v>
      </c>
      <c r="E1654" s="1361" t="s">
        <v>2265</v>
      </c>
      <c r="F1654" s="1360" t="s">
        <v>6</v>
      </c>
      <c r="G1654" s="1362">
        <v>16980</v>
      </c>
      <c r="H1654" s="1363" t="s">
        <v>6899</v>
      </c>
    </row>
    <row r="1655" spans="2:8" x14ac:dyDescent="0.25">
      <c r="B1655" s="1358" t="s">
        <v>6897</v>
      </c>
      <c r="C1655" s="1359" t="s">
        <v>1798</v>
      </c>
      <c r="D1655" s="1360">
        <v>9655</v>
      </c>
      <c r="E1655" s="1361" t="s">
        <v>2266</v>
      </c>
      <c r="F1655" s="1360" t="s">
        <v>6</v>
      </c>
      <c r="G1655" s="1362">
        <v>17111</v>
      </c>
      <c r="H1655" s="1363" t="s">
        <v>6899</v>
      </c>
    </row>
    <row r="1656" spans="2:8" x14ac:dyDescent="0.25">
      <c r="B1656" s="1358" t="s">
        <v>6897</v>
      </c>
      <c r="C1656" s="1359" t="s">
        <v>1474</v>
      </c>
      <c r="D1656" s="1360">
        <v>9656</v>
      </c>
      <c r="E1656" s="1361" t="s">
        <v>2267</v>
      </c>
      <c r="F1656" s="1360" t="s">
        <v>12</v>
      </c>
      <c r="G1656" s="1362">
        <v>14827</v>
      </c>
      <c r="H1656" s="1363" t="s">
        <v>6899</v>
      </c>
    </row>
    <row r="1657" spans="2:8" x14ac:dyDescent="0.25">
      <c r="B1657" s="1358" t="s">
        <v>6897</v>
      </c>
      <c r="C1657" s="1359" t="s">
        <v>7038</v>
      </c>
      <c r="D1657" s="1360">
        <v>9663</v>
      </c>
      <c r="E1657" s="1361" t="s">
        <v>2268</v>
      </c>
      <c r="F1657" s="1360" t="s">
        <v>12</v>
      </c>
      <c r="G1657" s="1362">
        <v>408002</v>
      </c>
      <c r="H1657" s="1363" t="s">
        <v>3538</v>
      </c>
    </row>
    <row r="1658" spans="2:8" x14ac:dyDescent="0.25">
      <c r="B1658" s="1358" t="s">
        <v>6897</v>
      </c>
      <c r="C1658" s="1359" t="s">
        <v>6908</v>
      </c>
      <c r="D1658" s="1360">
        <v>9669</v>
      </c>
      <c r="E1658" s="1361" t="s">
        <v>2269</v>
      </c>
      <c r="F1658" s="1360" t="s">
        <v>266</v>
      </c>
      <c r="G1658" s="1362">
        <v>128401</v>
      </c>
      <c r="H1658" s="1363" t="s">
        <v>3538</v>
      </c>
    </row>
    <row r="1659" spans="2:8" x14ac:dyDescent="0.25">
      <c r="B1659" s="1358" t="s">
        <v>6897</v>
      </c>
      <c r="C1659" s="1359" t="s">
        <v>6926</v>
      </c>
      <c r="D1659" s="1360">
        <v>9671</v>
      </c>
      <c r="E1659" s="1361" t="s">
        <v>2270</v>
      </c>
      <c r="F1659" s="1360" t="s">
        <v>3</v>
      </c>
      <c r="G1659" s="1362">
        <v>795689</v>
      </c>
      <c r="H1659" s="1363" t="s">
        <v>6899</v>
      </c>
    </row>
    <row r="1660" spans="2:8" x14ac:dyDescent="0.25">
      <c r="B1660" s="1358" t="s">
        <v>6897</v>
      </c>
      <c r="C1660" s="1359" t="s">
        <v>6926</v>
      </c>
      <c r="D1660" s="1360">
        <v>9672</v>
      </c>
      <c r="E1660" s="1361" t="s">
        <v>2271</v>
      </c>
      <c r="F1660" s="1360" t="s">
        <v>3</v>
      </c>
      <c r="G1660" s="1362">
        <v>776266</v>
      </c>
      <c r="H1660" s="1363" t="s">
        <v>6899</v>
      </c>
    </row>
    <row r="1661" spans="2:8" x14ac:dyDescent="0.25">
      <c r="B1661" s="1358" t="s">
        <v>6897</v>
      </c>
      <c r="C1661" s="1359" t="s">
        <v>6926</v>
      </c>
      <c r="D1661" s="1360">
        <v>9673</v>
      </c>
      <c r="E1661" s="1361" t="s">
        <v>2272</v>
      </c>
      <c r="F1661" s="1360" t="s">
        <v>3</v>
      </c>
      <c r="G1661" s="1362">
        <v>758679</v>
      </c>
      <c r="H1661" s="1363" t="s">
        <v>6899</v>
      </c>
    </row>
    <row r="1662" spans="2:8" x14ac:dyDescent="0.25">
      <c r="B1662" s="1358" t="s">
        <v>6897</v>
      </c>
      <c r="C1662" s="1359" t="s">
        <v>6917</v>
      </c>
      <c r="D1662" s="1360">
        <v>9682</v>
      </c>
      <c r="E1662" s="1361" t="s">
        <v>2273</v>
      </c>
      <c r="F1662" s="1360" t="s">
        <v>1155</v>
      </c>
      <c r="G1662" s="1362">
        <v>145115</v>
      </c>
      <c r="H1662" s="1363" t="s">
        <v>3538</v>
      </c>
    </row>
    <row r="1663" spans="2:8" x14ac:dyDescent="0.25">
      <c r="B1663" s="1358" t="s">
        <v>6897</v>
      </c>
      <c r="C1663" s="1359" t="s">
        <v>6910</v>
      </c>
      <c r="D1663" s="1360">
        <v>9685</v>
      </c>
      <c r="E1663" s="1361" t="s">
        <v>3962</v>
      </c>
      <c r="F1663" s="1360" t="s">
        <v>13</v>
      </c>
      <c r="G1663" s="1362">
        <v>74731</v>
      </c>
      <c r="H1663" s="1363" t="s">
        <v>6899</v>
      </c>
    </row>
    <row r="1664" spans="2:8" x14ac:dyDescent="0.25">
      <c r="B1664" s="1358" t="s">
        <v>6897</v>
      </c>
      <c r="C1664" s="1359" t="s">
        <v>6910</v>
      </c>
      <c r="D1664" s="1360">
        <v>9686</v>
      </c>
      <c r="E1664" s="1361" t="s">
        <v>7048</v>
      </c>
      <c r="F1664" s="1360" t="s">
        <v>13</v>
      </c>
      <c r="G1664" s="1362">
        <v>56923</v>
      </c>
      <c r="H1664" s="1363" t="s">
        <v>6899</v>
      </c>
    </row>
    <row r="1665" spans="2:8" x14ac:dyDescent="0.25">
      <c r="B1665" s="1358" t="s">
        <v>6897</v>
      </c>
      <c r="C1665" s="1359" t="s">
        <v>6910</v>
      </c>
      <c r="D1665" s="1360">
        <v>9687</v>
      </c>
      <c r="E1665" s="1361" t="s">
        <v>7049</v>
      </c>
      <c r="F1665" s="1360" t="s">
        <v>266</v>
      </c>
      <c r="G1665" s="1362">
        <v>6538</v>
      </c>
      <c r="H1665" s="1363" t="s">
        <v>6899</v>
      </c>
    </row>
    <row r="1666" spans="2:8" x14ac:dyDescent="0.25">
      <c r="B1666" s="1358" t="s">
        <v>6897</v>
      </c>
      <c r="C1666" s="1359" t="s">
        <v>6910</v>
      </c>
      <c r="D1666" s="1360">
        <v>9688</v>
      </c>
      <c r="E1666" s="1361" t="s">
        <v>7050</v>
      </c>
      <c r="F1666" s="1360" t="s">
        <v>13</v>
      </c>
      <c r="G1666" s="1362">
        <v>20270</v>
      </c>
      <c r="H1666" s="1363" t="s">
        <v>6899</v>
      </c>
    </row>
    <row r="1667" spans="2:8" x14ac:dyDescent="0.25">
      <c r="B1667" s="1358" t="s">
        <v>6897</v>
      </c>
      <c r="C1667" s="1359" t="s">
        <v>6910</v>
      </c>
      <c r="D1667" s="1360">
        <v>9689</v>
      </c>
      <c r="E1667" s="1361" t="s">
        <v>7051</v>
      </c>
      <c r="F1667" s="1360" t="s">
        <v>266</v>
      </c>
      <c r="G1667" s="1362">
        <v>2788</v>
      </c>
      <c r="H1667" s="1363" t="s">
        <v>6899</v>
      </c>
    </row>
    <row r="1668" spans="2:8" x14ac:dyDescent="0.25">
      <c r="B1668" s="1358" t="s">
        <v>6897</v>
      </c>
      <c r="C1668" s="1359" t="s">
        <v>6910</v>
      </c>
      <c r="D1668" s="1360">
        <v>9690</v>
      </c>
      <c r="E1668" s="1361" t="s">
        <v>3963</v>
      </c>
      <c r="F1668" s="1360" t="s">
        <v>13</v>
      </c>
      <c r="G1668" s="1362">
        <v>23717</v>
      </c>
      <c r="H1668" s="1363" t="s">
        <v>6899</v>
      </c>
    </row>
    <row r="1669" spans="2:8" x14ac:dyDescent="0.25">
      <c r="B1669" s="1358" t="s">
        <v>6897</v>
      </c>
      <c r="C1669" s="1359" t="s">
        <v>7008</v>
      </c>
      <c r="D1669" s="1360">
        <v>9692</v>
      </c>
      <c r="E1669" s="1361" t="s">
        <v>2274</v>
      </c>
      <c r="F1669" s="1360" t="s">
        <v>768</v>
      </c>
      <c r="G1669" s="1362">
        <v>3213</v>
      </c>
      <c r="H1669" s="1363" t="s">
        <v>6899</v>
      </c>
    </row>
    <row r="1670" spans="2:8" x14ac:dyDescent="0.25">
      <c r="B1670" s="1358" t="s">
        <v>6897</v>
      </c>
      <c r="C1670" s="1359" t="s">
        <v>1798</v>
      </c>
      <c r="D1670" s="1360">
        <v>9695</v>
      </c>
      <c r="E1670" s="1361" t="s">
        <v>799</v>
      </c>
      <c r="F1670" s="1360" t="s">
        <v>6</v>
      </c>
      <c r="G1670" s="1362">
        <v>541</v>
      </c>
      <c r="H1670" s="1363" t="s">
        <v>6899</v>
      </c>
    </row>
    <row r="1671" spans="2:8" x14ac:dyDescent="0.25">
      <c r="B1671" s="1358" t="s">
        <v>6897</v>
      </c>
      <c r="C1671" s="1359" t="s">
        <v>1798</v>
      </c>
      <c r="D1671" s="1360">
        <v>9696</v>
      </c>
      <c r="E1671" s="1361" t="s">
        <v>800</v>
      </c>
      <c r="F1671" s="1360" t="s">
        <v>6</v>
      </c>
      <c r="G1671" s="1362">
        <v>781</v>
      </c>
      <c r="H1671" s="1363" t="s">
        <v>6899</v>
      </c>
    </row>
    <row r="1672" spans="2:8" x14ac:dyDescent="0.25">
      <c r="B1672" s="1358" t="s">
        <v>6897</v>
      </c>
      <c r="C1672" s="1359" t="s">
        <v>1798</v>
      </c>
      <c r="D1672" s="1360">
        <v>9697</v>
      </c>
      <c r="E1672" s="1361" t="s">
        <v>801</v>
      </c>
      <c r="F1672" s="1360" t="s">
        <v>6</v>
      </c>
      <c r="G1672" s="1362">
        <v>901</v>
      </c>
      <c r="H1672" s="1363" t="s">
        <v>6899</v>
      </c>
    </row>
    <row r="1673" spans="2:8" x14ac:dyDescent="0.25">
      <c r="B1673" s="1358" t="s">
        <v>6897</v>
      </c>
      <c r="C1673" s="1359" t="s">
        <v>1798</v>
      </c>
      <c r="D1673" s="1360">
        <v>9698</v>
      </c>
      <c r="E1673" s="1361" t="s">
        <v>2275</v>
      </c>
      <c r="F1673" s="1360" t="s">
        <v>6</v>
      </c>
      <c r="G1673" s="1362">
        <v>1022</v>
      </c>
      <c r="H1673" s="1363" t="s">
        <v>6899</v>
      </c>
    </row>
    <row r="1674" spans="2:8" x14ac:dyDescent="0.25">
      <c r="B1674" s="1358" t="s">
        <v>6897</v>
      </c>
      <c r="C1674" s="1359" t="s">
        <v>1798</v>
      </c>
      <c r="D1674" s="1360">
        <v>9699</v>
      </c>
      <c r="E1674" s="1361" t="s">
        <v>2276</v>
      </c>
      <c r="F1674" s="1360" t="s">
        <v>6</v>
      </c>
      <c r="G1674" s="1362">
        <v>1384</v>
      </c>
      <c r="H1674" s="1363" t="s">
        <v>6899</v>
      </c>
    </row>
    <row r="1675" spans="2:8" x14ac:dyDescent="0.25">
      <c r="B1675" s="1358" t="s">
        <v>6897</v>
      </c>
      <c r="C1675" s="1359" t="s">
        <v>1798</v>
      </c>
      <c r="D1675" s="1360">
        <v>9700</v>
      </c>
      <c r="E1675" s="1361" t="s">
        <v>2277</v>
      </c>
      <c r="F1675" s="1360" t="s">
        <v>6</v>
      </c>
      <c r="G1675" s="1362">
        <v>1442</v>
      </c>
      <c r="H1675" s="1363" t="s">
        <v>6899</v>
      </c>
    </row>
    <row r="1676" spans="2:8" x14ac:dyDescent="0.25">
      <c r="B1676" s="1358" t="s">
        <v>6897</v>
      </c>
      <c r="C1676" s="1359" t="s">
        <v>1798</v>
      </c>
      <c r="D1676" s="1360">
        <v>9701</v>
      </c>
      <c r="E1676" s="1361" t="s">
        <v>2278</v>
      </c>
      <c r="F1676" s="1360" t="s">
        <v>6</v>
      </c>
      <c r="G1676" s="1362">
        <v>1616</v>
      </c>
      <c r="H1676" s="1363" t="s">
        <v>6899</v>
      </c>
    </row>
    <row r="1677" spans="2:8" x14ac:dyDescent="0.25">
      <c r="B1677" s="1358" t="s">
        <v>6897</v>
      </c>
      <c r="C1677" s="1359" t="s">
        <v>6925</v>
      </c>
      <c r="D1677" s="1360">
        <v>9704</v>
      </c>
      <c r="E1677" s="1361" t="s">
        <v>2279</v>
      </c>
      <c r="F1677" s="1360" t="s">
        <v>563</v>
      </c>
      <c r="G1677" s="1362">
        <v>53184</v>
      </c>
      <c r="H1677" s="1363" t="s">
        <v>6899</v>
      </c>
    </row>
    <row r="1678" spans="2:8" x14ac:dyDescent="0.25">
      <c r="B1678" s="1358" t="s">
        <v>6897</v>
      </c>
      <c r="C1678" s="1359" t="s">
        <v>6925</v>
      </c>
      <c r="D1678" s="1360">
        <v>9705</v>
      </c>
      <c r="E1678" s="1361" t="s">
        <v>2280</v>
      </c>
      <c r="F1678" s="1360" t="s">
        <v>563</v>
      </c>
      <c r="G1678" s="1362">
        <v>209414</v>
      </c>
      <c r="H1678" s="1363" t="s">
        <v>6899</v>
      </c>
    </row>
    <row r="1679" spans="2:8" x14ac:dyDescent="0.25">
      <c r="B1679" s="1358" t="s">
        <v>6897</v>
      </c>
      <c r="C1679" s="1359" t="s">
        <v>6925</v>
      </c>
      <c r="D1679" s="1360">
        <v>9706</v>
      </c>
      <c r="E1679" s="1361" t="s">
        <v>2281</v>
      </c>
      <c r="F1679" s="1360" t="s">
        <v>563</v>
      </c>
      <c r="G1679" s="1362">
        <v>490000</v>
      </c>
      <c r="H1679" s="1363" t="s">
        <v>6899</v>
      </c>
    </row>
    <row r="1680" spans="2:8" x14ac:dyDescent="0.25">
      <c r="B1680" s="1358" t="s">
        <v>6897</v>
      </c>
      <c r="C1680" s="1359" t="s">
        <v>6925</v>
      </c>
      <c r="D1680" s="1360">
        <v>9707</v>
      </c>
      <c r="E1680" s="1361" t="s">
        <v>2282</v>
      </c>
      <c r="F1680" s="1360" t="s">
        <v>563</v>
      </c>
      <c r="G1680" s="1362">
        <v>850000</v>
      </c>
      <c r="H1680" s="1363" t="s">
        <v>6899</v>
      </c>
    </row>
    <row r="1681" spans="2:8" x14ac:dyDescent="0.25">
      <c r="B1681" s="1358" t="s">
        <v>6897</v>
      </c>
      <c r="C1681" s="1359" t="s">
        <v>6925</v>
      </c>
      <c r="D1681" s="1360">
        <v>9708</v>
      </c>
      <c r="E1681" s="1361" t="s">
        <v>2283</v>
      </c>
      <c r="F1681" s="1360" t="s">
        <v>563</v>
      </c>
      <c r="G1681" s="1362">
        <v>1300000</v>
      </c>
      <c r="H1681" s="1363" t="s">
        <v>6899</v>
      </c>
    </row>
    <row r="1682" spans="2:8" x14ac:dyDescent="0.25">
      <c r="B1682" s="1358" t="s">
        <v>6897</v>
      </c>
      <c r="C1682" s="1359" t="s">
        <v>6913</v>
      </c>
      <c r="D1682" s="1360">
        <v>9709</v>
      </c>
      <c r="E1682" s="1361" t="s">
        <v>3964</v>
      </c>
      <c r="F1682" s="1360" t="s">
        <v>677</v>
      </c>
      <c r="G1682" s="1362">
        <v>4561650</v>
      </c>
      <c r="H1682" s="1363" t="s">
        <v>3548</v>
      </c>
    </row>
    <row r="1683" spans="2:8" x14ac:dyDescent="0.25">
      <c r="B1683" s="1358" t="s">
        <v>6897</v>
      </c>
      <c r="C1683" s="1359" t="s">
        <v>6913</v>
      </c>
      <c r="D1683" s="1360">
        <v>9710</v>
      </c>
      <c r="E1683" s="1361" t="s">
        <v>3965</v>
      </c>
      <c r="F1683" s="1360" t="s">
        <v>677</v>
      </c>
      <c r="G1683" s="1362">
        <v>4040550</v>
      </c>
      <c r="H1683" s="1363" t="s">
        <v>3548</v>
      </c>
    </row>
    <row r="1684" spans="2:8" x14ac:dyDescent="0.25">
      <c r="B1684" s="1358" t="s">
        <v>6897</v>
      </c>
      <c r="C1684" s="1359" t="s">
        <v>6913</v>
      </c>
      <c r="D1684" s="1360">
        <v>9711</v>
      </c>
      <c r="E1684" s="1361" t="s">
        <v>3966</v>
      </c>
      <c r="F1684" s="1360" t="s">
        <v>677</v>
      </c>
      <c r="G1684" s="1362">
        <v>2987550</v>
      </c>
      <c r="H1684" s="1363" t="s">
        <v>3548</v>
      </c>
    </row>
    <row r="1685" spans="2:8" x14ac:dyDescent="0.25">
      <c r="B1685" s="1358" t="s">
        <v>6897</v>
      </c>
      <c r="C1685" s="1359" t="s">
        <v>6913</v>
      </c>
      <c r="D1685" s="1360">
        <v>9712</v>
      </c>
      <c r="E1685" s="1361" t="s">
        <v>3967</v>
      </c>
      <c r="F1685" s="1360" t="s">
        <v>677</v>
      </c>
      <c r="G1685" s="1362">
        <v>2828250</v>
      </c>
      <c r="H1685" s="1363" t="s">
        <v>3548</v>
      </c>
    </row>
    <row r="1686" spans="2:8" x14ac:dyDescent="0.25">
      <c r="B1686" s="1358" t="s">
        <v>6897</v>
      </c>
      <c r="C1686" s="1359" t="s">
        <v>6913</v>
      </c>
      <c r="D1686" s="1360">
        <v>9713</v>
      </c>
      <c r="E1686" s="1361" t="s">
        <v>3968</v>
      </c>
      <c r="F1686" s="1360" t="s">
        <v>677</v>
      </c>
      <c r="G1686" s="1362">
        <v>2463750</v>
      </c>
      <c r="H1686" s="1363" t="s">
        <v>3548</v>
      </c>
    </row>
    <row r="1687" spans="2:8" x14ac:dyDescent="0.25">
      <c r="B1687" s="1358" t="s">
        <v>6897</v>
      </c>
      <c r="C1687" s="1359" t="s">
        <v>6913</v>
      </c>
      <c r="D1687" s="1360">
        <v>9714</v>
      </c>
      <c r="E1687" s="1361" t="s">
        <v>3969</v>
      </c>
      <c r="F1687" s="1360" t="s">
        <v>677</v>
      </c>
      <c r="G1687" s="1362">
        <v>2049300</v>
      </c>
      <c r="H1687" s="1363" t="s">
        <v>3548</v>
      </c>
    </row>
    <row r="1688" spans="2:8" x14ac:dyDescent="0.25">
      <c r="B1688" s="1358" t="s">
        <v>6897</v>
      </c>
      <c r="C1688" s="1359" t="s">
        <v>6913</v>
      </c>
      <c r="D1688" s="1360">
        <v>9715</v>
      </c>
      <c r="E1688" s="1361" t="s">
        <v>3970</v>
      </c>
      <c r="F1688" s="1360" t="s">
        <v>677</v>
      </c>
      <c r="G1688" s="1362">
        <v>5265000</v>
      </c>
      <c r="H1688" s="1363" t="s">
        <v>3548</v>
      </c>
    </row>
    <row r="1689" spans="2:8" x14ac:dyDescent="0.25">
      <c r="B1689" s="1358" t="s">
        <v>6897</v>
      </c>
      <c r="C1689" s="1359" t="s">
        <v>7052</v>
      </c>
      <c r="D1689" s="1360">
        <v>9720</v>
      </c>
      <c r="E1689" s="1361" t="s">
        <v>3971</v>
      </c>
      <c r="F1689" s="1360" t="s">
        <v>266</v>
      </c>
      <c r="G1689" s="1362">
        <v>11900</v>
      </c>
      <c r="H1689" s="1363" t="s">
        <v>6899</v>
      </c>
    </row>
    <row r="1690" spans="2:8" x14ac:dyDescent="0.25">
      <c r="B1690" s="1358" t="s">
        <v>6897</v>
      </c>
      <c r="C1690" s="1359" t="s">
        <v>7043</v>
      </c>
      <c r="D1690" s="1360">
        <v>9721</v>
      </c>
      <c r="E1690" s="1361" t="s">
        <v>3972</v>
      </c>
      <c r="F1690" s="1360" t="s">
        <v>677</v>
      </c>
      <c r="G1690" s="1362">
        <v>2410899</v>
      </c>
      <c r="H1690" s="1363" t="s">
        <v>3548</v>
      </c>
    </row>
    <row r="1691" spans="2:8" x14ac:dyDescent="0.25">
      <c r="B1691" s="1358" t="s">
        <v>6897</v>
      </c>
      <c r="C1691" s="1359" t="s">
        <v>7043</v>
      </c>
      <c r="D1691" s="1360">
        <v>9722</v>
      </c>
      <c r="E1691" s="1361" t="s">
        <v>3973</v>
      </c>
      <c r="F1691" s="1360" t="s">
        <v>677</v>
      </c>
      <c r="G1691" s="1362">
        <v>8839963</v>
      </c>
      <c r="H1691" s="1363" t="s">
        <v>3548</v>
      </c>
    </row>
    <row r="1692" spans="2:8" x14ac:dyDescent="0.25">
      <c r="B1692" s="1358" t="s">
        <v>6897</v>
      </c>
      <c r="C1692" s="1359" t="s">
        <v>6898</v>
      </c>
      <c r="D1692" s="1360">
        <v>9723</v>
      </c>
      <c r="E1692" s="1361" t="s">
        <v>2284</v>
      </c>
      <c r="F1692" s="1360" t="s">
        <v>93</v>
      </c>
      <c r="G1692" s="1362">
        <v>31996</v>
      </c>
      <c r="H1692" s="1363" t="s">
        <v>6899</v>
      </c>
    </row>
    <row r="1693" spans="2:8" x14ac:dyDescent="0.25">
      <c r="B1693" s="1358" t="s">
        <v>6897</v>
      </c>
      <c r="C1693" s="1359" t="s">
        <v>6992</v>
      </c>
      <c r="D1693" s="1360">
        <v>9724</v>
      </c>
      <c r="E1693" s="1361" t="s">
        <v>2285</v>
      </c>
      <c r="F1693" s="1360" t="s">
        <v>546</v>
      </c>
      <c r="G1693" s="1362">
        <v>117810</v>
      </c>
      <c r="H1693" s="1363" t="s">
        <v>3538</v>
      </c>
    </row>
    <row r="1694" spans="2:8" x14ac:dyDescent="0.25">
      <c r="B1694" s="1358" t="s">
        <v>6897</v>
      </c>
      <c r="C1694" s="1359" t="s">
        <v>6992</v>
      </c>
      <c r="D1694" s="1360">
        <v>9725</v>
      </c>
      <c r="E1694" s="1361" t="s">
        <v>2286</v>
      </c>
      <c r="F1694" s="1360" t="s">
        <v>546</v>
      </c>
      <c r="G1694" s="1362">
        <v>92463</v>
      </c>
      <c r="H1694" s="1363" t="s">
        <v>3538</v>
      </c>
    </row>
    <row r="1695" spans="2:8" x14ac:dyDescent="0.25">
      <c r="B1695" s="1358" t="s">
        <v>6897</v>
      </c>
      <c r="C1695" s="1359" t="s">
        <v>6996</v>
      </c>
      <c r="D1695" s="1360">
        <v>9726</v>
      </c>
      <c r="E1695" s="1361" t="s">
        <v>2287</v>
      </c>
      <c r="F1695" s="1360" t="s">
        <v>93</v>
      </c>
      <c r="G1695" s="1362">
        <v>33400</v>
      </c>
      <c r="H1695" s="1363" t="s">
        <v>3538</v>
      </c>
    </row>
    <row r="1696" spans="2:8" x14ac:dyDescent="0.25">
      <c r="B1696" s="1358" t="s">
        <v>6897</v>
      </c>
      <c r="C1696" s="1359" t="s">
        <v>6992</v>
      </c>
      <c r="D1696" s="1360">
        <v>9727</v>
      </c>
      <c r="E1696" s="1361" t="s">
        <v>3974</v>
      </c>
      <c r="F1696" s="1360" t="s">
        <v>1124</v>
      </c>
      <c r="G1696" s="1362">
        <v>119011</v>
      </c>
      <c r="H1696" s="1363" t="s">
        <v>3538</v>
      </c>
    </row>
    <row r="1697" spans="2:8" x14ac:dyDescent="0.25">
      <c r="B1697" s="1358" t="s">
        <v>6897</v>
      </c>
      <c r="C1697" s="1359" t="s">
        <v>6919</v>
      </c>
      <c r="D1697" s="1360">
        <v>9728</v>
      </c>
      <c r="E1697" s="1361" t="s">
        <v>2288</v>
      </c>
      <c r="F1697" s="1360" t="s">
        <v>266</v>
      </c>
      <c r="G1697" s="1362">
        <v>3857504</v>
      </c>
      <c r="H1697" s="1363" t="s">
        <v>6899</v>
      </c>
    </row>
    <row r="1698" spans="2:8" x14ac:dyDescent="0.25">
      <c r="B1698" s="1358" t="s">
        <v>6897</v>
      </c>
      <c r="C1698" s="1359" t="s">
        <v>1798</v>
      </c>
      <c r="D1698" s="1360">
        <v>9733</v>
      </c>
      <c r="E1698" s="1361" t="s">
        <v>2289</v>
      </c>
      <c r="F1698" s="1360" t="s">
        <v>266</v>
      </c>
      <c r="G1698" s="1362">
        <v>117641</v>
      </c>
      <c r="H1698" s="1363" t="s">
        <v>6899</v>
      </c>
    </row>
    <row r="1699" spans="2:8" x14ac:dyDescent="0.25">
      <c r="B1699" s="1358" t="s">
        <v>6897</v>
      </c>
      <c r="C1699" s="1359" t="s">
        <v>7005</v>
      </c>
      <c r="D1699" s="1360">
        <v>9736</v>
      </c>
      <c r="E1699" s="1361" t="s">
        <v>2290</v>
      </c>
      <c r="F1699" s="1360" t="s">
        <v>13</v>
      </c>
      <c r="G1699" s="1362">
        <v>621180</v>
      </c>
      <c r="H1699" s="1363" t="s">
        <v>3538</v>
      </c>
    </row>
    <row r="1700" spans="2:8" x14ac:dyDescent="0.25">
      <c r="B1700" s="1358" t="s">
        <v>6897</v>
      </c>
      <c r="C1700" s="1359" t="s">
        <v>6993</v>
      </c>
      <c r="D1700" s="1360">
        <v>9743</v>
      </c>
      <c r="E1700" s="1361" t="s">
        <v>2291</v>
      </c>
      <c r="F1700" s="1360" t="s">
        <v>790</v>
      </c>
      <c r="G1700" s="1362">
        <v>595000</v>
      </c>
      <c r="H1700" s="1363" t="s">
        <v>6899</v>
      </c>
    </row>
    <row r="1701" spans="2:8" x14ac:dyDescent="0.25">
      <c r="B1701" s="1358" t="s">
        <v>6897</v>
      </c>
      <c r="C1701" s="1359" t="s">
        <v>6993</v>
      </c>
      <c r="D1701" s="1360">
        <v>9744</v>
      </c>
      <c r="E1701" s="1361" t="s">
        <v>2292</v>
      </c>
      <c r="F1701" s="1360" t="s">
        <v>790</v>
      </c>
      <c r="G1701" s="1362">
        <v>714000</v>
      </c>
      <c r="H1701" s="1363" t="s">
        <v>6899</v>
      </c>
    </row>
    <row r="1702" spans="2:8" x14ac:dyDescent="0.25">
      <c r="B1702" s="1358" t="s">
        <v>6897</v>
      </c>
      <c r="C1702" s="1359" t="s">
        <v>6993</v>
      </c>
      <c r="D1702" s="1360">
        <v>9745</v>
      </c>
      <c r="E1702" s="1361" t="s">
        <v>926</v>
      </c>
      <c r="F1702" s="1360" t="s">
        <v>790</v>
      </c>
      <c r="G1702" s="1362">
        <v>833000</v>
      </c>
      <c r="H1702" s="1363" t="s">
        <v>6899</v>
      </c>
    </row>
    <row r="1703" spans="2:8" x14ac:dyDescent="0.25">
      <c r="B1703" s="1358" t="s">
        <v>6897</v>
      </c>
      <c r="C1703" s="1359" t="s">
        <v>6993</v>
      </c>
      <c r="D1703" s="1360">
        <v>9746</v>
      </c>
      <c r="E1703" s="1361" t="s">
        <v>2293</v>
      </c>
      <c r="F1703" s="1360" t="s">
        <v>790</v>
      </c>
      <c r="G1703" s="1362">
        <v>952000</v>
      </c>
      <c r="H1703" s="1363" t="s">
        <v>6899</v>
      </c>
    </row>
    <row r="1704" spans="2:8" x14ac:dyDescent="0.25">
      <c r="B1704" s="1358" t="s">
        <v>6897</v>
      </c>
      <c r="C1704" s="1359" t="s">
        <v>6905</v>
      </c>
      <c r="D1704" s="1360">
        <v>9747</v>
      </c>
      <c r="E1704" s="1361" t="s">
        <v>2294</v>
      </c>
      <c r="F1704" s="1360" t="s">
        <v>3</v>
      </c>
      <c r="G1704" s="1362">
        <v>71400</v>
      </c>
      <c r="H1704" s="1363" t="s">
        <v>6899</v>
      </c>
    </row>
    <row r="1705" spans="2:8" x14ac:dyDescent="0.25">
      <c r="B1705" s="1358" t="s">
        <v>6897</v>
      </c>
      <c r="C1705" s="1359" t="s">
        <v>6912</v>
      </c>
      <c r="D1705" s="1360">
        <v>9752</v>
      </c>
      <c r="E1705" s="1361" t="s">
        <v>3975</v>
      </c>
      <c r="F1705" s="1360" t="s">
        <v>202</v>
      </c>
      <c r="G1705" s="1362">
        <v>8925</v>
      </c>
      <c r="H1705" s="1363" t="s">
        <v>6899</v>
      </c>
    </row>
    <row r="1706" spans="2:8" x14ac:dyDescent="0.25">
      <c r="B1706" s="1358" t="s">
        <v>6897</v>
      </c>
      <c r="C1706" s="1359" t="s">
        <v>6917</v>
      </c>
      <c r="D1706" s="1360">
        <v>9754</v>
      </c>
      <c r="E1706" s="1361" t="s">
        <v>2295</v>
      </c>
      <c r="F1706" s="1360" t="s">
        <v>1155</v>
      </c>
      <c r="G1706" s="1362">
        <v>95000</v>
      </c>
      <c r="H1706" s="1363" t="s">
        <v>3538</v>
      </c>
    </row>
    <row r="1707" spans="2:8" x14ac:dyDescent="0.25">
      <c r="B1707" s="1358" t="s">
        <v>6897</v>
      </c>
      <c r="C1707" s="1359" t="s">
        <v>6910</v>
      </c>
      <c r="D1707" s="1360">
        <v>9764</v>
      </c>
      <c r="E1707" s="1361" t="s">
        <v>7053</v>
      </c>
      <c r="F1707" s="1360" t="s">
        <v>13</v>
      </c>
      <c r="G1707" s="1362">
        <v>122933</v>
      </c>
      <c r="H1707" s="1363" t="s">
        <v>6899</v>
      </c>
    </row>
    <row r="1708" spans="2:8" x14ac:dyDescent="0.25">
      <c r="B1708" s="1358" t="s">
        <v>6897</v>
      </c>
      <c r="C1708" s="1359" t="s">
        <v>6910</v>
      </c>
      <c r="D1708" s="1360">
        <v>9765</v>
      </c>
      <c r="E1708" s="1361" t="s">
        <v>3976</v>
      </c>
      <c r="F1708" s="1360" t="s">
        <v>13</v>
      </c>
      <c r="G1708" s="1362">
        <v>566267</v>
      </c>
      <c r="H1708" s="1363" t="s">
        <v>6899</v>
      </c>
    </row>
    <row r="1709" spans="2:8" x14ac:dyDescent="0.25">
      <c r="B1709" s="1358" t="s">
        <v>6897</v>
      </c>
      <c r="C1709" s="1359" t="s">
        <v>6910</v>
      </c>
      <c r="D1709" s="1360">
        <v>9766</v>
      </c>
      <c r="E1709" s="1361" t="s">
        <v>2297</v>
      </c>
      <c r="F1709" s="1360" t="s">
        <v>266</v>
      </c>
      <c r="G1709" s="1362">
        <v>130305</v>
      </c>
      <c r="H1709" s="1363" t="s">
        <v>6899</v>
      </c>
    </row>
    <row r="1710" spans="2:8" x14ac:dyDescent="0.25">
      <c r="B1710" s="1358" t="s">
        <v>6897</v>
      </c>
      <c r="C1710" s="1359" t="s">
        <v>6910</v>
      </c>
      <c r="D1710" s="1360">
        <v>9767</v>
      </c>
      <c r="E1710" s="1361" t="s">
        <v>2298</v>
      </c>
      <c r="F1710" s="1360" t="s">
        <v>266</v>
      </c>
      <c r="G1710" s="1362">
        <v>243850</v>
      </c>
      <c r="H1710" s="1363" t="s">
        <v>6899</v>
      </c>
    </row>
    <row r="1711" spans="2:8" x14ac:dyDescent="0.25">
      <c r="B1711" s="1358" t="s">
        <v>6897</v>
      </c>
      <c r="C1711" s="1359" t="s">
        <v>6906</v>
      </c>
      <c r="D1711" s="1360">
        <v>9768</v>
      </c>
      <c r="E1711" s="1361" t="s">
        <v>2299</v>
      </c>
      <c r="F1711" s="1360" t="s">
        <v>266</v>
      </c>
      <c r="G1711" s="1362">
        <v>89350</v>
      </c>
      <c r="H1711" s="1363" t="s">
        <v>3535</v>
      </c>
    </row>
    <row r="1712" spans="2:8" x14ac:dyDescent="0.25">
      <c r="B1712" s="1358" t="s">
        <v>6897</v>
      </c>
      <c r="C1712" s="1359" t="s">
        <v>7005</v>
      </c>
      <c r="D1712" s="1360">
        <v>9774</v>
      </c>
      <c r="E1712" s="1361" t="s">
        <v>2300</v>
      </c>
      <c r="F1712" s="1360" t="s">
        <v>266</v>
      </c>
      <c r="G1712" s="1362">
        <v>310055</v>
      </c>
      <c r="H1712" s="1363" t="s">
        <v>3538</v>
      </c>
    </row>
    <row r="1713" spans="2:8" x14ac:dyDescent="0.25">
      <c r="B1713" s="1358" t="s">
        <v>6897</v>
      </c>
      <c r="C1713" s="1359" t="s">
        <v>7005</v>
      </c>
      <c r="D1713" s="1360">
        <v>9775</v>
      </c>
      <c r="E1713" s="1361" t="s">
        <v>2301</v>
      </c>
      <c r="F1713" s="1360" t="s">
        <v>266</v>
      </c>
      <c r="G1713" s="1362">
        <v>138040</v>
      </c>
      <c r="H1713" s="1363" t="s">
        <v>3538</v>
      </c>
    </row>
    <row r="1714" spans="2:8" x14ac:dyDescent="0.25">
      <c r="B1714" s="1358" t="s">
        <v>6897</v>
      </c>
      <c r="C1714" s="1359" t="s">
        <v>6922</v>
      </c>
      <c r="D1714" s="1360">
        <v>9789</v>
      </c>
      <c r="E1714" s="1361" t="s">
        <v>2302</v>
      </c>
      <c r="F1714" s="1360" t="s">
        <v>266</v>
      </c>
      <c r="G1714" s="1362">
        <v>7198336</v>
      </c>
      <c r="H1714" s="1363" t="s">
        <v>3538</v>
      </c>
    </row>
    <row r="1715" spans="2:8" x14ac:dyDescent="0.25">
      <c r="B1715" s="1358" t="s">
        <v>6897</v>
      </c>
      <c r="C1715" s="1359" t="s">
        <v>6922</v>
      </c>
      <c r="D1715" s="1360">
        <v>9790</v>
      </c>
      <c r="E1715" s="1361" t="s">
        <v>2303</v>
      </c>
      <c r="F1715" s="1360" t="s">
        <v>266</v>
      </c>
      <c r="G1715" s="1362">
        <v>1135334</v>
      </c>
      <c r="H1715" s="1363" t="s">
        <v>3538</v>
      </c>
    </row>
    <row r="1716" spans="2:8" x14ac:dyDescent="0.25">
      <c r="B1716" s="1358" t="s">
        <v>6897</v>
      </c>
      <c r="C1716" s="1359" t="s">
        <v>6922</v>
      </c>
      <c r="D1716" s="1360">
        <v>9791</v>
      </c>
      <c r="E1716" s="1361" t="s">
        <v>2304</v>
      </c>
      <c r="F1716" s="1360" t="s">
        <v>266</v>
      </c>
      <c r="G1716" s="1362">
        <v>644555</v>
      </c>
      <c r="H1716" s="1363" t="s">
        <v>3538</v>
      </c>
    </row>
    <row r="1717" spans="2:8" x14ac:dyDescent="0.25">
      <c r="B1717" s="1358" t="s">
        <v>6897</v>
      </c>
      <c r="C1717" s="1359" t="s">
        <v>6922</v>
      </c>
      <c r="D1717" s="1360">
        <v>9792</v>
      </c>
      <c r="E1717" s="1361" t="s">
        <v>2305</v>
      </c>
      <c r="F1717" s="1360" t="s">
        <v>266</v>
      </c>
      <c r="G1717" s="1362">
        <v>644555</v>
      </c>
      <c r="H1717" s="1363" t="s">
        <v>3538</v>
      </c>
    </row>
    <row r="1718" spans="2:8" x14ac:dyDescent="0.25">
      <c r="B1718" s="1358" t="s">
        <v>6897</v>
      </c>
      <c r="C1718" s="1359" t="s">
        <v>6922</v>
      </c>
      <c r="D1718" s="1360">
        <v>9796</v>
      </c>
      <c r="E1718" s="1361" t="s">
        <v>2306</v>
      </c>
      <c r="F1718" s="1360" t="s">
        <v>266</v>
      </c>
      <c r="G1718" s="1362">
        <v>7198336</v>
      </c>
      <c r="H1718" s="1363" t="s">
        <v>3538</v>
      </c>
    </row>
    <row r="1719" spans="2:8" x14ac:dyDescent="0.25">
      <c r="B1719" s="1358" t="s">
        <v>6897</v>
      </c>
      <c r="C1719" s="1359" t="s">
        <v>6922</v>
      </c>
      <c r="D1719" s="1360">
        <v>9797</v>
      </c>
      <c r="E1719" s="1361" t="s">
        <v>2307</v>
      </c>
      <c r="F1719" s="1360" t="s">
        <v>266</v>
      </c>
      <c r="G1719" s="1362">
        <v>8186970</v>
      </c>
      <c r="H1719" s="1363" t="s">
        <v>3538</v>
      </c>
    </row>
    <row r="1720" spans="2:8" x14ac:dyDescent="0.25">
      <c r="B1720" s="1358" t="s">
        <v>6897</v>
      </c>
      <c r="C1720" s="1359" t="s">
        <v>6922</v>
      </c>
      <c r="D1720" s="1360">
        <v>9798</v>
      </c>
      <c r="E1720" s="1361" t="s">
        <v>2308</v>
      </c>
      <c r="F1720" s="1360" t="s">
        <v>266</v>
      </c>
      <c r="G1720" s="1362">
        <v>4516249</v>
      </c>
      <c r="H1720" s="1363" t="s">
        <v>3538</v>
      </c>
    </row>
    <row r="1721" spans="2:8" x14ac:dyDescent="0.25">
      <c r="B1721" s="1358" t="s">
        <v>6897</v>
      </c>
      <c r="C1721" s="1359" t="s">
        <v>6922</v>
      </c>
      <c r="D1721" s="1360">
        <v>9799</v>
      </c>
      <c r="E1721" s="1361" t="s">
        <v>2309</v>
      </c>
      <c r="F1721" s="1360" t="s">
        <v>266</v>
      </c>
      <c r="G1721" s="1362">
        <v>562329</v>
      </c>
      <c r="H1721" s="1363" t="s">
        <v>3538</v>
      </c>
    </row>
    <row r="1722" spans="2:8" x14ac:dyDescent="0.25">
      <c r="B1722" s="1358" t="s">
        <v>6897</v>
      </c>
      <c r="C1722" s="1359" t="s">
        <v>6922</v>
      </c>
      <c r="D1722" s="1360">
        <v>9800</v>
      </c>
      <c r="E1722" s="1361" t="s">
        <v>2310</v>
      </c>
      <c r="F1722" s="1360" t="s">
        <v>266</v>
      </c>
      <c r="G1722" s="1362">
        <v>689085</v>
      </c>
      <c r="H1722" s="1363" t="s">
        <v>3538</v>
      </c>
    </row>
    <row r="1723" spans="2:8" x14ac:dyDescent="0.25">
      <c r="B1723" s="1358" t="s">
        <v>6897</v>
      </c>
      <c r="C1723" s="1359" t="s">
        <v>6922</v>
      </c>
      <c r="D1723" s="1360">
        <v>9801</v>
      </c>
      <c r="E1723" s="1361" t="s">
        <v>2311</v>
      </c>
      <c r="F1723" s="1360" t="s">
        <v>266</v>
      </c>
      <c r="G1723" s="1362">
        <v>689085</v>
      </c>
      <c r="H1723" s="1363" t="s">
        <v>3538</v>
      </c>
    </row>
    <row r="1724" spans="2:8" x14ac:dyDescent="0.25">
      <c r="B1724" s="1358" t="s">
        <v>6897</v>
      </c>
      <c r="C1724" s="1359" t="s">
        <v>6922</v>
      </c>
      <c r="D1724" s="1360">
        <v>9802</v>
      </c>
      <c r="E1724" s="1361" t="s">
        <v>2312</v>
      </c>
      <c r="F1724" s="1360" t="s">
        <v>266</v>
      </c>
      <c r="G1724" s="1362">
        <v>689085</v>
      </c>
      <c r="H1724" s="1363" t="s">
        <v>3538</v>
      </c>
    </row>
    <row r="1725" spans="2:8" x14ac:dyDescent="0.25">
      <c r="B1725" s="1358" t="s">
        <v>6897</v>
      </c>
      <c r="C1725" s="1359" t="s">
        <v>6922</v>
      </c>
      <c r="D1725" s="1360">
        <v>9804</v>
      </c>
      <c r="E1725" s="1361" t="s">
        <v>2313</v>
      </c>
      <c r="F1725" s="1360" t="s">
        <v>266</v>
      </c>
      <c r="G1725" s="1362">
        <v>668780</v>
      </c>
      <c r="H1725" s="1363" t="s">
        <v>3538</v>
      </c>
    </row>
    <row r="1726" spans="2:8" x14ac:dyDescent="0.25">
      <c r="B1726" s="1358" t="s">
        <v>6897</v>
      </c>
      <c r="C1726" s="1359" t="s">
        <v>7042</v>
      </c>
      <c r="D1726" s="1360">
        <v>9813</v>
      </c>
      <c r="E1726" s="1361" t="s">
        <v>3977</v>
      </c>
      <c r="F1726" s="1360" t="s">
        <v>12</v>
      </c>
      <c r="G1726" s="1362">
        <v>256474</v>
      </c>
      <c r="H1726" s="1363" t="s">
        <v>6899</v>
      </c>
    </row>
    <row r="1727" spans="2:8" x14ac:dyDescent="0.25">
      <c r="B1727" s="1358" t="s">
        <v>6897</v>
      </c>
      <c r="C1727" s="1359" t="s">
        <v>7008</v>
      </c>
      <c r="D1727" s="1360">
        <v>9819</v>
      </c>
      <c r="E1727" s="1361" t="s">
        <v>2315</v>
      </c>
      <c r="F1727" s="1360" t="s">
        <v>266</v>
      </c>
      <c r="G1727" s="1362">
        <v>1785000</v>
      </c>
      <c r="H1727" s="1363" t="s">
        <v>6899</v>
      </c>
    </row>
    <row r="1728" spans="2:8" x14ac:dyDescent="0.25">
      <c r="B1728" s="1358" t="s">
        <v>6897</v>
      </c>
      <c r="C1728" s="1359" t="s">
        <v>6917</v>
      </c>
      <c r="D1728" s="1360">
        <v>9822</v>
      </c>
      <c r="E1728" s="1361" t="s">
        <v>2316</v>
      </c>
      <c r="F1728" s="1360" t="s">
        <v>1155</v>
      </c>
      <c r="G1728" s="1362">
        <v>535927</v>
      </c>
      <c r="H1728" s="1363" t="s">
        <v>3538</v>
      </c>
    </row>
    <row r="1729" spans="2:8" x14ac:dyDescent="0.25">
      <c r="B1729" s="1358" t="s">
        <v>6897</v>
      </c>
      <c r="C1729" s="1359" t="s">
        <v>6926</v>
      </c>
      <c r="D1729" s="1360">
        <v>9828</v>
      </c>
      <c r="E1729" s="1361" t="s">
        <v>2317</v>
      </c>
      <c r="F1729" s="1360" t="s">
        <v>3</v>
      </c>
      <c r="G1729" s="1362">
        <v>1073713</v>
      </c>
      <c r="H1729" s="1363" t="s">
        <v>6899</v>
      </c>
    </row>
    <row r="1730" spans="2:8" x14ac:dyDescent="0.25">
      <c r="B1730" s="1358" t="s">
        <v>6897</v>
      </c>
      <c r="C1730" s="1359" t="s">
        <v>6938</v>
      </c>
      <c r="D1730" s="1360">
        <v>9832</v>
      </c>
      <c r="E1730" s="1361" t="s">
        <v>3978</v>
      </c>
      <c r="F1730" s="1360" t="s">
        <v>266</v>
      </c>
      <c r="G1730" s="1362">
        <v>136850</v>
      </c>
      <c r="H1730" s="1363" t="s">
        <v>6899</v>
      </c>
    </row>
    <row r="1731" spans="2:8" x14ac:dyDescent="0.25">
      <c r="B1731" s="1358" t="s">
        <v>6897</v>
      </c>
      <c r="C1731" s="1359" t="s">
        <v>6913</v>
      </c>
      <c r="D1731" s="1360">
        <v>9833</v>
      </c>
      <c r="E1731" s="1361" t="s">
        <v>3979</v>
      </c>
      <c r="F1731" s="1360" t="s">
        <v>202</v>
      </c>
      <c r="G1731" s="1362">
        <v>17372</v>
      </c>
      <c r="H1731" s="1363" t="s">
        <v>3548</v>
      </c>
    </row>
    <row r="1732" spans="2:8" x14ac:dyDescent="0.25">
      <c r="B1732" s="1358" t="s">
        <v>6897</v>
      </c>
      <c r="C1732" s="1359" t="s">
        <v>7046</v>
      </c>
      <c r="D1732" s="1360">
        <v>9834</v>
      </c>
      <c r="E1732" s="1361" t="s">
        <v>3980</v>
      </c>
      <c r="F1732" s="1360" t="s">
        <v>677</v>
      </c>
      <c r="G1732" s="1362">
        <v>104400</v>
      </c>
      <c r="H1732" s="1363" t="s">
        <v>3548</v>
      </c>
    </row>
    <row r="1733" spans="2:8" x14ac:dyDescent="0.25">
      <c r="B1733" s="1358" t="s">
        <v>6897</v>
      </c>
      <c r="C1733" s="1359" t="s">
        <v>7046</v>
      </c>
      <c r="D1733" s="1360">
        <v>9835</v>
      </c>
      <c r="E1733" s="1361" t="s">
        <v>3981</v>
      </c>
      <c r="F1733" s="1360" t="s">
        <v>677</v>
      </c>
      <c r="G1733" s="1362">
        <v>155233</v>
      </c>
      <c r="H1733" s="1363" t="s">
        <v>3548</v>
      </c>
    </row>
    <row r="1734" spans="2:8" x14ac:dyDescent="0.25">
      <c r="B1734" s="1358" t="s">
        <v>6897</v>
      </c>
      <c r="C1734" s="1359" t="s">
        <v>7046</v>
      </c>
      <c r="D1734" s="1360">
        <v>9836</v>
      </c>
      <c r="E1734" s="1361" t="s">
        <v>3982</v>
      </c>
      <c r="F1734" s="1360" t="s">
        <v>677</v>
      </c>
      <c r="G1734" s="1362">
        <v>165233</v>
      </c>
      <c r="H1734" s="1363" t="s">
        <v>3548</v>
      </c>
    </row>
    <row r="1735" spans="2:8" x14ac:dyDescent="0.25">
      <c r="B1735" s="1358" t="s">
        <v>6897</v>
      </c>
      <c r="C1735" s="1359" t="s">
        <v>7046</v>
      </c>
      <c r="D1735" s="1360">
        <v>9837</v>
      </c>
      <c r="E1735" s="1361" t="s">
        <v>3983</v>
      </c>
      <c r="F1735" s="1360" t="s">
        <v>677</v>
      </c>
      <c r="G1735" s="1362">
        <v>165233</v>
      </c>
      <c r="H1735" s="1363" t="s">
        <v>3548</v>
      </c>
    </row>
    <row r="1736" spans="2:8" x14ac:dyDescent="0.25">
      <c r="B1736" s="1358" t="s">
        <v>6897</v>
      </c>
      <c r="C1736" s="1359" t="s">
        <v>7046</v>
      </c>
      <c r="D1736" s="1360">
        <v>9838</v>
      </c>
      <c r="E1736" s="1361" t="s">
        <v>3984</v>
      </c>
      <c r="F1736" s="1360" t="s">
        <v>677</v>
      </c>
      <c r="G1736" s="1362">
        <v>152400</v>
      </c>
      <c r="H1736" s="1363" t="s">
        <v>3548</v>
      </c>
    </row>
    <row r="1737" spans="2:8" x14ac:dyDescent="0.25">
      <c r="B1737" s="1358" t="s">
        <v>6897</v>
      </c>
      <c r="C1737" s="1359" t="s">
        <v>7047</v>
      </c>
      <c r="D1737" s="1360">
        <v>9839</v>
      </c>
      <c r="E1737" s="1361" t="s">
        <v>3985</v>
      </c>
      <c r="F1737" s="1360" t="s">
        <v>266</v>
      </c>
      <c r="G1737" s="1362">
        <v>12235</v>
      </c>
      <c r="H1737" s="1363" t="s">
        <v>3548</v>
      </c>
    </row>
    <row r="1738" spans="2:8" x14ac:dyDescent="0.25">
      <c r="B1738" s="1358" t="s">
        <v>6897</v>
      </c>
      <c r="C1738" s="1359" t="s">
        <v>7046</v>
      </c>
      <c r="D1738" s="1360">
        <v>9840</v>
      </c>
      <c r="E1738" s="1361" t="s">
        <v>2318</v>
      </c>
      <c r="F1738" s="1360" t="s">
        <v>546</v>
      </c>
      <c r="G1738" s="1362">
        <v>239000</v>
      </c>
      <c r="H1738" s="1363" t="s">
        <v>3548</v>
      </c>
    </row>
    <row r="1739" spans="2:8" x14ac:dyDescent="0.25">
      <c r="B1739" s="1358" t="s">
        <v>6897</v>
      </c>
      <c r="C1739" s="1359" t="s">
        <v>7042</v>
      </c>
      <c r="D1739" s="1360">
        <v>9842</v>
      </c>
      <c r="E1739" s="1361" t="s">
        <v>2319</v>
      </c>
      <c r="F1739" s="1360" t="s">
        <v>12</v>
      </c>
      <c r="G1739" s="1362">
        <v>344300</v>
      </c>
      <c r="H1739" s="1363" t="s">
        <v>6899</v>
      </c>
    </row>
    <row r="1740" spans="2:8" x14ac:dyDescent="0.25">
      <c r="B1740" s="1358" t="s">
        <v>6897</v>
      </c>
      <c r="C1740" s="1359" t="s">
        <v>6991</v>
      </c>
      <c r="D1740" s="1360">
        <v>9845</v>
      </c>
      <c r="E1740" s="1361" t="s">
        <v>3986</v>
      </c>
      <c r="F1740" s="1360" t="s">
        <v>266</v>
      </c>
      <c r="G1740" s="1362">
        <v>190400</v>
      </c>
      <c r="H1740" s="1363" t="s">
        <v>6899</v>
      </c>
    </row>
    <row r="1741" spans="2:8" x14ac:dyDescent="0.25">
      <c r="B1741" s="1358" t="s">
        <v>6897</v>
      </c>
      <c r="C1741" s="1359" t="s">
        <v>6991</v>
      </c>
      <c r="D1741" s="1360">
        <v>9846</v>
      </c>
      <c r="E1741" s="1361" t="s">
        <v>3987</v>
      </c>
      <c r="F1741" s="1360" t="s">
        <v>266</v>
      </c>
      <c r="G1741" s="1362">
        <v>56549</v>
      </c>
      <c r="H1741" s="1363" t="s">
        <v>6899</v>
      </c>
    </row>
    <row r="1742" spans="2:8" x14ac:dyDescent="0.25">
      <c r="B1742" s="1358" t="s">
        <v>6897</v>
      </c>
      <c r="C1742" s="1359" t="s">
        <v>6991</v>
      </c>
      <c r="D1742" s="1360">
        <v>9847</v>
      </c>
      <c r="E1742" s="1361" t="s">
        <v>3988</v>
      </c>
      <c r="F1742" s="1360" t="s">
        <v>266</v>
      </c>
      <c r="G1742" s="1362">
        <v>56549</v>
      </c>
      <c r="H1742" s="1363" t="s">
        <v>6899</v>
      </c>
    </row>
    <row r="1743" spans="2:8" x14ac:dyDescent="0.25">
      <c r="B1743" s="1358" t="s">
        <v>6897</v>
      </c>
      <c r="C1743" s="1359" t="s">
        <v>6991</v>
      </c>
      <c r="D1743" s="1360">
        <v>9848</v>
      </c>
      <c r="E1743" s="1361" t="s">
        <v>3989</v>
      </c>
      <c r="F1743" s="1360" t="s">
        <v>266</v>
      </c>
      <c r="G1743" s="1362">
        <v>56549</v>
      </c>
      <c r="H1743" s="1363" t="s">
        <v>6899</v>
      </c>
    </row>
    <row r="1744" spans="2:8" x14ac:dyDescent="0.25">
      <c r="B1744" s="1358" t="s">
        <v>6897</v>
      </c>
      <c r="C1744" s="1359" t="s">
        <v>6991</v>
      </c>
      <c r="D1744" s="1360">
        <v>9849</v>
      </c>
      <c r="E1744" s="1361" t="s">
        <v>3990</v>
      </c>
      <c r="F1744" s="1360" t="s">
        <v>266</v>
      </c>
      <c r="G1744" s="1362">
        <v>56549</v>
      </c>
      <c r="H1744" s="1363" t="s">
        <v>6899</v>
      </c>
    </row>
    <row r="1745" spans="2:8" x14ac:dyDescent="0.25">
      <c r="B1745" s="1358" t="s">
        <v>6897</v>
      </c>
      <c r="C1745" s="1359" t="s">
        <v>6991</v>
      </c>
      <c r="D1745" s="1360">
        <v>9850</v>
      </c>
      <c r="E1745" s="1361" t="s">
        <v>3991</v>
      </c>
      <c r="F1745" s="1360" t="s">
        <v>266</v>
      </c>
      <c r="G1745" s="1362">
        <v>56549</v>
      </c>
      <c r="H1745" s="1363" t="s">
        <v>6899</v>
      </c>
    </row>
    <row r="1746" spans="2:8" x14ac:dyDescent="0.25">
      <c r="B1746" s="1358" t="s">
        <v>6897</v>
      </c>
      <c r="C1746" s="1359" t="s">
        <v>6991</v>
      </c>
      <c r="D1746" s="1360">
        <v>9851</v>
      </c>
      <c r="E1746" s="1361" t="s">
        <v>3992</v>
      </c>
      <c r="F1746" s="1360" t="s">
        <v>266</v>
      </c>
      <c r="G1746" s="1362">
        <v>56549</v>
      </c>
      <c r="H1746" s="1363" t="s">
        <v>6899</v>
      </c>
    </row>
    <row r="1747" spans="2:8" x14ac:dyDescent="0.25">
      <c r="B1747" s="1358" t="s">
        <v>6897</v>
      </c>
      <c r="C1747" s="1359" t="s">
        <v>6991</v>
      </c>
      <c r="D1747" s="1360">
        <v>9852</v>
      </c>
      <c r="E1747" s="1361" t="s">
        <v>3993</v>
      </c>
      <c r="F1747" s="1360" t="s">
        <v>266</v>
      </c>
      <c r="G1747" s="1362">
        <v>56549</v>
      </c>
      <c r="H1747" s="1363" t="s">
        <v>6899</v>
      </c>
    </row>
    <row r="1748" spans="2:8" x14ac:dyDescent="0.25">
      <c r="B1748" s="1358" t="s">
        <v>6897</v>
      </c>
      <c r="C1748" s="1359" t="s">
        <v>6991</v>
      </c>
      <c r="D1748" s="1360">
        <v>9853</v>
      </c>
      <c r="E1748" s="1361" t="s">
        <v>3994</v>
      </c>
      <c r="F1748" s="1360" t="s">
        <v>266</v>
      </c>
      <c r="G1748" s="1362">
        <v>56549</v>
      </c>
      <c r="H1748" s="1363" t="s">
        <v>6899</v>
      </c>
    </row>
    <row r="1749" spans="2:8" x14ac:dyDescent="0.25">
      <c r="B1749" s="1358" t="s">
        <v>6897</v>
      </c>
      <c r="C1749" s="1359" t="s">
        <v>6991</v>
      </c>
      <c r="D1749" s="1360">
        <v>9854</v>
      </c>
      <c r="E1749" s="1361" t="s">
        <v>3995</v>
      </c>
      <c r="F1749" s="1360" t="s">
        <v>266</v>
      </c>
      <c r="G1749" s="1362">
        <v>56549</v>
      </c>
      <c r="H1749" s="1363" t="s">
        <v>6899</v>
      </c>
    </row>
    <row r="1750" spans="2:8" x14ac:dyDescent="0.25">
      <c r="B1750" s="1358" t="s">
        <v>6897</v>
      </c>
      <c r="C1750" s="1359" t="s">
        <v>6991</v>
      </c>
      <c r="D1750" s="1360">
        <v>9855</v>
      </c>
      <c r="E1750" s="1361" t="s">
        <v>3996</v>
      </c>
      <c r="F1750" s="1360" t="s">
        <v>266</v>
      </c>
      <c r="G1750" s="1362">
        <v>56549</v>
      </c>
      <c r="H1750" s="1363" t="s">
        <v>6899</v>
      </c>
    </row>
    <row r="1751" spans="2:8" x14ac:dyDescent="0.25">
      <c r="B1751" s="1358" t="s">
        <v>6897</v>
      </c>
      <c r="C1751" s="1359" t="s">
        <v>6991</v>
      </c>
      <c r="D1751" s="1360">
        <v>9856</v>
      </c>
      <c r="E1751" s="1361" t="s">
        <v>3997</v>
      </c>
      <c r="F1751" s="1360" t="s">
        <v>266</v>
      </c>
      <c r="G1751" s="1362">
        <v>56549</v>
      </c>
      <c r="H1751" s="1363" t="s">
        <v>6899</v>
      </c>
    </row>
    <row r="1752" spans="2:8" x14ac:dyDescent="0.25">
      <c r="B1752" s="1358" t="s">
        <v>6897</v>
      </c>
      <c r="C1752" s="1359" t="s">
        <v>6991</v>
      </c>
      <c r="D1752" s="1360">
        <v>9857</v>
      </c>
      <c r="E1752" s="1361" t="s">
        <v>3998</v>
      </c>
      <c r="F1752" s="1360" t="s">
        <v>266</v>
      </c>
      <c r="G1752" s="1362">
        <v>67830</v>
      </c>
      <c r="H1752" s="1363" t="s">
        <v>6899</v>
      </c>
    </row>
    <row r="1753" spans="2:8" x14ac:dyDescent="0.25">
      <c r="B1753" s="1358" t="s">
        <v>6897</v>
      </c>
      <c r="C1753" s="1359" t="s">
        <v>6922</v>
      </c>
      <c r="D1753" s="1360">
        <v>9860</v>
      </c>
      <c r="E1753" s="1361" t="s">
        <v>2320</v>
      </c>
      <c r="F1753" s="1360" t="s">
        <v>266</v>
      </c>
      <c r="G1753" s="1362">
        <v>333200</v>
      </c>
      <c r="H1753" s="1363" t="s">
        <v>3538</v>
      </c>
    </row>
    <row r="1754" spans="2:8" x14ac:dyDescent="0.25">
      <c r="B1754" s="1358" t="s">
        <v>6897</v>
      </c>
      <c r="C1754" s="1359" t="s">
        <v>6922</v>
      </c>
      <c r="D1754" s="1360">
        <v>9861</v>
      </c>
      <c r="E1754" s="1361" t="s">
        <v>2321</v>
      </c>
      <c r="F1754" s="1360" t="s">
        <v>266</v>
      </c>
      <c r="G1754" s="1362">
        <v>352832</v>
      </c>
      <c r="H1754" s="1363" t="s">
        <v>3538</v>
      </c>
    </row>
    <row r="1755" spans="2:8" x14ac:dyDescent="0.25">
      <c r="B1755" s="1358" t="s">
        <v>6897</v>
      </c>
      <c r="C1755" s="1359" t="s">
        <v>6938</v>
      </c>
      <c r="D1755" s="1360">
        <v>9862</v>
      </c>
      <c r="E1755" s="1361" t="s">
        <v>3999</v>
      </c>
      <c r="F1755" s="1360" t="s">
        <v>266</v>
      </c>
      <c r="G1755" s="1362">
        <v>321300</v>
      </c>
      <c r="H1755" s="1363" t="s">
        <v>6899</v>
      </c>
    </row>
    <row r="1756" spans="2:8" x14ac:dyDescent="0.25">
      <c r="B1756" s="1358" t="s">
        <v>6897</v>
      </c>
      <c r="C1756" s="1359" t="s">
        <v>6941</v>
      </c>
      <c r="D1756" s="1360">
        <v>9864</v>
      </c>
      <c r="E1756" s="1361" t="s">
        <v>4000</v>
      </c>
      <c r="F1756" s="1360" t="s">
        <v>266</v>
      </c>
      <c r="G1756" s="1362">
        <v>447000</v>
      </c>
      <c r="H1756" s="1363" t="s">
        <v>6899</v>
      </c>
    </row>
    <row r="1757" spans="2:8" x14ac:dyDescent="0.25">
      <c r="B1757" s="1358" t="s">
        <v>6897</v>
      </c>
      <c r="C1757" s="1359" t="s">
        <v>6937</v>
      </c>
      <c r="D1757" s="1360">
        <v>9869</v>
      </c>
      <c r="E1757" s="1361" t="s">
        <v>2322</v>
      </c>
      <c r="F1757" s="1360" t="s">
        <v>266</v>
      </c>
      <c r="G1757" s="1362">
        <v>1011500</v>
      </c>
      <c r="H1757" s="1363" t="s">
        <v>6899</v>
      </c>
    </row>
    <row r="1758" spans="2:8" x14ac:dyDescent="0.25">
      <c r="B1758" s="1358" t="s">
        <v>6897</v>
      </c>
      <c r="C1758" s="1359" t="s">
        <v>7054</v>
      </c>
      <c r="D1758" s="1360">
        <v>9873</v>
      </c>
      <c r="E1758" s="1361" t="s">
        <v>4001</v>
      </c>
      <c r="F1758" s="1360" t="s">
        <v>266</v>
      </c>
      <c r="G1758" s="1362">
        <v>357000</v>
      </c>
      <c r="H1758" s="1363" t="s">
        <v>6899</v>
      </c>
    </row>
    <row r="1759" spans="2:8" x14ac:dyDescent="0.25">
      <c r="B1759" s="1358" t="s">
        <v>6897</v>
      </c>
      <c r="C1759" s="1359" t="s">
        <v>6991</v>
      </c>
      <c r="D1759" s="1360">
        <v>9879</v>
      </c>
      <c r="E1759" s="1361" t="s">
        <v>4002</v>
      </c>
      <c r="F1759" s="1360" t="s">
        <v>266</v>
      </c>
      <c r="G1759" s="1362">
        <v>9747</v>
      </c>
      <c r="H1759" s="1363" t="s">
        <v>6899</v>
      </c>
    </row>
    <row r="1760" spans="2:8" x14ac:dyDescent="0.25">
      <c r="B1760" s="1358" t="s">
        <v>6897</v>
      </c>
      <c r="C1760" s="1359" t="s">
        <v>6991</v>
      </c>
      <c r="D1760" s="1360">
        <v>9880</v>
      </c>
      <c r="E1760" s="1361" t="s">
        <v>4003</v>
      </c>
      <c r="F1760" s="1360" t="s">
        <v>266</v>
      </c>
      <c r="G1760" s="1362">
        <v>4367</v>
      </c>
      <c r="H1760" s="1363" t="s">
        <v>6899</v>
      </c>
    </row>
    <row r="1761" spans="2:8" x14ac:dyDescent="0.25">
      <c r="B1761" s="1358" t="s">
        <v>6897</v>
      </c>
      <c r="C1761" s="1359" t="s">
        <v>6991</v>
      </c>
      <c r="D1761" s="1360">
        <v>9881</v>
      </c>
      <c r="E1761" s="1361" t="s">
        <v>4004</v>
      </c>
      <c r="F1761" s="1360" t="s">
        <v>266</v>
      </c>
      <c r="G1761" s="1362">
        <v>44898</v>
      </c>
      <c r="H1761" s="1363" t="s">
        <v>6899</v>
      </c>
    </row>
    <row r="1762" spans="2:8" x14ac:dyDescent="0.25">
      <c r="B1762" s="1358" t="s">
        <v>6897</v>
      </c>
      <c r="C1762" s="1359" t="s">
        <v>6991</v>
      </c>
      <c r="D1762" s="1360">
        <v>9882</v>
      </c>
      <c r="E1762" s="1361" t="s">
        <v>4005</v>
      </c>
      <c r="F1762" s="1360" t="s">
        <v>266</v>
      </c>
      <c r="G1762" s="1362">
        <v>44898</v>
      </c>
      <c r="H1762" s="1363" t="s">
        <v>6899</v>
      </c>
    </row>
    <row r="1763" spans="2:8" x14ac:dyDescent="0.25">
      <c r="B1763" s="1358" t="s">
        <v>6897</v>
      </c>
      <c r="C1763" s="1359" t="s">
        <v>6991</v>
      </c>
      <c r="D1763" s="1360">
        <v>9883</v>
      </c>
      <c r="E1763" s="1361" t="s">
        <v>4006</v>
      </c>
      <c r="F1763" s="1360" t="s">
        <v>266</v>
      </c>
      <c r="G1763" s="1362">
        <v>64260</v>
      </c>
      <c r="H1763" s="1363" t="s">
        <v>6899</v>
      </c>
    </row>
    <row r="1764" spans="2:8" x14ac:dyDescent="0.25">
      <c r="B1764" s="1358" t="s">
        <v>6897</v>
      </c>
      <c r="C1764" s="1359" t="s">
        <v>6991</v>
      </c>
      <c r="D1764" s="1360">
        <v>9884</v>
      </c>
      <c r="E1764" s="1361" t="s">
        <v>4007</v>
      </c>
      <c r="F1764" s="1360" t="s">
        <v>266</v>
      </c>
      <c r="G1764" s="1362">
        <v>43197</v>
      </c>
      <c r="H1764" s="1363" t="s">
        <v>6899</v>
      </c>
    </row>
    <row r="1765" spans="2:8" x14ac:dyDescent="0.25">
      <c r="B1765" s="1358" t="s">
        <v>6897</v>
      </c>
      <c r="C1765" s="1359" t="s">
        <v>6991</v>
      </c>
      <c r="D1765" s="1360">
        <v>9885</v>
      </c>
      <c r="E1765" s="1361" t="s">
        <v>4008</v>
      </c>
      <c r="F1765" s="1360" t="s">
        <v>266</v>
      </c>
      <c r="G1765" s="1362">
        <v>43197</v>
      </c>
      <c r="H1765" s="1363" t="s">
        <v>6899</v>
      </c>
    </row>
    <row r="1766" spans="2:8" x14ac:dyDescent="0.25">
      <c r="B1766" s="1358" t="s">
        <v>6897</v>
      </c>
      <c r="C1766" s="1359" t="s">
        <v>6991</v>
      </c>
      <c r="D1766" s="1360">
        <v>9886</v>
      </c>
      <c r="E1766" s="1361" t="s">
        <v>4009</v>
      </c>
      <c r="F1766" s="1360" t="s">
        <v>266</v>
      </c>
      <c r="G1766" s="1362">
        <v>35700</v>
      </c>
      <c r="H1766" s="1363" t="s">
        <v>6899</v>
      </c>
    </row>
    <row r="1767" spans="2:8" x14ac:dyDescent="0.25">
      <c r="B1767" s="1358" t="s">
        <v>6897</v>
      </c>
      <c r="C1767" s="1359" t="s">
        <v>6991</v>
      </c>
      <c r="D1767" s="1360">
        <v>9887</v>
      </c>
      <c r="E1767" s="1361" t="s">
        <v>4010</v>
      </c>
      <c r="F1767" s="1360" t="s">
        <v>266</v>
      </c>
      <c r="G1767" s="1362">
        <v>11662</v>
      </c>
      <c r="H1767" s="1363" t="s">
        <v>6899</v>
      </c>
    </row>
    <row r="1768" spans="2:8" x14ac:dyDescent="0.25">
      <c r="B1768" s="1358" t="s">
        <v>6897</v>
      </c>
      <c r="C1768" s="1359" t="s">
        <v>6991</v>
      </c>
      <c r="D1768" s="1360">
        <v>9888</v>
      </c>
      <c r="E1768" s="1361" t="s">
        <v>4011</v>
      </c>
      <c r="F1768" s="1360" t="s">
        <v>266</v>
      </c>
      <c r="G1768" s="1362">
        <v>28274</v>
      </c>
      <c r="H1768" s="1363" t="s">
        <v>6899</v>
      </c>
    </row>
    <row r="1769" spans="2:8" x14ac:dyDescent="0.25">
      <c r="B1769" s="1358" t="s">
        <v>6897</v>
      </c>
      <c r="C1769" s="1359" t="s">
        <v>6919</v>
      </c>
      <c r="D1769" s="1360">
        <v>9896</v>
      </c>
      <c r="E1769" s="1361" t="s">
        <v>2323</v>
      </c>
      <c r="F1769" s="1360" t="s">
        <v>266</v>
      </c>
      <c r="G1769" s="1362">
        <v>102966</v>
      </c>
      <c r="H1769" s="1363" t="s">
        <v>6899</v>
      </c>
    </row>
    <row r="1770" spans="2:8" x14ac:dyDescent="0.25">
      <c r="B1770" s="1358" t="s">
        <v>6897</v>
      </c>
      <c r="C1770" s="1359" t="s">
        <v>7010</v>
      </c>
      <c r="D1770" s="1360">
        <v>9901</v>
      </c>
      <c r="E1770" s="1361" t="s">
        <v>2324</v>
      </c>
      <c r="F1770" s="1360" t="s">
        <v>13</v>
      </c>
      <c r="G1770" s="1362">
        <v>23776</v>
      </c>
      <c r="H1770" s="1363" t="s">
        <v>3538</v>
      </c>
    </row>
    <row r="1771" spans="2:8" x14ac:dyDescent="0.25">
      <c r="B1771" s="1358" t="s">
        <v>6897</v>
      </c>
      <c r="C1771" s="1359" t="s">
        <v>7010</v>
      </c>
      <c r="D1771" s="1360">
        <v>9902</v>
      </c>
      <c r="E1771" s="1361" t="s">
        <v>4012</v>
      </c>
      <c r="F1771" s="1360" t="s">
        <v>266</v>
      </c>
      <c r="G1771" s="1362">
        <v>26312</v>
      </c>
      <c r="H1771" s="1363" t="s">
        <v>3538</v>
      </c>
    </row>
    <row r="1772" spans="2:8" x14ac:dyDescent="0.25">
      <c r="B1772" s="1358" t="s">
        <v>6897</v>
      </c>
      <c r="C1772" s="1359" t="s">
        <v>7010</v>
      </c>
      <c r="D1772" s="1360">
        <v>9905</v>
      </c>
      <c r="E1772" s="1361" t="s">
        <v>2325</v>
      </c>
      <c r="F1772" s="1360" t="s">
        <v>13</v>
      </c>
      <c r="G1772" s="1362">
        <v>4998</v>
      </c>
      <c r="H1772" s="1363" t="s">
        <v>3538</v>
      </c>
    </row>
    <row r="1773" spans="2:8" x14ac:dyDescent="0.25">
      <c r="B1773" s="1358" t="s">
        <v>6897</v>
      </c>
      <c r="C1773" s="1359" t="s">
        <v>7010</v>
      </c>
      <c r="D1773" s="1360">
        <v>9906</v>
      </c>
      <c r="E1773" s="1361" t="s">
        <v>2326</v>
      </c>
      <c r="F1773" s="1360" t="s">
        <v>266</v>
      </c>
      <c r="G1773" s="1362">
        <v>18088</v>
      </c>
      <c r="H1773" s="1363" t="s">
        <v>3538</v>
      </c>
    </row>
    <row r="1774" spans="2:8" x14ac:dyDescent="0.25">
      <c r="B1774" s="1358" t="s">
        <v>6897</v>
      </c>
      <c r="C1774" s="1359" t="s">
        <v>7010</v>
      </c>
      <c r="D1774" s="1360">
        <v>9907</v>
      </c>
      <c r="E1774" s="1361" t="s">
        <v>2327</v>
      </c>
      <c r="F1774" s="1360" t="s">
        <v>266</v>
      </c>
      <c r="G1774" s="1362">
        <v>59262</v>
      </c>
      <c r="H1774" s="1363" t="s">
        <v>3538</v>
      </c>
    </row>
    <row r="1775" spans="2:8" x14ac:dyDescent="0.25">
      <c r="B1775" s="1358" t="s">
        <v>6897</v>
      </c>
      <c r="C1775" s="1359" t="s">
        <v>6910</v>
      </c>
      <c r="D1775" s="1360">
        <v>9908</v>
      </c>
      <c r="E1775" s="1361" t="s">
        <v>2328</v>
      </c>
      <c r="F1775" s="1360" t="s">
        <v>13</v>
      </c>
      <c r="G1775" s="1362">
        <v>6850</v>
      </c>
      <c r="H1775" s="1363" t="s">
        <v>6899</v>
      </c>
    </row>
    <row r="1776" spans="2:8" x14ac:dyDescent="0.25">
      <c r="B1776" s="1358" t="s">
        <v>6897</v>
      </c>
      <c r="C1776" s="1359" t="s">
        <v>6910</v>
      </c>
      <c r="D1776" s="1360">
        <v>9909</v>
      </c>
      <c r="E1776" s="1361" t="s">
        <v>2329</v>
      </c>
      <c r="F1776" s="1360" t="s">
        <v>13</v>
      </c>
      <c r="G1776" s="1362">
        <v>7400</v>
      </c>
      <c r="H1776" s="1363" t="s">
        <v>6899</v>
      </c>
    </row>
    <row r="1777" spans="2:8" x14ac:dyDescent="0.25">
      <c r="B1777" s="1358" t="s">
        <v>6897</v>
      </c>
      <c r="C1777" s="1359" t="s">
        <v>7038</v>
      </c>
      <c r="D1777" s="1360">
        <v>9922</v>
      </c>
      <c r="E1777" s="1361" t="s">
        <v>7055</v>
      </c>
      <c r="F1777" s="1360" t="s">
        <v>12</v>
      </c>
      <c r="G1777" s="1362">
        <v>135000</v>
      </c>
      <c r="H1777" s="1363" t="s">
        <v>3538</v>
      </c>
    </row>
    <row r="1778" spans="2:8" x14ac:dyDescent="0.25">
      <c r="B1778" s="1358" t="s">
        <v>6897</v>
      </c>
      <c r="C1778" s="1359" t="s">
        <v>6931</v>
      </c>
      <c r="D1778" s="1360">
        <v>9925</v>
      </c>
      <c r="E1778" s="1361" t="s">
        <v>2330</v>
      </c>
      <c r="F1778" s="1360" t="s">
        <v>266</v>
      </c>
      <c r="G1778" s="1362">
        <v>4990</v>
      </c>
      <c r="H1778" s="1363" t="s">
        <v>3538</v>
      </c>
    </row>
    <row r="1779" spans="2:8" x14ac:dyDescent="0.25">
      <c r="B1779" s="1358" t="s">
        <v>6897</v>
      </c>
      <c r="C1779" s="1359" t="s">
        <v>6907</v>
      </c>
      <c r="D1779" s="1360">
        <v>9926</v>
      </c>
      <c r="E1779" s="1361" t="s">
        <v>2331</v>
      </c>
      <c r="F1779" s="1360" t="s">
        <v>13</v>
      </c>
      <c r="G1779" s="1362">
        <v>3263</v>
      </c>
      <c r="H1779" s="1363" t="s">
        <v>3535</v>
      </c>
    </row>
    <row r="1780" spans="2:8" x14ac:dyDescent="0.25">
      <c r="B1780" s="1358" t="s">
        <v>6897</v>
      </c>
      <c r="C1780" s="1359" t="s">
        <v>1798</v>
      </c>
      <c r="D1780" s="1360">
        <v>9928</v>
      </c>
      <c r="E1780" s="1361" t="s">
        <v>2332</v>
      </c>
      <c r="F1780" s="1360" t="s">
        <v>6</v>
      </c>
      <c r="G1780" s="1362">
        <v>10173</v>
      </c>
      <c r="H1780" s="1363" t="s">
        <v>6899</v>
      </c>
    </row>
    <row r="1781" spans="2:8" x14ac:dyDescent="0.25">
      <c r="B1781" s="1358" t="s">
        <v>6897</v>
      </c>
      <c r="C1781" s="1359" t="s">
        <v>6931</v>
      </c>
      <c r="D1781" s="1360">
        <v>9930</v>
      </c>
      <c r="E1781" s="1361" t="s">
        <v>2333</v>
      </c>
      <c r="F1781" s="1360" t="s">
        <v>266</v>
      </c>
      <c r="G1781" s="1362">
        <v>80630</v>
      </c>
      <c r="H1781" s="1363" t="s">
        <v>3538</v>
      </c>
    </row>
    <row r="1782" spans="2:8" x14ac:dyDescent="0.25">
      <c r="B1782" s="1358" t="s">
        <v>6897</v>
      </c>
      <c r="C1782" s="1359" t="s">
        <v>6931</v>
      </c>
      <c r="D1782" s="1360">
        <v>9931</v>
      </c>
      <c r="E1782" s="1361" t="s">
        <v>2334</v>
      </c>
      <c r="F1782" s="1360" t="s">
        <v>266</v>
      </c>
      <c r="G1782" s="1362">
        <v>6900</v>
      </c>
      <c r="H1782" s="1363" t="s">
        <v>3538</v>
      </c>
    </row>
    <row r="1783" spans="2:8" x14ac:dyDescent="0.25">
      <c r="B1783" s="1358" t="s">
        <v>6897</v>
      </c>
      <c r="C1783" s="1359" t="s">
        <v>6916</v>
      </c>
      <c r="D1783" s="1360">
        <v>9933</v>
      </c>
      <c r="E1783" s="1361" t="s">
        <v>2335</v>
      </c>
      <c r="F1783" s="1360" t="s">
        <v>266</v>
      </c>
      <c r="G1783" s="1362">
        <v>137425</v>
      </c>
      <c r="H1783" s="1363" t="s">
        <v>3538</v>
      </c>
    </row>
    <row r="1784" spans="2:8" x14ac:dyDescent="0.25">
      <c r="B1784" s="1358" t="s">
        <v>6897</v>
      </c>
      <c r="C1784" s="1359" t="s">
        <v>6916</v>
      </c>
      <c r="D1784" s="1360">
        <v>9934</v>
      </c>
      <c r="E1784" s="1361" t="s">
        <v>2336</v>
      </c>
      <c r="F1784" s="1360" t="s">
        <v>13</v>
      </c>
      <c r="G1784" s="1362">
        <v>192105</v>
      </c>
      <c r="H1784" s="1363" t="s">
        <v>3538</v>
      </c>
    </row>
    <row r="1785" spans="2:8" x14ac:dyDescent="0.25">
      <c r="B1785" s="1358" t="s">
        <v>6897</v>
      </c>
      <c r="C1785" s="1359" t="s">
        <v>6931</v>
      </c>
      <c r="D1785" s="1360">
        <v>9935</v>
      </c>
      <c r="E1785" s="1361" t="s">
        <v>2337</v>
      </c>
      <c r="F1785" s="1360" t="s">
        <v>266</v>
      </c>
      <c r="G1785" s="1362">
        <v>11741</v>
      </c>
      <c r="H1785" s="1363" t="s">
        <v>3538</v>
      </c>
    </row>
    <row r="1786" spans="2:8" x14ac:dyDescent="0.25">
      <c r="B1786" s="1358" t="s">
        <v>6897</v>
      </c>
      <c r="C1786" s="1359" t="s">
        <v>6931</v>
      </c>
      <c r="D1786" s="1360">
        <v>9936</v>
      </c>
      <c r="E1786" s="1361" t="s">
        <v>2338</v>
      </c>
      <c r="F1786" s="1360" t="s">
        <v>266</v>
      </c>
      <c r="G1786" s="1362">
        <v>23812</v>
      </c>
      <c r="H1786" s="1363" t="s">
        <v>3538</v>
      </c>
    </row>
    <row r="1787" spans="2:8" x14ac:dyDescent="0.25">
      <c r="B1787" s="1358" t="s">
        <v>6897</v>
      </c>
      <c r="C1787" s="1359" t="s">
        <v>6908</v>
      </c>
      <c r="D1787" s="1360">
        <v>9937</v>
      </c>
      <c r="E1787" s="1361" t="s">
        <v>2339</v>
      </c>
      <c r="F1787" s="1360" t="s">
        <v>266</v>
      </c>
      <c r="G1787" s="1362">
        <v>5078</v>
      </c>
      <c r="H1787" s="1363" t="s">
        <v>3538</v>
      </c>
    </row>
    <row r="1788" spans="2:8" x14ac:dyDescent="0.25">
      <c r="B1788" s="1358" t="s">
        <v>6897</v>
      </c>
      <c r="C1788" s="1359" t="s">
        <v>6908</v>
      </c>
      <c r="D1788" s="1360">
        <v>9939</v>
      </c>
      <c r="E1788" s="1361" t="s">
        <v>2340</v>
      </c>
      <c r="F1788" s="1360" t="s">
        <v>266</v>
      </c>
      <c r="G1788" s="1362">
        <v>11674</v>
      </c>
      <c r="H1788" s="1363" t="s">
        <v>3538</v>
      </c>
    </row>
    <row r="1789" spans="2:8" x14ac:dyDescent="0.25">
      <c r="B1789" s="1358" t="s">
        <v>6897</v>
      </c>
      <c r="C1789" s="1359" t="s">
        <v>6921</v>
      </c>
      <c r="D1789" s="1360">
        <v>9940</v>
      </c>
      <c r="E1789" s="1361" t="s">
        <v>4013</v>
      </c>
      <c r="F1789" s="1360" t="s">
        <v>266</v>
      </c>
      <c r="G1789" s="1362">
        <v>60900</v>
      </c>
      <c r="H1789" s="1363" t="s">
        <v>3538</v>
      </c>
    </row>
    <row r="1790" spans="2:8" x14ac:dyDescent="0.25">
      <c r="B1790" s="1358" t="s">
        <v>6897</v>
      </c>
      <c r="C1790" s="1359" t="s">
        <v>6921</v>
      </c>
      <c r="D1790" s="1360">
        <v>9941</v>
      </c>
      <c r="E1790" s="1361" t="s">
        <v>2341</v>
      </c>
      <c r="F1790" s="1360" t="s">
        <v>266</v>
      </c>
      <c r="G1790" s="1362">
        <v>195900</v>
      </c>
      <c r="H1790" s="1363" t="s">
        <v>3538</v>
      </c>
    </row>
    <row r="1791" spans="2:8" x14ac:dyDescent="0.25">
      <c r="B1791" s="1358" t="s">
        <v>6897</v>
      </c>
      <c r="C1791" s="1359" t="s">
        <v>7010</v>
      </c>
      <c r="D1791" s="1360">
        <v>9943</v>
      </c>
      <c r="E1791" s="1361" t="s">
        <v>2342</v>
      </c>
      <c r="F1791" s="1360" t="s">
        <v>266</v>
      </c>
      <c r="G1791" s="1362">
        <v>671750</v>
      </c>
      <c r="H1791" s="1363" t="s">
        <v>3538</v>
      </c>
    </row>
    <row r="1792" spans="2:8" x14ac:dyDescent="0.25">
      <c r="B1792" s="1358" t="s">
        <v>6897</v>
      </c>
      <c r="C1792" s="1359" t="s">
        <v>7010</v>
      </c>
      <c r="D1792" s="1360">
        <v>9944</v>
      </c>
      <c r="E1792" s="1361" t="s">
        <v>2343</v>
      </c>
      <c r="F1792" s="1360" t="s">
        <v>266</v>
      </c>
      <c r="G1792" s="1362">
        <v>29589</v>
      </c>
      <c r="H1792" s="1363" t="s">
        <v>3538</v>
      </c>
    </row>
    <row r="1793" spans="2:8" x14ac:dyDescent="0.25">
      <c r="B1793" s="1358" t="s">
        <v>6897</v>
      </c>
      <c r="C1793" s="1359" t="s">
        <v>7010</v>
      </c>
      <c r="D1793" s="1360">
        <v>9945</v>
      </c>
      <c r="E1793" s="1361" t="s">
        <v>2344</v>
      </c>
      <c r="F1793" s="1360" t="s">
        <v>266</v>
      </c>
      <c r="G1793" s="1362">
        <v>296191</v>
      </c>
      <c r="H1793" s="1363" t="s">
        <v>3538</v>
      </c>
    </row>
    <row r="1794" spans="2:8" x14ac:dyDescent="0.25">
      <c r="B1794" s="1358" t="s">
        <v>6897</v>
      </c>
      <c r="C1794" s="1359" t="s">
        <v>6907</v>
      </c>
      <c r="D1794" s="1360">
        <v>9948</v>
      </c>
      <c r="E1794" s="1361" t="s">
        <v>2345</v>
      </c>
      <c r="F1794" s="1360" t="s">
        <v>266</v>
      </c>
      <c r="G1794" s="1362">
        <v>2323</v>
      </c>
      <c r="H1794" s="1363" t="s">
        <v>3535</v>
      </c>
    </row>
    <row r="1795" spans="2:8" x14ac:dyDescent="0.25">
      <c r="B1795" s="1358" t="s">
        <v>6897</v>
      </c>
      <c r="C1795" s="1359" t="s">
        <v>7010</v>
      </c>
      <c r="D1795" s="1360">
        <v>9949</v>
      </c>
      <c r="E1795" s="1361" t="s">
        <v>2346</v>
      </c>
      <c r="F1795" s="1360" t="s">
        <v>266</v>
      </c>
      <c r="G1795" s="1362">
        <v>1166</v>
      </c>
      <c r="H1795" s="1363" t="s">
        <v>3538</v>
      </c>
    </row>
    <row r="1796" spans="2:8" x14ac:dyDescent="0.25">
      <c r="B1796" s="1358" t="s">
        <v>6897</v>
      </c>
      <c r="C1796" s="1359" t="s">
        <v>7038</v>
      </c>
      <c r="D1796" s="1360">
        <v>9950</v>
      </c>
      <c r="E1796" s="1361" t="s">
        <v>2347</v>
      </c>
      <c r="F1796" s="1360" t="s">
        <v>12</v>
      </c>
      <c r="G1796" s="1362">
        <v>190300</v>
      </c>
      <c r="H1796" s="1363" t="s">
        <v>3538</v>
      </c>
    </row>
    <row r="1797" spans="2:8" x14ac:dyDescent="0.25">
      <c r="B1797" s="1358" t="s">
        <v>6897</v>
      </c>
      <c r="C1797" s="1359" t="s">
        <v>7010</v>
      </c>
      <c r="D1797" s="1360">
        <v>9951</v>
      </c>
      <c r="E1797" s="1361" t="s">
        <v>2348</v>
      </c>
      <c r="F1797" s="1360" t="s">
        <v>266</v>
      </c>
      <c r="G1797" s="1362">
        <v>18214</v>
      </c>
      <c r="H1797" s="1363" t="s">
        <v>3538</v>
      </c>
    </row>
    <row r="1798" spans="2:8" x14ac:dyDescent="0.25">
      <c r="B1798" s="1358" t="s">
        <v>6897</v>
      </c>
      <c r="C1798" s="1359" t="s">
        <v>7010</v>
      </c>
      <c r="D1798" s="1360">
        <v>9952</v>
      </c>
      <c r="E1798" s="1361" t="s">
        <v>2349</v>
      </c>
      <c r="F1798" s="1360" t="s">
        <v>266</v>
      </c>
      <c r="G1798" s="1362">
        <v>47207</v>
      </c>
      <c r="H1798" s="1363" t="s">
        <v>3538</v>
      </c>
    </row>
    <row r="1799" spans="2:8" x14ac:dyDescent="0.25">
      <c r="B1799" s="1358" t="s">
        <v>6897</v>
      </c>
      <c r="C1799" s="1359" t="s">
        <v>6931</v>
      </c>
      <c r="D1799" s="1360">
        <v>9953</v>
      </c>
      <c r="E1799" s="1361" t="s">
        <v>2350</v>
      </c>
      <c r="F1799" s="1360" t="s">
        <v>13</v>
      </c>
      <c r="G1799" s="1362">
        <v>50880</v>
      </c>
      <c r="H1799" s="1363" t="s">
        <v>3538</v>
      </c>
    </row>
    <row r="1800" spans="2:8" x14ac:dyDescent="0.25">
      <c r="B1800" s="1358" t="s">
        <v>6897</v>
      </c>
      <c r="C1800" s="1359" t="s">
        <v>1798</v>
      </c>
      <c r="D1800" s="1360">
        <v>9961</v>
      </c>
      <c r="E1800" s="1361" t="s">
        <v>2351</v>
      </c>
      <c r="F1800" s="1360" t="s">
        <v>12</v>
      </c>
      <c r="G1800" s="1362">
        <v>61880</v>
      </c>
      <c r="H1800" s="1363" t="s">
        <v>6899</v>
      </c>
    </row>
    <row r="1801" spans="2:8" x14ac:dyDescent="0.25">
      <c r="B1801" s="1358" t="s">
        <v>6897</v>
      </c>
      <c r="C1801" s="1359" t="s">
        <v>6916</v>
      </c>
      <c r="D1801" s="1360">
        <v>9963</v>
      </c>
      <c r="E1801" s="1361" t="s">
        <v>2352</v>
      </c>
      <c r="F1801" s="1360" t="s">
        <v>266</v>
      </c>
      <c r="G1801" s="1362">
        <v>66422</v>
      </c>
      <c r="H1801" s="1363" t="s">
        <v>3538</v>
      </c>
    </row>
    <row r="1802" spans="2:8" x14ac:dyDescent="0.25">
      <c r="B1802" s="1358" t="s">
        <v>6897</v>
      </c>
      <c r="C1802" s="1359" t="s">
        <v>6908</v>
      </c>
      <c r="D1802" s="1360">
        <v>9964</v>
      </c>
      <c r="E1802" s="1361" t="s">
        <v>2353</v>
      </c>
      <c r="F1802" s="1360" t="s">
        <v>266</v>
      </c>
      <c r="G1802" s="1362">
        <v>784</v>
      </c>
      <c r="H1802" s="1363" t="s">
        <v>3538</v>
      </c>
    </row>
    <row r="1803" spans="2:8" x14ac:dyDescent="0.25">
      <c r="B1803" s="1358" t="s">
        <v>6897</v>
      </c>
      <c r="C1803" s="1359" t="s">
        <v>7010</v>
      </c>
      <c r="D1803" s="1360">
        <v>9966</v>
      </c>
      <c r="E1803" s="1361" t="s">
        <v>2354</v>
      </c>
      <c r="F1803" s="1360" t="s">
        <v>266</v>
      </c>
      <c r="G1803" s="1362">
        <v>54321</v>
      </c>
      <c r="H1803" s="1363" t="s">
        <v>3538</v>
      </c>
    </row>
    <row r="1804" spans="2:8" x14ac:dyDescent="0.25">
      <c r="B1804" s="1358" t="s">
        <v>6897</v>
      </c>
      <c r="C1804" s="1359" t="s">
        <v>6922</v>
      </c>
      <c r="D1804" s="1360">
        <v>9968</v>
      </c>
      <c r="E1804" s="1361" t="s">
        <v>2355</v>
      </c>
      <c r="F1804" s="1360" t="s">
        <v>266</v>
      </c>
      <c r="G1804" s="1362">
        <v>72639</v>
      </c>
      <c r="H1804" s="1363" t="s">
        <v>3538</v>
      </c>
    </row>
    <row r="1805" spans="2:8" x14ac:dyDescent="0.25">
      <c r="B1805" s="1358" t="s">
        <v>6897</v>
      </c>
      <c r="C1805" s="1359" t="s">
        <v>7010</v>
      </c>
      <c r="D1805" s="1360">
        <v>9972</v>
      </c>
      <c r="E1805" s="1361" t="s">
        <v>2356</v>
      </c>
      <c r="F1805" s="1360" t="s">
        <v>13</v>
      </c>
      <c r="G1805" s="1362">
        <v>4284</v>
      </c>
      <c r="H1805" s="1363" t="s">
        <v>3538</v>
      </c>
    </row>
    <row r="1806" spans="2:8" x14ac:dyDescent="0.25">
      <c r="B1806" s="1358" t="s">
        <v>6897</v>
      </c>
      <c r="C1806" s="1359" t="s">
        <v>6916</v>
      </c>
      <c r="D1806" s="1360">
        <v>9975</v>
      </c>
      <c r="E1806" s="1361" t="s">
        <v>2357</v>
      </c>
      <c r="F1806" s="1360" t="s">
        <v>266</v>
      </c>
      <c r="G1806" s="1362">
        <v>16913</v>
      </c>
      <c r="H1806" s="1363" t="s">
        <v>3538</v>
      </c>
    </row>
    <row r="1807" spans="2:8" x14ac:dyDescent="0.25">
      <c r="B1807" s="1358" t="s">
        <v>6897</v>
      </c>
      <c r="C1807" s="1359" t="s">
        <v>6908</v>
      </c>
      <c r="D1807" s="1360">
        <v>9976</v>
      </c>
      <c r="E1807" s="1361" t="s">
        <v>2358</v>
      </c>
      <c r="F1807" s="1360" t="s">
        <v>266</v>
      </c>
      <c r="G1807" s="1362">
        <v>1511</v>
      </c>
      <c r="H1807" s="1363" t="s">
        <v>3538</v>
      </c>
    </row>
    <row r="1808" spans="2:8" x14ac:dyDescent="0.25">
      <c r="B1808" s="1358" t="s">
        <v>6897</v>
      </c>
      <c r="C1808" s="1359" t="s">
        <v>6921</v>
      </c>
      <c r="D1808" s="1360">
        <v>9977</v>
      </c>
      <c r="E1808" s="1361" t="s">
        <v>2359</v>
      </c>
      <c r="F1808" s="1360" t="s">
        <v>266</v>
      </c>
      <c r="G1808" s="1362">
        <v>78900</v>
      </c>
      <c r="H1808" s="1363" t="s">
        <v>3538</v>
      </c>
    </row>
    <row r="1809" spans="2:8" x14ac:dyDescent="0.25">
      <c r="B1809" s="1358" t="s">
        <v>6897</v>
      </c>
      <c r="C1809" s="1359" t="s">
        <v>7010</v>
      </c>
      <c r="D1809" s="1360">
        <v>9978</v>
      </c>
      <c r="E1809" s="1361" t="s">
        <v>2360</v>
      </c>
      <c r="F1809" s="1360" t="s">
        <v>266</v>
      </c>
      <c r="G1809" s="1362">
        <v>49743000</v>
      </c>
      <c r="H1809" s="1363" t="s">
        <v>3538</v>
      </c>
    </row>
    <row r="1810" spans="2:8" x14ac:dyDescent="0.25">
      <c r="B1810" s="1358" t="s">
        <v>6897</v>
      </c>
      <c r="C1810" s="1359" t="s">
        <v>7010</v>
      </c>
      <c r="D1810" s="1360">
        <v>9979</v>
      </c>
      <c r="E1810" s="1361" t="s">
        <v>2361</v>
      </c>
      <c r="F1810" s="1360" t="s">
        <v>266</v>
      </c>
      <c r="G1810" s="1362">
        <v>5245258</v>
      </c>
      <c r="H1810" s="1363" t="s">
        <v>3538</v>
      </c>
    </row>
    <row r="1811" spans="2:8" x14ac:dyDescent="0.25">
      <c r="B1811" s="1358" t="s">
        <v>6897</v>
      </c>
      <c r="C1811" s="1359" t="s">
        <v>7010</v>
      </c>
      <c r="D1811" s="1360">
        <v>9980</v>
      </c>
      <c r="E1811" s="1361" t="s">
        <v>2362</v>
      </c>
      <c r="F1811" s="1360" t="s">
        <v>266</v>
      </c>
      <c r="G1811" s="1362">
        <v>350</v>
      </c>
      <c r="H1811" s="1363" t="s">
        <v>3538</v>
      </c>
    </row>
    <row r="1812" spans="2:8" x14ac:dyDescent="0.25">
      <c r="B1812" s="1358" t="s">
        <v>6897</v>
      </c>
      <c r="C1812" s="1359" t="s">
        <v>7010</v>
      </c>
      <c r="D1812" s="1360">
        <v>9981</v>
      </c>
      <c r="E1812" s="1361" t="s">
        <v>2363</v>
      </c>
      <c r="F1812" s="1360" t="s">
        <v>266</v>
      </c>
      <c r="G1812" s="1362">
        <v>80427</v>
      </c>
      <c r="H1812" s="1363" t="s">
        <v>3538</v>
      </c>
    </row>
    <row r="1813" spans="2:8" x14ac:dyDescent="0.25">
      <c r="B1813" s="1358" t="s">
        <v>6897</v>
      </c>
      <c r="C1813" s="1359" t="s">
        <v>7010</v>
      </c>
      <c r="D1813" s="1360">
        <v>9982</v>
      </c>
      <c r="E1813" s="1361" t="s">
        <v>2364</v>
      </c>
      <c r="F1813" s="1360" t="s">
        <v>266</v>
      </c>
      <c r="G1813" s="1362">
        <v>3570</v>
      </c>
      <c r="H1813" s="1363" t="s">
        <v>3538</v>
      </c>
    </row>
    <row r="1814" spans="2:8" x14ac:dyDescent="0.25">
      <c r="B1814" s="1358" t="s">
        <v>6897</v>
      </c>
      <c r="C1814" s="1359" t="s">
        <v>7010</v>
      </c>
      <c r="D1814" s="1360">
        <v>9984</v>
      </c>
      <c r="E1814" s="1361" t="s">
        <v>2365</v>
      </c>
      <c r="F1814" s="1360" t="s">
        <v>13</v>
      </c>
      <c r="G1814" s="1362">
        <v>41761</v>
      </c>
      <c r="H1814" s="1363" t="s">
        <v>3538</v>
      </c>
    </row>
    <row r="1815" spans="2:8" x14ac:dyDescent="0.25">
      <c r="B1815" s="1358" t="s">
        <v>6897</v>
      </c>
      <c r="C1815" s="1359" t="s">
        <v>6922</v>
      </c>
      <c r="D1815" s="1360">
        <v>9985</v>
      </c>
      <c r="E1815" s="1361" t="s">
        <v>4014</v>
      </c>
      <c r="F1815" s="1360" t="s">
        <v>266</v>
      </c>
      <c r="G1815" s="1362">
        <v>68425</v>
      </c>
      <c r="H1815" s="1363" t="s">
        <v>3538</v>
      </c>
    </row>
    <row r="1816" spans="2:8" x14ac:dyDescent="0.25">
      <c r="B1816" s="1358" t="s">
        <v>6897</v>
      </c>
      <c r="C1816" s="1359" t="s">
        <v>6922</v>
      </c>
      <c r="D1816" s="1360">
        <v>9986</v>
      </c>
      <c r="E1816" s="1361" t="s">
        <v>2366</v>
      </c>
      <c r="F1816" s="1360" t="s">
        <v>266</v>
      </c>
      <c r="G1816" s="1362">
        <v>78838</v>
      </c>
      <c r="H1816" s="1363" t="s">
        <v>3538</v>
      </c>
    </row>
    <row r="1817" spans="2:8" x14ac:dyDescent="0.25">
      <c r="B1817" s="1358" t="s">
        <v>6897</v>
      </c>
      <c r="C1817" s="1359" t="s">
        <v>1798</v>
      </c>
      <c r="D1817" s="1360">
        <v>9987</v>
      </c>
      <c r="E1817" s="1361" t="s">
        <v>2367</v>
      </c>
      <c r="F1817" s="1360" t="s">
        <v>6</v>
      </c>
      <c r="G1817" s="1362">
        <v>5117</v>
      </c>
      <c r="H1817" s="1363" t="s">
        <v>6899</v>
      </c>
    </row>
    <row r="1818" spans="2:8" x14ac:dyDescent="0.25">
      <c r="B1818" s="1358" t="s">
        <v>6897</v>
      </c>
      <c r="C1818" s="1359" t="s">
        <v>7010</v>
      </c>
      <c r="D1818" s="1360">
        <v>9988</v>
      </c>
      <c r="E1818" s="1361" t="s">
        <v>2368</v>
      </c>
      <c r="F1818" s="1360" t="s">
        <v>266</v>
      </c>
      <c r="G1818" s="1362">
        <v>1657097</v>
      </c>
      <c r="H1818" s="1363" t="s">
        <v>3538</v>
      </c>
    </row>
    <row r="1819" spans="2:8" x14ac:dyDescent="0.25">
      <c r="B1819" s="1358" t="s">
        <v>6897</v>
      </c>
      <c r="C1819" s="1359" t="s">
        <v>6931</v>
      </c>
      <c r="D1819" s="1360">
        <v>9989</v>
      </c>
      <c r="E1819" s="1361" t="s">
        <v>2369</v>
      </c>
      <c r="F1819" s="1360" t="s">
        <v>266</v>
      </c>
      <c r="G1819" s="1362">
        <v>22900</v>
      </c>
      <c r="H1819" s="1363" t="s">
        <v>3538</v>
      </c>
    </row>
    <row r="1820" spans="2:8" x14ac:dyDescent="0.25">
      <c r="B1820" s="1358" t="s">
        <v>6897</v>
      </c>
      <c r="C1820" s="1359" t="s">
        <v>6931</v>
      </c>
      <c r="D1820" s="1360">
        <v>9990</v>
      </c>
      <c r="E1820" s="1361" t="s">
        <v>2370</v>
      </c>
      <c r="F1820" s="1360" t="s">
        <v>266</v>
      </c>
      <c r="G1820" s="1362">
        <v>34900</v>
      </c>
      <c r="H1820" s="1363" t="s">
        <v>3538</v>
      </c>
    </row>
    <row r="1821" spans="2:8" x14ac:dyDescent="0.25">
      <c r="B1821" s="1358" t="s">
        <v>6897</v>
      </c>
      <c r="C1821" s="1359" t="s">
        <v>7010</v>
      </c>
      <c r="D1821" s="1360">
        <v>9991</v>
      </c>
      <c r="E1821" s="1361" t="s">
        <v>2371</v>
      </c>
      <c r="F1821" s="1360" t="s">
        <v>266</v>
      </c>
      <c r="G1821" s="1362">
        <v>387940</v>
      </c>
      <c r="H1821" s="1363" t="s">
        <v>3538</v>
      </c>
    </row>
    <row r="1822" spans="2:8" x14ac:dyDescent="0.25">
      <c r="B1822" s="1358" t="s">
        <v>6897</v>
      </c>
      <c r="C1822" s="1359" t="s">
        <v>6997</v>
      </c>
      <c r="D1822" s="1360">
        <v>9992</v>
      </c>
      <c r="E1822" s="1361" t="s">
        <v>2372</v>
      </c>
      <c r="F1822" s="1360" t="s">
        <v>13</v>
      </c>
      <c r="G1822" s="1362">
        <v>121670</v>
      </c>
      <c r="H1822" s="1363" t="s">
        <v>3538</v>
      </c>
    </row>
    <row r="1823" spans="2:8" x14ac:dyDescent="0.25">
      <c r="B1823" s="1358" t="s">
        <v>6897</v>
      </c>
      <c r="C1823" s="1359" t="s">
        <v>6917</v>
      </c>
      <c r="D1823" s="1360">
        <v>9994</v>
      </c>
      <c r="E1823" s="1361" t="s">
        <v>2373</v>
      </c>
      <c r="F1823" s="1360" t="s">
        <v>6</v>
      </c>
      <c r="G1823" s="1362">
        <v>20020</v>
      </c>
      <c r="H1823" s="1363" t="s">
        <v>3538</v>
      </c>
    </row>
    <row r="1824" spans="2:8" x14ac:dyDescent="0.25">
      <c r="B1824" s="1358" t="s">
        <v>6897</v>
      </c>
      <c r="C1824" s="1359" t="s">
        <v>6922</v>
      </c>
      <c r="D1824" s="1360">
        <v>9995</v>
      </c>
      <c r="E1824" s="1361" t="s">
        <v>4015</v>
      </c>
      <c r="F1824" s="1360" t="s">
        <v>202</v>
      </c>
      <c r="G1824" s="1362">
        <v>83337</v>
      </c>
      <c r="H1824" s="1363" t="s">
        <v>3538</v>
      </c>
    </row>
    <row r="1825" spans="2:8" x14ac:dyDescent="0.25">
      <c r="B1825" s="1358" t="s">
        <v>6897</v>
      </c>
      <c r="C1825" s="1359" t="s">
        <v>7056</v>
      </c>
      <c r="D1825" s="1360">
        <v>9997</v>
      </c>
      <c r="E1825" s="1361" t="s">
        <v>2374</v>
      </c>
      <c r="F1825" s="1360" t="s">
        <v>13</v>
      </c>
      <c r="G1825" s="1362">
        <v>15827</v>
      </c>
      <c r="H1825" s="1363" t="s">
        <v>3538</v>
      </c>
    </row>
    <row r="1826" spans="2:8" x14ac:dyDescent="0.25">
      <c r="B1826" s="1358" t="s">
        <v>6897</v>
      </c>
      <c r="C1826" s="1359" t="s">
        <v>6931</v>
      </c>
      <c r="D1826" s="1360">
        <v>9999</v>
      </c>
      <c r="E1826" s="1361" t="s">
        <v>2375</v>
      </c>
      <c r="F1826" s="1360" t="s">
        <v>13</v>
      </c>
      <c r="G1826" s="1362">
        <v>18644</v>
      </c>
      <c r="H1826" s="1363" t="s">
        <v>3538</v>
      </c>
    </row>
    <row r="1827" spans="2:8" x14ac:dyDescent="0.25">
      <c r="B1827" s="1358" t="s">
        <v>6897</v>
      </c>
      <c r="C1827" s="1359" t="s">
        <v>6922</v>
      </c>
      <c r="D1827" s="1360">
        <v>10000</v>
      </c>
      <c r="E1827" s="1361" t="s">
        <v>819</v>
      </c>
      <c r="F1827" s="1360" t="s">
        <v>13</v>
      </c>
      <c r="G1827" s="1362">
        <v>302508</v>
      </c>
      <c r="H1827" s="1363" t="s">
        <v>3538</v>
      </c>
    </row>
    <row r="1828" spans="2:8" x14ac:dyDescent="0.25">
      <c r="B1828" s="1358" t="s">
        <v>6897</v>
      </c>
      <c r="C1828" s="1359" t="s">
        <v>6917</v>
      </c>
      <c r="D1828" s="1360">
        <v>10009</v>
      </c>
      <c r="E1828" s="1361" t="s">
        <v>2376</v>
      </c>
      <c r="F1828" s="1360" t="s">
        <v>12</v>
      </c>
      <c r="G1828" s="1362">
        <v>39640</v>
      </c>
      <c r="H1828" s="1363" t="s">
        <v>3538</v>
      </c>
    </row>
    <row r="1829" spans="2:8" x14ac:dyDescent="0.25">
      <c r="B1829" s="1358" t="s">
        <v>6897</v>
      </c>
      <c r="C1829" s="1359" t="s">
        <v>6917</v>
      </c>
      <c r="D1829" s="1360">
        <v>10010</v>
      </c>
      <c r="E1829" s="1361" t="s">
        <v>2377</v>
      </c>
      <c r="F1829" s="1360" t="s">
        <v>13</v>
      </c>
      <c r="G1829" s="1362">
        <v>6900</v>
      </c>
      <c r="H1829" s="1363" t="s">
        <v>3538</v>
      </c>
    </row>
    <row r="1830" spans="2:8" x14ac:dyDescent="0.25">
      <c r="B1830" s="1358" t="s">
        <v>6897</v>
      </c>
      <c r="C1830" s="1359" t="s">
        <v>6917</v>
      </c>
      <c r="D1830" s="1360">
        <v>10011</v>
      </c>
      <c r="E1830" s="1361" t="s">
        <v>2378</v>
      </c>
      <c r="F1830" s="1360" t="s">
        <v>13</v>
      </c>
      <c r="G1830" s="1362">
        <v>1500</v>
      </c>
      <c r="H1830" s="1363" t="s">
        <v>3538</v>
      </c>
    </row>
    <row r="1831" spans="2:8" x14ac:dyDescent="0.25">
      <c r="B1831" s="1358" t="s">
        <v>6897</v>
      </c>
      <c r="C1831" s="1359" t="s">
        <v>6917</v>
      </c>
      <c r="D1831" s="1360">
        <v>10012</v>
      </c>
      <c r="E1831" s="1361" t="s">
        <v>2379</v>
      </c>
      <c r="F1831" s="1360" t="s">
        <v>12</v>
      </c>
      <c r="G1831" s="1362">
        <v>26103</v>
      </c>
      <c r="H1831" s="1363" t="s">
        <v>3538</v>
      </c>
    </row>
    <row r="1832" spans="2:8" x14ac:dyDescent="0.25">
      <c r="B1832" s="1358" t="s">
        <v>6897</v>
      </c>
      <c r="C1832" s="1359" t="s">
        <v>6991</v>
      </c>
      <c r="D1832" s="1360">
        <v>10013</v>
      </c>
      <c r="E1832" s="1361" t="s">
        <v>4016</v>
      </c>
      <c r="F1832" s="1360" t="s">
        <v>266</v>
      </c>
      <c r="G1832" s="1362">
        <v>48066</v>
      </c>
      <c r="H1832" s="1363" t="s">
        <v>6899</v>
      </c>
    </row>
    <row r="1833" spans="2:8" x14ac:dyDescent="0.25">
      <c r="B1833" s="1358" t="s">
        <v>6897</v>
      </c>
      <c r="C1833" s="1359" t="s">
        <v>6937</v>
      </c>
      <c r="D1833" s="1360">
        <v>10014</v>
      </c>
      <c r="E1833" s="1361" t="s">
        <v>4017</v>
      </c>
      <c r="F1833" s="1360" t="s">
        <v>266</v>
      </c>
      <c r="G1833" s="1362">
        <v>54145</v>
      </c>
      <c r="H1833" s="1363" t="s">
        <v>6899</v>
      </c>
    </row>
    <row r="1834" spans="2:8" x14ac:dyDescent="0.25">
      <c r="B1834" s="1358" t="s">
        <v>6897</v>
      </c>
      <c r="C1834" s="1359" t="s">
        <v>6937</v>
      </c>
      <c r="D1834" s="1360">
        <v>10015</v>
      </c>
      <c r="E1834" s="1361" t="s">
        <v>4018</v>
      </c>
      <c r="F1834" s="1360" t="s">
        <v>266</v>
      </c>
      <c r="G1834" s="1362">
        <v>62951</v>
      </c>
      <c r="H1834" s="1363" t="s">
        <v>6899</v>
      </c>
    </row>
    <row r="1835" spans="2:8" x14ac:dyDescent="0.25">
      <c r="B1835" s="1358" t="s">
        <v>6897</v>
      </c>
      <c r="C1835" s="1359" t="s">
        <v>6939</v>
      </c>
      <c r="D1835" s="1360">
        <v>10016</v>
      </c>
      <c r="E1835" s="1361" t="s">
        <v>2380</v>
      </c>
      <c r="F1835" s="1360" t="s">
        <v>266</v>
      </c>
      <c r="G1835" s="1362">
        <v>226100</v>
      </c>
      <c r="H1835" s="1363" t="s">
        <v>6899</v>
      </c>
    </row>
    <row r="1836" spans="2:8" x14ac:dyDescent="0.25">
      <c r="B1836" s="1358" t="s">
        <v>6897</v>
      </c>
      <c r="C1836" s="1359" t="s">
        <v>6936</v>
      </c>
      <c r="D1836" s="1360">
        <v>10017</v>
      </c>
      <c r="E1836" s="1361" t="s">
        <v>4019</v>
      </c>
      <c r="F1836" s="1360" t="s">
        <v>266</v>
      </c>
      <c r="G1836" s="1362">
        <v>94000</v>
      </c>
      <c r="H1836" s="1363" t="s">
        <v>6899</v>
      </c>
    </row>
    <row r="1837" spans="2:8" x14ac:dyDescent="0.25">
      <c r="B1837" s="1358" t="s">
        <v>6897</v>
      </c>
      <c r="C1837" s="1359" t="s">
        <v>6942</v>
      </c>
      <c r="D1837" s="1360">
        <v>10018</v>
      </c>
      <c r="E1837" s="1361" t="s">
        <v>4020</v>
      </c>
      <c r="F1837" s="1360" t="s">
        <v>266</v>
      </c>
      <c r="G1837" s="1362">
        <v>222649</v>
      </c>
      <c r="H1837" s="1363" t="s">
        <v>6899</v>
      </c>
    </row>
    <row r="1838" spans="2:8" x14ac:dyDescent="0.25">
      <c r="B1838" s="1358" t="s">
        <v>6897</v>
      </c>
      <c r="C1838" s="1359" t="s">
        <v>6937</v>
      </c>
      <c r="D1838" s="1360">
        <v>10019</v>
      </c>
      <c r="E1838" s="1361" t="s">
        <v>4021</v>
      </c>
      <c r="F1838" s="1360" t="s">
        <v>266</v>
      </c>
      <c r="G1838" s="1362">
        <v>60690</v>
      </c>
      <c r="H1838" s="1363" t="s">
        <v>6899</v>
      </c>
    </row>
    <row r="1839" spans="2:8" x14ac:dyDescent="0.25">
      <c r="B1839" s="1358" t="s">
        <v>6897</v>
      </c>
      <c r="C1839" s="1359" t="s">
        <v>6937</v>
      </c>
      <c r="D1839" s="1360">
        <v>10020</v>
      </c>
      <c r="E1839" s="1361" t="s">
        <v>4022</v>
      </c>
      <c r="F1839" s="1360" t="s">
        <v>266</v>
      </c>
      <c r="G1839" s="1362">
        <v>49326</v>
      </c>
      <c r="H1839" s="1363" t="s">
        <v>6899</v>
      </c>
    </row>
    <row r="1840" spans="2:8" x14ac:dyDescent="0.25">
      <c r="B1840" s="1358" t="s">
        <v>6897</v>
      </c>
      <c r="C1840" s="1359" t="s">
        <v>6937</v>
      </c>
      <c r="D1840" s="1360">
        <v>10021</v>
      </c>
      <c r="E1840" s="1361" t="s">
        <v>4023</v>
      </c>
      <c r="F1840" s="1360" t="s">
        <v>266</v>
      </c>
      <c r="G1840" s="1362">
        <v>184450</v>
      </c>
      <c r="H1840" s="1363" t="s">
        <v>6899</v>
      </c>
    </row>
    <row r="1841" spans="2:8" x14ac:dyDescent="0.25">
      <c r="B1841" s="1358" t="s">
        <v>6897</v>
      </c>
      <c r="C1841" s="1359" t="s">
        <v>6937</v>
      </c>
      <c r="D1841" s="1360">
        <v>10022</v>
      </c>
      <c r="E1841" s="1361" t="s">
        <v>4024</v>
      </c>
      <c r="F1841" s="1360" t="s">
        <v>266</v>
      </c>
      <c r="G1841" s="1362">
        <v>741370</v>
      </c>
      <c r="H1841" s="1363" t="s">
        <v>6899</v>
      </c>
    </row>
    <row r="1842" spans="2:8" x14ac:dyDescent="0.25">
      <c r="B1842" s="1358" t="s">
        <v>6897</v>
      </c>
      <c r="C1842" s="1359" t="s">
        <v>6937</v>
      </c>
      <c r="D1842" s="1360">
        <v>10023</v>
      </c>
      <c r="E1842" s="1361" t="s">
        <v>4025</v>
      </c>
      <c r="F1842" s="1360" t="s">
        <v>266</v>
      </c>
      <c r="G1842" s="1362">
        <v>23205</v>
      </c>
      <c r="H1842" s="1363" t="s">
        <v>6899</v>
      </c>
    </row>
    <row r="1843" spans="2:8" x14ac:dyDescent="0.25">
      <c r="B1843" s="1358" t="s">
        <v>6897</v>
      </c>
      <c r="C1843" s="1359" t="s">
        <v>6937</v>
      </c>
      <c r="D1843" s="1360">
        <v>10024</v>
      </c>
      <c r="E1843" s="1361" t="s">
        <v>4026</v>
      </c>
      <c r="F1843" s="1360" t="s">
        <v>266</v>
      </c>
      <c r="G1843" s="1362">
        <v>243867</v>
      </c>
      <c r="H1843" s="1363" t="s">
        <v>6899</v>
      </c>
    </row>
    <row r="1844" spans="2:8" x14ac:dyDescent="0.25">
      <c r="B1844" s="1358" t="s">
        <v>6897</v>
      </c>
      <c r="C1844" s="1359" t="s">
        <v>6938</v>
      </c>
      <c r="D1844" s="1360">
        <v>10025</v>
      </c>
      <c r="E1844" s="1361" t="s">
        <v>4027</v>
      </c>
      <c r="F1844" s="1360" t="s">
        <v>266</v>
      </c>
      <c r="G1844" s="1362">
        <v>305949</v>
      </c>
      <c r="H1844" s="1363" t="s">
        <v>6899</v>
      </c>
    </row>
    <row r="1845" spans="2:8" x14ac:dyDescent="0.25">
      <c r="B1845" s="1358" t="s">
        <v>6897</v>
      </c>
      <c r="C1845" s="1359" t="s">
        <v>7045</v>
      </c>
      <c r="D1845" s="1360">
        <v>10026</v>
      </c>
      <c r="E1845" s="1361" t="s">
        <v>4028</v>
      </c>
      <c r="F1845" s="1360" t="s">
        <v>266</v>
      </c>
      <c r="G1845" s="1362">
        <v>368900</v>
      </c>
      <c r="H1845" s="1363" t="s">
        <v>6899</v>
      </c>
    </row>
    <row r="1846" spans="2:8" x14ac:dyDescent="0.25">
      <c r="B1846" s="1358" t="s">
        <v>6897</v>
      </c>
      <c r="C1846" s="1359" t="s">
        <v>7045</v>
      </c>
      <c r="D1846" s="1360">
        <v>10027</v>
      </c>
      <c r="E1846" s="1361" t="s">
        <v>4029</v>
      </c>
      <c r="F1846" s="1360" t="s">
        <v>266</v>
      </c>
      <c r="G1846" s="1362">
        <v>474929</v>
      </c>
      <c r="H1846" s="1363" t="s">
        <v>6899</v>
      </c>
    </row>
    <row r="1847" spans="2:8" x14ac:dyDescent="0.25">
      <c r="B1847" s="1358" t="s">
        <v>6897</v>
      </c>
      <c r="C1847" s="1359" t="s">
        <v>7045</v>
      </c>
      <c r="D1847" s="1360">
        <v>10028</v>
      </c>
      <c r="E1847" s="1361" t="s">
        <v>4030</v>
      </c>
      <c r="F1847" s="1360" t="s">
        <v>266</v>
      </c>
      <c r="G1847" s="1362">
        <v>255969</v>
      </c>
      <c r="H1847" s="1363" t="s">
        <v>6899</v>
      </c>
    </row>
    <row r="1848" spans="2:8" x14ac:dyDescent="0.25">
      <c r="B1848" s="1358" t="s">
        <v>6897</v>
      </c>
      <c r="C1848" s="1359" t="s">
        <v>7010</v>
      </c>
      <c r="D1848" s="1360">
        <v>10032</v>
      </c>
      <c r="E1848" s="1361" t="s">
        <v>2381</v>
      </c>
      <c r="F1848" s="1360" t="s">
        <v>266</v>
      </c>
      <c r="G1848" s="1362">
        <v>28577850</v>
      </c>
      <c r="H1848" s="1363" t="s">
        <v>3538</v>
      </c>
    </row>
    <row r="1849" spans="2:8" x14ac:dyDescent="0.25">
      <c r="B1849" s="1358" t="s">
        <v>6897</v>
      </c>
      <c r="C1849" s="1359" t="s">
        <v>6908</v>
      </c>
      <c r="D1849" s="1360">
        <v>10033</v>
      </c>
      <c r="E1849" s="1361" t="s">
        <v>2382</v>
      </c>
      <c r="F1849" s="1360" t="s">
        <v>266</v>
      </c>
      <c r="G1849" s="1362">
        <v>5042</v>
      </c>
      <c r="H1849" s="1363" t="s">
        <v>3538</v>
      </c>
    </row>
    <row r="1850" spans="2:8" x14ac:dyDescent="0.25">
      <c r="B1850" s="1358" t="s">
        <v>6897</v>
      </c>
      <c r="C1850" s="1359" t="s">
        <v>6908</v>
      </c>
      <c r="D1850" s="1360">
        <v>10035</v>
      </c>
      <c r="E1850" s="1361" t="s">
        <v>2383</v>
      </c>
      <c r="F1850" s="1360" t="s">
        <v>266</v>
      </c>
      <c r="G1850" s="1362">
        <v>4480</v>
      </c>
      <c r="H1850" s="1363" t="s">
        <v>3538</v>
      </c>
    </row>
    <row r="1851" spans="2:8" x14ac:dyDescent="0.25">
      <c r="B1851" s="1358" t="s">
        <v>6897</v>
      </c>
      <c r="C1851" s="1359" t="s">
        <v>7054</v>
      </c>
      <c r="D1851" s="1360">
        <v>10066</v>
      </c>
      <c r="E1851" s="1361" t="s">
        <v>4031</v>
      </c>
      <c r="F1851" s="1360" t="s">
        <v>266</v>
      </c>
      <c r="G1851" s="1362">
        <v>192780</v>
      </c>
      <c r="H1851" s="1363" t="s">
        <v>6899</v>
      </c>
    </row>
    <row r="1852" spans="2:8" x14ac:dyDescent="0.25">
      <c r="B1852" s="1358" t="s">
        <v>6897</v>
      </c>
      <c r="C1852" s="1359" t="s">
        <v>7010</v>
      </c>
      <c r="D1852" s="1360">
        <v>10072</v>
      </c>
      <c r="E1852" s="1361" t="s">
        <v>2384</v>
      </c>
      <c r="F1852" s="1360" t="s">
        <v>266</v>
      </c>
      <c r="G1852" s="1362">
        <v>40090</v>
      </c>
      <c r="H1852" s="1363" t="s">
        <v>3538</v>
      </c>
    </row>
    <row r="1853" spans="2:8" x14ac:dyDescent="0.25">
      <c r="B1853" s="1358" t="s">
        <v>6897</v>
      </c>
      <c r="C1853" s="1359" t="s">
        <v>6908</v>
      </c>
      <c r="D1853" s="1360">
        <v>10074</v>
      </c>
      <c r="E1853" s="1361" t="s">
        <v>2385</v>
      </c>
      <c r="F1853" s="1360" t="s">
        <v>266</v>
      </c>
      <c r="G1853" s="1362">
        <v>287890</v>
      </c>
      <c r="H1853" s="1363" t="s">
        <v>3538</v>
      </c>
    </row>
    <row r="1854" spans="2:8" x14ac:dyDescent="0.25">
      <c r="B1854" s="1358" t="s">
        <v>6897</v>
      </c>
      <c r="C1854" s="1359" t="s">
        <v>7010</v>
      </c>
      <c r="D1854" s="1360">
        <v>10079</v>
      </c>
      <c r="E1854" s="1361" t="s">
        <v>2386</v>
      </c>
      <c r="F1854" s="1360" t="s">
        <v>266</v>
      </c>
      <c r="G1854" s="1362">
        <v>157900</v>
      </c>
      <c r="H1854" s="1363" t="s">
        <v>3538</v>
      </c>
    </row>
    <row r="1855" spans="2:8" x14ac:dyDescent="0.25">
      <c r="B1855" s="1358" t="s">
        <v>6897</v>
      </c>
      <c r="C1855" s="1359" t="s">
        <v>7010</v>
      </c>
      <c r="D1855" s="1360">
        <v>10085</v>
      </c>
      <c r="E1855" s="1361" t="s">
        <v>2387</v>
      </c>
      <c r="F1855" s="1360" t="s">
        <v>266</v>
      </c>
      <c r="G1855" s="1362">
        <v>150633</v>
      </c>
      <c r="H1855" s="1363" t="s">
        <v>3538</v>
      </c>
    </row>
    <row r="1856" spans="2:8" x14ac:dyDescent="0.25">
      <c r="B1856" s="1358" t="s">
        <v>6897</v>
      </c>
      <c r="C1856" s="1359" t="s">
        <v>6903</v>
      </c>
      <c r="D1856" s="1360">
        <v>10089</v>
      </c>
      <c r="E1856" s="1361" t="s">
        <v>2388</v>
      </c>
      <c r="F1856" s="1360" t="s">
        <v>6</v>
      </c>
      <c r="G1856" s="1362">
        <v>6069</v>
      </c>
      <c r="H1856" s="1363" t="s">
        <v>6899</v>
      </c>
    </row>
    <row r="1857" spans="2:8" x14ac:dyDescent="0.25">
      <c r="B1857" s="1358" t="s">
        <v>6897</v>
      </c>
      <c r="C1857" s="1359" t="s">
        <v>6903</v>
      </c>
      <c r="D1857" s="1360">
        <v>10090</v>
      </c>
      <c r="E1857" s="1361" t="s">
        <v>2389</v>
      </c>
      <c r="F1857" s="1360" t="s">
        <v>6</v>
      </c>
      <c r="G1857" s="1362">
        <v>6069</v>
      </c>
      <c r="H1857" s="1363" t="s">
        <v>6899</v>
      </c>
    </row>
    <row r="1858" spans="2:8" x14ac:dyDescent="0.25">
      <c r="B1858" s="1358" t="s">
        <v>6897</v>
      </c>
      <c r="C1858" s="1359" t="s">
        <v>7010</v>
      </c>
      <c r="D1858" s="1360">
        <v>10094</v>
      </c>
      <c r="E1858" s="1361" t="s">
        <v>2390</v>
      </c>
      <c r="F1858" s="1360" t="s">
        <v>266</v>
      </c>
      <c r="G1858" s="1362">
        <v>3808</v>
      </c>
      <c r="H1858" s="1363" t="s">
        <v>3538</v>
      </c>
    </row>
    <row r="1859" spans="2:8" x14ac:dyDescent="0.25">
      <c r="B1859" s="1358" t="s">
        <v>6897</v>
      </c>
      <c r="C1859" s="1359" t="s">
        <v>7010</v>
      </c>
      <c r="D1859" s="1360">
        <v>10096</v>
      </c>
      <c r="E1859" s="1361" t="s">
        <v>2391</v>
      </c>
      <c r="F1859" s="1360" t="s">
        <v>266</v>
      </c>
      <c r="G1859" s="1362">
        <v>157900</v>
      </c>
      <c r="H1859" s="1363" t="s">
        <v>3538</v>
      </c>
    </row>
    <row r="1860" spans="2:8" x14ac:dyDescent="0.25">
      <c r="B1860" s="1358" t="s">
        <v>6897</v>
      </c>
      <c r="C1860" s="1359" t="s">
        <v>6908</v>
      </c>
      <c r="D1860" s="1360">
        <v>10101</v>
      </c>
      <c r="E1860" s="1361" t="s">
        <v>2392</v>
      </c>
      <c r="F1860" s="1360" t="s">
        <v>266</v>
      </c>
      <c r="G1860" s="1362">
        <v>1255</v>
      </c>
      <c r="H1860" s="1363" t="s">
        <v>3538</v>
      </c>
    </row>
    <row r="1861" spans="2:8" x14ac:dyDescent="0.25">
      <c r="B1861" s="1358" t="s">
        <v>6897</v>
      </c>
      <c r="C1861" s="1359" t="s">
        <v>6908</v>
      </c>
      <c r="D1861" s="1360">
        <v>10136</v>
      </c>
      <c r="E1861" s="1361" t="s">
        <v>2393</v>
      </c>
      <c r="F1861" s="1360" t="s">
        <v>266</v>
      </c>
      <c r="G1861" s="1362">
        <v>18425</v>
      </c>
      <c r="H1861" s="1363" t="s">
        <v>3538</v>
      </c>
    </row>
    <row r="1862" spans="2:8" x14ac:dyDescent="0.25">
      <c r="B1862" s="1358" t="s">
        <v>6897</v>
      </c>
      <c r="C1862" s="1359" t="s">
        <v>6921</v>
      </c>
      <c r="D1862" s="1360">
        <v>10145</v>
      </c>
      <c r="E1862" s="1361" t="s">
        <v>2394</v>
      </c>
      <c r="F1862" s="1360" t="s">
        <v>266</v>
      </c>
      <c r="G1862" s="1362">
        <v>449820</v>
      </c>
      <c r="H1862" s="1363" t="s">
        <v>3538</v>
      </c>
    </row>
    <row r="1863" spans="2:8" x14ac:dyDescent="0.25">
      <c r="B1863" s="1358" t="s">
        <v>6897</v>
      </c>
      <c r="C1863" s="1359" t="s">
        <v>6908</v>
      </c>
      <c r="D1863" s="1360">
        <v>10147</v>
      </c>
      <c r="E1863" s="1361" t="s">
        <v>2395</v>
      </c>
      <c r="F1863" s="1360" t="s">
        <v>266</v>
      </c>
      <c r="G1863" s="1362">
        <v>2044</v>
      </c>
      <c r="H1863" s="1363" t="s">
        <v>3538</v>
      </c>
    </row>
    <row r="1864" spans="2:8" x14ac:dyDescent="0.25">
      <c r="B1864" s="1358" t="s">
        <v>6897</v>
      </c>
      <c r="C1864" s="1359" t="s">
        <v>6921</v>
      </c>
      <c r="D1864" s="1360">
        <v>10154</v>
      </c>
      <c r="E1864" s="1361" t="s">
        <v>2396</v>
      </c>
      <c r="F1864" s="1360" t="s">
        <v>266</v>
      </c>
      <c r="G1864" s="1362">
        <v>1484348</v>
      </c>
      <c r="H1864" s="1363" t="s">
        <v>3538</v>
      </c>
    </row>
    <row r="1865" spans="2:8" x14ac:dyDescent="0.25">
      <c r="B1865" s="1358" t="s">
        <v>6897</v>
      </c>
      <c r="C1865" s="1359" t="s">
        <v>6921</v>
      </c>
      <c r="D1865" s="1360">
        <v>10158</v>
      </c>
      <c r="E1865" s="1361" t="s">
        <v>2397</v>
      </c>
      <c r="F1865" s="1360" t="s">
        <v>266</v>
      </c>
      <c r="G1865" s="1362">
        <v>575313</v>
      </c>
      <c r="H1865" s="1363" t="s">
        <v>3538</v>
      </c>
    </row>
    <row r="1866" spans="2:8" x14ac:dyDescent="0.25">
      <c r="B1866" s="1358" t="s">
        <v>6897</v>
      </c>
      <c r="C1866" s="1359" t="s">
        <v>6922</v>
      </c>
      <c r="D1866" s="1360">
        <v>10163</v>
      </c>
      <c r="E1866" s="1361" t="s">
        <v>2398</v>
      </c>
      <c r="F1866" s="1360" t="s">
        <v>266</v>
      </c>
      <c r="G1866" s="1362">
        <v>308152</v>
      </c>
      <c r="H1866" s="1363" t="s">
        <v>3538</v>
      </c>
    </row>
    <row r="1867" spans="2:8" x14ac:dyDescent="0.25">
      <c r="B1867" s="1358" t="s">
        <v>6897</v>
      </c>
      <c r="C1867" s="1359" t="s">
        <v>6921</v>
      </c>
      <c r="D1867" s="1360">
        <v>10167</v>
      </c>
      <c r="E1867" s="1361" t="s">
        <v>2399</v>
      </c>
      <c r="F1867" s="1360" t="s">
        <v>266</v>
      </c>
      <c r="G1867" s="1362">
        <v>48499</v>
      </c>
      <c r="H1867" s="1363" t="s">
        <v>3538</v>
      </c>
    </row>
    <row r="1868" spans="2:8" x14ac:dyDescent="0.25">
      <c r="B1868" s="1358" t="s">
        <v>6897</v>
      </c>
      <c r="C1868" s="1359" t="s">
        <v>6908</v>
      </c>
      <c r="D1868" s="1360">
        <v>10181</v>
      </c>
      <c r="E1868" s="1361" t="s">
        <v>2400</v>
      </c>
      <c r="F1868" s="1360" t="s">
        <v>266</v>
      </c>
      <c r="G1868" s="1362">
        <v>1295</v>
      </c>
      <c r="H1868" s="1363" t="s">
        <v>3538</v>
      </c>
    </row>
    <row r="1869" spans="2:8" x14ac:dyDescent="0.25">
      <c r="B1869" s="1358" t="s">
        <v>6897</v>
      </c>
      <c r="C1869" s="1359" t="s">
        <v>6921</v>
      </c>
      <c r="D1869" s="1360">
        <v>10189</v>
      </c>
      <c r="E1869" s="1361" t="s">
        <v>2401</v>
      </c>
      <c r="F1869" s="1360" t="s">
        <v>266</v>
      </c>
      <c r="G1869" s="1362">
        <v>3188889</v>
      </c>
      <c r="H1869" s="1363" t="s">
        <v>3538</v>
      </c>
    </row>
    <row r="1870" spans="2:8" x14ac:dyDescent="0.25">
      <c r="B1870" s="1358" t="s">
        <v>6897</v>
      </c>
      <c r="C1870" s="1359" t="s">
        <v>7007</v>
      </c>
      <c r="D1870" s="1360">
        <v>10203</v>
      </c>
      <c r="E1870" s="1361" t="s">
        <v>2402</v>
      </c>
      <c r="F1870" s="1360" t="s">
        <v>266</v>
      </c>
      <c r="G1870" s="1362">
        <v>105494</v>
      </c>
      <c r="H1870" s="1363" t="s">
        <v>3538</v>
      </c>
    </row>
    <row r="1871" spans="2:8" x14ac:dyDescent="0.25">
      <c r="B1871" s="1358" t="s">
        <v>6897</v>
      </c>
      <c r="C1871" s="1359" t="s">
        <v>6901</v>
      </c>
      <c r="D1871" s="1360">
        <v>10211</v>
      </c>
      <c r="E1871" s="1361" t="s">
        <v>7057</v>
      </c>
      <c r="F1871" s="1360" t="s">
        <v>266</v>
      </c>
      <c r="G1871" s="1362">
        <v>132000</v>
      </c>
      <c r="H1871" s="1363" t="s">
        <v>3538</v>
      </c>
    </row>
    <row r="1872" spans="2:8" x14ac:dyDescent="0.25">
      <c r="B1872" s="1358" t="s">
        <v>6897</v>
      </c>
      <c r="C1872" s="1359" t="s">
        <v>6901</v>
      </c>
      <c r="D1872" s="1360">
        <v>10212</v>
      </c>
      <c r="E1872" s="1361" t="s">
        <v>7058</v>
      </c>
      <c r="F1872" s="1360" t="s">
        <v>266</v>
      </c>
      <c r="G1872" s="1362">
        <v>138000</v>
      </c>
      <c r="H1872" s="1363" t="s">
        <v>3538</v>
      </c>
    </row>
    <row r="1873" spans="2:8" x14ac:dyDescent="0.25">
      <c r="B1873" s="1358" t="s">
        <v>6897</v>
      </c>
      <c r="C1873" s="1359" t="s">
        <v>6916</v>
      </c>
      <c r="D1873" s="1360">
        <v>10232</v>
      </c>
      <c r="E1873" s="1361" t="s">
        <v>2403</v>
      </c>
      <c r="F1873" s="1360" t="s">
        <v>13</v>
      </c>
      <c r="G1873" s="1362">
        <v>34029</v>
      </c>
      <c r="H1873" s="1363" t="s">
        <v>3538</v>
      </c>
    </row>
    <row r="1874" spans="2:8" x14ac:dyDescent="0.25">
      <c r="B1874" s="1358" t="s">
        <v>6897</v>
      </c>
      <c r="C1874" s="1359" t="s">
        <v>6908</v>
      </c>
      <c r="D1874" s="1360">
        <v>10251</v>
      </c>
      <c r="E1874" s="1361" t="s">
        <v>2404</v>
      </c>
      <c r="F1874" s="1360" t="s">
        <v>266</v>
      </c>
      <c r="G1874" s="1362">
        <v>1747</v>
      </c>
      <c r="H1874" s="1363" t="s">
        <v>3538</v>
      </c>
    </row>
    <row r="1875" spans="2:8" x14ac:dyDescent="0.25">
      <c r="B1875" s="1358" t="s">
        <v>6897</v>
      </c>
      <c r="C1875" s="1359" t="s">
        <v>6921</v>
      </c>
      <c r="D1875" s="1360">
        <v>10262</v>
      </c>
      <c r="E1875" s="1361" t="s">
        <v>2405</v>
      </c>
      <c r="F1875" s="1360" t="s">
        <v>266</v>
      </c>
      <c r="G1875" s="1362">
        <v>251090</v>
      </c>
      <c r="H1875" s="1363" t="s">
        <v>3538</v>
      </c>
    </row>
    <row r="1876" spans="2:8" x14ac:dyDescent="0.25">
      <c r="B1876" s="1358" t="s">
        <v>6897</v>
      </c>
      <c r="C1876" s="1359" t="s">
        <v>7042</v>
      </c>
      <c r="D1876" s="1360">
        <v>10279</v>
      </c>
      <c r="E1876" s="1361" t="s">
        <v>2406</v>
      </c>
      <c r="F1876" s="1360" t="s">
        <v>266</v>
      </c>
      <c r="G1876" s="1362">
        <v>7563</v>
      </c>
      <c r="H1876" s="1363" t="s">
        <v>6899</v>
      </c>
    </row>
    <row r="1877" spans="2:8" x14ac:dyDescent="0.25">
      <c r="B1877" s="1358" t="s">
        <v>6897</v>
      </c>
      <c r="C1877" s="1359" t="s">
        <v>6931</v>
      </c>
      <c r="D1877" s="1360">
        <v>10282</v>
      </c>
      <c r="E1877" s="1361" t="s">
        <v>2407</v>
      </c>
      <c r="F1877" s="1360" t="s">
        <v>1155</v>
      </c>
      <c r="G1877" s="1362">
        <v>10845</v>
      </c>
      <c r="H1877" s="1363" t="s">
        <v>3538</v>
      </c>
    </row>
    <row r="1878" spans="2:8" x14ac:dyDescent="0.25">
      <c r="B1878" s="1358" t="s">
        <v>6897</v>
      </c>
      <c r="C1878" s="1359" t="s">
        <v>6927</v>
      </c>
      <c r="D1878" s="1360">
        <v>10283</v>
      </c>
      <c r="E1878" s="1361" t="s">
        <v>2408</v>
      </c>
      <c r="F1878" s="1360" t="s">
        <v>13</v>
      </c>
      <c r="G1878" s="1362">
        <v>138</v>
      </c>
      <c r="H1878" s="1363" t="s">
        <v>6899</v>
      </c>
    </row>
    <row r="1879" spans="2:8" x14ac:dyDescent="0.25">
      <c r="B1879" s="1358" t="s">
        <v>6897</v>
      </c>
      <c r="C1879" s="1359" t="s">
        <v>7010</v>
      </c>
      <c r="D1879" s="1360">
        <v>10288</v>
      </c>
      <c r="E1879" s="1361" t="s">
        <v>4032</v>
      </c>
      <c r="F1879" s="1360" t="s">
        <v>266</v>
      </c>
      <c r="G1879" s="1362">
        <v>240986</v>
      </c>
      <c r="H1879" s="1363" t="s">
        <v>3538</v>
      </c>
    </row>
    <row r="1880" spans="2:8" x14ac:dyDescent="0.25">
      <c r="B1880" s="1358" t="s">
        <v>6897</v>
      </c>
      <c r="C1880" s="1359" t="s">
        <v>7042</v>
      </c>
      <c r="D1880" s="1360">
        <v>10289</v>
      </c>
      <c r="E1880" s="1361" t="s">
        <v>2409</v>
      </c>
      <c r="F1880" s="1360" t="s">
        <v>266</v>
      </c>
      <c r="G1880" s="1362">
        <v>18290</v>
      </c>
      <c r="H1880" s="1363" t="s">
        <v>6899</v>
      </c>
    </row>
    <row r="1881" spans="2:8" x14ac:dyDescent="0.25">
      <c r="B1881" s="1358" t="s">
        <v>6897</v>
      </c>
      <c r="C1881" s="1359" t="s">
        <v>7042</v>
      </c>
      <c r="D1881" s="1360">
        <v>10290</v>
      </c>
      <c r="E1881" s="1361" t="s">
        <v>2410</v>
      </c>
      <c r="F1881" s="1360" t="s">
        <v>13</v>
      </c>
      <c r="G1881" s="1362">
        <v>6967</v>
      </c>
      <c r="H1881" s="1363" t="s">
        <v>6899</v>
      </c>
    </row>
    <row r="1882" spans="2:8" x14ac:dyDescent="0.25">
      <c r="B1882" s="1358" t="s">
        <v>6897</v>
      </c>
      <c r="C1882" s="1359" t="s">
        <v>6908</v>
      </c>
      <c r="D1882" s="1360">
        <v>10299</v>
      </c>
      <c r="E1882" s="1361" t="s">
        <v>2411</v>
      </c>
      <c r="F1882" s="1360" t="s">
        <v>13</v>
      </c>
      <c r="G1882" s="1362">
        <v>4184</v>
      </c>
      <c r="H1882" s="1363" t="s">
        <v>3538</v>
      </c>
    </row>
    <row r="1883" spans="2:8" x14ac:dyDescent="0.25">
      <c r="B1883" s="1358" t="s">
        <v>6897</v>
      </c>
      <c r="C1883" s="1359" t="s">
        <v>1798</v>
      </c>
      <c r="D1883" s="1360">
        <v>10303</v>
      </c>
      <c r="E1883" s="1361" t="s">
        <v>2412</v>
      </c>
      <c r="F1883" s="1360" t="s">
        <v>12</v>
      </c>
      <c r="G1883" s="1362">
        <v>6664</v>
      </c>
      <c r="H1883" s="1363" t="s">
        <v>6899</v>
      </c>
    </row>
    <row r="1884" spans="2:8" x14ac:dyDescent="0.25">
      <c r="B1884" s="1358" t="s">
        <v>6897</v>
      </c>
      <c r="C1884" s="1359" t="s">
        <v>6921</v>
      </c>
      <c r="D1884" s="1360">
        <v>10348</v>
      </c>
      <c r="E1884" s="1361" t="s">
        <v>2413</v>
      </c>
      <c r="F1884" s="1360" t="s">
        <v>266</v>
      </c>
      <c r="G1884" s="1362">
        <v>135000</v>
      </c>
      <c r="H1884" s="1363" t="s">
        <v>3538</v>
      </c>
    </row>
    <row r="1885" spans="2:8" x14ac:dyDescent="0.25">
      <c r="B1885" s="1358" t="s">
        <v>6897</v>
      </c>
      <c r="C1885" s="1359" t="s">
        <v>6904</v>
      </c>
      <c r="D1885" s="1360">
        <v>10355</v>
      </c>
      <c r="E1885" s="1361" t="s">
        <v>2414</v>
      </c>
      <c r="F1885" s="1360" t="s">
        <v>266</v>
      </c>
      <c r="G1885" s="1362">
        <v>1200</v>
      </c>
      <c r="H1885" s="1363" t="s">
        <v>6899</v>
      </c>
    </row>
    <row r="1886" spans="2:8" x14ac:dyDescent="0.25">
      <c r="B1886" s="1358" t="s">
        <v>6897</v>
      </c>
      <c r="C1886" s="1359" t="s">
        <v>7038</v>
      </c>
      <c r="D1886" s="1360">
        <v>10357</v>
      </c>
      <c r="E1886" s="1361" t="s">
        <v>2415</v>
      </c>
      <c r="F1886" s="1360" t="s">
        <v>12</v>
      </c>
      <c r="G1886" s="1362">
        <v>163384</v>
      </c>
      <c r="H1886" s="1363" t="s">
        <v>3538</v>
      </c>
    </row>
    <row r="1887" spans="2:8" x14ac:dyDescent="0.25">
      <c r="B1887" s="1358" t="s">
        <v>6897</v>
      </c>
      <c r="C1887" s="1359" t="s">
        <v>6915</v>
      </c>
      <c r="D1887" s="1360">
        <v>10359</v>
      </c>
      <c r="E1887" s="1361" t="s">
        <v>2416</v>
      </c>
      <c r="F1887" s="1360" t="s">
        <v>266</v>
      </c>
      <c r="G1887" s="1362">
        <v>34500</v>
      </c>
      <c r="H1887" s="1363" t="s">
        <v>6899</v>
      </c>
    </row>
    <row r="1888" spans="2:8" x14ac:dyDescent="0.25">
      <c r="B1888" s="1358" t="s">
        <v>6897</v>
      </c>
      <c r="C1888" s="1359" t="s">
        <v>6901</v>
      </c>
      <c r="D1888" s="1360">
        <v>10375</v>
      </c>
      <c r="E1888" s="1361" t="s">
        <v>7059</v>
      </c>
      <c r="F1888" s="1360" t="s">
        <v>266</v>
      </c>
      <c r="G1888" s="1362">
        <v>216108</v>
      </c>
      <c r="H1888" s="1363" t="s">
        <v>3538</v>
      </c>
    </row>
    <row r="1889" spans="2:8" x14ac:dyDescent="0.25">
      <c r="B1889" s="1358" t="s">
        <v>6897</v>
      </c>
      <c r="C1889" s="1359" t="s">
        <v>6901</v>
      </c>
      <c r="D1889" s="1360">
        <v>10381</v>
      </c>
      <c r="E1889" s="1361" t="s">
        <v>2417</v>
      </c>
      <c r="F1889" s="1360" t="s">
        <v>266</v>
      </c>
      <c r="G1889" s="1362">
        <v>456228</v>
      </c>
      <c r="H1889" s="1363" t="s">
        <v>3538</v>
      </c>
    </row>
    <row r="1890" spans="2:8" x14ac:dyDescent="0.25">
      <c r="B1890" s="1358" t="s">
        <v>6897</v>
      </c>
      <c r="C1890" s="1359" t="s">
        <v>7010</v>
      </c>
      <c r="D1890" s="1360">
        <v>10401</v>
      </c>
      <c r="E1890" s="1361" t="s">
        <v>4033</v>
      </c>
      <c r="F1890" s="1360" t="s">
        <v>266</v>
      </c>
      <c r="G1890" s="1362">
        <v>2678</v>
      </c>
      <c r="H1890" s="1363" t="s">
        <v>3538</v>
      </c>
    </row>
    <row r="1891" spans="2:8" x14ac:dyDescent="0.25">
      <c r="B1891" s="1358" t="s">
        <v>6897</v>
      </c>
      <c r="C1891" s="1359" t="s">
        <v>6901</v>
      </c>
      <c r="D1891" s="1360">
        <v>10421</v>
      </c>
      <c r="E1891" s="1361" t="s">
        <v>7060</v>
      </c>
      <c r="F1891" s="1360" t="s">
        <v>12</v>
      </c>
      <c r="G1891" s="1362">
        <v>49980</v>
      </c>
      <c r="H1891" s="1363" t="s">
        <v>3538</v>
      </c>
    </row>
    <row r="1892" spans="2:8" x14ac:dyDescent="0.25">
      <c r="B1892" s="1358" t="s">
        <v>6897</v>
      </c>
      <c r="C1892" s="1359" t="s">
        <v>7010</v>
      </c>
      <c r="D1892" s="1360">
        <v>10441</v>
      </c>
      <c r="E1892" s="1361" t="s">
        <v>2418</v>
      </c>
      <c r="F1892" s="1360" t="s">
        <v>13</v>
      </c>
      <c r="G1892" s="1362">
        <v>4736</v>
      </c>
      <c r="H1892" s="1363" t="s">
        <v>3538</v>
      </c>
    </row>
    <row r="1893" spans="2:8" x14ac:dyDescent="0.25">
      <c r="B1893" s="1358" t="s">
        <v>6897</v>
      </c>
      <c r="C1893" s="1359" t="s">
        <v>7010</v>
      </c>
      <c r="D1893" s="1360">
        <v>10442</v>
      </c>
      <c r="E1893" s="1361" t="s">
        <v>2419</v>
      </c>
      <c r="F1893" s="1360" t="s">
        <v>13</v>
      </c>
      <c r="G1893" s="1362">
        <v>7824</v>
      </c>
      <c r="H1893" s="1363" t="s">
        <v>3538</v>
      </c>
    </row>
    <row r="1894" spans="2:8" x14ac:dyDescent="0.25">
      <c r="B1894" s="1358" t="s">
        <v>6897</v>
      </c>
      <c r="C1894" s="1359" t="s">
        <v>6931</v>
      </c>
      <c r="D1894" s="1360">
        <v>10506</v>
      </c>
      <c r="E1894" s="1361" t="s">
        <v>2421</v>
      </c>
      <c r="F1894" s="1360" t="s">
        <v>266</v>
      </c>
      <c r="G1894" s="1362">
        <v>114900</v>
      </c>
      <c r="H1894" s="1363" t="s">
        <v>3538</v>
      </c>
    </row>
    <row r="1895" spans="2:8" x14ac:dyDescent="0.25">
      <c r="B1895" s="1358" t="s">
        <v>6897</v>
      </c>
      <c r="C1895" s="1359" t="s">
        <v>6931</v>
      </c>
      <c r="D1895" s="1360">
        <v>10510</v>
      </c>
      <c r="E1895" s="1361" t="s">
        <v>2422</v>
      </c>
      <c r="F1895" s="1360" t="s">
        <v>266</v>
      </c>
      <c r="G1895" s="1362">
        <v>317730</v>
      </c>
      <c r="H1895" s="1363" t="s">
        <v>3538</v>
      </c>
    </row>
    <row r="1896" spans="2:8" x14ac:dyDescent="0.25">
      <c r="B1896" s="1358" t="s">
        <v>6897</v>
      </c>
      <c r="C1896" s="1359" t="s">
        <v>6931</v>
      </c>
      <c r="D1896" s="1360">
        <v>10511</v>
      </c>
      <c r="E1896" s="1361" t="s">
        <v>2423</v>
      </c>
      <c r="F1896" s="1360" t="s">
        <v>266</v>
      </c>
      <c r="G1896" s="1362">
        <v>172900</v>
      </c>
      <c r="H1896" s="1363" t="s">
        <v>3538</v>
      </c>
    </row>
    <row r="1897" spans="2:8" x14ac:dyDescent="0.25">
      <c r="B1897" s="1358" t="s">
        <v>6897</v>
      </c>
      <c r="C1897" s="1359" t="s">
        <v>6903</v>
      </c>
      <c r="D1897" s="1360">
        <v>10517</v>
      </c>
      <c r="E1897" s="1361" t="s">
        <v>2424</v>
      </c>
      <c r="F1897" s="1360" t="s">
        <v>6</v>
      </c>
      <c r="G1897" s="1362">
        <v>5117</v>
      </c>
      <c r="H1897" s="1363" t="s">
        <v>6899</v>
      </c>
    </row>
    <row r="1898" spans="2:8" x14ac:dyDescent="0.25">
      <c r="B1898" s="1358" t="s">
        <v>6897</v>
      </c>
      <c r="C1898" s="1359" t="s">
        <v>6927</v>
      </c>
      <c r="D1898" s="1360">
        <v>10521</v>
      </c>
      <c r="E1898" s="1361" t="s">
        <v>2425</v>
      </c>
      <c r="F1898" s="1360" t="s">
        <v>6</v>
      </c>
      <c r="G1898" s="1362">
        <v>2951</v>
      </c>
      <c r="H1898" s="1363" t="s">
        <v>6899</v>
      </c>
    </row>
    <row r="1899" spans="2:8" x14ac:dyDescent="0.25">
      <c r="B1899" s="1358" t="s">
        <v>6897</v>
      </c>
      <c r="C1899" s="1359" t="s">
        <v>6931</v>
      </c>
      <c r="D1899" s="1360">
        <v>10547</v>
      </c>
      <c r="E1899" s="1361" t="s">
        <v>2426</v>
      </c>
      <c r="F1899" s="1360" t="s">
        <v>12</v>
      </c>
      <c r="G1899" s="1362">
        <v>200273</v>
      </c>
      <c r="H1899" s="1363" t="s">
        <v>3538</v>
      </c>
    </row>
    <row r="1900" spans="2:8" x14ac:dyDescent="0.25">
      <c r="B1900" s="1358" t="s">
        <v>6897</v>
      </c>
      <c r="C1900" s="1359" t="s">
        <v>6931</v>
      </c>
      <c r="D1900" s="1360">
        <v>10548</v>
      </c>
      <c r="E1900" s="1361" t="s">
        <v>2427</v>
      </c>
      <c r="F1900" s="1360" t="s">
        <v>20</v>
      </c>
      <c r="G1900" s="1362">
        <v>21900</v>
      </c>
      <c r="H1900" s="1363" t="s">
        <v>3538</v>
      </c>
    </row>
    <row r="1901" spans="2:8" x14ac:dyDescent="0.25">
      <c r="B1901" s="1358" t="s">
        <v>6897</v>
      </c>
      <c r="C1901" s="1359" t="s">
        <v>7061</v>
      </c>
      <c r="D1901" s="1360">
        <v>10591</v>
      </c>
      <c r="E1901" s="1361" t="s">
        <v>2428</v>
      </c>
      <c r="F1901" s="1360" t="s">
        <v>266</v>
      </c>
      <c r="G1901" s="1362">
        <v>5595412</v>
      </c>
      <c r="H1901" s="1363" t="s">
        <v>3538</v>
      </c>
    </row>
    <row r="1902" spans="2:8" x14ac:dyDescent="0.25">
      <c r="B1902" s="1358" t="s">
        <v>6897</v>
      </c>
      <c r="C1902" s="1359" t="s">
        <v>7010</v>
      </c>
      <c r="D1902" s="1360">
        <v>10592</v>
      </c>
      <c r="E1902" s="1361" t="s">
        <v>2429</v>
      </c>
      <c r="F1902" s="1360" t="s">
        <v>13</v>
      </c>
      <c r="G1902" s="1362">
        <v>3539</v>
      </c>
      <c r="H1902" s="1363" t="s">
        <v>3538</v>
      </c>
    </row>
    <row r="1903" spans="2:8" x14ac:dyDescent="0.25">
      <c r="B1903" s="1358" t="s">
        <v>6897</v>
      </c>
      <c r="C1903" s="1359" t="s">
        <v>6990</v>
      </c>
      <c r="D1903" s="1360">
        <v>10593</v>
      </c>
      <c r="E1903" s="1361" t="s">
        <v>2430</v>
      </c>
      <c r="F1903" s="1360" t="s">
        <v>13</v>
      </c>
      <c r="G1903" s="1362">
        <v>989802</v>
      </c>
      <c r="H1903" s="1363" t="s">
        <v>3538</v>
      </c>
    </row>
    <row r="1904" spans="2:8" x14ac:dyDescent="0.25">
      <c r="B1904" s="1358" t="s">
        <v>6897</v>
      </c>
      <c r="C1904" s="1359" t="s">
        <v>6916</v>
      </c>
      <c r="D1904" s="1360">
        <v>10594</v>
      </c>
      <c r="E1904" s="1361" t="s">
        <v>2431</v>
      </c>
      <c r="F1904" s="1360" t="s">
        <v>266</v>
      </c>
      <c r="G1904" s="1362">
        <v>376784</v>
      </c>
      <c r="H1904" s="1363" t="s">
        <v>3538</v>
      </c>
    </row>
    <row r="1905" spans="2:8" x14ac:dyDescent="0.25">
      <c r="B1905" s="1358" t="s">
        <v>6897</v>
      </c>
      <c r="C1905" s="1359" t="s">
        <v>6916</v>
      </c>
      <c r="D1905" s="1360">
        <v>10596</v>
      </c>
      <c r="E1905" s="1361" t="s">
        <v>2432</v>
      </c>
      <c r="F1905" s="1360" t="s">
        <v>266</v>
      </c>
      <c r="G1905" s="1362">
        <v>577112</v>
      </c>
      <c r="H1905" s="1363" t="s">
        <v>3538</v>
      </c>
    </row>
    <row r="1906" spans="2:8" x14ac:dyDescent="0.25">
      <c r="B1906" s="1358" t="s">
        <v>6897</v>
      </c>
      <c r="C1906" s="1359" t="s">
        <v>6916</v>
      </c>
      <c r="D1906" s="1360">
        <v>10597</v>
      </c>
      <c r="E1906" s="1361" t="s">
        <v>2433</v>
      </c>
      <c r="F1906" s="1360" t="s">
        <v>266</v>
      </c>
      <c r="G1906" s="1362">
        <v>1888254</v>
      </c>
      <c r="H1906" s="1363" t="s">
        <v>3538</v>
      </c>
    </row>
    <row r="1907" spans="2:8" x14ac:dyDescent="0.25">
      <c r="B1907" s="1358" t="s">
        <v>6897</v>
      </c>
      <c r="C1907" s="1359" t="s">
        <v>6921</v>
      </c>
      <c r="D1907" s="1360">
        <v>10599</v>
      </c>
      <c r="E1907" s="1361" t="s">
        <v>2434</v>
      </c>
      <c r="F1907" s="1360" t="s">
        <v>266</v>
      </c>
      <c r="G1907" s="1362">
        <v>1553581</v>
      </c>
      <c r="H1907" s="1363" t="s">
        <v>3538</v>
      </c>
    </row>
    <row r="1908" spans="2:8" x14ac:dyDescent="0.25">
      <c r="B1908" s="1358" t="s">
        <v>6897</v>
      </c>
      <c r="C1908" s="1359" t="s">
        <v>7061</v>
      </c>
      <c r="D1908" s="1360">
        <v>10600</v>
      </c>
      <c r="E1908" s="1361" t="s">
        <v>2435</v>
      </c>
      <c r="F1908" s="1360" t="s">
        <v>13</v>
      </c>
      <c r="G1908" s="1362">
        <v>944770</v>
      </c>
      <c r="H1908" s="1363" t="s">
        <v>3538</v>
      </c>
    </row>
    <row r="1909" spans="2:8" x14ac:dyDescent="0.25">
      <c r="B1909" s="1358" t="s">
        <v>6897</v>
      </c>
      <c r="C1909" s="1359" t="s">
        <v>6990</v>
      </c>
      <c r="D1909" s="1360">
        <v>10601</v>
      </c>
      <c r="E1909" s="1361" t="s">
        <v>2436</v>
      </c>
      <c r="F1909" s="1360" t="s">
        <v>13</v>
      </c>
      <c r="G1909" s="1362">
        <v>130662</v>
      </c>
      <c r="H1909" s="1363" t="s">
        <v>3538</v>
      </c>
    </row>
    <row r="1910" spans="2:8" x14ac:dyDescent="0.25">
      <c r="B1910" s="1358" t="s">
        <v>6897</v>
      </c>
      <c r="C1910" s="1359" t="s">
        <v>7061</v>
      </c>
      <c r="D1910" s="1360">
        <v>10602</v>
      </c>
      <c r="E1910" s="1361" t="s">
        <v>2437</v>
      </c>
      <c r="F1910" s="1360" t="s">
        <v>13</v>
      </c>
      <c r="G1910" s="1362">
        <v>1373519</v>
      </c>
      <c r="H1910" s="1363" t="s">
        <v>3538</v>
      </c>
    </row>
    <row r="1911" spans="2:8" x14ac:dyDescent="0.25">
      <c r="B1911" s="1358" t="s">
        <v>6897</v>
      </c>
      <c r="C1911" s="1359" t="s">
        <v>6917</v>
      </c>
      <c r="D1911" s="1360">
        <v>10603</v>
      </c>
      <c r="E1911" s="1361" t="s">
        <v>2438</v>
      </c>
      <c r="F1911" s="1360" t="s">
        <v>266</v>
      </c>
      <c r="G1911" s="1362">
        <v>918108</v>
      </c>
      <c r="H1911" s="1363" t="s">
        <v>3538</v>
      </c>
    </row>
    <row r="1912" spans="2:8" x14ac:dyDescent="0.25">
      <c r="B1912" s="1358" t="s">
        <v>6897</v>
      </c>
      <c r="C1912" s="1359" t="s">
        <v>1474</v>
      </c>
      <c r="D1912" s="1360">
        <v>10604</v>
      </c>
      <c r="E1912" s="1361" t="s">
        <v>2439</v>
      </c>
      <c r="F1912" s="1360" t="s">
        <v>12</v>
      </c>
      <c r="G1912" s="1362">
        <v>20992</v>
      </c>
      <c r="H1912" s="1363" t="s">
        <v>6899</v>
      </c>
    </row>
    <row r="1913" spans="2:8" x14ac:dyDescent="0.25">
      <c r="B1913" s="1358" t="s">
        <v>6897</v>
      </c>
      <c r="C1913" s="1359" t="s">
        <v>6990</v>
      </c>
      <c r="D1913" s="1360">
        <v>10605</v>
      </c>
      <c r="E1913" s="1361" t="s">
        <v>2440</v>
      </c>
      <c r="F1913" s="1360" t="s">
        <v>13</v>
      </c>
      <c r="G1913" s="1362">
        <v>1626849</v>
      </c>
      <c r="H1913" s="1363" t="s">
        <v>3538</v>
      </c>
    </row>
    <row r="1914" spans="2:8" x14ac:dyDescent="0.25">
      <c r="B1914" s="1358" t="s">
        <v>6897</v>
      </c>
      <c r="C1914" s="1359" t="s">
        <v>6921</v>
      </c>
      <c r="D1914" s="1360">
        <v>10609</v>
      </c>
      <c r="E1914" s="1361" t="s">
        <v>2441</v>
      </c>
      <c r="F1914" s="1360" t="s">
        <v>266</v>
      </c>
      <c r="G1914" s="1362">
        <v>881685</v>
      </c>
      <c r="H1914" s="1363" t="s">
        <v>3538</v>
      </c>
    </row>
    <row r="1915" spans="2:8" x14ac:dyDescent="0.25">
      <c r="B1915" s="1358" t="s">
        <v>6897</v>
      </c>
      <c r="C1915" s="1359" t="s">
        <v>6921</v>
      </c>
      <c r="D1915" s="1360">
        <v>10613</v>
      </c>
      <c r="E1915" s="1361" t="s">
        <v>2442</v>
      </c>
      <c r="F1915" s="1360" t="s">
        <v>266</v>
      </c>
      <c r="G1915" s="1362">
        <v>185336</v>
      </c>
      <c r="H1915" s="1363" t="s">
        <v>3538</v>
      </c>
    </row>
    <row r="1916" spans="2:8" x14ac:dyDescent="0.25">
      <c r="B1916" s="1358" t="s">
        <v>6897</v>
      </c>
      <c r="C1916" s="1359" t="s">
        <v>6922</v>
      </c>
      <c r="D1916" s="1360">
        <v>10614</v>
      </c>
      <c r="E1916" s="1361" t="s">
        <v>2443</v>
      </c>
      <c r="F1916" s="1360" t="s">
        <v>266</v>
      </c>
      <c r="G1916" s="1362">
        <v>299632</v>
      </c>
      <c r="H1916" s="1363" t="s">
        <v>3538</v>
      </c>
    </row>
    <row r="1917" spans="2:8" x14ac:dyDescent="0.25">
      <c r="B1917" s="1358" t="s">
        <v>6897</v>
      </c>
      <c r="C1917" s="1359" t="s">
        <v>6901</v>
      </c>
      <c r="D1917" s="1360">
        <v>10617</v>
      </c>
      <c r="E1917" s="1361" t="s">
        <v>7062</v>
      </c>
      <c r="F1917" s="1360" t="s">
        <v>266</v>
      </c>
      <c r="G1917" s="1362">
        <v>380800</v>
      </c>
      <c r="H1917" s="1363" t="s">
        <v>3538</v>
      </c>
    </row>
    <row r="1918" spans="2:8" x14ac:dyDescent="0.25">
      <c r="B1918" s="1358" t="s">
        <v>6897</v>
      </c>
      <c r="C1918" s="1359" t="s">
        <v>7008</v>
      </c>
      <c r="D1918" s="1360">
        <v>10618</v>
      </c>
      <c r="E1918" s="1361" t="s">
        <v>2444</v>
      </c>
      <c r="F1918" s="1360" t="s">
        <v>13</v>
      </c>
      <c r="G1918" s="1362">
        <v>3912960</v>
      </c>
      <c r="H1918" s="1363" t="s">
        <v>6899</v>
      </c>
    </row>
    <row r="1919" spans="2:8" x14ac:dyDescent="0.25">
      <c r="B1919" s="1358" t="s">
        <v>6897</v>
      </c>
      <c r="C1919" s="1359" t="s">
        <v>7008</v>
      </c>
      <c r="D1919" s="1360">
        <v>10619</v>
      </c>
      <c r="E1919" s="1361" t="s">
        <v>2445</v>
      </c>
      <c r="F1919" s="1360" t="s">
        <v>13</v>
      </c>
      <c r="G1919" s="1362">
        <v>5869440</v>
      </c>
      <c r="H1919" s="1363" t="s">
        <v>6899</v>
      </c>
    </row>
    <row r="1920" spans="2:8" x14ac:dyDescent="0.25">
      <c r="B1920" s="1358" t="s">
        <v>6897</v>
      </c>
      <c r="C1920" s="1359" t="s">
        <v>6921</v>
      </c>
      <c r="D1920" s="1360">
        <v>10620</v>
      </c>
      <c r="E1920" s="1361" t="s">
        <v>4034</v>
      </c>
      <c r="F1920" s="1360" t="s">
        <v>266</v>
      </c>
      <c r="G1920" s="1362">
        <v>5864056</v>
      </c>
      <c r="H1920" s="1363" t="s">
        <v>3538</v>
      </c>
    </row>
    <row r="1921" spans="2:8" x14ac:dyDescent="0.25">
      <c r="B1921" s="1358" t="s">
        <v>6897</v>
      </c>
      <c r="C1921" s="1359" t="s">
        <v>6921</v>
      </c>
      <c r="D1921" s="1360">
        <v>10621</v>
      </c>
      <c r="E1921" s="1361" t="s">
        <v>2446</v>
      </c>
      <c r="F1921" s="1360" t="s">
        <v>266</v>
      </c>
      <c r="G1921" s="1362">
        <v>1767150</v>
      </c>
      <c r="H1921" s="1363" t="s">
        <v>3538</v>
      </c>
    </row>
    <row r="1922" spans="2:8" x14ac:dyDescent="0.25">
      <c r="B1922" s="1358" t="s">
        <v>6897</v>
      </c>
      <c r="C1922" s="1359" t="s">
        <v>6908</v>
      </c>
      <c r="D1922" s="1360">
        <v>10622</v>
      </c>
      <c r="E1922" s="1361" t="s">
        <v>2447</v>
      </c>
      <c r="F1922" s="1360" t="s">
        <v>266</v>
      </c>
      <c r="G1922" s="1362">
        <v>1792209</v>
      </c>
      <c r="H1922" s="1363" t="s">
        <v>3538</v>
      </c>
    </row>
    <row r="1923" spans="2:8" x14ac:dyDescent="0.25">
      <c r="B1923" s="1358" t="s">
        <v>6897</v>
      </c>
      <c r="C1923" s="1359" t="s">
        <v>6908</v>
      </c>
      <c r="D1923" s="1360">
        <v>10623</v>
      </c>
      <c r="E1923" s="1361" t="s">
        <v>2448</v>
      </c>
      <c r="F1923" s="1360" t="s">
        <v>266</v>
      </c>
      <c r="G1923" s="1362">
        <v>311780</v>
      </c>
      <c r="H1923" s="1363" t="s">
        <v>3538</v>
      </c>
    </row>
    <row r="1924" spans="2:8" x14ac:dyDescent="0.25">
      <c r="B1924" s="1358" t="s">
        <v>6897</v>
      </c>
      <c r="C1924" s="1359" t="s">
        <v>6903</v>
      </c>
      <c r="D1924" s="1360">
        <v>10624</v>
      </c>
      <c r="E1924" s="1361" t="s">
        <v>2449</v>
      </c>
      <c r="F1924" s="1360" t="s">
        <v>6</v>
      </c>
      <c r="G1924" s="1362">
        <v>7140</v>
      </c>
      <c r="H1924" s="1363" t="s">
        <v>6899</v>
      </c>
    </row>
    <row r="1925" spans="2:8" x14ac:dyDescent="0.25">
      <c r="B1925" s="1358" t="s">
        <v>6897</v>
      </c>
      <c r="C1925" s="1359" t="s">
        <v>6922</v>
      </c>
      <c r="D1925" s="1360">
        <v>10625</v>
      </c>
      <c r="E1925" s="1361" t="s">
        <v>827</v>
      </c>
      <c r="F1925" s="1360" t="s">
        <v>266</v>
      </c>
      <c r="G1925" s="1362">
        <v>391213</v>
      </c>
      <c r="H1925" s="1363" t="s">
        <v>3538</v>
      </c>
    </row>
    <row r="1926" spans="2:8" x14ac:dyDescent="0.25">
      <c r="B1926" s="1358" t="s">
        <v>6897</v>
      </c>
      <c r="C1926" s="1359" t="s">
        <v>6922</v>
      </c>
      <c r="D1926" s="1360">
        <v>10626</v>
      </c>
      <c r="E1926" s="1361" t="s">
        <v>828</v>
      </c>
      <c r="F1926" s="1360" t="s">
        <v>266</v>
      </c>
      <c r="G1926" s="1362">
        <v>426095</v>
      </c>
      <c r="H1926" s="1363" t="s">
        <v>3538</v>
      </c>
    </row>
    <row r="1927" spans="2:8" x14ac:dyDescent="0.25">
      <c r="B1927" s="1358" t="s">
        <v>6897</v>
      </c>
      <c r="C1927" s="1359" t="s">
        <v>6922</v>
      </c>
      <c r="D1927" s="1360">
        <v>10627</v>
      </c>
      <c r="E1927" s="1361" t="s">
        <v>2450</v>
      </c>
      <c r="F1927" s="1360" t="s">
        <v>266</v>
      </c>
      <c r="G1927" s="1362">
        <v>426095</v>
      </c>
      <c r="H1927" s="1363" t="s">
        <v>3538</v>
      </c>
    </row>
    <row r="1928" spans="2:8" x14ac:dyDescent="0.25">
      <c r="B1928" s="1358" t="s">
        <v>6897</v>
      </c>
      <c r="C1928" s="1359" t="s">
        <v>6922</v>
      </c>
      <c r="D1928" s="1360">
        <v>10628</v>
      </c>
      <c r="E1928" s="1361" t="s">
        <v>830</v>
      </c>
      <c r="F1928" s="1360" t="s">
        <v>266</v>
      </c>
      <c r="G1928" s="1362">
        <v>426095</v>
      </c>
      <c r="H1928" s="1363" t="s">
        <v>3538</v>
      </c>
    </row>
    <row r="1929" spans="2:8" x14ac:dyDescent="0.25">
      <c r="B1929" s="1358" t="s">
        <v>6897</v>
      </c>
      <c r="C1929" s="1359" t="s">
        <v>6922</v>
      </c>
      <c r="D1929" s="1360">
        <v>10629</v>
      </c>
      <c r="E1929" s="1361" t="s">
        <v>2451</v>
      </c>
      <c r="F1929" s="1360" t="s">
        <v>266</v>
      </c>
      <c r="G1929" s="1362">
        <v>426095</v>
      </c>
      <c r="H1929" s="1363" t="s">
        <v>3538</v>
      </c>
    </row>
    <row r="1930" spans="2:8" x14ac:dyDescent="0.25">
      <c r="B1930" s="1358" t="s">
        <v>6897</v>
      </c>
      <c r="C1930" s="1359" t="s">
        <v>6922</v>
      </c>
      <c r="D1930" s="1360">
        <v>10634</v>
      </c>
      <c r="E1930" s="1361" t="s">
        <v>832</v>
      </c>
      <c r="F1930" s="1360" t="s">
        <v>266</v>
      </c>
      <c r="G1930" s="1362">
        <v>428400</v>
      </c>
      <c r="H1930" s="1363" t="s">
        <v>3538</v>
      </c>
    </row>
    <row r="1931" spans="2:8" x14ac:dyDescent="0.25">
      <c r="B1931" s="1358" t="s">
        <v>6897</v>
      </c>
      <c r="C1931" s="1359" t="s">
        <v>6922</v>
      </c>
      <c r="D1931" s="1360">
        <v>10635</v>
      </c>
      <c r="E1931" s="1361" t="s">
        <v>2452</v>
      </c>
      <c r="F1931" s="1360" t="s">
        <v>266</v>
      </c>
      <c r="G1931" s="1362">
        <v>426095</v>
      </c>
      <c r="H1931" s="1363" t="s">
        <v>3538</v>
      </c>
    </row>
    <row r="1932" spans="2:8" x14ac:dyDescent="0.25">
      <c r="B1932" s="1358" t="s">
        <v>6897</v>
      </c>
      <c r="C1932" s="1359" t="s">
        <v>6922</v>
      </c>
      <c r="D1932" s="1360">
        <v>10636</v>
      </c>
      <c r="E1932" s="1361" t="s">
        <v>2453</v>
      </c>
      <c r="F1932" s="1360" t="s">
        <v>266</v>
      </c>
      <c r="G1932" s="1362">
        <v>467650</v>
      </c>
      <c r="H1932" s="1363" t="s">
        <v>3538</v>
      </c>
    </row>
    <row r="1933" spans="2:8" x14ac:dyDescent="0.25">
      <c r="B1933" s="1358" t="s">
        <v>6897</v>
      </c>
      <c r="C1933" s="1359" t="s">
        <v>6908</v>
      </c>
      <c r="D1933" s="1360">
        <v>10639</v>
      </c>
      <c r="E1933" s="1361" t="s">
        <v>2454</v>
      </c>
      <c r="F1933" s="1360" t="s">
        <v>266</v>
      </c>
      <c r="G1933" s="1362">
        <v>217289</v>
      </c>
      <c r="H1933" s="1363" t="s">
        <v>3538</v>
      </c>
    </row>
    <row r="1934" spans="2:8" x14ac:dyDescent="0.25">
      <c r="B1934" s="1358" t="s">
        <v>6897</v>
      </c>
      <c r="C1934" s="1359" t="s">
        <v>6908</v>
      </c>
      <c r="D1934" s="1360">
        <v>10640</v>
      </c>
      <c r="E1934" s="1361" t="s">
        <v>2455</v>
      </c>
      <c r="F1934" s="1360" t="s">
        <v>266</v>
      </c>
      <c r="G1934" s="1362">
        <v>1378859</v>
      </c>
      <c r="H1934" s="1363" t="s">
        <v>3538</v>
      </c>
    </row>
    <row r="1935" spans="2:8" x14ac:dyDescent="0.25">
      <c r="B1935" s="1358" t="s">
        <v>6897</v>
      </c>
      <c r="C1935" s="1359" t="s">
        <v>6908</v>
      </c>
      <c r="D1935" s="1360">
        <v>10641</v>
      </c>
      <c r="E1935" s="1361" t="s">
        <v>2456</v>
      </c>
      <c r="F1935" s="1360" t="s">
        <v>266</v>
      </c>
      <c r="G1935" s="1362">
        <v>1247592</v>
      </c>
      <c r="H1935" s="1363" t="s">
        <v>3538</v>
      </c>
    </row>
    <row r="1936" spans="2:8" x14ac:dyDescent="0.25">
      <c r="B1936" s="1358" t="s">
        <v>6897</v>
      </c>
      <c r="C1936" s="1359" t="s">
        <v>6908</v>
      </c>
      <c r="D1936" s="1360">
        <v>10642</v>
      </c>
      <c r="E1936" s="1361" t="s">
        <v>2457</v>
      </c>
      <c r="F1936" s="1360" t="s">
        <v>266</v>
      </c>
      <c r="G1936" s="1362">
        <v>600713</v>
      </c>
      <c r="H1936" s="1363" t="s">
        <v>3538</v>
      </c>
    </row>
    <row r="1937" spans="2:8" x14ac:dyDescent="0.25">
      <c r="B1937" s="1358" t="s">
        <v>6897</v>
      </c>
      <c r="C1937" s="1359" t="s">
        <v>6908</v>
      </c>
      <c r="D1937" s="1360">
        <v>10643</v>
      </c>
      <c r="E1937" s="1361" t="s">
        <v>2458</v>
      </c>
      <c r="F1937" s="1360" t="s">
        <v>266</v>
      </c>
      <c r="G1937" s="1362">
        <v>2155213</v>
      </c>
      <c r="H1937" s="1363" t="s">
        <v>3538</v>
      </c>
    </row>
    <row r="1938" spans="2:8" x14ac:dyDescent="0.25">
      <c r="B1938" s="1358" t="s">
        <v>6897</v>
      </c>
      <c r="C1938" s="1359" t="s">
        <v>6908</v>
      </c>
      <c r="D1938" s="1360">
        <v>10644</v>
      </c>
      <c r="E1938" s="1361" t="s">
        <v>2459</v>
      </c>
      <c r="F1938" s="1360" t="s">
        <v>266</v>
      </c>
      <c r="G1938" s="1362">
        <v>1903714</v>
      </c>
      <c r="H1938" s="1363" t="s">
        <v>3538</v>
      </c>
    </row>
    <row r="1939" spans="2:8" x14ac:dyDescent="0.25">
      <c r="B1939" s="1358" t="s">
        <v>6897</v>
      </c>
      <c r="C1939" s="1359" t="s">
        <v>6916</v>
      </c>
      <c r="D1939" s="1360">
        <v>10645</v>
      </c>
      <c r="E1939" s="1361" t="s">
        <v>2460</v>
      </c>
      <c r="F1939" s="1360" t="s">
        <v>13</v>
      </c>
      <c r="G1939" s="1362">
        <v>542117</v>
      </c>
      <c r="H1939" s="1363" t="s">
        <v>3538</v>
      </c>
    </row>
    <row r="1940" spans="2:8" x14ac:dyDescent="0.25">
      <c r="B1940" s="1358" t="s">
        <v>6897</v>
      </c>
      <c r="C1940" s="1359" t="s">
        <v>6916</v>
      </c>
      <c r="D1940" s="1360">
        <v>10646</v>
      </c>
      <c r="E1940" s="1361" t="s">
        <v>2461</v>
      </c>
      <c r="F1940" s="1360" t="s">
        <v>13</v>
      </c>
      <c r="G1940" s="1362">
        <v>649118</v>
      </c>
      <c r="H1940" s="1363" t="s">
        <v>3538</v>
      </c>
    </row>
    <row r="1941" spans="2:8" x14ac:dyDescent="0.25">
      <c r="B1941" s="1358" t="s">
        <v>6897</v>
      </c>
      <c r="C1941" s="1359" t="s">
        <v>6916</v>
      </c>
      <c r="D1941" s="1360">
        <v>10647</v>
      </c>
      <c r="E1941" s="1361" t="s">
        <v>2462</v>
      </c>
      <c r="F1941" s="1360" t="s">
        <v>13</v>
      </c>
      <c r="G1941" s="1362">
        <v>810037</v>
      </c>
      <c r="H1941" s="1363" t="s">
        <v>3538</v>
      </c>
    </row>
    <row r="1942" spans="2:8" x14ac:dyDescent="0.25">
      <c r="B1942" s="1358" t="s">
        <v>6897</v>
      </c>
      <c r="C1942" s="1359" t="s">
        <v>6916</v>
      </c>
      <c r="D1942" s="1360">
        <v>10648</v>
      </c>
      <c r="E1942" s="1361" t="s">
        <v>2463</v>
      </c>
      <c r="F1942" s="1360" t="s">
        <v>13</v>
      </c>
      <c r="G1942" s="1362">
        <v>1503529</v>
      </c>
      <c r="H1942" s="1363" t="s">
        <v>3538</v>
      </c>
    </row>
    <row r="1943" spans="2:8" x14ac:dyDescent="0.25">
      <c r="B1943" s="1358" t="s">
        <v>6897</v>
      </c>
      <c r="C1943" s="1359" t="s">
        <v>6916</v>
      </c>
      <c r="D1943" s="1360">
        <v>10649</v>
      </c>
      <c r="E1943" s="1361" t="s">
        <v>2464</v>
      </c>
      <c r="F1943" s="1360" t="s">
        <v>13</v>
      </c>
      <c r="G1943" s="1362">
        <v>2011658</v>
      </c>
      <c r="H1943" s="1363" t="s">
        <v>3538</v>
      </c>
    </row>
    <row r="1944" spans="2:8" x14ac:dyDescent="0.25">
      <c r="B1944" s="1358" t="s">
        <v>6897</v>
      </c>
      <c r="C1944" s="1359" t="s">
        <v>6916</v>
      </c>
      <c r="D1944" s="1360">
        <v>10650</v>
      </c>
      <c r="E1944" s="1361" t="s">
        <v>2465</v>
      </c>
      <c r="F1944" s="1360" t="s">
        <v>13</v>
      </c>
      <c r="G1944" s="1362">
        <v>3105416</v>
      </c>
      <c r="H1944" s="1363" t="s">
        <v>3538</v>
      </c>
    </row>
    <row r="1945" spans="2:8" x14ac:dyDescent="0.25">
      <c r="B1945" s="1358" t="s">
        <v>6897</v>
      </c>
      <c r="C1945" s="1359" t="s">
        <v>6921</v>
      </c>
      <c r="D1945" s="1360">
        <v>10651</v>
      </c>
      <c r="E1945" s="1361" t="s">
        <v>4035</v>
      </c>
      <c r="F1945" s="1360" t="s">
        <v>266</v>
      </c>
      <c r="G1945" s="1362">
        <v>428400</v>
      </c>
      <c r="H1945" s="1363" t="s">
        <v>3538</v>
      </c>
    </row>
    <row r="1946" spans="2:8" x14ac:dyDescent="0.25">
      <c r="B1946" s="1358" t="s">
        <v>6897</v>
      </c>
      <c r="C1946" s="1359" t="s">
        <v>7010</v>
      </c>
      <c r="D1946" s="1360">
        <v>10653</v>
      </c>
      <c r="E1946" s="1361" t="s">
        <v>2466</v>
      </c>
      <c r="F1946" s="1360" t="s">
        <v>266</v>
      </c>
      <c r="G1946" s="1362">
        <v>115665</v>
      </c>
      <c r="H1946" s="1363" t="s">
        <v>3538</v>
      </c>
    </row>
    <row r="1947" spans="2:8" x14ac:dyDescent="0.25">
      <c r="B1947" s="1358" t="s">
        <v>6897</v>
      </c>
      <c r="C1947" s="1359" t="s">
        <v>6990</v>
      </c>
      <c r="D1947" s="1360">
        <v>10655</v>
      </c>
      <c r="E1947" s="1361" t="s">
        <v>2467</v>
      </c>
      <c r="F1947" s="1360" t="s">
        <v>13</v>
      </c>
      <c r="G1947" s="1362">
        <v>34028</v>
      </c>
      <c r="H1947" s="1363" t="s">
        <v>3538</v>
      </c>
    </row>
    <row r="1948" spans="2:8" x14ac:dyDescent="0.25">
      <c r="B1948" s="1358" t="s">
        <v>6897</v>
      </c>
      <c r="C1948" s="1359" t="s">
        <v>6921</v>
      </c>
      <c r="D1948" s="1360">
        <v>10656</v>
      </c>
      <c r="E1948" s="1361" t="s">
        <v>7063</v>
      </c>
      <c r="F1948" s="1360" t="s">
        <v>266</v>
      </c>
      <c r="G1948" s="1362">
        <v>1203090</v>
      </c>
      <c r="H1948" s="1363" t="s">
        <v>3538</v>
      </c>
    </row>
    <row r="1949" spans="2:8" x14ac:dyDescent="0.25">
      <c r="B1949" s="1358" t="s">
        <v>6897</v>
      </c>
      <c r="C1949" s="1359" t="s">
        <v>6921</v>
      </c>
      <c r="D1949" s="1360">
        <v>10657</v>
      </c>
      <c r="E1949" s="1361" t="s">
        <v>7064</v>
      </c>
      <c r="F1949" s="1360" t="s">
        <v>266</v>
      </c>
      <c r="G1949" s="1362">
        <v>2616953</v>
      </c>
      <c r="H1949" s="1363" t="s">
        <v>3538</v>
      </c>
    </row>
    <row r="1950" spans="2:8" x14ac:dyDescent="0.25">
      <c r="B1950" s="1358" t="s">
        <v>6897</v>
      </c>
      <c r="C1950" s="1359" t="s">
        <v>7010</v>
      </c>
      <c r="D1950" s="1360">
        <v>10658</v>
      </c>
      <c r="E1950" s="1361" t="s">
        <v>2468</v>
      </c>
      <c r="F1950" s="1360" t="s">
        <v>266</v>
      </c>
      <c r="G1950" s="1362">
        <v>88800</v>
      </c>
      <c r="H1950" s="1363" t="s">
        <v>3538</v>
      </c>
    </row>
    <row r="1951" spans="2:8" x14ac:dyDescent="0.25">
      <c r="B1951" s="1358" t="s">
        <v>6897</v>
      </c>
      <c r="C1951" s="1359" t="s">
        <v>6921</v>
      </c>
      <c r="D1951" s="1360">
        <v>10659</v>
      </c>
      <c r="E1951" s="1361" t="s">
        <v>4036</v>
      </c>
      <c r="F1951" s="1360" t="s">
        <v>266</v>
      </c>
      <c r="G1951" s="1362">
        <v>10577778</v>
      </c>
      <c r="H1951" s="1363" t="s">
        <v>3538</v>
      </c>
    </row>
    <row r="1952" spans="2:8" x14ac:dyDescent="0.25">
      <c r="B1952" s="1358" t="s">
        <v>6897</v>
      </c>
      <c r="C1952" s="1359" t="s">
        <v>6915</v>
      </c>
      <c r="D1952" s="1360">
        <v>10662</v>
      </c>
      <c r="E1952" s="1361" t="s">
        <v>2469</v>
      </c>
      <c r="F1952" s="1360" t="s">
        <v>266</v>
      </c>
      <c r="G1952" s="1362">
        <v>38627</v>
      </c>
      <c r="H1952" s="1363" t="s">
        <v>6899</v>
      </c>
    </row>
    <row r="1953" spans="2:8" x14ac:dyDescent="0.25">
      <c r="B1953" s="1358" t="s">
        <v>6897</v>
      </c>
      <c r="C1953" s="1359" t="s">
        <v>6922</v>
      </c>
      <c r="D1953" s="1360">
        <v>10669</v>
      </c>
      <c r="E1953" s="1361" t="s">
        <v>2470</v>
      </c>
      <c r="F1953" s="1360" t="s">
        <v>266</v>
      </c>
      <c r="G1953" s="1362">
        <v>385741</v>
      </c>
      <c r="H1953" s="1363" t="s">
        <v>3538</v>
      </c>
    </row>
    <row r="1954" spans="2:8" x14ac:dyDescent="0.25">
      <c r="B1954" s="1358" t="s">
        <v>6897</v>
      </c>
      <c r="C1954" s="1359" t="s">
        <v>6922</v>
      </c>
      <c r="D1954" s="1360">
        <v>10670</v>
      </c>
      <c r="E1954" s="1361" t="s">
        <v>2471</v>
      </c>
      <c r="F1954" s="1360" t="s">
        <v>266</v>
      </c>
      <c r="G1954" s="1362">
        <v>300594</v>
      </c>
      <c r="H1954" s="1363" t="s">
        <v>3538</v>
      </c>
    </row>
    <row r="1955" spans="2:8" x14ac:dyDescent="0.25">
      <c r="B1955" s="1358" t="s">
        <v>6897</v>
      </c>
      <c r="C1955" s="1359" t="s">
        <v>6916</v>
      </c>
      <c r="D1955" s="1360">
        <v>10673</v>
      </c>
      <c r="E1955" s="1361" t="s">
        <v>2472</v>
      </c>
      <c r="F1955" s="1360" t="s">
        <v>13</v>
      </c>
      <c r="G1955" s="1362">
        <v>1077829</v>
      </c>
      <c r="H1955" s="1363" t="s">
        <v>3538</v>
      </c>
    </row>
    <row r="1956" spans="2:8" x14ac:dyDescent="0.25">
      <c r="B1956" s="1358" t="s">
        <v>6897</v>
      </c>
      <c r="C1956" s="1359" t="s">
        <v>6916</v>
      </c>
      <c r="D1956" s="1360">
        <v>10674</v>
      </c>
      <c r="E1956" s="1361" t="s">
        <v>2473</v>
      </c>
      <c r="F1956" s="1360" t="s">
        <v>13</v>
      </c>
      <c r="G1956" s="1362">
        <v>2361667</v>
      </c>
      <c r="H1956" s="1363" t="s">
        <v>3538</v>
      </c>
    </row>
    <row r="1957" spans="2:8" x14ac:dyDescent="0.25">
      <c r="B1957" s="1358" t="s">
        <v>6897</v>
      </c>
      <c r="C1957" s="1359" t="s">
        <v>6990</v>
      </c>
      <c r="D1957" s="1360">
        <v>10676</v>
      </c>
      <c r="E1957" s="1361" t="s">
        <v>2474</v>
      </c>
      <c r="F1957" s="1360" t="s">
        <v>13</v>
      </c>
      <c r="G1957" s="1362">
        <v>21420</v>
      </c>
      <c r="H1957" s="1363" t="s">
        <v>3538</v>
      </c>
    </row>
    <row r="1958" spans="2:8" x14ac:dyDescent="0.25">
      <c r="B1958" s="1358" t="s">
        <v>6897</v>
      </c>
      <c r="C1958" s="1359" t="s">
        <v>6990</v>
      </c>
      <c r="D1958" s="1360">
        <v>10677</v>
      </c>
      <c r="E1958" s="1361" t="s">
        <v>2475</v>
      </c>
      <c r="F1958" s="1360" t="s">
        <v>13</v>
      </c>
      <c r="G1958" s="1362">
        <v>32725</v>
      </c>
      <c r="H1958" s="1363" t="s">
        <v>3538</v>
      </c>
    </row>
    <row r="1959" spans="2:8" x14ac:dyDescent="0.25">
      <c r="B1959" s="1358" t="s">
        <v>6897</v>
      </c>
      <c r="C1959" s="1359" t="s">
        <v>7061</v>
      </c>
      <c r="D1959" s="1360">
        <v>10678</v>
      </c>
      <c r="E1959" s="1361" t="s">
        <v>2476</v>
      </c>
      <c r="F1959" s="1360" t="s">
        <v>266</v>
      </c>
      <c r="G1959" s="1362">
        <v>4366630</v>
      </c>
      <c r="H1959" s="1363" t="s">
        <v>3538</v>
      </c>
    </row>
    <row r="1960" spans="2:8" x14ac:dyDescent="0.25">
      <c r="B1960" s="1358" t="s">
        <v>6897</v>
      </c>
      <c r="C1960" s="1359" t="s">
        <v>7061</v>
      </c>
      <c r="D1960" s="1360">
        <v>10680</v>
      </c>
      <c r="E1960" s="1361" t="s">
        <v>2477</v>
      </c>
      <c r="F1960" s="1360" t="s">
        <v>266</v>
      </c>
      <c r="G1960" s="1362">
        <v>2346033</v>
      </c>
      <c r="H1960" s="1363" t="s">
        <v>3538</v>
      </c>
    </row>
    <row r="1961" spans="2:8" x14ac:dyDescent="0.25">
      <c r="B1961" s="1358" t="s">
        <v>6897</v>
      </c>
      <c r="C1961" s="1359" t="s">
        <v>7061</v>
      </c>
      <c r="D1961" s="1360">
        <v>10681</v>
      </c>
      <c r="E1961" s="1361" t="s">
        <v>2478</v>
      </c>
      <c r="F1961" s="1360" t="s">
        <v>266</v>
      </c>
      <c r="G1961" s="1362">
        <v>9554523</v>
      </c>
      <c r="H1961" s="1363" t="s">
        <v>3538</v>
      </c>
    </row>
    <row r="1962" spans="2:8" x14ac:dyDescent="0.25">
      <c r="B1962" s="1358" t="s">
        <v>6897</v>
      </c>
      <c r="C1962" s="1359" t="s">
        <v>6921</v>
      </c>
      <c r="D1962" s="1360">
        <v>10682</v>
      </c>
      <c r="E1962" s="1361" t="s">
        <v>4037</v>
      </c>
      <c r="F1962" s="1360" t="s">
        <v>266</v>
      </c>
      <c r="G1962" s="1362">
        <v>2915500</v>
      </c>
      <c r="H1962" s="1363" t="s">
        <v>3538</v>
      </c>
    </row>
    <row r="1963" spans="2:8" x14ac:dyDescent="0.25">
      <c r="B1963" s="1358" t="s">
        <v>6897</v>
      </c>
      <c r="C1963" s="1359" t="s">
        <v>6921</v>
      </c>
      <c r="D1963" s="1360">
        <v>10684</v>
      </c>
      <c r="E1963" s="1361" t="s">
        <v>2479</v>
      </c>
      <c r="F1963" s="1360" t="s">
        <v>266</v>
      </c>
      <c r="G1963" s="1362">
        <v>610010</v>
      </c>
      <c r="H1963" s="1363" t="s">
        <v>3538</v>
      </c>
    </row>
    <row r="1964" spans="2:8" x14ac:dyDescent="0.25">
      <c r="B1964" s="1358" t="s">
        <v>6897</v>
      </c>
      <c r="C1964" s="1359" t="s">
        <v>7061</v>
      </c>
      <c r="D1964" s="1360">
        <v>10687</v>
      </c>
      <c r="E1964" s="1361" t="s">
        <v>2480</v>
      </c>
      <c r="F1964" s="1360" t="s">
        <v>266</v>
      </c>
      <c r="G1964" s="1362">
        <v>5276148</v>
      </c>
      <c r="H1964" s="1363" t="s">
        <v>3538</v>
      </c>
    </row>
    <row r="1965" spans="2:8" x14ac:dyDescent="0.25">
      <c r="B1965" s="1358" t="s">
        <v>6897</v>
      </c>
      <c r="C1965" s="1359" t="s">
        <v>7061</v>
      </c>
      <c r="D1965" s="1360">
        <v>10688</v>
      </c>
      <c r="E1965" s="1361" t="s">
        <v>2481</v>
      </c>
      <c r="F1965" s="1360" t="s">
        <v>266</v>
      </c>
      <c r="G1965" s="1362">
        <v>138635</v>
      </c>
      <c r="H1965" s="1363" t="s">
        <v>3538</v>
      </c>
    </row>
    <row r="1966" spans="2:8" x14ac:dyDescent="0.25">
      <c r="B1966" s="1358" t="s">
        <v>6897</v>
      </c>
      <c r="C1966" s="1359" t="s">
        <v>6922</v>
      </c>
      <c r="D1966" s="1360">
        <v>10689</v>
      </c>
      <c r="E1966" s="1361" t="s">
        <v>4038</v>
      </c>
      <c r="F1966" s="1360" t="s">
        <v>266</v>
      </c>
      <c r="G1966" s="1362">
        <v>569824</v>
      </c>
      <c r="H1966" s="1363" t="s">
        <v>3538</v>
      </c>
    </row>
    <row r="1967" spans="2:8" x14ac:dyDescent="0.25">
      <c r="B1967" s="1358" t="s">
        <v>6897</v>
      </c>
      <c r="C1967" s="1359" t="s">
        <v>7061</v>
      </c>
      <c r="D1967" s="1360">
        <v>10690</v>
      </c>
      <c r="E1967" s="1361" t="s">
        <v>841</v>
      </c>
      <c r="F1967" s="1360" t="s">
        <v>266</v>
      </c>
      <c r="G1967" s="1362">
        <v>4176450</v>
      </c>
      <c r="H1967" s="1363" t="s">
        <v>3538</v>
      </c>
    </row>
    <row r="1968" spans="2:8" x14ac:dyDescent="0.25">
      <c r="B1968" s="1358" t="s">
        <v>6897</v>
      </c>
      <c r="C1968" s="1359" t="s">
        <v>6922</v>
      </c>
      <c r="D1968" s="1360">
        <v>10692</v>
      </c>
      <c r="E1968" s="1361" t="s">
        <v>2483</v>
      </c>
      <c r="F1968" s="1360" t="s">
        <v>266</v>
      </c>
      <c r="G1968" s="1362">
        <v>527150</v>
      </c>
      <c r="H1968" s="1363" t="s">
        <v>3538</v>
      </c>
    </row>
    <row r="1969" spans="2:8" x14ac:dyDescent="0.25">
      <c r="B1969" s="1358" t="s">
        <v>6897</v>
      </c>
      <c r="C1969" s="1359" t="s">
        <v>6922</v>
      </c>
      <c r="D1969" s="1360">
        <v>10694</v>
      </c>
      <c r="E1969" s="1361" t="s">
        <v>2484</v>
      </c>
      <c r="F1969" s="1360" t="s">
        <v>266</v>
      </c>
      <c r="G1969" s="1362">
        <v>493850</v>
      </c>
      <c r="H1969" s="1363" t="s">
        <v>3538</v>
      </c>
    </row>
    <row r="1970" spans="2:8" x14ac:dyDescent="0.25">
      <c r="B1970" s="1358" t="s">
        <v>6897</v>
      </c>
      <c r="C1970" s="1359" t="s">
        <v>7061</v>
      </c>
      <c r="D1970" s="1360">
        <v>10695</v>
      </c>
      <c r="E1970" s="1361" t="s">
        <v>2485</v>
      </c>
      <c r="F1970" s="1360" t="s">
        <v>13</v>
      </c>
      <c r="G1970" s="1362">
        <v>35819</v>
      </c>
      <c r="H1970" s="1363" t="s">
        <v>3538</v>
      </c>
    </row>
    <row r="1971" spans="2:8" x14ac:dyDescent="0.25">
      <c r="B1971" s="1358" t="s">
        <v>6897</v>
      </c>
      <c r="C1971" s="1359" t="s">
        <v>7061</v>
      </c>
      <c r="D1971" s="1360">
        <v>10696</v>
      </c>
      <c r="E1971" s="1361" t="s">
        <v>2486</v>
      </c>
      <c r="F1971" s="1360" t="s">
        <v>13</v>
      </c>
      <c r="G1971" s="1362">
        <v>54621</v>
      </c>
      <c r="H1971" s="1363" t="s">
        <v>3538</v>
      </c>
    </row>
    <row r="1972" spans="2:8" x14ac:dyDescent="0.25">
      <c r="B1972" s="1358" t="s">
        <v>6897</v>
      </c>
      <c r="C1972" s="1359" t="s">
        <v>6922</v>
      </c>
      <c r="D1972" s="1360">
        <v>10697</v>
      </c>
      <c r="E1972" s="1361" t="s">
        <v>2487</v>
      </c>
      <c r="F1972" s="1360" t="s">
        <v>266</v>
      </c>
      <c r="G1972" s="1362">
        <v>493850</v>
      </c>
      <c r="H1972" s="1363" t="s">
        <v>3538</v>
      </c>
    </row>
    <row r="1973" spans="2:8" x14ac:dyDescent="0.25">
      <c r="B1973" s="1358" t="s">
        <v>6897</v>
      </c>
      <c r="C1973" s="1359" t="s">
        <v>6922</v>
      </c>
      <c r="D1973" s="1360">
        <v>10698</v>
      </c>
      <c r="E1973" s="1361" t="s">
        <v>2488</v>
      </c>
      <c r="F1973" s="1360" t="s">
        <v>266</v>
      </c>
      <c r="G1973" s="1362">
        <v>428400</v>
      </c>
      <c r="H1973" s="1363" t="s">
        <v>3538</v>
      </c>
    </row>
    <row r="1974" spans="2:8" x14ac:dyDescent="0.25">
      <c r="B1974" s="1358" t="s">
        <v>6897</v>
      </c>
      <c r="C1974" s="1359" t="s">
        <v>6922</v>
      </c>
      <c r="D1974" s="1360">
        <v>10699</v>
      </c>
      <c r="E1974" s="1361" t="s">
        <v>2489</v>
      </c>
      <c r="F1974" s="1360" t="s">
        <v>266</v>
      </c>
      <c r="G1974" s="1362">
        <v>469269</v>
      </c>
      <c r="H1974" s="1363" t="s">
        <v>3538</v>
      </c>
    </row>
    <row r="1975" spans="2:8" x14ac:dyDescent="0.25">
      <c r="B1975" s="1358" t="s">
        <v>6897</v>
      </c>
      <c r="C1975" s="1359" t="s">
        <v>6916</v>
      </c>
      <c r="D1975" s="1360">
        <v>10700</v>
      </c>
      <c r="E1975" s="1361" t="s">
        <v>2490</v>
      </c>
      <c r="F1975" s="1360" t="s">
        <v>266</v>
      </c>
      <c r="G1975" s="1362">
        <v>197027</v>
      </c>
      <c r="H1975" s="1363" t="s">
        <v>3538</v>
      </c>
    </row>
    <row r="1976" spans="2:8" x14ac:dyDescent="0.25">
      <c r="B1976" s="1358" t="s">
        <v>6897</v>
      </c>
      <c r="C1976" s="1359" t="s">
        <v>7009</v>
      </c>
      <c r="D1976" s="1360">
        <v>10710</v>
      </c>
      <c r="E1976" s="1361" t="s">
        <v>2491</v>
      </c>
      <c r="F1976" s="1360" t="s">
        <v>266</v>
      </c>
      <c r="G1976" s="1362">
        <v>3840035</v>
      </c>
      <c r="H1976" s="1363" t="s">
        <v>6899</v>
      </c>
    </row>
    <row r="1977" spans="2:8" x14ac:dyDescent="0.25">
      <c r="B1977" s="1358" t="s">
        <v>6897</v>
      </c>
      <c r="C1977" s="1359" t="s">
        <v>6921</v>
      </c>
      <c r="D1977" s="1360">
        <v>10712</v>
      </c>
      <c r="E1977" s="1361" t="s">
        <v>2492</v>
      </c>
      <c r="F1977" s="1360" t="s">
        <v>266</v>
      </c>
      <c r="G1977" s="1362">
        <v>464100</v>
      </c>
      <c r="H1977" s="1363" t="s">
        <v>3538</v>
      </c>
    </row>
    <row r="1978" spans="2:8" x14ac:dyDescent="0.25">
      <c r="B1978" s="1358" t="s">
        <v>6897</v>
      </c>
      <c r="C1978" s="1359" t="s">
        <v>6991</v>
      </c>
      <c r="D1978" s="1360">
        <v>10723</v>
      </c>
      <c r="E1978" s="1361" t="s">
        <v>2493</v>
      </c>
      <c r="F1978" s="1360" t="s">
        <v>4039</v>
      </c>
      <c r="G1978" s="1362">
        <v>47600</v>
      </c>
      <c r="H1978" s="1363" t="s">
        <v>6899</v>
      </c>
    </row>
    <row r="1979" spans="2:8" x14ac:dyDescent="0.25">
      <c r="B1979" s="1358" t="s">
        <v>6897</v>
      </c>
      <c r="C1979" s="1359" t="s">
        <v>6991</v>
      </c>
      <c r="D1979" s="1360">
        <v>10728</v>
      </c>
      <c r="E1979" s="1361" t="s">
        <v>2494</v>
      </c>
      <c r="F1979" s="1360" t="s">
        <v>4039</v>
      </c>
      <c r="G1979" s="1362">
        <v>15054</v>
      </c>
      <c r="H1979" s="1363" t="s">
        <v>6899</v>
      </c>
    </row>
    <row r="1980" spans="2:8" x14ac:dyDescent="0.25">
      <c r="B1980" s="1358" t="s">
        <v>6897</v>
      </c>
      <c r="C1980" s="1359" t="s">
        <v>6921</v>
      </c>
      <c r="D1980" s="1360">
        <v>10733</v>
      </c>
      <c r="E1980" s="1361" t="s">
        <v>2495</v>
      </c>
      <c r="F1980" s="1360" t="s">
        <v>266</v>
      </c>
      <c r="G1980" s="1362">
        <v>6804420</v>
      </c>
      <c r="H1980" s="1363" t="s">
        <v>3538</v>
      </c>
    </row>
    <row r="1981" spans="2:8" x14ac:dyDescent="0.25">
      <c r="B1981" s="1358" t="s">
        <v>6897</v>
      </c>
      <c r="C1981" s="1359" t="s">
        <v>6921</v>
      </c>
      <c r="D1981" s="1360">
        <v>10734</v>
      </c>
      <c r="E1981" s="1361" t="s">
        <v>2496</v>
      </c>
      <c r="F1981" s="1360" t="s">
        <v>266</v>
      </c>
      <c r="G1981" s="1362">
        <v>2916690</v>
      </c>
      <c r="H1981" s="1363" t="s">
        <v>3538</v>
      </c>
    </row>
    <row r="1982" spans="2:8" x14ac:dyDescent="0.25">
      <c r="B1982" s="1358" t="s">
        <v>6897</v>
      </c>
      <c r="C1982" s="1359" t="s">
        <v>6921</v>
      </c>
      <c r="D1982" s="1360">
        <v>10736</v>
      </c>
      <c r="E1982" s="1361" t="s">
        <v>2497</v>
      </c>
      <c r="F1982" s="1360" t="s">
        <v>266</v>
      </c>
      <c r="G1982" s="1362">
        <v>1993250</v>
      </c>
      <c r="H1982" s="1363" t="s">
        <v>3538</v>
      </c>
    </row>
    <row r="1983" spans="2:8" x14ac:dyDescent="0.25">
      <c r="B1983" s="1358" t="s">
        <v>6897</v>
      </c>
      <c r="C1983" s="1359" t="s">
        <v>6921</v>
      </c>
      <c r="D1983" s="1360">
        <v>10737</v>
      </c>
      <c r="E1983" s="1361" t="s">
        <v>2498</v>
      </c>
      <c r="F1983" s="1360" t="s">
        <v>266</v>
      </c>
      <c r="G1983" s="1362">
        <v>1032920</v>
      </c>
      <c r="H1983" s="1363" t="s">
        <v>3538</v>
      </c>
    </row>
    <row r="1984" spans="2:8" x14ac:dyDescent="0.25">
      <c r="B1984" s="1358" t="s">
        <v>6897</v>
      </c>
      <c r="C1984" s="1359" t="s">
        <v>6921</v>
      </c>
      <c r="D1984" s="1360">
        <v>10754</v>
      </c>
      <c r="E1984" s="1361" t="s">
        <v>2499</v>
      </c>
      <c r="F1984" s="1360" t="s">
        <v>266</v>
      </c>
      <c r="G1984" s="1362">
        <v>10975095</v>
      </c>
      <c r="H1984" s="1363" t="s">
        <v>3538</v>
      </c>
    </row>
    <row r="1985" spans="2:8" x14ac:dyDescent="0.25">
      <c r="B1985" s="1358" t="s">
        <v>6897</v>
      </c>
      <c r="C1985" s="1359" t="s">
        <v>6921</v>
      </c>
      <c r="D1985" s="1360">
        <v>10755</v>
      </c>
      <c r="E1985" s="1361" t="s">
        <v>4040</v>
      </c>
      <c r="F1985" s="1360" t="s">
        <v>266</v>
      </c>
      <c r="G1985" s="1362">
        <v>700801</v>
      </c>
      <c r="H1985" s="1363" t="s">
        <v>3538</v>
      </c>
    </row>
    <row r="1986" spans="2:8" x14ac:dyDescent="0.25">
      <c r="B1986" s="1358" t="s">
        <v>6897</v>
      </c>
      <c r="C1986" s="1359" t="s">
        <v>6921</v>
      </c>
      <c r="D1986" s="1360">
        <v>10756</v>
      </c>
      <c r="E1986" s="1361" t="s">
        <v>2500</v>
      </c>
      <c r="F1986" s="1360" t="s">
        <v>266</v>
      </c>
      <c r="G1986" s="1362">
        <v>1333594</v>
      </c>
      <c r="H1986" s="1363" t="s">
        <v>3538</v>
      </c>
    </row>
    <row r="1987" spans="2:8" x14ac:dyDescent="0.25">
      <c r="B1987" s="1358" t="s">
        <v>6897</v>
      </c>
      <c r="C1987" s="1359" t="s">
        <v>6921</v>
      </c>
      <c r="D1987" s="1360">
        <v>10757</v>
      </c>
      <c r="E1987" s="1361" t="s">
        <v>2501</v>
      </c>
      <c r="F1987" s="1360" t="s">
        <v>266</v>
      </c>
      <c r="G1987" s="1362">
        <v>1318962</v>
      </c>
      <c r="H1987" s="1363" t="s">
        <v>3538</v>
      </c>
    </row>
    <row r="1988" spans="2:8" x14ac:dyDescent="0.25">
      <c r="B1988" s="1358" t="s">
        <v>6897</v>
      </c>
      <c r="C1988" s="1359" t="s">
        <v>6921</v>
      </c>
      <c r="D1988" s="1360">
        <v>10758</v>
      </c>
      <c r="E1988" s="1361" t="s">
        <v>4041</v>
      </c>
      <c r="F1988" s="1360" t="s">
        <v>266</v>
      </c>
      <c r="G1988" s="1362">
        <v>1012690</v>
      </c>
      <c r="H1988" s="1363" t="s">
        <v>3538</v>
      </c>
    </row>
    <row r="1989" spans="2:8" x14ac:dyDescent="0.25">
      <c r="B1989" s="1358" t="s">
        <v>6897</v>
      </c>
      <c r="C1989" s="1359" t="s">
        <v>6917</v>
      </c>
      <c r="D1989" s="1360">
        <v>10767</v>
      </c>
      <c r="E1989" s="1361" t="s">
        <v>852</v>
      </c>
      <c r="F1989" s="1360" t="s">
        <v>12</v>
      </c>
      <c r="G1989" s="1362">
        <v>145856</v>
      </c>
      <c r="H1989" s="1363" t="s">
        <v>3538</v>
      </c>
    </row>
    <row r="1990" spans="2:8" x14ac:dyDescent="0.25">
      <c r="B1990" s="1358" t="s">
        <v>6897</v>
      </c>
      <c r="C1990" s="1359" t="s">
        <v>6917</v>
      </c>
      <c r="D1990" s="1360">
        <v>10768</v>
      </c>
      <c r="E1990" s="1361" t="s">
        <v>853</v>
      </c>
      <c r="F1990" s="1360" t="s">
        <v>266</v>
      </c>
      <c r="G1990" s="1362">
        <v>209058</v>
      </c>
      <c r="H1990" s="1363" t="s">
        <v>3538</v>
      </c>
    </row>
    <row r="1991" spans="2:8" x14ac:dyDescent="0.25">
      <c r="B1991" s="1358" t="s">
        <v>6897</v>
      </c>
      <c r="C1991" s="1359" t="s">
        <v>6922</v>
      </c>
      <c r="D1991" s="1360">
        <v>10770</v>
      </c>
      <c r="E1991" s="1361" t="s">
        <v>2502</v>
      </c>
      <c r="F1991" s="1360" t="s">
        <v>266</v>
      </c>
      <c r="G1991" s="1362">
        <v>91736</v>
      </c>
      <c r="H1991" s="1363" t="s">
        <v>3538</v>
      </c>
    </row>
    <row r="1992" spans="2:8" x14ac:dyDescent="0.25">
      <c r="B1992" s="1358" t="s">
        <v>6897</v>
      </c>
      <c r="C1992" s="1359" t="s">
        <v>6922</v>
      </c>
      <c r="D1992" s="1360">
        <v>10774</v>
      </c>
      <c r="E1992" s="1361" t="s">
        <v>2503</v>
      </c>
      <c r="F1992" s="1360" t="s">
        <v>266</v>
      </c>
      <c r="G1992" s="1362">
        <v>80433</v>
      </c>
      <c r="H1992" s="1363" t="s">
        <v>3538</v>
      </c>
    </row>
    <row r="1993" spans="2:8" x14ac:dyDescent="0.25">
      <c r="B1993" s="1358" t="s">
        <v>6897</v>
      </c>
      <c r="C1993" s="1359" t="s">
        <v>6922</v>
      </c>
      <c r="D1993" s="1360">
        <v>10776</v>
      </c>
      <c r="E1993" s="1361" t="s">
        <v>855</v>
      </c>
      <c r="F1993" s="1360" t="s">
        <v>266</v>
      </c>
      <c r="G1993" s="1362">
        <v>97350</v>
      </c>
      <c r="H1993" s="1363" t="s">
        <v>3538</v>
      </c>
    </row>
    <row r="1994" spans="2:8" x14ac:dyDescent="0.25">
      <c r="B1994" s="1358" t="s">
        <v>6897</v>
      </c>
      <c r="C1994" s="1359" t="s">
        <v>6916</v>
      </c>
      <c r="D1994" s="1360">
        <v>10777</v>
      </c>
      <c r="E1994" s="1361" t="s">
        <v>2504</v>
      </c>
      <c r="F1994" s="1360" t="s">
        <v>266</v>
      </c>
      <c r="G1994" s="1362">
        <v>28371</v>
      </c>
      <c r="H1994" s="1363" t="s">
        <v>3538</v>
      </c>
    </row>
    <row r="1995" spans="2:8" x14ac:dyDescent="0.25">
      <c r="B1995" s="1358" t="s">
        <v>6897</v>
      </c>
      <c r="C1995" s="1359" t="s">
        <v>7010</v>
      </c>
      <c r="D1995" s="1360">
        <v>10783</v>
      </c>
      <c r="E1995" s="1361" t="s">
        <v>2505</v>
      </c>
      <c r="F1995" s="1360" t="s">
        <v>13</v>
      </c>
      <c r="G1995" s="1362">
        <v>7486</v>
      </c>
      <c r="H1995" s="1363" t="s">
        <v>3538</v>
      </c>
    </row>
    <row r="1996" spans="2:8" x14ac:dyDescent="0.25">
      <c r="B1996" s="1358" t="s">
        <v>6897</v>
      </c>
      <c r="C1996" s="1359" t="s">
        <v>6916</v>
      </c>
      <c r="D1996" s="1360">
        <v>10787</v>
      </c>
      <c r="E1996" s="1361" t="s">
        <v>2506</v>
      </c>
      <c r="F1996" s="1360" t="s">
        <v>266</v>
      </c>
      <c r="G1996" s="1362">
        <v>13459</v>
      </c>
      <c r="H1996" s="1363" t="s">
        <v>3538</v>
      </c>
    </row>
    <row r="1997" spans="2:8" x14ac:dyDescent="0.25">
      <c r="B1997" s="1358" t="s">
        <v>6897</v>
      </c>
      <c r="C1997" s="1359" t="s">
        <v>6931</v>
      </c>
      <c r="D1997" s="1360">
        <v>10788</v>
      </c>
      <c r="E1997" s="1361" t="s">
        <v>856</v>
      </c>
      <c r="F1997" s="1360" t="s">
        <v>266</v>
      </c>
      <c r="G1997" s="1362">
        <v>291550</v>
      </c>
      <c r="H1997" s="1363" t="s">
        <v>3538</v>
      </c>
    </row>
    <row r="1998" spans="2:8" x14ac:dyDescent="0.25">
      <c r="B1998" s="1358" t="s">
        <v>6897</v>
      </c>
      <c r="C1998" s="1359" t="s">
        <v>6931</v>
      </c>
      <c r="D1998" s="1360">
        <v>10790</v>
      </c>
      <c r="E1998" s="1361" t="s">
        <v>2507</v>
      </c>
      <c r="F1998" s="1360" t="s">
        <v>12</v>
      </c>
      <c r="G1998" s="1362">
        <v>445717</v>
      </c>
      <c r="H1998" s="1363" t="s">
        <v>3538</v>
      </c>
    </row>
    <row r="1999" spans="2:8" x14ac:dyDescent="0.25">
      <c r="B1999" s="1358" t="s">
        <v>6897</v>
      </c>
      <c r="C1999" s="1359" t="s">
        <v>6916</v>
      </c>
      <c r="D1999" s="1360">
        <v>10794</v>
      </c>
      <c r="E1999" s="1361" t="s">
        <v>2508</v>
      </c>
      <c r="F1999" s="1360" t="s">
        <v>266</v>
      </c>
      <c r="G1999" s="1362">
        <v>29417</v>
      </c>
      <c r="H1999" s="1363" t="s">
        <v>3538</v>
      </c>
    </row>
    <row r="2000" spans="2:8" x14ac:dyDescent="0.25">
      <c r="B2000" s="1358" t="s">
        <v>6897</v>
      </c>
      <c r="C2000" s="1359" t="s">
        <v>7010</v>
      </c>
      <c r="D2000" s="1360">
        <v>10808</v>
      </c>
      <c r="E2000" s="1361" t="s">
        <v>859</v>
      </c>
      <c r="F2000" s="1360" t="s">
        <v>266</v>
      </c>
      <c r="G2000" s="1362">
        <v>64712</v>
      </c>
      <c r="H2000" s="1363" t="s">
        <v>3538</v>
      </c>
    </row>
    <row r="2001" spans="2:8" x14ac:dyDescent="0.25">
      <c r="B2001" s="1358" t="s">
        <v>6897</v>
      </c>
      <c r="C2001" s="1359" t="s">
        <v>6908</v>
      </c>
      <c r="D2001" s="1360">
        <v>10813</v>
      </c>
      <c r="E2001" s="1361" t="s">
        <v>2509</v>
      </c>
      <c r="F2001" s="1360" t="s">
        <v>266</v>
      </c>
      <c r="G2001" s="1362">
        <v>14420</v>
      </c>
      <c r="H2001" s="1363" t="s">
        <v>3538</v>
      </c>
    </row>
    <row r="2002" spans="2:8" x14ac:dyDescent="0.25">
      <c r="B2002" s="1358" t="s">
        <v>6897</v>
      </c>
      <c r="C2002" s="1359" t="s">
        <v>7008</v>
      </c>
      <c r="D2002" s="1360">
        <v>10824</v>
      </c>
      <c r="E2002" s="1361" t="s">
        <v>2510</v>
      </c>
      <c r="F2002" s="1360" t="s">
        <v>266</v>
      </c>
      <c r="G2002" s="1362">
        <v>1810000</v>
      </c>
      <c r="H2002" s="1363" t="s">
        <v>6899</v>
      </c>
    </row>
    <row r="2003" spans="2:8" x14ac:dyDescent="0.25">
      <c r="B2003" s="1358" t="s">
        <v>6897</v>
      </c>
      <c r="C2003" s="1359" t="s">
        <v>6901</v>
      </c>
      <c r="D2003" s="1360">
        <v>10825</v>
      </c>
      <c r="E2003" s="1361" t="s">
        <v>7065</v>
      </c>
      <c r="F2003" s="1360" t="s">
        <v>12</v>
      </c>
      <c r="G2003" s="1362">
        <v>69615</v>
      </c>
      <c r="H2003" s="1363" t="s">
        <v>3538</v>
      </c>
    </row>
    <row r="2004" spans="2:8" x14ac:dyDescent="0.25">
      <c r="B2004" s="1358" t="s">
        <v>6897</v>
      </c>
      <c r="C2004" s="1359" t="s">
        <v>6901</v>
      </c>
      <c r="D2004" s="1360">
        <v>10830</v>
      </c>
      <c r="E2004" s="1361" t="s">
        <v>7066</v>
      </c>
      <c r="F2004" s="1360" t="s">
        <v>12</v>
      </c>
      <c r="G2004" s="1362">
        <v>77350</v>
      </c>
      <c r="H2004" s="1363" t="s">
        <v>3538</v>
      </c>
    </row>
    <row r="2005" spans="2:8" x14ac:dyDescent="0.25">
      <c r="B2005" s="1358" t="s">
        <v>6897</v>
      </c>
      <c r="C2005" s="1359" t="s">
        <v>6919</v>
      </c>
      <c r="D2005" s="1360">
        <v>10836</v>
      </c>
      <c r="E2005" s="1361" t="s">
        <v>2511</v>
      </c>
      <c r="F2005" s="1360" t="s">
        <v>266</v>
      </c>
      <c r="G2005" s="1362">
        <v>5292942</v>
      </c>
      <c r="H2005" s="1363" t="s">
        <v>6899</v>
      </c>
    </row>
    <row r="2006" spans="2:8" x14ac:dyDescent="0.25">
      <c r="B2006" s="1358" t="s">
        <v>6897</v>
      </c>
      <c r="C2006" s="1359" t="s">
        <v>7010</v>
      </c>
      <c r="D2006" s="1360">
        <v>10842</v>
      </c>
      <c r="E2006" s="1361" t="s">
        <v>2512</v>
      </c>
      <c r="F2006" s="1360" t="s">
        <v>266</v>
      </c>
      <c r="G2006" s="1362">
        <v>17612</v>
      </c>
      <c r="H2006" s="1363" t="s">
        <v>3538</v>
      </c>
    </row>
    <row r="2007" spans="2:8" x14ac:dyDescent="0.25">
      <c r="B2007" s="1358" t="s">
        <v>6897</v>
      </c>
      <c r="C2007" s="1359" t="s">
        <v>6919</v>
      </c>
      <c r="D2007" s="1360">
        <v>10847</v>
      </c>
      <c r="E2007" s="1361" t="s">
        <v>2513</v>
      </c>
      <c r="F2007" s="1360" t="s">
        <v>266</v>
      </c>
      <c r="G2007" s="1362">
        <v>5439312</v>
      </c>
      <c r="H2007" s="1363" t="s">
        <v>6899</v>
      </c>
    </row>
    <row r="2008" spans="2:8" x14ac:dyDescent="0.25">
      <c r="B2008" s="1358" t="s">
        <v>6897</v>
      </c>
      <c r="C2008" s="1359" t="s">
        <v>6997</v>
      </c>
      <c r="D2008" s="1360">
        <v>10848</v>
      </c>
      <c r="E2008" s="1361" t="s">
        <v>2514</v>
      </c>
      <c r="F2008" s="1360" t="s">
        <v>13</v>
      </c>
      <c r="G2008" s="1362">
        <v>92344</v>
      </c>
      <c r="H2008" s="1363" t="s">
        <v>3538</v>
      </c>
    </row>
    <row r="2009" spans="2:8" x14ac:dyDescent="0.25">
      <c r="B2009" s="1358" t="s">
        <v>6897</v>
      </c>
      <c r="C2009" s="1359" t="s">
        <v>6997</v>
      </c>
      <c r="D2009" s="1360">
        <v>10849</v>
      </c>
      <c r="E2009" s="1361" t="s">
        <v>2515</v>
      </c>
      <c r="F2009" s="1360" t="s">
        <v>13</v>
      </c>
      <c r="G2009" s="1362">
        <v>53550</v>
      </c>
      <c r="H2009" s="1363" t="s">
        <v>3538</v>
      </c>
    </row>
    <row r="2010" spans="2:8" x14ac:dyDescent="0.25">
      <c r="B2010" s="1358" t="s">
        <v>6897</v>
      </c>
      <c r="C2010" s="1359" t="s">
        <v>6919</v>
      </c>
      <c r="D2010" s="1360">
        <v>10852</v>
      </c>
      <c r="E2010" s="1361" t="s">
        <v>4042</v>
      </c>
      <c r="F2010" s="1360" t="s">
        <v>266</v>
      </c>
      <c r="G2010" s="1362">
        <v>1446627</v>
      </c>
      <c r="H2010" s="1363" t="s">
        <v>6899</v>
      </c>
    </row>
    <row r="2011" spans="2:8" x14ac:dyDescent="0.25">
      <c r="B2011" s="1358" t="s">
        <v>6897</v>
      </c>
      <c r="C2011" s="1359" t="s">
        <v>7010</v>
      </c>
      <c r="D2011" s="1360">
        <v>10855</v>
      </c>
      <c r="E2011" s="1361" t="s">
        <v>2516</v>
      </c>
      <c r="F2011" s="1360" t="s">
        <v>266</v>
      </c>
      <c r="G2011" s="1362">
        <v>57120</v>
      </c>
      <c r="H2011" s="1363" t="s">
        <v>3538</v>
      </c>
    </row>
    <row r="2012" spans="2:8" x14ac:dyDescent="0.25">
      <c r="B2012" s="1358" t="s">
        <v>6897</v>
      </c>
      <c r="C2012" s="1359" t="s">
        <v>7010</v>
      </c>
      <c r="D2012" s="1360">
        <v>10862</v>
      </c>
      <c r="E2012" s="1361" t="s">
        <v>2517</v>
      </c>
      <c r="F2012" s="1360" t="s">
        <v>266</v>
      </c>
      <c r="G2012" s="1362">
        <v>333200</v>
      </c>
      <c r="H2012" s="1363" t="s">
        <v>3538</v>
      </c>
    </row>
    <row r="2013" spans="2:8" x14ac:dyDescent="0.25">
      <c r="B2013" s="1358" t="s">
        <v>6897</v>
      </c>
      <c r="C2013" s="1359" t="s">
        <v>7010</v>
      </c>
      <c r="D2013" s="1360">
        <v>10863</v>
      </c>
      <c r="E2013" s="1361" t="s">
        <v>2518</v>
      </c>
      <c r="F2013" s="1360" t="s">
        <v>1124</v>
      </c>
      <c r="G2013" s="1362">
        <v>62154</v>
      </c>
      <c r="H2013" s="1363" t="s">
        <v>3538</v>
      </c>
    </row>
    <row r="2014" spans="2:8" x14ac:dyDescent="0.25">
      <c r="B2014" s="1358" t="s">
        <v>6897</v>
      </c>
      <c r="C2014" s="1359" t="s">
        <v>7010</v>
      </c>
      <c r="D2014" s="1360">
        <v>10864</v>
      </c>
      <c r="E2014" s="1361" t="s">
        <v>2519</v>
      </c>
      <c r="F2014" s="1360" t="s">
        <v>1124</v>
      </c>
      <c r="G2014" s="1362">
        <v>62154</v>
      </c>
      <c r="H2014" s="1363" t="s">
        <v>3538</v>
      </c>
    </row>
    <row r="2015" spans="2:8" x14ac:dyDescent="0.25">
      <c r="B2015" s="1358" t="s">
        <v>6897</v>
      </c>
      <c r="C2015" s="1359" t="s">
        <v>7010</v>
      </c>
      <c r="D2015" s="1360">
        <v>10872</v>
      </c>
      <c r="E2015" s="1361" t="s">
        <v>2520</v>
      </c>
      <c r="F2015" s="1360" t="s">
        <v>266</v>
      </c>
      <c r="G2015" s="1362">
        <v>490280</v>
      </c>
      <c r="H2015" s="1363" t="s">
        <v>3538</v>
      </c>
    </row>
    <row r="2016" spans="2:8" x14ac:dyDescent="0.25">
      <c r="B2016" s="1358" t="s">
        <v>6897</v>
      </c>
      <c r="C2016" s="1359" t="s">
        <v>6919</v>
      </c>
      <c r="D2016" s="1360">
        <v>10877</v>
      </c>
      <c r="E2016" s="1361" t="s">
        <v>2521</v>
      </c>
      <c r="F2016" s="1360" t="s">
        <v>266</v>
      </c>
      <c r="G2016" s="1362">
        <v>3990800</v>
      </c>
      <c r="H2016" s="1363" t="s">
        <v>6899</v>
      </c>
    </row>
    <row r="2017" spans="2:8" x14ac:dyDescent="0.25">
      <c r="B2017" s="1358" t="s">
        <v>6897</v>
      </c>
      <c r="C2017" s="1359" t="s">
        <v>6931</v>
      </c>
      <c r="D2017" s="1360">
        <v>10878</v>
      </c>
      <c r="E2017" s="1361" t="s">
        <v>2522</v>
      </c>
      <c r="F2017" s="1360" t="s">
        <v>266</v>
      </c>
      <c r="G2017" s="1362">
        <v>6307</v>
      </c>
      <c r="H2017" s="1363" t="s">
        <v>3538</v>
      </c>
    </row>
    <row r="2018" spans="2:8" x14ac:dyDescent="0.25">
      <c r="B2018" s="1358" t="s">
        <v>6897</v>
      </c>
      <c r="C2018" s="1359" t="s">
        <v>6905</v>
      </c>
      <c r="D2018" s="1360">
        <v>10880</v>
      </c>
      <c r="E2018" s="1361" t="s">
        <v>2523</v>
      </c>
      <c r="F2018" s="1360" t="s">
        <v>3</v>
      </c>
      <c r="G2018" s="1362">
        <v>26180</v>
      </c>
      <c r="H2018" s="1363" t="s">
        <v>6899</v>
      </c>
    </row>
    <row r="2019" spans="2:8" x14ac:dyDescent="0.25">
      <c r="B2019" s="1358" t="s">
        <v>6897</v>
      </c>
      <c r="C2019" s="1359" t="s">
        <v>7010</v>
      </c>
      <c r="D2019" s="1360">
        <v>10882</v>
      </c>
      <c r="E2019" s="1361" t="s">
        <v>2524</v>
      </c>
      <c r="F2019" s="1360" t="s">
        <v>13</v>
      </c>
      <c r="G2019" s="1362">
        <v>33200</v>
      </c>
      <c r="H2019" s="1363" t="s">
        <v>3538</v>
      </c>
    </row>
    <row r="2020" spans="2:8" x14ac:dyDescent="0.25">
      <c r="B2020" s="1358" t="s">
        <v>6897</v>
      </c>
      <c r="C2020" s="1359" t="s">
        <v>6997</v>
      </c>
      <c r="D2020" s="1360">
        <v>10890</v>
      </c>
      <c r="E2020" s="1361" t="s">
        <v>2525</v>
      </c>
      <c r="F2020" s="1360" t="s">
        <v>13</v>
      </c>
      <c r="G2020" s="1362">
        <v>50337</v>
      </c>
      <c r="H2020" s="1363" t="s">
        <v>3538</v>
      </c>
    </row>
    <row r="2021" spans="2:8" x14ac:dyDescent="0.25">
      <c r="B2021" s="1358" t="s">
        <v>6897</v>
      </c>
      <c r="C2021" s="1359" t="s">
        <v>6921</v>
      </c>
      <c r="D2021" s="1360">
        <v>10891</v>
      </c>
      <c r="E2021" s="1361" t="s">
        <v>2526</v>
      </c>
      <c r="F2021" s="1360" t="s">
        <v>266</v>
      </c>
      <c r="G2021" s="1362">
        <v>100591</v>
      </c>
      <c r="H2021" s="1363" t="s">
        <v>3538</v>
      </c>
    </row>
    <row r="2022" spans="2:8" x14ac:dyDescent="0.25">
      <c r="B2022" s="1358" t="s">
        <v>6897</v>
      </c>
      <c r="C2022" s="1359" t="s">
        <v>6921</v>
      </c>
      <c r="D2022" s="1360">
        <v>10920</v>
      </c>
      <c r="E2022" s="1361" t="s">
        <v>4043</v>
      </c>
      <c r="F2022" s="1360" t="s">
        <v>266</v>
      </c>
      <c r="G2022" s="1362">
        <v>1224510</v>
      </c>
      <c r="H2022" s="1363" t="s">
        <v>3538</v>
      </c>
    </row>
    <row r="2023" spans="2:8" x14ac:dyDescent="0.25">
      <c r="B2023" s="1358" t="s">
        <v>6897</v>
      </c>
      <c r="C2023" s="1359" t="s">
        <v>6921</v>
      </c>
      <c r="D2023" s="1360">
        <v>10936</v>
      </c>
      <c r="E2023" s="1361" t="s">
        <v>2527</v>
      </c>
      <c r="F2023" s="1360" t="s">
        <v>266</v>
      </c>
      <c r="G2023" s="1362">
        <v>125809</v>
      </c>
      <c r="H2023" s="1363" t="s">
        <v>3538</v>
      </c>
    </row>
    <row r="2024" spans="2:8" x14ac:dyDescent="0.25">
      <c r="B2024" s="1358" t="s">
        <v>6897</v>
      </c>
      <c r="C2024" s="1359" t="s">
        <v>6921</v>
      </c>
      <c r="D2024" s="1360">
        <v>10937</v>
      </c>
      <c r="E2024" s="1361" t="s">
        <v>2528</v>
      </c>
      <c r="F2024" s="1360" t="s">
        <v>266</v>
      </c>
      <c r="G2024" s="1362">
        <v>249635</v>
      </c>
      <c r="H2024" s="1363" t="s">
        <v>3538</v>
      </c>
    </row>
    <row r="2025" spans="2:8" x14ac:dyDescent="0.25">
      <c r="B2025" s="1358" t="s">
        <v>6897</v>
      </c>
      <c r="C2025" s="1359" t="s">
        <v>6903</v>
      </c>
      <c r="D2025" s="1360">
        <v>10947</v>
      </c>
      <c r="E2025" s="1361" t="s">
        <v>2529</v>
      </c>
      <c r="F2025" s="1360" t="s">
        <v>6</v>
      </c>
      <c r="G2025" s="1362">
        <v>7140</v>
      </c>
      <c r="H2025" s="1363" t="s">
        <v>6899</v>
      </c>
    </row>
    <row r="2026" spans="2:8" x14ac:dyDescent="0.25">
      <c r="B2026" s="1358" t="s">
        <v>6897</v>
      </c>
      <c r="C2026" s="1359" t="s">
        <v>6903</v>
      </c>
      <c r="D2026" s="1360">
        <v>10948</v>
      </c>
      <c r="E2026" s="1361" t="s">
        <v>2530</v>
      </c>
      <c r="F2026" s="1360" t="s">
        <v>6</v>
      </c>
      <c r="G2026" s="1362">
        <v>7140</v>
      </c>
      <c r="H2026" s="1363" t="s">
        <v>6899</v>
      </c>
    </row>
    <row r="2027" spans="2:8" x14ac:dyDescent="0.25">
      <c r="B2027" s="1358" t="s">
        <v>6897</v>
      </c>
      <c r="C2027" s="1359" t="s">
        <v>6922</v>
      </c>
      <c r="D2027" s="1360">
        <v>10955</v>
      </c>
      <c r="E2027" s="1361" t="s">
        <v>2531</v>
      </c>
      <c r="F2027" s="1360" t="s">
        <v>1124</v>
      </c>
      <c r="G2027" s="1362">
        <v>4744835</v>
      </c>
      <c r="H2027" s="1363" t="s">
        <v>3538</v>
      </c>
    </row>
    <row r="2028" spans="2:8" x14ac:dyDescent="0.25">
      <c r="B2028" s="1358" t="s">
        <v>6897</v>
      </c>
      <c r="C2028" s="1359" t="s">
        <v>7044</v>
      </c>
      <c r="D2028" s="1360">
        <v>10957</v>
      </c>
      <c r="E2028" s="1361" t="s">
        <v>4044</v>
      </c>
      <c r="F2028" s="1360" t="s">
        <v>266</v>
      </c>
      <c r="G2028" s="1362">
        <v>61719</v>
      </c>
      <c r="H2028" s="1363" t="s">
        <v>6899</v>
      </c>
    </row>
    <row r="2029" spans="2:8" x14ac:dyDescent="0.25">
      <c r="B2029" s="1358" t="s">
        <v>6897</v>
      </c>
      <c r="C2029" s="1359" t="s">
        <v>7044</v>
      </c>
      <c r="D2029" s="1360">
        <v>10958</v>
      </c>
      <c r="E2029" s="1361" t="s">
        <v>4045</v>
      </c>
      <c r="F2029" s="1360" t="s">
        <v>266</v>
      </c>
      <c r="G2029" s="1362">
        <v>38556</v>
      </c>
      <c r="H2029" s="1363" t="s">
        <v>6899</v>
      </c>
    </row>
    <row r="2030" spans="2:8" x14ac:dyDescent="0.25">
      <c r="B2030" s="1358" t="s">
        <v>6897</v>
      </c>
      <c r="C2030" s="1359" t="s">
        <v>7044</v>
      </c>
      <c r="D2030" s="1360">
        <v>10959</v>
      </c>
      <c r="E2030" s="1361" t="s">
        <v>4046</v>
      </c>
      <c r="F2030" s="1360" t="s">
        <v>266</v>
      </c>
      <c r="G2030" s="1362">
        <v>39270</v>
      </c>
      <c r="H2030" s="1363" t="s">
        <v>6899</v>
      </c>
    </row>
    <row r="2031" spans="2:8" x14ac:dyDescent="0.25">
      <c r="B2031" s="1358" t="s">
        <v>6897</v>
      </c>
      <c r="C2031" s="1359" t="s">
        <v>7044</v>
      </c>
      <c r="D2031" s="1360">
        <v>10960</v>
      </c>
      <c r="E2031" s="1361" t="s">
        <v>4047</v>
      </c>
      <c r="F2031" s="1360" t="s">
        <v>266</v>
      </c>
      <c r="G2031" s="1362">
        <v>33415</v>
      </c>
      <c r="H2031" s="1363" t="s">
        <v>6899</v>
      </c>
    </row>
    <row r="2032" spans="2:8" x14ac:dyDescent="0.25">
      <c r="B2032" s="1358" t="s">
        <v>6897</v>
      </c>
      <c r="C2032" s="1359" t="s">
        <v>7044</v>
      </c>
      <c r="D2032" s="1360">
        <v>10961</v>
      </c>
      <c r="E2032" s="1361" t="s">
        <v>4048</v>
      </c>
      <c r="F2032" s="1360" t="s">
        <v>266</v>
      </c>
      <c r="G2032" s="1362">
        <v>21848</v>
      </c>
      <c r="H2032" s="1363" t="s">
        <v>6899</v>
      </c>
    </row>
    <row r="2033" spans="2:8" x14ac:dyDescent="0.25">
      <c r="B2033" s="1358" t="s">
        <v>6897</v>
      </c>
      <c r="C2033" s="1359" t="s">
        <v>7044</v>
      </c>
      <c r="D2033" s="1360">
        <v>10962</v>
      </c>
      <c r="E2033" s="1361" t="s">
        <v>4049</v>
      </c>
      <c r="F2033" s="1360" t="s">
        <v>266</v>
      </c>
      <c r="G2033" s="1362">
        <v>43554</v>
      </c>
      <c r="H2033" s="1363" t="s">
        <v>6899</v>
      </c>
    </row>
    <row r="2034" spans="2:8" x14ac:dyDescent="0.25">
      <c r="B2034" s="1358" t="s">
        <v>6897</v>
      </c>
      <c r="C2034" s="1359" t="s">
        <v>7044</v>
      </c>
      <c r="D2034" s="1360">
        <v>10963</v>
      </c>
      <c r="E2034" s="1361" t="s">
        <v>4050</v>
      </c>
      <c r="F2034" s="1360" t="s">
        <v>266</v>
      </c>
      <c r="G2034" s="1362">
        <v>41126</v>
      </c>
      <c r="H2034" s="1363" t="s">
        <v>6899</v>
      </c>
    </row>
    <row r="2035" spans="2:8" x14ac:dyDescent="0.25">
      <c r="B2035" s="1358" t="s">
        <v>6897</v>
      </c>
      <c r="C2035" s="1359" t="s">
        <v>7044</v>
      </c>
      <c r="D2035" s="1360">
        <v>10964</v>
      </c>
      <c r="E2035" s="1361" t="s">
        <v>4051</v>
      </c>
      <c r="F2035" s="1360" t="s">
        <v>266</v>
      </c>
      <c r="G2035" s="1362">
        <v>39270</v>
      </c>
      <c r="H2035" s="1363" t="s">
        <v>6899</v>
      </c>
    </row>
    <row r="2036" spans="2:8" x14ac:dyDescent="0.25">
      <c r="B2036" s="1358" t="s">
        <v>6897</v>
      </c>
      <c r="C2036" s="1359" t="s">
        <v>6942</v>
      </c>
      <c r="D2036" s="1360">
        <v>10965</v>
      </c>
      <c r="E2036" s="1361" t="s">
        <v>4052</v>
      </c>
      <c r="F2036" s="1360" t="s">
        <v>266</v>
      </c>
      <c r="G2036" s="1362">
        <v>243474</v>
      </c>
      <c r="H2036" s="1363" t="s">
        <v>6899</v>
      </c>
    </row>
    <row r="2037" spans="2:8" x14ac:dyDescent="0.25">
      <c r="B2037" s="1358" t="s">
        <v>6897</v>
      </c>
      <c r="C2037" s="1359" t="s">
        <v>6943</v>
      </c>
      <c r="D2037" s="1360">
        <v>10966</v>
      </c>
      <c r="E2037" s="1361" t="s">
        <v>4053</v>
      </c>
      <c r="F2037" s="1360" t="s">
        <v>266</v>
      </c>
      <c r="G2037" s="1362">
        <v>172550</v>
      </c>
      <c r="H2037" s="1363" t="s">
        <v>6899</v>
      </c>
    </row>
    <row r="2038" spans="2:8" x14ac:dyDescent="0.25">
      <c r="B2038" s="1358" t="s">
        <v>6897</v>
      </c>
      <c r="C2038" s="1359" t="s">
        <v>6943</v>
      </c>
      <c r="D2038" s="1360">
        <v>10967</v>
      </c>
      <c r="E2038" s="1361" t="s">
        <v>4054</v>
      </c>
      <c r="F2038" s="1360" t="s">
        <v>266</v>
      </c>
      <c r="G2038" s="1362">
        <v>874000</v>
      </c>
      <c r="H2038" s="1363" t="s">
        <v>6899</v>
      </c>
    </row>
    <row r="2039" spans="2:8" x14ac:dyDescent="0.25">
      <c r="B2039" s="1358" t="s">
        <v>6897</v>
      </c>
      <c r="C2039" s="1359" t="s">
        <v>6943</v>
      </c>
      <c r="D2039" s="1360">
        <v>10968</v>
      </c>
      <c r="E2039" s="1361" t="s">
        <v>4055</v>
      </c>
      <c r="F2039" s="1360" t="s">
        <v>266</v>
      </c>
      <c r="G2039" s="1362">
        <v>124950</v>
      </c>
      <c r="H2039" s="1363" t="s">
        <v>6899</v>
      </c>
    </row>
    <row r="2040" spans="2:8" x14ac:dyDescent="0.25">
      <c r="B2040" s="1358" t="s">
        <v>6897</v>
      </c>
      <c r="C2040" s="1359" t="s">
        <v>6941</v>
      </c>
      <c r="D2040" s="1360">
        <v>10969</v>
      </c>
      <c r="E2040" s="1361" t="s">
        <v>4056</v>
      </c>
      <c r="F2040" s="1360" t="s">
        <v>266</v>
      </c>
      <c r="G2040" s="1362">
        <v>816340</v>
      </c>
      <c r="H2040" s="1363" t="s">
        <v>6899</v>
      </c>
    </row>
    <row r="2041" spans="2:8" x14ac:dyDescent="0.25">
      <c r="B2041" s="1358" t="s">
        <v>6897</v>
      </c>
      <c r="C2041" s="1359" t="s">
        <v>6937</v>
      </c>
      <c r="D2041" s="1360">
        <v>10971</v>
      </c>
      <c r="E2041" s="1361" t="s">
        <v>4057</v>
      </c>
      <c r="F2041" s="1360" t="s">
        <v>266</v>
      </c>
      <c r="G2041" s="1362">
        <v>773500</v>
      </c>
      <c r="H2041" s="1363" t="s">
        <v>6899</v>
      </c>
    </row>
    <row r="2042" spans="2:8" x14ac:dyDescent="0.25">
      <c r="B2042" s="1358" t="s">
        <v>6897</v>
      </c>
      <c r="C2042" s="1359" t="s">
        <v>6937</v>
      </c>
      <c r="D2042" s="1360">
        <v>10972</v>
      </c>
      <c r="E2042" s="1361" t="s">
        <v>4058</v>
      </c>
      <c r="F2042" s="1360" t="s">
        <v>266</v>
      </c>
      <c r="G2042" s="1362">
        <v>2142000</v>
      </c>
      <c r="H2042" s="1363" t="s">
        <v>6899</v>
      </c>
    </row>
    <row r="2043" spans="2:8" x14ac:dyDescent="0.25">
      <c r="B2043" s="1358" t="s">
        <v>6897</v>
      </c>
      <c r="C2043" s="1359" t="s">
        <v>6936</v>
      </c>
      <c r="D2043" s="1360">
        <v>10973</v>
      </c>
      <c r="E2043" s="1361" t="s">
        <v>4059</v>
      </c>
      <c r="F2043" s="1360" t="s">
        <v>266</v>
      </c>
      <c r="G2043" s="1362">
        <v>244000</v>
      </c>
      <c r="H2043" s="1363" t="s">
        <v>6899</v>
      </c>
    </row>
    <row r="2044" spans="2:8" x14ac:dyDescent="0.25">
      <c r="B2044" s="1358" t="s">
        <v>6897</v>
      </c>
      <c r="C2044" s="1359" t="s">
        <v>6939</v>
      </c>
      <c r="D2044" s="1360">
        <v>10974</v>
      </c>
      <c r="E2044" s="1361" t="s">
        <v>4060</v>
      </c>
      <c r="F2044" s="1360" t="s">
        <v>266</v>
      </c>
      <c r="G2044" s="1362">
        <v>142800</v>
      </c>
      <c r="H2044" s="1363" t="s">
        <v>6899</v>
      </c>
    </row>
    <row r="2045" spans="2:8" x14ac:dyDescent="0.25">
      <c r="B2045" s="1358" t="s">
        <v>6897</v>
      </c>
      <c r="C2045" s="1359" t="s">
        <v>6941</v>
      </c>
      <c r="D2045" s="1360">
        <v>10975</v>
      </c>
      <c r="E2045" s="1361" t="s">
        <v>4061</v>
      </c>
      <c r="F2045" s="1360" t="s">
        <v>266</v>
      </c>
      <c r="G2045" s="1362">
        <v>83300</v>
      </c>
      <c r="H2045" s="1363" t="s">
        <v>6899</v>
      </c>
    </row>
    <row r="2046" spans="2:8" x14ac:dyDescent="0.25">
      <c r="B2046" s="1358" t="s">
        <v>6897</v>
      </c>
      <c r="C2046" s="1359" t="s">
        <v>7061</v>
      </c>
      <c r="D2046" s="1360">
        <v>10976</v>
      </c>
      <c r="E2046" s="1361" t="s">
        <v>2532</v>
      </c>
      <c r="F2046" s="1360" t="s">
        <v>266</v>
      </c>
      <c r="G2046" s="1362">
        <v>2171152</v>
      </c>
      <c r="H2046" s="1363" t="s">
        <v>3538</v>
      </c>
    </row>
    <row r="2047" spans="2:8" x14ac:dyDescent="0.25">
      <c r="B2047" s="1358" t="s">
        <v>6897</v>
      </c>
      <c r="C2047" s="1359" t="s">
        <v>6908</v>
      </c>
      <c r="D2047" s="1360">
        <v>10977</v>
      </c>
      <c r="E2047" s="1361" t="s">
        <v>2533</v>
      </c>
      <c r="F2047" s="1360" t="s">
        <v>266</v>
      </c>
      <c r="G2047" s="1362">
        <v>1731884</v>
      </c>
      <c r="H2047" s="1363" t="s">
        <v>3538</v>
      </c>
    </row>
    <row r="2048" spans="2:8" x14ac:dyDescent="0.25">
      <c r="B2048" s="1358" t="s">
        <v>6897</v>
      </c>
      <c r="C2048" s="1359" t="s">
        <v>6921</v>
      </c>
      <c r="D2048" s="1360">
        <v>10987</v>
      </c>
      <c r="E2048" s="1361" t="s">
        <v>2534</v>
      </c>
      <c r="F2048" s="1360" t="s">
        <v>266</v>
      </c>
      <c r="G2048" s="1362">
        <v>85106</v>
      </c>
      <c r="H2048" s="1363" t="s">
        <v>3538</v>
      </c>
    </row>
    <row r="2049" spans="2:8" x14ac:dyDescent="0.25">
      <c r="B2049" s="1358" t="s">
        <v>6897</v>
      </c>
      <c r="C2049" s="1359" t="s">
        <v>6921</v>
      </c>
      <c r="D2049" s="1360">
        <v>10988</v>
      </c>
      <c r="E2049" s="1361" t="s">
        <v>2535</v>
      </c>
      <c r="F2049" s="1360" t="s">
        <v>266</v>
      </c>
      <c r="G2049" s="1362">
        <v>210630</v>
      </c>
      <c r="H2049" s="1363" t="s">
        <v>3538</v>
      </c>
    </row>
    <row r="2050" spans="2:8" x14ac:dyDescent="0.25">
      <c r="B2050" s="1358" t="s">
        <v>6897</v>
      </c>
      <c r="C2050" s="1359" t="s">
        <v>6921</v>
      </c>
      <c r="D2050" s="1360">
        <v>10989</v>
      </c>
      <c r="E2050" s="1361" t="s">
        <v>2536</v>
      </c>
      <c r="F2050" s="1360" t="s">
        <v>266</v>
      </c>
      <c r="G2050" s="1362">
        <v>1202859</v>
      </c>
      <c r="H2050" s="1363" t="s">
        <v>3538</v>
      </c>
    </row>
    <row r="2051" spans="2:8" x14ac:dyDescent="0.25">
      <c r="B2051" s="1358" t="s">
        <v>6897</v>
      </c>
      <c r="C2051" s="1359" t="s">
        <v>6997</v>
      </c>
      <c r="D2051" s="1360">
        <v>10992</v>
      </c>
      <c r="E2051" s="1361" t="s">
        <v>2538</v>
      </c>
      <c r="F2051" s="1360" t="s">
        <v>266</v>
      </c>
      <c r="G2051" s="1362">
        <v>162491</v>
      </c>
      <c r="H2051" s="1363" t="s">
        <v>3538</v>
      </c>
    </row>
    <row r="2052" spans="2:8" x14ac:dyDescent="0.25">
      <c r="B2052" s="1358" t="s">
        <v>6897</v>
      </c>
      <c r="C2052" s="1359" t="s">
        <v>6940</v>
      </c>
      <c r="D2052" s="1360">
        <v>10995</v>
      </c>
      <c r="E2052" s="1361" t="s">
        <v>2539</v>
      </c>
      <c r="F2052" s="1360" t="s">
        <v>266</v>
      </c>
      <c r="G2052" s="1362">
        <v>35611</v>
      </c>
      <c r="H2052" s="1363" t="s">
        <v>6899</v>
      </c>
    </row>
    <row r="2053" spans="2:8" x14ac:dyDescent="0.25">
      <c r="B2053" s="1358" t="s">
        <v>6897</v>
      </c>
      <c r="C2053" s="1359" t="s">
        <v>6937</v>
      </c>
      <c r="D2053" s="1360">
        <v>10996</v>
      </c>
      <c r="E2053" s="1361" t="s">
        <v>900</v>
      </c>
      <c r="F2053" s="1360" t="s">
        <v>266</v>
      </c>
      <c r="G2053" s="1362">
        <v>297500</v>
      </c>
      <c r="H2053" s="1363" t="s">
        <v>6899</v>
      </c>
    </row>
    <row r="2054" spans="2:8" x14ac:dyDescent="0.25">
      <c r="B2054" s="1358" t="s">
        <v>6897</v>
      </c>
      <c r="C2054" s="1359" t="s">
        <v>6997</v>
      </c>
      <c r="D2054" s="1360">
        <v>11007</v>
      </c>
      <c r="E2054" s="1361" t="s">
        <v>2540</v>
      </c>
      <c r="F2054" s="1360" t="s">
        <v>13</v>
      </c>
      <c r="G2054" s="1362">
        <v>245871</v>
      </c>
      <c r="H2054" s="1363" t="s">
        <v>3538</v>
      </c>
    </row>
    <row r="2055" spans="2:8" x14ac:dyDescent="0.25">
      <c r="B2055" s="1358" t="s">
        <v>6897</v>
      </c>
      <c r="C2055" s="1359" t="s">
        <v>7008</v>
      </c>
      <c r="D2055" s="1360">
        <v>11008</v>
      </c>
      <c r="E2055" s="1361" t="s">
        <v>2541</v>
      </c>
      <c r="F2055" s="1360" t="s">
        <v>3</v>
      </c>
      <c r="G2055" s="1362">
        <v>117579</v>
      </c>
      <c r="H2055" s="1363" t="s">
        <v>6899</v>
      </c>
    </row>
    <row r="2056" spans="2:8" x14ac:dyDescent="0.25">
      <c r="B2056" s="1358" t="s">
        <v>6897</v>
      </c>
      <c r="C2056" s="1359" t="s">
        <v>6905</v>
      </c>
      <c r="D2056" s="1360">
        <v>11026</v>
      </c>
      <c r="E2056" s="1361" t="s">
        <v>2543</v>
      </c>
      <c r="F2056" s="1360" t="s">
        <v>3</v>
      </c>
      <c r="G2056" s="1362">
        <v>76160</v>
      </c>
      <c r="H2056" s="1363" t="s">
        <v>6899</v>
      </c>
    </row>
    <row r="2057" spans="2:8" x14ac:dyDescent="0.25">
      <c r="B2057" s="1358" t="s">
        <v>6897</v>
      </c>
      <c r="C2057" s="1359" t="s">
        <v>6905</v>
      </c>
      <c r="D2057" s="1360">
        <v>11027</v>
      </c>
      <c r="E2057" s="1361" t="s">
        <v>2544</v>
      </c>
      <c r="F2057" s="1360" t="s">
        <v>3</v>
      </c>
      <c r="G2057" s="1362">
        <v>76160</v>
      </c>
      <c r="H2057" s="1363" t="s">
        <v>6899</v>
      </c>
    </row>
    <row r="2058" spans="2:8" x14ac:dyDescent="0.25">
      <c r="B2058" s="1358" t="s">
        <v>6897</v>
      </c>
      <c r="C2058" s="1359" t="s">
        <v>6905</v>
      </c>
      <c r="D2058" s="1360">
        <v>11028</v>
      </c>
      <c r="E2058" s="1361" t="s">
        <v>2545</v>
      </c>
      <c r="F2058" s="1360" t="s">
        <v>3</v>
      </c>
      <c r="G2058" s="1362">
        <v>85323</v>
      </c>
      <c r="H2058" s="1363" t="s">
        <v>6899</v>
      </c>
    </row>
    <row r="2059" spans="2:8" x14ac:dyDescent="0.25">
      <c r="B2059" s="1358" t="s">
        <v>6897</v>
      </c>
      <c r="C2059" s="1359" t="s">
        <v>6905</v>
      </c>
      <c r="D2059" s="1360">
        <v>11029</v>
      </c>
      <c r="E2059" s="1361" t="s">
        <v>2546</v>
      </c>
      <c r="F2059" s="1360" t="s">
        <v>3</v>
      </c>
      <c r="G2059" s="1362">
        <v>85680</v>
      </c>
      <c r="H2059" s="1363" t="s">
        <v>6899</v>
      </c>
    </row>
    <row r="2060" spans="2:8" x14ac:dyDescent="0.25">
      <c r="B2060" s="1358" t="s">
        <v>6897</v>
      </c>
      <c r="C2060" s="1359" t="s">
        <v>6905</v>
      </c>
      <c r="D2060" s="1360">
        <v>11030</v>
      </c>
      <c r="E2060" s="1361" t="s">
        <v>2547</v>
      </c>
      <c r="F2060" s="1360" t="s">
        <v>3</v>
      </c>
      <c r="G2060" s="1362">
        <v>87703</v>
      </c>
      <c r="H2060" s="1363" t="s">
        <v>6899</v>
      </c>
    </row>
    <row r="2061" spans="2:8" x14ac:dyDescent="0.25">
      <c r="B2061" s="1358" t="s">
        <v>6897</v>
      </c>
      <c r="C2061" s="1359" t="s">
        <v>6905</v>
      </c>
      <c r="D2061" s="1360">
        <v>11031</v>
      </c>
      <c r="E2061" s="1361" t="s">
        <v>2548</v>
      </c>
      <c r="F2061" s="1360" t="s">
        <v>3</v>
      </c>
      <c r="G2061" s="1362">
        <v>87703</v>
      </c>
      <c r="H2061" s="1363" t="s">
        <v>6899</v>
      </c>
    </row>
    <row r="2062" spans="2:8" x14ac:dyDescent="0.25">
      <c r="B2062" s="1358" t="s">
        <v>6897</v>
      </c>
      <c r="C2062" s="1359" t="s">
        <v>6905</v>
      </c>
      <c r="D2062" s="1360">
        <v>11032</v>
      </c>
      <c r="E2062" s="1361" t="s">
        <v>2549</v>
      </c>
      <c r="F2062" s="1360" t="s">
        <v>3</v>
      </c>
      <c r="G2062" s="1362">
        <v>65450</v>
      </c>
      <c r="H2062" s="1363" t="s">
        <v>6899</v>
      </c>
    </row>
    <row r="2063" spans="2:8" x14ac:dyDescent="0.25">
      <c r="B2063" s="1358" t="s">
        <v>6897</v>
      </c>
      <c r="C2063" s="1359" t="s">
        <v>6905</v>
      </c>
      <c r="D2063" s="1360">
        <v>11033</v>
      </c>
      <c r="E2063" s="1361" t="s">
        <v>2550</v>
      </c>
      <c r="F2063" s="1360" t="s">
        <v>3</v>
      </c>
      <c r="G2063" s="1362">
        <v>65450</v>
      </c>
      <c r="H2063" s="1363" t="s">
        <v>6899</v>
      </c>
    </row>
    <row r="2064" spans="2:8" x14ac:dyDescent="0.25">
      <c r="B2064" s="1358" t="s">
        <v>6897</v>
      </c>
      <c r="C2064" s="1359" t="s">
        <v>6905</v>
      </c>
      <c r="D2064" s="1360">
        <v>11034</v>
      </c>
      <c r="E2064" s="1361" t="s">
        <v>2551</v>
      </c>
      <c r="F2064" s="1360" t="s">
        <v>3</v>
      </c>
      <c r="G2064" s="1362">
        <v>71400</v>
      </c>
      <c r="H2064" s="1363" t="s">
        <v>6899</v>
      </c>
    </row>
    <row r="2065" spans="2:8" x14ac:dyDescent="0.25">
      <c r="B2065" s="1358" t="s">
        <v>6897</v>
      </c>
      <c r="C2065" s="1359" t="s">
        <v>6905</v>
      </c>
      <c r="D2065" s="1360">
        <v>11035</v>
      </c>
      <c r="E2065" s="1361" t="s">
        <v>2552</v>
      </c>
      <c r="F2065" s="1360" t="s">
        <v>3</v>
      </c>
      <c r="G2065" s="1362">
        <v>71400</v>
      </c>
      <c r="H2065" s="1363" t="s">
        <v>6899</v>
      </c>
    </row>
    <row r="2066" spans="2:8" x14ac:dyDescent="0.25">
      <c r="B2066" s="1358" t="s">
        <v>6897</v>
      </c>
      <c r="C2066" s="1359" t="s">
        <v>6905</v>
      </c>
      <c r="D2066" s="1360">
        <v>11036</v>
      </c>
      <c r="E2066" s="1361" t="s">
        <v>2553</v>
      </c>
      <c r="F2066" s="1360" t="s">
        <v>3</v>
      </c>
      <c r="G2066" s="1362">
        <v>71400</v>
      </c>
      <c r="H2066" s="1363" t="s">
        <v>6899</v>
      </c>
    </row>
    <row r="2067" spans="2:8" x14ac:dyDescent="0.25">
      <c r="B2067" s="1358" t="s">
        <v>6897</v>
      </c>
      <c r="C2067" s="1359" t="s">
        <v>6905</v>
      </c>
      <c r="D2067" s="1360">
        <v>11037</v>
      </c>
      <c r="E2067" s="1361" t="s">
        <v>2554</v>
      </c>
      <c r="F2067" s="1360" t="s">
        <v>3</v>
      </c>
      <c r="G2067" s="1362">
        <v>71400</v>
      </c>
      <c r="H2067" s="1363" t="s">
        <v>6899</v>
      </c>
    </row>
    <row r="2068" spans="2:8" x14ac:dyDescent="0.25">
      <c r="B2068" s="1358" t="s">
        <v>6897</v>
      </c>
      <c r="C2068" s="1359" t="s">
        <v>6905</v>
      </c>
      <c r="D2068" s="1360">
        <v>11038</v>
      </c>
      <c r="E2068" s="1361" t="s">
        <v>2555</v>
      </c>
      <c r="F2068" s="1360" t="s">
        <v>3</v>
      </c>
      <c r="G2068" s="1362">
        <v>23562</v>
      </c>
      <c r="H2068" s="1363" t="s">
        <v>6899</v>
      </c>
    </row>
    <row r="2069" spans="2:8" x14ac:dyDescent="0.25">
      <c r="B2069" s="1358" t="s">
        <v>6897</v>
      </c>
      <c r="C2069" s="1359" t="s">
        <v>6905</v>
      </c>
      <c r="D2069" s="1360">
        <v>11039</v>
      </c>
      <c r="E2069" s="1361" t="s">
        <v>2556</v>
      </c>
      <c r="F2069" s="1360" t="s">
        <v>3</v>
      </c>
      <c r="G2069" s="1362">
        <v>19635</v>
      </c>
      <c r="H2069" s="1363" t="s">
        <v>6899</v>
      </c>
    </row>
    <row r="2070" spans="2:8" x14ac:dyDescent="0.25">
      <c r="B2070" s="1358" t="s">
        <v>6897</v>
      </c>
      <c r="C2070" s="1359" t="s">
        <v>1474</v>
      </c>
      <c r="D2070" s="1360">
        <v>11057</v>
      </c>
      <c r="E2070" s="1361" t="s">
        <v>2557</v>
      </c>
      <c r="F2070" s="1360" t="s">
        <v>12</v>
      </c>
      <c r="G2070" s="1362">
        <v>55145</v>
      </c>
      <c r="H2070" s="1363" t="s">
        <v>6899</v>
      </c>
    </row>
    <row r="2071" spans="2:8" x14ac:dyDescent="0.25">
      <c r="B2071" s="1358" t="s">
        <v>6897</v>
      </c>
      <c r="C2071" s="1359" t="s">
        <v>6926</v>
      </c>
      <c r="D2071" s="1360">
        <v>11080</v>
      </c>
      <c r="E2071" s="1361" t="s">
        <v>2558</v>
      </c>
      <c r="F2071" s="1360" t="s">
        <v>3</v>
      </c>
      <c r="G2071" s="1362">
        <v>1186478</v>
      </c>
      <c r="H2071" s="1363" t="s">
        <v>6899</v>
      </c>
    </row>
    <row r="2072" spans="2:8" x14ac:dyDescent="0.25">
      <c r="B2072" s="1358" t="s">
        <v>6897</v>
      </c>
      <c r="C2072" s="1359" t="s">
        <v>6926</v>
      </c>
      <c r="D2072" s="1360">
        <v>11081</v>
      </c>
      <c r="E2072" s="1361" t="s">
        <v>2559</v>
      </c>
      <c r="F2072" s="1360" t="s">
        <v>3</v>
      </c>
      <c r="G2072" s="1362">
        <v>1077390</v>
      </c>
      <c r="H2072" s="1363" t="s">
        <v>6899</v>
      </c>
    </row>
    <row r="2073" spans="2:8" x14ac:dyDescent="0.25">
      <c r="B2073" s="1358" t="s">
        <v>6897</v>
      </c>
      <c r="C2073" s="1359" t="s">
        <v>6926</v>
      </c>
      <c r="D2073" s="1360">
        <v>11082</v>
      </c>
      <c r="E2073" s="1361" t="s">
        <v>2560</v>
      </c>
      <c r="F2073" s="1360" t="s">
        <v>3</v>
      </c>
      <c r="G2073" s="1362">
        <v>1006300</v>
      </c>
      <c r="H2073" s="1363" t="s">
        <v>6899</v>
      </c>
    </row>
    <row r="2074" spans="2:8" x14ac:dyDescent="0.25">
      <c r="B2074" s="1358" t="s">
        <v>6897</v>
      </c>
      <c r="C2074" s="1359" t="s">
        <v>6931</v>
      </c>
      <c r="D2074" s="1360">
        <v>11083</v>
      </c>
      <c r="E2074" s="1361" t="s">
        <v>2561</v>
      </c>
      <c r="F2074" s="1360" t="s">
        <v>266</v>
      </c>
      <c r="G2074" s="1362">
        <v>43914</v>
      </c>
      <c r="H2074" s="1363" t="s">
        <v>3538</v>
      </c>
    </row>
    <row r="2075" spans="2:8" x14ac:dyDescent="0.25">
      <c r="B2075" s="1358" t="s">
        <v>6897</v>
      </c>
      <c r="C2075" s="1359" t="s">
        <v>6931</v>
      </c>
      <c r="D2075" s="1360">
        <v>11084</v>
      </c>
      <c r="E2075" s="1361" t="s">
        <v>2562</v>
      </c>
      <c r="F2075" s="1360" t="s">
        <v>266</v>
      </c>
      <c r="G2075" s="1362">
        <v>150000</v>
      </c>
      <c r="H2075" s="1363" t="s">
        <v>3538</v>
      </c>
    </row>
    <row r="2076" spans="2:8" x14ac:dyDescent="0.25">
      <c r="B2076" s="1358" t="s">
        <v>6897</v>
      </c>
      <c r="C2076" s="1359" t="s">
        <v>7007</v>
      </c>
      <c r="D2076" s="1360">
        <v>11085</v>
      </c>
      <c r="E2076" s="1361" t="s">
        <v>2563</v>
      </c>
      <c r="F2076" s="1360" t="s">
        <v>266</v>
      </c>
      <c r="G2076" s="1362">
        <v>6426000</v>
      </c>
      <c r="H2076" s="1363" t="s">
        <v>3538</v>
      </c>
    </row>
    <row r="2077" spans="2:8" x14ac:dyDescent="0.25">
      <c r="B2077" s="1358" t="s">
        <v>6897</v>
      </c>
      <c r="C2077" s="1359" t="s">
        <v>7007</v>
      </c>
      <c r="D2077" s="1360">
        <v>11086</v>
      </c>
      <c r="E2077" s="1361" t="s">
        <v>871</v>
      </c>
      <c r="F2077" s="1360" t="s">
        <v>266</v>
      </c>
      <c r="G2077" s="1362">
        <v>1049580</v>
      </c>
      <c r="H2077" s="1363" t="s">
        <v>3538</v>
      </c>
    </row>
    <row r="2078" spans="2:8" x14ac:dyDescent="0.25">
      <c r="B2078" s="1358" t="s">
        <v>6897</v>
      </c>
      <c r="C2078" s="1359" t="s">
        <v>6931</v>
      </c>
      <c r="D2078" s="1360">
        <v>11089</v>
      </c>
      <c r="E2078" s="1361" t="s">
        <v>2564</v>
      </c>
      <c r="F2078" s="1360" t="s">
        <v>266</v>
      </c>
      <c r="G2078" s="1362">
        <v>27432</v>
      </c>
      <c r="H2078" s="1363" t="s">
        <v>3538</v>
      </c>
    </row>
    <row r="2079" spans="2:8" x14ac:dyDescent="0.25">
      <c r="B2079" s="1358" t="s">
        <v>6897</v>
      </c>
      <c r="C2079" s="1359" t="s">
        <v>6927</v>
      </c>
      <c r="D2079" s="1360">
        <v>11091</v>
      </c>
      <c r="E2079" s="1361" t="s">
        <v>2565</v>
      </c>
      <c r="F2079" s="1360" t="s">
        <v>6</v>
      </c>
      <c r="G2079" s="1362">
        <v>4451</v>
      </c>
      <c r="H2079" s="1363" t="s">
        <v>6899</v>
      </c>
    </row>
    <row r="2080" spans="2:8" x14ac:dyDescent="0.25">
      <c r="B2080" s="1358" t="s">
        <v>6897</v>
      </c>
      <c r="C2080" s="1359" t="s">
        <v>6927</v>
      </c>
      <c r="D2080" s="1360">
        <v>11092</v>
      </c>
      <c r="E2080" s="1361" t="s">
        <v>2566</v>
      </c>
      <c r="F2080" s="1360" t="s">
        <v>6</v>
      </c>
      <c r="G2080" s="1362">
        <v>8053</v>
      </c>
      <c r="H2080" s="1363" t="s">
        <v>6899</v>
      </c>
    </row>
    <row r="2081" spans="2:8" x14ac:dyDescent="0.25">
      <c r="B2081" s="1358" t="s">
        <v>6897</v>
      </c>
      <c r="C2081" s="1359" t="s">
        <v>6927</v>
      </c>
      <c r="D2081" s="1360">
        <v>11093</v>
      </c>
      <c r="E2081" s="1361" t="s">
        <v>2567</v>
      </c>
      <c r="F2081" s="1360" t="s">
        <v>6</v>
      </c>
      <c r="G2081" s="1362">
        <v>7010</v>
      </c>
      <c r="H2081" s="1363" t="s">
        <v>6899</v>
      </c>
    </row>
    <row r="2082" spans="2:8" x14ac:dyDescent="0.25">
      <c r="B2082" s="1358" t="s">
        <v>6897</v>
      </c>
      <c r="C2082" s="1359" t="s">
        <v>6927</v>
      </c>
      <c r="D2082" s="1360">
        <v>11094</v>
      </c>
      <c r="E2082" s="1361" t="s">
        <v>2568</v>
      </c>
      <c r="F2082" s="1360" t="s">
        <v>6</v>
      </c>
      <c r="G2082" s="1362">
        <v>5795</v>
      </c>
      <c r="H2082" s="1363" t="s">
        <v>6899</v>
      </c>
    </row>
    <row r="2083" spans="2:8" x14ac:dyDescent="0.25">
      <c r="B2083" s="1358" t="s">
        <v>6897</v>
      </c>
      <c r="C2083" s="1359" t="s">
        <v>6927</v>
      </c>
      <c r="D2083" s="1360">
        <v>11096</v>
      </c>
      <c r="E2083" s="1361" t="s">
        <v>2569</v>
      </c>
      <c r="F2083" s="1360" t="s">
        <v>6</v>
      </c>
      <c r="G2083" s="1362">
        <v>12553</v>
      </c>
      <c r="H2083" s="1363" t="s">
        <v>6899</v>
      </c>
    </row>
    <row r="2084" spans="2:8" x14ac:dyDescent="0.25">
      <c r="B2084" s="1358" t="s">
        <v>6897</v>
      </c>
      <c r="C2084" s="1359" t="s">
        <v>6927</v>
      </c>
      <c r="D2084" s="1360">
        <v>11097</v>
      </c>
      <c r="E2084" s="1361" t="s">
        <v>2570</v>
      </c>
      <c r="F2084" s="1360" t="s">
        <v>6</v>
      </c>
      <c r="G2084" s="1362">
        <v>12609</v>
      </c>
      <c r="H2084" s="1363" t="s">
        <v>6899</v>
      </c>
    </row>
    <row r="2085" spans="2:8" x14ac:dyDescent="0.25">
      <c r="B2085" s="1358" t="s">
        <v>6897</v>
      </c>
      <c r="C2085" s="1359" t="s">
        <v>6927</v>
      </c>
      <c r="D2085" s="1360">
        <v>11098</v>
      </c>
      <c r="E2085" s="1361" t="s">
        <v>2571</v>
      </c>
      <c r="F2085" s="1360" t="s">
        <v>6</v>
      </c>
      <c r="G2085" s="1362">
        <v>12649</v>
      </c>
      <c r="H2085" s="1363" t="s">
        <v>6899</v>
      </c>
    </row>
    <row r="2086" spans="2:8" x14ac:dyDescent="0.25">
      <c r="B2086" s="1358" t="s">
        <v>6897</v>
      </c>
      <c r="C2086" s="1359" t="s">
        <v>7067</v>
      </c>
      <c r="D2086" s="1360">
        <v>11101</v>
      </c>
      <c r="E2086" s="1361" t="s">
        <v>2572</v>
      </c>
      <c r="F2086" s="1360" t="s">
        <v>13</v>
      </c>
      <c r="G2086" s="1362">
        <v>94724</v>
      </c>
      <c r="H2086" s="1363" t="s">
        <v>6899</v>
      </c>
    </row>
    <row r="2087" spans="2:8" x14ac:dyDescent="0.25">
      <c r="B2087" s="1358" t="s">
        <v>6897</v>
      </c>
      <c r="C2087" s="1359" t="s">
        <v>7067</v>
      </c>
      <c r="D2087" s="1360">
        <v>11102</v>
      </c>
      <c r="E2087" s="1361" t="s">
        <v>2573</v>
      </c>
      <c r="F2087" s="1360" t="s">
        <v>13</v>
      </c>
      <c r="G2087" s="1362">
        <v>333200</v>
      </c>
      <c r="H2087" s="1363" t="s">
        <v>6899</v>
      </c>
    </row>
    <row r="2088" spans="2:8" x14ac:dyDescent="0.25">
      <c r="B2088" s="1358" t="s">
        <v>6897</v>
      </c>
      <c r="C2088" s="1359" t="s">
        <v>7067</v>
      </c>
      <c r="D2088" s="1360">
        <v>11103</v>
      </c>
      <c r="E2088" s="1361" t="s">
        <v>2574</v>
      </c>
      <c r="F2088" s="1360" t="s">
        <v>13</v>
      </c>
      <c r="G2088" s="1362">
        <v>416500</v>
      </c>
      <c r="H2088" s="1363" t="s">
        <v>6899</v>
      </c>
    </row>
    <row r="2089" spans="2:8" x14ac:dyDescent="0.25">
      <c r="B2089" s="1358" t="s">
        <v>6897</v>
      </c>
      <c r="C2089" s="1359" t="s">
        <v>7067</v>
      </c>
      <c r="D2089" s="1360">
        <v>11106</v>
      </c>
      <c r="E2089" s="1361" t="s">
        <v>2575</v>
      </c>
      <c r="F2089" s="1360" t="s">
        <v>13</v>
      </c>
      <c r="G2089" s="1362">
        <v>440300</v>
      </c>
      <c r="H2089" s="1363" t="s">
        <v>6899</v>
      </c>
    </row>
    <row r="2090" spans="2:8" x14ac:dyDescent="0.25">
      <c r="B2090" s="1358" t="s">
        <v>6897</v>
      </c>
      <c r="C2090" s="1359" t="s">
        <v>7067</v>
      </c>
      <c r="D2090" s="1360">
        <v>11107</v>
      </c>
      <c r="E2090" s="1361" t="s">
        <v>2576</v>
      </c>
      <c r="F2090" s="1360" t="s">
        <v>13</v>
      </c>
      <c r="G2090" s="1362">
        <v>618800</v>
      </c>
      <c r="H2090" s="1363" t="s">
        <v>6899</v>
      </c>
    </row>
    <row r="2091" spans="2:8" x14ac:dyDescent="0.25">
      <c r="B2091" s="1358" t="s">
        <v>6897</v>
      </c>
      <c r="C2091" s="1359" t="s">
        <v>7067</v>
      </c>
      <c r="D2091" s="1360">
        <v>11110</v>
      </c>
      <c r="E2091" s="1361" t="s">
        <v>2577</v>
      </c>
      <c r="F2091" s="1360" t="s">
        <v>13</v>
      </c>
      <c r="G2091" s="1362">
        <v>464100</v>
      </c>
      <c r="H2091" s="1363" t="s">
        <v>6899</v>
      </c>
    </row>
    <row r="2092" spans="2:8" x14ac:dyDescent="0.25">
      <c r="B2092" s="1358" t="s">
        <v>6897</v>
      </c>
      <c r="C2092" s="1359" t="s">
        <v>7067</v>
      </c>
      <c r="D2092" s="1360">
        <v>11114</v>
      </c>
      <c r="E2092" s="1361" t="s">
        <v>2578</v>
      </c>
      <c r="F2092" s="1360" t="s">
        <v>13</v>
      </c>
      <c r="G2092" s="1362">
        <v>487900</v>
      </c>
      <c r="H2092" s="1363" t="s">
        <v>6899</v>
      </c>
    </row>
    <row r="2093" spans="2:8" x14ac:dyDescent="0.25">
      <c r="B2093" s="1358" t="s">
        <v>6897</v>
      </c>
      <c r="C2093" s="1359" t="s">
        <v>6937</v>
      </c>
      <c r="D2093" s="1360">
        <v>11116</v>
      </c>
      <c r="E2093" s="1361" t="s">
        <v>2579</v>
      </c>
      <c r="F2093" s="1360" t="s">
        <v>13</v>
      </c>
      <c r="G2093" s="1362">
        <v>309400</v>
      </c>
      <c r="H2093" s="1363" t="s">
        <v>6899</v>
      </c>
    </row>
    <row r="2094" spans="2:8" x14ac:dyDescent="0.25">
      <c r="B2094" s="1358" t="s">
        <v>6897</v>
      </c>
      <c r="C2094" s="1359" t="s">
        <v>6937</v>
      </c>
      <c r="D2094" s="1360">
        <v>11117</v>
      </c>
      <c r="E2094" s="1361" t="s">
        <v>2580</v>
      </c>
      <c r="F2094" s="1360" t="s">
        <v>13</v>
      </c>
      <c r="G2094" s="1362">
        <v>333200</v>
      </c>
      <c r="H2094" s="1363" t="s">
        <v>6899</v>
      </c>
    </row>
    <row r="2095" spans="2:8" x14ac:dyDescent="0.25">
      <c r="B2095" s="1358" t="s">
        <v>6897</v>
      </c>
      <c r="C2095" s="1359" t="s">
        <v>6937</v>
      </c>
      <c r="D2095" s="1360">
        <v>11118</v>
      </c>
      <c r="E2095" s="1361" t="s">
        <v>2581</v>
      </c>
      <c r="F2095" s="1360" t="s">
        <v>13</v>
      </c>
      <c r="G2095" s="1362">
        <v>333200</v>
      </c>
      <c r="H2095" s="1363" t="s">
        <v>6899</v>
      </c>
    </row>
    <row r="2096" spans="2:8" x14ac:dyDescent="0.25">
      <c r="B2096" s="1358" t="s">
        <v>6897</v>
      </c>
      <c r="C2096" s="1359" t="s">
        <v>6937</v>
      </c>
      <c r="D2096" s="1360">
        <v>11119</v>
      </c>
      <c r="E2096" s="1361" t="s">
        <v>2582</v>
      </c>
      <c r="F2096" s="1360" t="s">
        <v>13</v>
      </c>
      <c r="G2096" s="1362">
        <v>458150</v>
      </c>
      <c r="H2096" s="1363" t="s">
        <v>6899</v>
      </c>
    </row>
    <row r="2097" spans="2:8" x14ac:dyDescent="0.25">
      <c r="B2097" s="1358" t="s">
        <v>6897</v>
      </c>
      <c r="C2097" s="1359" t="s">
        <v>7067</v>
      </c>
      <c r="D2097" s="1360">
        <v>11120</v>
      </c>
      <c r="E2097" s="1361" t="s">
        <v>2583</v>
      </c>
      <c r="F2097" s="1360" t="s">
        <v>266</v>
      </c>
      <c r="G2097" s="1362">
        <v>2142000</v>
      </c>
      <c r="H2097" s="1363" t="s">
        <v>6899</v>
      </c>
    </row>
    <row r="2098" spans="2:8" x14ac:dyDescent="0.25">
      <c r="B2098" s="1358" t="s">
        <v>6897</v>
      </c>
      <c r="C2098" s="1359" t="s">
        <v>7067</v>
      </c>
      <c r="D2098" s="1360">
        <v>11121</v>
      </c>
      <c r="E2098" s="1361" t="s">
        <v>2584</v>
      </c>
      <c r="F2098" s="1360" t="s">
        <v>266</v>
      </c>
      <c r="G2098" s="1362">
        <v>2856000</v>
      </c>
      <c r="H2098" s="1363" t="s">
        <v>6899</v>
      </c>
    </row>
    <row r="2099" spans="2:8" x14ac:dyDescent="0.25">
      <c r="B2099" s="1358" t="s">
        <v>6897</v>
      </c>
      <c r="C2099" s="1359" t="s">
        <v>6926</v>
      </c>
      <c r="D2099" s="1360">
        <v>11125</v>
      </c>
      <c r="E2099" s="1361" t="s">
        <v>2585</v>
      </c>
      <c r="F2099" s="1360" t="s">
        <v>6</v>
      </c>
      <c r="G2099" s="1362">
        <v>4356</v>
      </c>
      <c r="H2099" s="1363" t="s">
        <v>6899</v>
      </c>
    </row>
    <row r="2100" spans="2:8" x14ac:dyDescent="0.25">
      <c r="B2100" s="1358" t="s">
        <v>6897</v>
      </c>
      <c r="C2100" s="1359" t="s">
        <v>6926</v>
      </c>
      <c r="D2100" s="1360">
        <v>11127</v>
      </c>
      <c r="E2100" s="1361" t="s">
        <v>2586</v>
      </c>
      <c r="F2100" s="1360" t="s">
        <v>6</v>
      </c>
      <c r="G2100" s="1362">
        <v>4414</v>
      </c>
      <c r="H2100" s="1363" t="s">
        <v>6899</v>
      </c>
    </row>
    <row r="2101" spans="2:8" x14ac:dyDescent="0.25">
      <c r="B2101" s="1358" t="s">
        <v>6897</v>
      </c>
      <c r="C2101" s="1359" t="s">
        <v>6922</v>
      </c>
      <c r="D2101" s="1360">
        <v>11136</v>
      </c>
      <c r="E2101" s="1361" t="s">
        <v>2587</v>
      </c>
      <c r="F2101" s="1360" t="s">
        <v>13</v>
      </c>
      <c r="G2101" s="1362">
        <v>291990</v>
      </c>
      <c r="H2101" s="1363" t="s">
        <v>3538</v>
      </c>
    </row>
    <row r="2102" spans="2:8" x14ac:dyDescent="0.25">
      <c r="B2102" s="1358" t="s">
        <v>6897</v>
      </c>
      <c r="C2102" s="1359" t="s">
        <v>7068</v>
      </c>
      <c r="D2102" s="1360">
        <v>11137</v>
      </c>
      <c r="E2102" s="1361" t="s">
        <v>879</v>
      </c>
      <c r="F2102" s="1360" t="s">
        <v>12</v>
      </c>
      <c r="G2102" s="1362">
        <v>1511</v>
      </c>
      <c r="H2102" s="1363" t="s">
        <v>3538</v>
      </c>
    </row>
    <row r="2103" spans="2:8" x14ac:dyDescent="0.25">
      <c r="B2103" s="1358" t="s">
        <v>6897</v>
      </c>
      <c r="C2103" s="1359" t="s">
        <v>7068</v>
      </c>
      <c r="D2103" s="1360">
        <v>11138</v>
      </c>
      <c r="E2103" s="1361" t="s">
        <v>880</v>
      </c>
      <c r="F2103" s="1360" t="s">
        <v>12</v>
      </c>
      <c r="G2103" s="1362">
        <v>1166</v>
      </c>
      <c r="H2103" s="1363" t="s">
        <v>3538</v>
      </c>
    </row>
    <row r="2104" spans="2:8" x14ac:dyDescent="0.25">
      <c r="B2104" s="1358" t="s">
        <v>6897</v>
      </c>
      <c r="C2104" s="1359" t="s">
        <v>7068</v>
      </c>
      <c r="D2104" s="1360">
        <v>11139</v>
      </c>
      <c r="E2104" s="1361" t="s">
        <v>881</v>
      </c>
      <c r="F2104" s="1360" t="s">
        <v>12</v>
      </c>
      <c r="G2104" s="1362">
        <v>833</v>
      </c>
      <c r="H2104" s="1363" t="s">
        <v>3538</v>
      </c>
    </row>
    <row r="2105" spans="2:8" x14ac:dyDescent="0.25">
      <c r="B2105" s="1358" t="s">
        <v>6897</v>
      </c>
      <c r="C2105" s="1359" t="s">
        <v>6916</v>
      </c>
      <c r="D2105" s="1360">
        <v>11145</v>
      </c>
      <c r="E2105" s="1361" t="s">
        <v>2588</v>
      </c>
      <c r="F2105" s="1360" t="s">
        <v>266</v>
      </c>
      <c r="G2105" s="1362">
        <v>197792</v>
      </c>
      <c r="H2105" s="1363" t="s">
        <v>3538</v>
      </c>
    </row>
    <row r="2106" spans="2:8" x14ac:dyDescent="0.25">
      <c r="B2106" s="1358" t="s">
        <v>6897</v>
      </c>
      <c r="C2106" s="1359" t="s">
        <v>6916</v>
      </c>
      <c r="D2106" s="1360">
        <v>11146</v>
      </c>
      <c r="E2106" s="1361" t="s">
        <v>2589</v>
      </c>
      <c r="F2106" s="1360" t="s">
        <v>266</v>
      </c>
      <c r="G2106" s="1362">
        <v>279548</v>
      </c>
      <c r="H2106" s="1363" t="s">
        <v>3538</v>
      </c>
    </row>
    <row r="2107" spans="2:8" x14ac:dyDescent="0.25">
      <c r="B2107" s="1358" t="s">
        <v>6897</v>
      </c>
      <c r="C2107" s="1359" t="s">
        <v>6916</v>
      </c>
      <c r="D2107" s="1360">
        <v>11147</v>
      </c>
      <c r="E2107" s="1361" t="s">
        <v>2590</v>
      </c>
      <c r="F2107" s="1360" t="s">
        <v>266</v>
      </c>
      <c r="G2107" s="1362">
        <v>341357</v>
      </c>
      <c r="H2107" s="1363" t="s">
        <v>3538</v>
      </c>
    </row>
    <row r="2108" spans="2:8" x14ac:dyDescent="0.25">
      <c r="B2108" s="1358" t="s">
        <v>6897</v>
      </c>
      <c r="C2108" s="1359" t="s">
        <v>6916</v>
      </c>
      <c r="D2108" s="1360">
        <v>11148</v>
      </c>
      <c r="E2108" s="1361" t="s">
        <v>2591</v>
      </c>
      <c r="F2108" s="1360" t="s">
        <v>266</v>
      </c>
      <c r="G2108" s="1362">
        <v>365121</v>
      </c>
      <c r="H2108" s="1363" t="s">
        <v>3538</v>
      </c>
    </row>
    <row r="2109" spans="2:8" x14ac:dyDescent="0.25">
      <c r="B2109" s="1358" t="s">
        <v>6897</v>
      </c>
      <c r="C2109" s="1359" t="s">
        <v>6902</v>
      </c>
      <c r="D2109" s="1360">
        <v>11156</v>
      </c>
      <c r="E2109" s="1361" t="s">
        <v>4062</v>
      </c>
      <c r="F2109" s="1360" t="s">
        <v>1124</v>
      </c>
      <c r="G2109" s="1362">
        <v>85720</v>
      </c>
      <c r="H2109" s="1363" t="s">
        <v>3538</v>
      </c>
    </row>
    <row r="2110" spans="2:8" x14ac:dyDescent="0.25">
      <c r="B2110" s="1358" t="s">
        <v>6897</v>
      </c>
      <c r="C2110" s="1359" t="s">
        <v>6993</v>
      </c>
      <c r="D2110" s="1360">
        <v>11161</v>
      </c>
      <c r="E2110" s="1361" t="s">
        <v>2592</v>
      </c>
      <c r="F2110" s="1360" t="s">
        <v>6</v>
      </c>
      <c r="G2110" s="1362">
        <v>1314</v>
      </c>
      <c r="H2110" s="1363" t="s">
        <v>6899</v>
      </c>
    </row>
    <row r="2111" spans="2:8" x14ac:dyDescent="0.25">
      <c r="B2111" s="1358" t="s">
        <v>6897</v>
      </c>
      <c r="C2111" s="1359" t="s">
        <v>6931</v>
      </c>
      <c r="D2111" s="1360">
        <v>11164</v>
      </c>
      <c r="E2111" s="1361" t="s">
        <v>2593</v>
      </c>
      <c r="F2111" s="1360" t="s">
        <v>266</v>
      </c>
      <c r="G2111" s="1362">
        <v>40578</v>
      </c>
      <c r="H2111" s="1363" t="s">
        <v>3538</v>
      </c>
    </row>
    <row r="2112" spans="2:8" x14ac:dyDescent="0.25">
      <c r="B2112" s="1358" t="s">
        <v>6897</v>
      </c>
      <c r="C2112" s="1359" t="s">
        <v>6922</v>
      </c>
      <c r="D2112" s="1360">
        <v>11165</v>
      </c>
      <c r="E2112" s="1361" t="s">
        <v>886</v>
      </c>
      <c r="F2112" s="1360" t="s">
        <v>266</v>
      </c>
      <c r="G2112" s="1362">
        <v>6025</v>
      </c>
      <c r="H2112" s="1363" t="s">
        <v>3538</v>
      </c>
    </row>
    <row r="2113" spans="2:8" x14ac:dyDescent="0.25">
      <c r="B2113" s="1358" t="s">
        <v>6897</v>
      </c>
      <c r="C2113" s="1359" t="s">
        <v>6912</v>
      </c>
      <c r="D2113" s="1360">
        <v>11167</v>
      </c>
      <c r="E2113" s="1361" t="s">
        <v>2594</v>
      </c>
      <c r="F2113" s="1360" t="s">
        <v>202</v>
      </c>
      <c r="G2113" s="1362">
        <v>4898</v>
      </c>
      <c r="H2113" s="1363" t="s">
        <v>6899</v>
      </c>
    </row>
    <row r="2114" spans="2:8" x14ac:dyDescent="0.25">
      <c r="B2114" s="1358" t="s">
        <v>6897</v>
      </c>
      <c r="C2114" s="1359" t="s">
        <v>6907</v>
      </c>
      <c r="D2114" s="1360">
        <v>11169</v>
      </c>
      <c r="E2114" s="1361" t="s">
        <v>2595</v>
      </c>
      <c r="F2114" s="1360" t="s">
        <v>13</v>
      </c>
      <c r="G2114" s="1362">
        <v>91678</v>
      </c>
      <c r="H2114" s="1363" t="s">
        <v>3535</v>
      </c>
    </row>
    <row r="2115" spans="2:8" x14ac:dyDescent="0.25">
      <c r="B2115" s="1358" t="s">
        <v>6897</v>
      </c>
      <c r="C2115" s="1359" t="s">
        <v>6898</v>
      </c>
      <c r="D2115" s="1360">
        <v>11171</v>
      </c>
      <c r="E2115" s="1361" t="s">
        <v>2596</v>
      </c>
      <c r="F2115" s="1360" t="s">
        <v>3</v>
      </c>
      <c r="G2115" s="1362">
        <v>718953</v>
      </c>
      <c r="H2115" s="1363" t="s">
        <v>6899</v>
      </c>
    </row>
    <row r="2116" spans="2:8" x14ac:dyDescent="0.25">
      <c r="B2116" s="1358" t="s">
        <v>6897</v>
      </c>
      <c r="C2116" s="1359" t="s">
        <v>6898</v>
      </c>
      <c r="D2116" s="1360">
        <v>11172</v>
      </c>
      <c r="E2116" s="1361" t="s">
        <v>2597</v>
      </c>
      <c r="F2116" s="1360" t="s">
        <v>3</v>
      </c>
      <c r="G2116" s="1362">
        <v>749386</v>
      </c>
      <c r="H2116" s="1363" t="s">
        <v>6899</v>
      </c>
    </row>
    <row r="2117" spans="2:8" x14ac:dyDescent="0.25">
      <c r="B2117" s="1358" t="s">
        <v>6897</v>
      </c>
      <c r="C2117" s="1359" t="s">
        <v>6994</v>
      </c>
      <c r="D2117" s="1360">
        <v>11173</v>
      </c>
      <c r="E2117" s="1361" t="s">
        <v>2598</v>
      </c>
      <c r="F2117" s="1360" t="s">
        <v>266</v>
      </c>
      <c r="G2117" s="1362">
        <v>113050</v>
      </c>
      <c r="H2117" s="1363" t="s">
        <v>3538</v>
      </c>
    </row>
    <row r="2118" spans="2:8" x14ac:dyDescent="0.25">
      <c r="B2118" s="1358" t="s">
        <v>6897</v>
      </c>
      <c r="C2118" s="1359" t="s">
        <v>6922</v>
      </c>
      <c r="D2118" s="1360">
        <v>11175</v>
      </c>
      <c r="E2118" s="1361" t="s">
        <v>4063</v>
      </c>
      <c r="F2118" s="1360" t="s">
        <v>266</v>
      </c>
      <c r="G2118" s="1362">
        <v>54748</v>
      </c>
      <c r="H2118" s="1363" t="s">
        <v>3538</v>
      </c>
    </row>
    <row r="2119" spans="2:8" x14ac:dyDescent="0.25">
      <c r="B2119" s="1358" t="s">
        <v>6897</v>
      </c>
      <c r="C2119" s="1359" t="s">
        <v>6922</v>
      </c>
      <c r="D2119" s="1360">
        <v>11277</v>
      </c>
      <c r="E2119" s="1361" t="s">
        <v>2599</v>
      </c>
      <c r="F2119" s="1360" t="s">
        <v>266</v>
      </c>
      <c r="G2119" s="1362">
        <v>11156</v>
      </c>
      <c r="H2119" s="1363" t="s">
        <v>3538</v>
      </c>
    </row>
    <row r="2120" spans="2:8" x14ac:dyDescent="0.25">
      <c r="B2120" s="1358" t="s">
        <v>6897</v>
      </c>
      <c r="C2120" s="1359" t="s">
        <v>6922</v>
      </c>
      <c r="D2120" s="1360">
        <v>11278</v>
      </c>
      <c r="E2120" s="1361" t="s">
        <v>893</v>
      </c>
      <c r="F2120" s="1360" t="s">
        <v>266</v>
      </c>
      <c r="G2120" s="1362">
        <v>589050</v>
      </c>
      <c r="H2120" s="1363" t="s">
        <v>3538</v>
      </c>
    </row>
    <row r="2121" spans="2:8" x14ac:dyDescent="0.25">
      <c r="B2121" s="1358" t="s">
        <v>6897</v>
      </c>
      <c r="C2121" s="1359" t="s">
        <v>6922</v>
      </c>
      <c r="D2121" s="1360">
        <v>11279</v>
      </c>
      <c r="E2121" s="1361" t="s">
        <v>894</v>
      </c>
      <c r="F2121" s="1360" t="s">
        <v>266</v>
      </c>
      <c r="G2121" s="1362">
        <v>589050</v>
      </c>
      <c r="H2121" s="1363" t="s">
        <v>3538</v>
      </c>
    </row>
    <row r="2122" spans="2:8" x14ac:dyDescent="0.25">
      <c r="B2122" s="1358" t="s">
        <v>6897</v>
      </c>
      <c r="C2122" s="1359" t="s">
        <v>7009</v>
      </c>
      <c r="D2122" s="1360">
        <v>11280</v>
      </c>
      <c r="E2122" s="1361" t="s">
        <v>2600</v>
      </c>
      <c r="F2122" s="1360" t="s">
        <v>266</v>
      </c>
      <c r="G2122" s="1362">
        <v>4165000</v>
      </c>
      <c r="H2122" s="1363" t="s">
        <v>6899</v>
      </c>
    </row>
    <row r="2123" spans="2:8" x14ac:dyDescent="0.25">
      <c r="B2123" s="1358" t="s">
        <v>6897</v>
      </c>
      <c r="C2123" s="1359" t="s">
        <v>6907</v>
      </c>
      <c r="D2123" s="1360">
        <v>11292</v>
      </c>
      <c r="E2123" s="1361" t="s">
        <v>2605</v>
      </c>
      <c r="F2123" s="1360" t="s">
        <v>266</v>
      </c>
      <c r="G2123" s="1362">
        <v>26497</v>
      </c>
      <c r="H2123" s="1363" t="s">
        <v>3535</v>
      </c>
    </row>
    <row r="2124" spans="2:8" x14ac:dyDescent="0.25">
      <c r="B2124" s="1358" t="s">
        <v>6897</v>
      </c>
      <c r="C2124" s="1359" t="s">
        <v>6940</v>
      </c>
      <c r="D2124" s="1360">
        <v>11304</v>
      </c>
      <c r="E2124" s="1361" t="s">
        <v>4064</v>
      </c>
      <c r="F2124" s="1360" t="s">
        <v>896</v>
      </c>
      <c r="G2124" s="1362">
        <v>130900</v>
      </c>
      <c r="H2124" s="1363" t="s">
        <v>6899</v>
      </c>
    </row>
    <row r="2125" spans="2:8" x14ac:dyDescent="0.25">
      <c r="B2125" s="1358" t="s">
        <v>6897</v>
      </c>
      <c r="C2125" s="1359" t="s">
        <v>6940</v>
      </c>
      <c r="D2125" s="1360">
        <v>11305</v>
      </c>
      <c r="E2125" s="1361" t="s">
        <v>4065</v>
      </c>
      <c r="F2125" s="1360" t="s">
        <v>896</v>
      </c>
      <c r="G2125" s="1362">
        <v>113050</v>
      </c>
      <c r="H2125" s="1363" t="s">
        <v>6899</v>
      </c>
    </row>
    <row r="2126" spans="2:8" x14ac:dyDescent="0.25">
      <c r="B2126" s="1358" t="s">
        <v>6897</v>
      </c>
      <c r="C2126" s="1359" t="s">
        <v>6992</v>
      </c>
      <c r="D2126" s="1360">
        <v>11308</v>
      </c>
      <c r="E2126" s="1361" t="s">
        <v>2606</v>
      </c>
      <c r="F2126" s="1360" t="s">
        <v>1124</v>
      </c>
      <c r="G2126" s="1362">
        <v>5107</v>
      </c>
      <c r="H2126" s="1363" t="s">
        <v>3538</v>
      </c>
    </row>
    <row r="2127" spans="2:8" x14ac:dyDescent="0.25">
      <c r="B2127" s="1358" t="s">
        <v>6897</v>
      </c>
      <c r="C2127" s="1359" t="s">
        <v>6917</v>
      </c>
      <c r="D2127" s="1360">
        <v>11328</v>
      </c>
      <c r="E2127" s="1361" t="s">
        <v>2607</v>
      </c>
      <c r="F2127" s="1360" t="s">
        <v>1155</v>
      </c>
      <c r="G2127" s="1362">
        <v>162540</v>
      </c>
      <c r="H2127" s="1363" t="s">
        <v>3538</v>
      </c>
    </row>
    <row r="2128" spans="2:8" x14ac:dyDescent="0.25">
      <c r="B2128" s="1358" t="s">
        <v>6897</v>
      </c>
      <c r="C2128" s="1359" t="s">
        <v>6917</v>
      </c>
      <c r="D2128" s="1360">
        <v>11329</v>
      </c>
      <c r="E2128" s="1361" t="s">
        <v>2608</v>
      </c>
      <c r="F2128" s="1360" t="s">
        <v>1155</v>
      </c>
      <c r="G2128" s="1362">
        <v>320000</v>
      </c>
      <c r="H2128" s="1363" t="s">
        <v>3538</v>
      </c>
    </row>
    <row r="2129" spans="2:8" x14ac:dyDescent="0.25">
      <c r="B2129" s="1358" t="s">
        <v>6897</v>
      </c>
      <c r="C2129" s="1359" t="s">
        <v>6917</v>
      </c>
      <c r="D2129" s="1360">
        <v>11330</v>
      </c>
      <c r="E2129" s="1361" t="s">
        <v>2609</v>
      </c>
      <c r="F2129" s="1360" t="s">
        <v>1155</v>
      </c>
      <c r="G2129" s="1362">
        <v>290000</v>
      </c>
      <c r="H2129" s="1363" t="s">
        <v>3538</v>
      </c>
    </row>
    <row r="2130" spans="2:8" x14ac:dyDescent="0.25">
      <c r="B2130" s="1358" t="s">
        <v>6897</v>
      </c>
      <c r="C2130" s="1359" t="s">
        <v>6917</v>
      </c>
      <c r="D2130" s="1360">
        <v>11331</v>
      </c>
      <c r="E2130" s="1361" t="s">
        <v>2610</v>
      </c>
      <c r="F2130" s="1360" t="s">
        <v>1155</v>
      </c>
      <c r="G2130" s="1362">
        <v>290000</v>
      </c>
      <c r="H2130" s="1363" t="s">
        <v>3538</v>
      </c>
    </row>
    <row r="2131" spans="2:8" x14ac:dyDescent="0.25">
      <c r="B2131" s="1358" t="s">
        <v>6897</v>
      </c>
      <c r="C2131" s="1359" t="s">
        <v>6920</v>
      </c>
      <c r="D2131" s="1360">
        <v>11332</v>
      </c>
      <c r="E2131" s="1361" t="s">
        <v>2611</v>
      </c>
      <c r="F2131" s="1360" t="s">
        <v>13</v>
      </c>
      <c r="G2131" s="1362">
        <v>380800</v>
      </c>
      <c r="H2131" s="1363" t="s">
        <v>6899</v>
      </c>
    </row>
    <row r="2132" spans="2:8" x14ac:dyDescent="0.25">
      <c r="B2132" s="1358" t="s">
        <v>6897</v>
      </c>
      <c r="C2132" s="1359" t="s">
        <v>6927</v>
      </c>
      <c r="D2132" s="1360">
        <v>11337</v>
      </c>
      <c r="E2132" s="1361" t="s">
        <v>2612</v>
      </c>
      <c r="F2132" s="1360" t="s">
        <v>6</v>
      </c>
      <c r="G2132" s="1362">
        <v>25981</v>
      </c>
      <c r="H2132" s="1363" t="s">
        <v>6899</v>
      </c>
    </row>
    <row r="2133" spans="2:8" x14ac:dyDescent="0.25">
      <c r="B2133" s="1358" t="s">
        <v>6897</v>
      </c>
      <c r="C2133" s="1359" t="s">
        <v>6926</v>
      </c>
      <c r="D2133" s="1360">
        <v>11338</v>
      </c>
      <c r="E2133" s="1361" t="s">
        <v>2613</v>
      </c>
      <c r="F2133" s="1360" t="s">
        <v>3</v>
      </c>
      <c r="G2133" s="1362">
        <v>897212</v>
      </c>
      <c r="H2133" s="1363" t="s">
        <v>6899</v>
      </c>
    </row>
    <row r="2134" spans="2:8" x14ac:dyDescent="0.25">
      <c r="B2134" s="1358" t="s">
        <v>6897</v>
      </c>
      <c r="C2134" s="1359" t="s">
        <v>6898</v>
      </c>
      <c r="D2134" s="1360">
        <v>11342</v>
      </c>
      <c r="E2134" s="1361" t="s">
        <v>2614</v>
      </c>
      <c r="F2134" s="1360" t="s">
        <v>3</v>
      </c>
      <c r="G2134" s="1362">
        <v>659879</v>
      </c>
      <c r="H2134" s="1363" t="s">
        <v>6899</v>
      </c>
    </row>
    <row r="2135" spans="2:8" x14ac:dyDescent="0.25">
      <c r="B2135" s="1358" t="s">
        <v>6897</v>
      </c>
      <c r="C2135" s="1359" t="s">
        <v>6898</v>
      </c>
      <c r="D2135" s="1360">
        <v>11343</v>
      </c>
      <c r="E2135" s="1361" t="s">
        <v>2615</v>
      </c>
      <c r="F2135" s="1360" t="s">
        <v>3</v>
      </c>
      <c r="G2135" s="1362">
        <v>696972</v>
      </c>
      <c r="H2135" s="1363" t="s">
        <v>6899</v>
      </c>
    </row>
    <row r="2136" spans="2:8" x14ac:dyDescent="0.25">
      <c r="B2136" s="1358" t="s">
        <v>6897</v>
      </c>
      <c r="C2136" s="1359" t="s">
        <v>6927</v>
      </c>
      <c r="D2136" s="1360">
        <v>11344</v>
      </c>
      <c r="E2136" s="1361" t="s">
        <v>2616</v>
      </c>
      <c r="F2136" s="1360" t="s">
        <v>6</v>
      </c>
      <c r="G2136" s="1362">
        <v>54264</v>
      </c>
      <c r="H2136" s="1363" t="s">
        <v>6899</v>
      </c>
    </row>
    <row r="2137" spans="2:8" x14ac:dyDescent="0.25">
      <c r="B2137" s="1358" t="s">
        <v>6897</v>
      </c>
      <c r="C2137" s="1359" t="s">
        <v>6927</v>
      </c>
      <c r="D2137" s="1360">
        <v>11346</v>
      </c>
      <c r="E2137" s="1361" t="s">
        <v>2617</v>
      </c>
      <c r="F2137" s="1360" t="s">
        <v>13</v>
      </c>
      <c r="G2137" s="1362">
        <v>10674</v>
      </c>
      <c r="H2137" s="1363" t="s">
        <v>6899</v>
      </c>
    </row>
    <row r="2138" spans="2:8" x14ac:dyDescent="0.25">
      <c r="B2138" s="1358" t="s">
        <v>6897</v>
      </c>
      <c r="C2138" s="1359" t="s">
        <v>6916</v>
      </c>
      <c r="D2138" s="1360">
        <v>11349</v>
      </c>
      <c r="E2138" s="1361" t="s">
        <v>2618</v>
      </c>
      <c r="F2138" s="1360" t="s">
        <v>13</v>
      </c>
      <c r="G2138" s="1362">
        <v>1494569</v>
      </c>
      <c r="H2138" s="1363" t="s">
        <v>3538</v>
      </c>
    </row>
    <row r="2139" spans="2:8" x14ac:dyDescent="0.25">
      <c r="B2139" s="1358" t="s">
        <v>6897</v>
      </c>
      <c r="C2139" s="1359" t="s">
        <v>6916</v>
      </c>
      <c r="D2139" s="1360">
        <v>11350</v>
      </c>
      <c r="E2139" s="1361" t="s">
        <v>2619</v>
      </c>
      <c r="F2139" s="1360" t="s">
        <v>13</v>
      </c>
      <c r="G2139" s="1362">
        <v>1639965</v>
      </c>
      <c r="H2139" s="1363" t="s">
        <v>3538</v>
      </c>
    </row>
    <row r="2140" spans="2:8" x14ac:dyDescent="0.25">
      <c r="B2140" s="1358" t="s">
        <v>6897</v>
      </c>
      <c r="C2140" s="1359" t="s">
        <v>6916</v>
      </c>
      <c r="D2140" s="1360">
        <v>11351</v>
      </c>
      <c r="E2140" s="1361" t="s">
        <v>2620</v>
      </c>
      <c r="F2140" s="1360" t="s">
        <v>13</v>
      </c>
      <c r="G2140" s="1362">
        <v>1810791</v>
      </c>
      <c r="H2140" s="1363" t="s">
        <v>3538</v>
      </c>
    </row>
    <row r="2141" spans="2:8" x14ac:dyDescent="0.25">
      <c r="B2141" s="1358" t="s">
        <v>6897</v>
      </c>
      <c r="C2141" s="1359" t="s">
        <v>6916</v>
      </c>
      <c r="D2141" s="1360">
        <v>11352</v>
      </c>
      <c r="E2141" s="1361" t="s">
        <v>2621</v>
      </c>
      <c r="F2141" s="1360" t="s">
        <v>13</v>
      </c>
      <c r="G2141" s="1362">
        <v>2151732</v>
      </c>
      <c r="H2141" s="1363" t="s">
        <v>3538</v>
      </c>
    </row>
    <row r="2142" spans="2:8" x14ac:dyDescent="0.25">
      <c r="B2142" s="1358" t="s">
        <v>6897</v>
      </c>
      <c r="C2142" s="1359" t="s">
        <v>6916</v>
      </c>
      <c r="D2142" s="1360">
        <v>11353</v>
      </c>
      <c r="E2142" s="1361" t="s">
        <v>2622</v>
      </c>
      <c r="F2142" s="1360" t="s">
        <v>13</v>
      </c>
      <c r="G2142" s="1362">
        <v>2457178</v>
      </c>
      <c r="H2142" s="1363" t="s">
        <v>3538</v>
      </c>
    </row>
    <row r="2143" spans="2:8" x14ac:dyDescent="0.25">
      <c r="B2143" s="1358" t="s">
        <v>6897</v>
      </c>
      <c r="C2143" s="1359" t="s">
        <v>6916</v>
      </c>
      <c r="D2143" s="1360">
        <v>11354</v>
      </c>
      <c r="E2143" s="1361" t="s">
        <v>2623</v>
      </c>
      <c r="F2143" s="1360" t="s">
        <v>13</v>
      </c>
      <c r="G2143" s="1362">
        <v>2681675</v>
      </c>
      <c r="H2143" s="1363" t="s">
        <v>3538</v>
      </c>
    </row>
    <row r="2144" spans="2:8" x14ac:dyDescent="0.25">
      <c r="B2144" s="1358" t="s">
        <v>6897</v>
      </c>
      <c r="C2144" s="1359" t="s">
        <v>6916</v>
      </c>
      <c r="D2144" s="1360">
        <v>11355</v>
      </c>
      <c r="E2144" s="1361" t="s">
        <v>2624</v>
      </c>
      <c r="F2144" s="1360" t="s">
        <v>13</v>
      </c>
      <c r="G2144" s="1362">
        <v>3294385</v>
      </c>
      <c r="H2144" s="1363" t="s">
        <v>3538</v>
      </c>
    </row>
    <row r="2145" spans="2:8" x14ac:dyDescent="0.25">
      <c r="B2145" s="1358" t="s">
        <v>6897</v>
      </c>
      <c r="C2145" s="1359" t="s">
        <v>6916</v>
      </c>
      <c r="D2145" s="1360">
        <v>11356</v>
      </c>
      <c r="E2145" s="1361" t="s">
        <v>2625</v>
      </c>
      <c r="F2145" s="1360" t="s">
        <v>13</v>
      </c>
      <c r="G2145" s="1362">
        <v>3657935</v>
      </c>
      <c r="H2145" s="1363" t="s">
        <v>3538</v>
      </c>
    </row>
    <row r="2146" spans="2:8" x14ac:dyDescent="0.25">
      <c r="B2146" s="1358" t="s">
        <v>6897</v>
      </c>
      <c r="C2146" s="1359" t="s">
        <v>6916</v>
      </c>
      <c r="D2146" s="1360">
        <v>11357</v>
      </c>
      <c r="E2146" s="1361" t="s">
        <v>2626</v>
      </c>
      <c r="F2146" s="1360" t="s">
        <v>13</v>
      </c>
      <c r="G2146" s="1362">
        <v>4372577</v>
      </c>
      <c r="H2146" s="1363" t="s">
        <v>3538</v>
      </c>
    </row>
    <row r="2147" spans="2:8" x14ac:dyDescent="0.25">
      <c r="B2147" s="1358" t="s">
        <v>6897</v>
      </c>
      <c r="C2147" s="1359" t="s">
        <v>6916</v>
      </c>
      <c r="D2147" s="1360">
        <v>11358</v>
      </c>
      <c r="E2147" s="1361" t="s">
        <v>2627</v>
      </c>
      <c r="F2147" s="1360" t="s">
        <v>13</v>
      </c>
      <c r="G2147" s="1362">
        <v>5032889</v>
      </c>
      <c r="H2147" s="1363" t="s">
        <v>3538</v>
      </c>
    </row>
    <row r="2148" spans="2:8" x14ac:dyDescent="0.25">
      <c r="B2148" s="1358" t="s">
        <v>6897</v>
      </c>
      <c r="C2148" s="1359" t="s">
        <v>6916</v>
      </c>
      <c r="D2148" s="1360">
        <v>11359</v>
      </c>
      <c r="E2148" s="1361" t="s">
        <v>2628</v>
      </c>
      <c r="F2148" s="1360" t="s">
        <v>13</v>
      </c>
      <c r="G2148" s="1362">
        <v>6617212</v>
      </c>
      <c r="H2148" s="1363" t="s">
        <v>3538</v>
      </c>
    </row>
    <row r="2149" spans="2:8" x14ac:dyDescent="0.25">
      <c r="B2149" s="1358" t="s">
        <v>6897</v>
      </c>
      <c r="C2149" s="1359" t="s">
        <v>6916</v>
      </c>
      <c r="D2149" s="1360">
        <v>11360</v>
      </c>
      <c r="E2149" s="1361" t="s">
        <v>2629</v>
      </c>
      <c r="F2149" s="1360" t="s">
        <v>13</v>
      </c>
      <c r="G2149" s="1362">
        <v>8418010</v>
      </c>
      <c r="H2149" s="1363" t="s">
        <v>3538</v>
      </c>
    </row>
    <row r="2150" spans="2:8" x14ac:dyDescent="0.25">
      <c r="B2150" s="1358" t="s">
        <v>6897</v>
      </c>
      <c r="C2150" s="1359" t="s">
        <v>6916</v>
      </c>
      <c r="D2150" s="1360">
        <v>11361</v>
      </c>
      <c r="E2150" s="1361" t="s">
        <v>2630</v>
      </c>
      <c r="F2150" s="1360" t="s">
        <v>13</v>
      </c>
      <c r="G2150" s="1362">
        <v>9217716</v>
      </c>
      <c r="H2150" s="1363" t="s">
        <v>3538</v>
      </c>
    </row>
    <row r="2151" spans="2:8" x14ac:dyDescent="0.25">
      <c r="B2151" s="1358" t="s">
        <v>6897</v>
      </c>
      <c r="C2151" s="1359" t="s">
        <v>6908</v>
      </c>
      <c r="D2151" s="1360">
        <v>11362</v>
      </c>
      <c r="E2151" s="1361" t="s">
        <v>2631</v>
      </c>
      <c r="F2151" s="1360" t="s">
        <v>266</v>
      </c>
      <c r="G2151" s="1362">
        <v>4480</v>
      </c>
      <c r="H2151" s="1363" t="s">
        <v>3538</v>
      </c>
    </row>
    <row r="2152" spans="2:8" x14ac:dyDescent="0.25">
      <c r="B2152" s="1358" t="s">
        <v>6897</v>
      </c>
      <c r="C2152" s="1359" t="s">
        <v>7010</v>
      </c>
      <c r="D2152" s="1360">
        <v>11363</v>
      </c>
      <c r="E2152" s="1361" t="s">
        <v>823</v>
      </c>
      <c r="F2152" s="1360" t="s">
        <v>266</v>
      </c>
      <c r="G2152" s="1362">
        <v>89202</v>
      </c>
      <c r="H2152" s="1363" t="s">
        <v>3538</v>
      </c>
    </row>
    <row r="2153" spans="2:8" x14ac:dyDescent="0.25">
      <c r="B2153" s="1358" t="s">
        <v>6897</v>
      </c>
      <c r="C2153" s="1359" t="s">
        <v>6898</v>
      </c>
      <c r="D2153" s="1360">
        <v>11366</v>
      </c>
      <c r="E2153" s="1361" t="s">
        <v>2632</v>
      </c>
      <c r="F2153" s="1360" t="s">
        <v>3</v>
      </c>
      <c r="G2153" s="1362">
        <v>718154</v>
      </c>
      <c r="H2153" s="1363" t="s">
        <v>6899</v>
      </c>
    </row>
    <row r="2154" spans="2:8" x14ac:dyDescent="0.25">
      <c r="B2154" s="1358" t="s">
        <v>6897</v>
      </c>
      <c r="C2154" s="1359" t="s">
        <v>6917</v>
      </c>
      <c r="D2154" s="1360">
        <v>11367</v>
      </c>
      <c r="E2154" s="1361" t="s">
        <v>2633</v>
      </c>
      <c r="F2154" s="1360" t="s">
        <v>1155</v>
      </c>
      <c r="G2154" s="1362">
        <v>160155</v>
      </c>
      <c r="H2154" s="1363" t="s">
        <v>3538</v>
      </c>
    </row>
    <row r="2155" spans="2:8" x14ac:dyDescent="0.25">
      <c r="B2155" s="1358" t="s">
        <v>6897</v>
      </c>
      <c r="C2155" s="1359" t="s">
        <v>6917</v>
      </c>
      <c r="D2155" s="1360">
        <v>11368</v>
      </c>
      <c r="E2155" s="1361" t="s">
        <v>2634</v>
      </c>
      <c r="F2155" s="1360" t="s">
        <v>1155</v>
      </c>
      <c r="G2155" s="1362">
        <v>173605</v>
      </c>
      <c r="H2155" s="1363" t="s">
        <v>3538</v>
      </c>
    </row>
    <row r="2156" spans="2:8" x14ac:dyDescent="0.25">
      <c r="B2156" s="1358" t="s">
        <v>6897</v>
      </c>
      <c r="C2156" s="1359" t="s">
        <v>6927</v>
      </c>
      <c r="D2156" s="1360">
        <v>11370</v>
      </c>
      <c r="E2156" s="1361" t="s">
        <v>2635</v>
      </c>
      <c r="F2156" s="1360" t="s">
        <v>1155</v>
      </c>
      <c r="G2156" s="1362">
        <v>374713</v>
      </c>
      <c r="H2156" s="1363" t="s">
        <v>6899</v>
      </c>
    </row>
    <row r="2157" spans="2:8" x14ac:dyDescent="0.25">
      <c r="B2157" s="1358" t="s">
        <v>6897</v>
      </c>
      <c r="C2157" s="1359" t="s">
        <v>7061</v>
      </c>
      <c r="D2157" s="1360">
        <v>11379</v>
      </c>
      <c r="E2157" s="1361" t="s">
        <v>2636</v>
      </c>
      <c r="F2157" s="1360" t="s">
        <v>266</v>
      </c>
      <c r="G2157" s="1362">
        <v>702449</v>
      </c>
      <c r="H2157" s="1363" t="s">
        <v>3538</v>
      </c>
    </row>
    <row r="2158" spans="2:8" x14ac:dyDescent="0.25">
      <c r="B2158" s="1358" t="s">
        <v>6897</v>
      </c>
      <c r="C2158" s="1359" t="s">
        <v>6921</v>
      </c>
      <c r="D2158" s="1360">
        <v>11381</v>
      </c>
      <c r="E2158" s="1361" t="s">
        <v>2637</v>
      </c>
      <c r="F2158" s="1360" t="s">
        <v>266</v>
      </c>
      <c r="G2158" s="1362">
        <v>656981</v>
      </c>
      <c r="H2158" s="1363" t="s">
        <v>3538</v>
      </c>
    </row>
    <row r="2159" spans="2:8" x14ac:dyDescent="0.25">
      <c r="B2159" s="1358" t="s">
        <v>6897</v>
      </c>
      <c r="C2159" s="1359" t="s">
        <v>6921</v>
      </c>
      <c r="D2159" s="1360">
        <v>11382</v>
      </c>
      <c r="E2159" s="1361" t="s">
        <v>2638</v>
      </c>
      <c r="F2159" s="1360" t="s">
        <v>266</v>
      </c>
      <c r="G2159" s="1362">
        <v>918783</v>
      </c>
      <c r="H2159" s="1363" t="s">
        <v>3538</v>
      </c>
    </row>
    <row r="2160" spans="2:8" x14ac:dyDescent="0.25">
      <c r="B2160" s="1358" t="s">
        <v>6897</v>
      </c>
      <c r="C2160" s="1359" t="s">
        <v>6921</v>
      </c>
      <c r="D2160" s="1360">
        <v>11384</v>
      </c>
      <c r="E2160" s="1361" t="s">
        <v>2639</v>
      </c>
      <c r="F2160" s="1360" t="s">
        <v>266</v>
      </c>
      <c r="G2160" s="1362">
        <v>476350</v>
      </c>
      <c r="H2160" s="1363" t="s">
        <v>3538</v>
      </c>
    </row>
    <row r="2161" spans="2:8" x14ac:dyDescent="0.25">
      <c r="B2161" s="1358" t="s">
        <v>6897</v>
      </c>
      <c r="C2161" s="1359" t="s">
        <v>6921</v>
      </c>
      <c r="D2161" s="1360">
        <v>11385</v>
      </c>
      <c r="E2161" s="1361" t="s">
        <v>2640</v>
      </c>
      <c r="F2161" s="1360" t="s">
        <v>266</v>
      </c>
      <c r="G2161" s="1362">
        <v>773592</v>
      </c>
      <c r="H2161" s="1363" t="s">
        <v>3538</v>
      </c>
    </row>
    <row r="2162" spans="2:8" x14ac:dyDescent="0.25">
      <c r="B2162" s="1358" t="s">
        <v>6897</v>
      </c>
      <c r="C2162" s="1359" t="s">
        <v>7061</v>
      </c>
      <c r="D2162" s="1360">
        <v>11388</v>
      </c>
      <c r="E2162" s="1361" t="s">
        <v>2641</v>
      </c>
      <c r="F2162" s="1360" t="s">
        <v>266</v>
      </c>
      <c r="G2162" s="1362">
        <v>10675357</v>
      </c>
      <c r="H2162" s="1363" t="s">
        <v>3538</v>
      </c>
    </row>
    <row r="2163" spans="2:8" x14ac:dyDescent="0.25">
      <c r="B2163" s="1358" t="s">
        <v>6897</v>
      </c>
      <c r="C2163" s="1359" t="s">
        <v>7061</v>
      </c>
      <c r="D2163" s="1360">
        <v>11391</v>
      </c>
      <c r="E2163" s="1361" t="s">
        <v>2642</v>
      </c>
      <c r="F2163" s="1360" t="s">
        <v>266</v>
      </c>
      <c r="G2163" s="1362">
        <v>12113815</v>
      </c>
      <c r="H2163" s="1363" t="s">
        <v>3538</v>
      </c>
    </row>
    <row r="2164" spans="2:8" x14ac:dyDescent="0.25">
      <c r="B2164" s="1358" t="s">
        <v>6897</v>
      </c>
      <c r="C2164" s="1359" t="s">
        <v>6997</v>
      </c>
      <c r="D2164" s="1360">
        <v>11408</v>
      </c>
      <c r="E2164" s="1361" t="s">
        <v>2643</v>
      </c>
      <c r="F2164" s="1360" t="s">
        <v>13</v>
      </c>
      <c r="G2164" s="1362">
        <v>40270</v>
      </c>
      <c r="H2164" s="1363" t="s">
        <v>3538</v>
      </c>
    </row>
    <row r="2165" spans="2:8" x14ac:dyDescent="0.25">
      <c r="B2165" s="1358" t="s">
        <v>6897</v>
      </c>
      <c r="C2165" s="1359" t="s">
        <v>6921</v>
      </c>
      <c r="D2165" s="1360">
        <v>11409</v>
      </c>
      <c r="E2165" s="1361" t="s">
        <v>2644</v>
      </c>
      <c r="F2165" s="1360" t="s">
        <v>266</v>
      </c>
      <c r="G2165" s="1362">
        <v>953884</v>
      </c>
      <c r="H2165" s="1363" t="s">
        <v>3538</v>
      </c>
    </row>
    <row r="2166" spans="2:8" x14ac:dyDescent="0.25">
      <c r="B2166" s="1358" t="s">
        <v>6897</v>
      </c>
      <c r="C2166" s="1359" t="s">
        <v>7061</v>
      </c>
      <c r="D2166" s="1360">
        <v>11424</v>
      </c>
      <c r="E2166" s="1361" t="s">
        <v>2645</v>
      </c>
      <c r="F2166" s="1360" t="s">
        <v>266</v>
      </c>
      <c r="G2166" s="1362">
        <v>2879905</v>
      </c>
      <c r="H2166" s="1363" t="s">
        <v>3538</v>
      </c>
    </row>
    <row r="2167" spans="2:8" x14ac:dyDescent="0.25">
      <c r="B2167" s="1358" t="s">
        <v>6897</v>
      </c>
      <c r="C2167" s="1359" t="s">
        <v>7061</v>
      </c>
      <c r="D2167" s="1360">
        <v>11425</v>
      </c>
      <c r="E2167" s="1361" t="s">
        <v>2646</v>
      </c>
      <c r="F2167" s="1360" t="s">
        <v>266</v>
      </c>
      <c r="G2167" s="1362">
        <v>3685435</v>
      </c>
      <c r="H2167" s="1363" t="s">
        <v>3538</v>
      </c>
    </row>
    <row r="2168" spans="2:8" x14ac:dyDescent="0.25">
      <c r="B2168" s="1358" t="s">
        <v>6897</v>
      </c>
      <c r="C2168" s="1359" t="s">
        <v>7061</v>
      </c>
      <c r="D2168" s="1360">
        <v>11426</v>
      </c>
      <c r="E2168" s="1361" t="s">
        <v>2647</v>
      </c>
      <c r="F2168" s="1360" t="s">
        <v>266</v>
      </c>
      <c r="G2168" s="1362">
        <v>4688548</v>
      </c>
      <c r="H2168" s="1363" t="s">
        <v>3538</v>
      </c>
    </row>
    <row r="2169" spans="2:8" x14ac:dyDescent="0.25">
      <c r="B2169" s="1358" t="s">
        <v>6897</v>
      </c>
      <c r="C2169" s="1359" t="s">
        <v>7061</v>
      </c>
      <c r="D2169" s="1360">
        <v>11427</v>
      </c>
      <c r="E2169" s="1361" t="s">
        <v>2648</v>
      </c>
      <c r="F2169" s="1360" t="s">
        <v>266</v>
      </c>
      <c r="G2169" s="1362">
        <v>6613047</v>
      </c>
      <c r="H2169" s="1363" t="s">
        <v>3538</v>
      </c>
    </row>
    <row r="2170" spans="2:8" x14ac:dyDescent="0.25">
      <c r="B2170" s="1358" t="s">
        <v>6897</v>
      </c>
      <c r="C2170" s="1359" t="s">
        <v>7061</v>
      </c>
      <c r="D2170" s="1360">
        <v>11428</v>
      </c>
      <c r="E2170" s="1361" t="s">
        <v>2649</v>
      </c>
      <c r="F2170" s="1360" t="s">
        <v>13</v>
      </c>
      <c r="G2170" s="1362">
        <v>1179859</v>
      </c>
      <c r="H2170" s="1363" t="s">
        <v>3538</v>
      </c>
    </row>
    <row r="2171" spans="2:8" x14ac:dyDescent="0.25">
      <c r="B2171" s="1358" t="s">
        <v>6897</v>
      </c>
      <c r="C2171" s="1359" t="s">
        <v>7061</v>
      </c>
      <c r="D2171" s="1360">
        <v>11429</v>
      </c>
      <c r="E2171" s="1361" t="s">
        <v>2650</v>
      </c>
      <c r="F2171" s="1360" t="s">
        <v>266</v>
      </c>
      <c r="G2171" s="1362">
        <v>3209128</v>
      </c>
      <c r="H2171" s="1363" t="s">
        <v>3538</v>
      </c>
    </row>
    <row r="2172" spans="2:8" x14ac:dyDescent="0.25">
      <c r="B2172" s="1358" t="s">
        <v>6897</v>
      </c>
      <c r="C2172" s="1359" t="s">
        <v>7061</v>
      </c>
      <c r="D2172" s="1360">
        <v>11430</v>
      </c>
      <c r="E2172" s="1361" t="s">
        <v>2651</v>
      </c>
      <c r="F2172" s="1360" t="s">
        <v>266</v>
      </c>
      <c r="G2172" s="1362">
        <v>4271074</v>
      </c>
      <c r="H2172" s="1363" t="s">
        <v>3538</v>
      </c>
    </row>
    <row r="2173" spans="2:8" x14ac:dyDescent="0.25">
      <c r="B2173" s="1358" t="s">
        <v>6897</v>
      </c>
      <c r="C2173" s="1359" t="s">
        <v>7061</v>
      </c>
      <c r="D2173" s="1360">
        <v>11431</v>
      </c>
      <c r="E2173" s="1361" t="s">
        <v>2652</v>
      </c>
      <c r="F2173" s="1360" t="s">
        <v>13</v>
      </c>
      <c r="G2173" s="1362">
        <v>1373519</v>
      </c>
      <c r="H2173" s="1363" t="s">
        <v>3538</v>
      </c>
    </row>
    <row r="2174" spans="2:8" x14ac:dyDescent="0.25">
      <c r="B2174" s="1358" t="s">
        <v>6897</v>
      </c>
      <c r="C2174" s="1359" t="s">
        <v>7061</v>
      </c>
      <c r="D2174" s="1360">
        <v>11432</v>
      </c>
      <c r="E2174" s="1361" t="s">
        <v>2653</v>
      </c>
      <c r="F2174" s="1360" t="s">
        <v>266</v>
      </c>
      <c r="G2174" s="1362">
        <v>4058783</v>
      </c>
      <c r="H2174" s="1363" t="s">
        <v>3538</v>
      </c>
    </row>
    <row r="2175" spans="2:8" x14ac:dyDescent="0.25">
      <c r="B2175" s="1358" t="s">
        <v>6897</v>
      </c>
      <c r="C2175" s="1359" t="s">
        <v>7061</v>
      </c>
      <c r="D2175" s="1360">
        <v>11433</v>
      </c>
      <c r="E2175" s="1361" t="s">
        <v>2654</v>
      </c>
      <c r="F2175" s="1360" t="s">
        <v>266</v>
      </c>
      <c r="G2175" s="1362">
        <v>5668127</v>
      </c>
      <c r="H2175" s="1363" t="s">
        <v>3538</v>
      </c>
    </row>
    <row r="2176" spans="2:8" x14ac:dyDescent="0.25">
      <c r="B2176" s="1358" t="s">
        <v>6897</v>
      </c>
      <c r="C2176" s="1359" t="s">
        <v>7061</v>
      </c>
      <c r="D2176" s="1360">
        <v>11434</v>
      </c>
      <c r="E2176" s="1361" t="s">
        <v>2655</v>
      </c>
      <c r="F2176" s="1360" t="s">
        <v>266</v>
      </c>
      <c r="G2176" s="1362">
        <v>7361843</v>
      </c>
      <c r="H2176" s="1363" t="s">
        <v>3538</v>
      </c>
    </row>
    <row r="2177" spans="2:8" x14ac:dyDescent="0.25">
      <c r="B2177" s="1358" t="s">
        <v>6897</v>
      </c>
      <c r="C2177" s="1359" t="s">
        <v>7069</v>
      </c>
      <c r="D2177" s="1360">
        <v>11435</v>
      </c>
      <c r="E2177" s="1361" t="s">
        <v>2656</v>
      </c>
      <c r="F2177" s="1360" t="s">
        <v>13</v>
      </c>
      <c r="G2177" s="1362">
        <v>658457</v>
      </c>
      <c r="H2177" s="1363" t="s">
        <v>3538</v>
      </c>
    </row>
    <row r="2178" spans="2:8" x14ac:dyDescent="0.25">
      <c r="B2178" s="1358" t="s">
        <v>6897</v>
      </c>
      <c r="C2178" s="1359" t="s">
        <v>7069</v>
      </c>
      <c r="D2178" s="1360">
        <v>11436</v>
      </c>
      <c r="E2178" s="1361" t="s">
        <v>2657</v>
      </c>
      <c r="F2178" s="1360" t="s">
        <v>266</v>
      </c>
      <c r="G2178" s="1362">
        <v>630605</v>
      </c>
      <c r="H2178" s="1363" t="s">
        <v>3538</v>
      </c>
    </row>
    <row r="2179" spans="2:8" x14ac:dyDescent="0.25">
      <c r="B2179" s="1358" t="s">
        <v>6897</v>
      </c>
      <c r="C2179" s="1359" t="s">
        <v>7069</v>
      </c>
      <c r="D2179" s="1360">
        <v>11437</v>
      </c>
      <c r="E2179" s="1361" t="s">
        <v>2658</v>
      </c>
      <c r="F2179" s="1360" t="s">
        <v>266</v>
      </c>
      <c r="G2179" s="1362">
        <v>889358</v>
      </c>
      <c r="H2179" s="1363" t="s">
        <v>3538</v>
      </c>
    </row>
    <row r="2180" spans="2:8" x14ac:dyDescent="0.25">
      <c r="B2180" s="1358" t="s">
        <v>6897</v>
      </c>
      <c r="C2180" s="1359" t="s">
        <v>7069</v>
      </c>
      <c r="D2180" s="1360">
        <v>11438</v>
      </c>
      <c r="E2180" s="1361" t="s">
        <v>2659</v>
      </c>
      <c r="F2180" s="1360" t="s">
        <v>13</v>
      </c>
      <c r="G2180" s="1362">
        <v>1397473</v>
      </c>
      <c r="H2180" s="1363" t="s">
        <v>3538</v>
      </c>
    </row>
    <row r="2181" spans="2:8" x14ac:dyDescent="0.25">
      <c r="B2181" s="1358" t="s">
        <v>6897</v>
      </c>
      <c r="C2181" s="1359" t="s">
        <v>7069</v>
      </c>
      <c r="D2181" s="1360">
        <v>11439</v>
      </c>
      <c r="E2181" s="1361" t="s">
        <v>2660</v>
      </c>
      <c r="F2181" s="1360" t="s">
        <v>266</v>
      </c>
      <c r="G2181" s="1362">
        <v>1689610</v>
      </c>
      <c r="H2181" s="1363" t="s">
        <v>3538</v>
      </c>
    </row>
    <row r="2182" spans="2:8" x14ac:dyDescent="0.25">
      <c r="B2182" s="1358" t="s">
        <v>6897</v>
      </c>
      <c r="C2182" s="1359" t="s">
        <v>6901</v>
      </c>
      <c r="D2182" s="1360">
        <v>11442</v>
      </c>
      <c r="E2182" s="1361" t="s">
        <v>7070</v>
      </c>
      <c r="F2182" s="1360" t="s">
        <v>12</v>
      </c>
      <c r="G2182" s="1362">
        <v>85680</v>
      </c>
      <c r="H2182" s="1363" t="s">
        <v>3538</v>
      </c>
    </row>
    <row r="2183" spans="2:8" x14ac:dyDescent="0.25">
      <c r="B2183" s="1358" t="s">
        <v>6897</v>
      </c>
      <c r="C2183" s="1359" t="s">
        <v>6901</v>
      </c>
      <c r="D2183" s="1360">
        <v>11443</v>
      </c>
      <c r="E2183" s="1361" t="s">
        <v>7071</v>
      </c>
      <c r="F2183" s="1360" t="s">
        <v>12</v>
      </c>
      <c r="G2183" s="1362">
        <v>65450</v>
      </c>
      <c r="H2183" s="1363" t="s">
        <v>3538</v>
      </c>
    </row>
    <row r="2184" spans="2:8" x14ac:dyDescent="0.25">
      <c r="B2184" s="1358" t="s">
        <v>6897</v>
      </c>
      <c r="C2184" s="1359" t="s">
        <v>6901</v>
      </c>
      <c r="D2184" s="1360">
        <v>11444</v>
      </c>
      <c r="E2184" s="1361" t="s">
        <v>7072</v>
      </c>
      <c r="F2184" s="1360" t="s">
        <v>12</v>
      </c>
      <c r="G2184" s="1362">
        <v>41650</v>
      </c>
      <c r="H2184" s="1363" t="s">
        <v>3538</v>
      </c>
    </row>
    <row r="2185" spans="2:8" x14ac:dyDescent="0.25">
      <c r="B2185" s="1358" t="s">
        <v>6897</v>
      </c>
      <c r="C2185" s="1359" t="s">
        <v>7038</v>
      </c>
      <c r="D2185" s="1360">
        <v>11447</v>
      </c>
      <c r="E2185" s="1361" t="s">
        <v>2661</v>
      </c>
      <c r="F2185" s="1360" t="s">
        <v>12</v>
      </c>
      <c r="G2185" s="1362">
        <v>108000</v>
      </c>
      <c r="H2185" s="1363" t="s">
        <v>3538</v>
      </c>
    </row>
    <row r="2186" spans="2:8" x14ac:dyDescent="0.25">
      <c r="B2186" s="1358" t="s">
        <v>6897</v>
      </c>
      <c r="C2186" s="1359" t="s">
        <v>6901</v>
      </c>
      <c r="D2186" s="1360">
        <v>11448</v>
      </c>
      <c r="E2186" s="1361" t="s">
        <v>7073</v>
      </c>
      <c r="F2186" s="1360" t="s">
        <v>266</v>
      </c>
      <c r="G2186" s="1362">
        <v>132000</v>
      </c>
      <c r="H2186" s="1363" t="s">
        <v>3538</v>
      </c>
    </row>
    <row r="2187" spans="2:8" x14ac:dyDescent="0.25">
      <c r="B2187" s="1358" t="s">
        <v>6897</v>
      </c>
      <c r="C2187" s="1359" t="s">
        <v>6946</v>
      </c>
      <c r="D2187" s="1360">
        <v>11449</v>
      </c>
      <c r="E2187" s="1361" t="s">
        <v>2662</v>
      </c>
      <c r="F2187" s="1360" t="s">
        <v>266</v>
      </c>
      <c r="G2187" s="1362">
        <v>42245</v>
      </c>
      <c r="H2187" s="1363" t="s">
        <v>6899</v>
      </c>
    </row>
    <row r="2188" spans="2:8" x14ac:dyDescent="0.25">
      <c r="B2188" s="1358" t="s">
        <v>6897</v>
      </c>
      <c r="C2188" s="1359" t="s">
        <v>6946</v>
      </c>
      <c r="D2188" s="1360">
        <v>11450</v>
      </c>
      <c r="E2188" s="1361" t="s">
        <v>2663</v>
      </c>
      <c r="F2188" s="1360" t="s">
        <v>266</v>
      </c>
      <c r="G2188" s="1362">
        <v>15351</v>
      </c>
      <c r="H2188" s="1363" t="s">
        <v>6899</v>
      </c>
    </row>
    <row r="2189" spans="2:8" x14ac:dyDescent="0.25">
      <c r="B2189" s="1358" t="s">
        <v>6897</v>
      </c>
      <c r="C2189" s="1359" t="s">
        <v>6946</v>
      </c>
      <c r="D2189" s="1360">
        <v>11451</v>
      </c>
      <c r="E2189" s="1361" t="s">
        <v>2664</v>
      </c>
      <c r="F2189" s="1360" t="s">
        <v>266</v>
      </c>
      <c r="G2189" s="1362">
        <v>40000</v>
      </c>
      <c r="H2189" s="1363" t="s">
        <v>6899</v>
      </c>
    </row>
    <row r="2190" spans="2:8" x14ac:dyDescent="0.25">
      <c r="B2190" s="1358" t="s">
        <v>6897</v>
      </c>
      <c r="C2190" s="1359" t="s">
        <v>6946</v>
      </c>
      <c r="D2190" s="1360">
        <v>11452</v>
      </c>
      <c r="E2190" s="1361" t="s">
        <v>2665</v>
      </c>
      <c r="F2190" s="1360" t="s">
        <v>710</v>
      </c>
      <c r="G2190" s="1362">
        <v>38943</v>
      </c>
      <c r="H2190" s="1363" t="s">
        <v>6899</v>
      </c>
    </row>
    <row r="2191" spans="2:8" x14ac:dyDescent="0.25">
      <c r="B2191" s="1358" t="s">
        <v>6897</v>
      </c>
      <c r="C2191" s="1359" t="s">
        <v>6931</v>
      </c>
      <c r="D2191" s="1360">
        <v>11453</v>
      </c>
      <c r="E2191" s="1361" t="s">
        <v>2666</v>
      </c>
      <c r="F2191" s="1360" t="s">
        <v>710</v>
      </c>
      <c r="G2191" s="1362">
        <v>844053</v>
      </c>
      <c r="H2191" s="1363" t="s">
        <v>3538</v>
      </c>
    </row>
    <row r="2192" spans="2:8" x14ac:dyDescent="0.25">
      <c r="B2192" s="1358" t="s">
        <v>6897</v>
      </c>
      <c r="C2192" s="1359" t="s">
        <v>6995</v>
      </c>
      <c r="D2192" s="1360">
        <v>11454</v>
      </c>
      <c r="E2192" s="1361" t="s">
        <v>2667</v>
      </c>
      <c r="F2192" s="1360" t="s">
        <v>266</v>
      </c>
      <c r="G2192" s="1362">
        <v>102000</v>
      </c>
      <c r="H2192" s="1363" t="s">
        <v>6899</v>
      </c>
    </row>
    <row r="2193" spans="2:8" x14ac:dyDescent="0.25">
      <c r="B2193" s="1358" t="s">
        <v>6897</v>
      </c>
      <c r="C2193" s="1359" t="s">
        <v>6940</v>
      </c>
      <c r="D2193" s="1360">
        <v>11455</v>
      </c>
      <c r="E2193" s="1361" t="s">
        <v>4066</v>
      </c>
      <c r="F2193" s="1360" t="s">
        <v>2296</v>
      </c>
      <c r="G2193" s="1362">
        <v>27370</v>
      </c>
      <c r="H2193" s="1363" t="s">
        <v>6899</v>
      </c>
    </row>
    <row r="2194" spans="2:8" x14ac:dyDescent="0.25">
      <c r="B2194" s="1358" t="s">
        <v>6897</v>
      </c>
      <c r="C2194" s="1359" t="s">
        <v>6940</v>
      </c>
      <c r="D2194" s="1360">
        <v>11456</v>
      </c>
      <c r="E2194" s="1361" t="s">
        <v>4067</v>
      </c>
      <c r="F2194" s="1360" t="s">
        <v>2296</v>
      </c>
      <c r="G2194" s="1362">
        <v>33915</v>
      </c>
      <c r="H2194" s="1363" t="s">
        <v>6899</v>
      </c>
    </row>
    <row r="2195" spans="2:8" x14ac:dyDescent="0.25">
      <c r="B2195" s="1358" t="s">
        <v>6897</v>
      </c>
      <c r="C2195" s="1359" t="s">
        <v>6940</v>
      </c>
      <c r="D2195" s="1360">
        <v>11457</v>
      </c>
      <c r="E2195" s="1361" t="s">
        <v>4068</v>
      </c>
      <c r="F2195" s="1360" t="s">
        <v>2021</v>
      </c>
      <c r="G2195" s="1362">
        <v>43435</v>
      </c>
      <c r="H2195" s="1363" t="s">
        <v>6899</v>
      </c>
    </row>
    <row r="2196" spans="2:8" x14ac:dyDescent="0.25">
      <c r="B2196" s="1358" t="s">
        <v>6897</v>
      </c>
      <c r="C2196" s="1359" t="s">
        <v>6940</v>
      </c>
      <c r="D2196" s="1360">
        <v>11458</v>
      </c>
      <c r="E2196" s="1361" t="s">
        <v>4069</v>
      </c>
      <c r="F2196" s="1360" t="s">
        <v>896</v>
      </c>
      <c r="G2196" s="1362">
        <v>72663</v>
      </c>
      <c r="H2196" s="1363" t="s">
        <v>6899</v>
      </c>
    </row>
    <row r="2197" spans="2:8" x14ac:dyDescent="0.25">
      <c r="B2197" s="1358" t="s">
        <v>6897</v>
      </c>
      <c r="C2197" s="1359" t="s">
        <v>6940</v>
      </c>
      <c r="D2197" s="1360">
        <v>11459</v>
      </c>
      <c r="E2197" s="1361" t="s">
        <v>4070</v>
      </c>
      <c r="F2197" s="1360" t="s">
        <v>896</v>
      </c>
      <c r="G2197" s="1362">
        <v>65759</v>
      </c>
      <c r="H2197" s="1363" t="s">
        <v>6899</v>
      </c>
    </row>
    <row r="2198" spans="2:8" x14ac:dyDescent="0.25">
      <c r="B2198" s="1358" t="s">
        <v>6897</v>
      </c>
      <c r="C2198" s="1359" t="s">
        <v>6940</v>
      </c>
      <c r="D2198" s="1360">
        <v>11460</v>
      </c>
      <c r="E2198" s="1361" t="s">
        <v>4071</v>
      </c>
      <c r="F2198" s="1360" t="s">
        <v>896</v>
      </c>
      <c r="G2198" s="1362">
        <v>148750</v>
      </c>
      <c r="H2198" s="1363" t="s">
        <v>6899</v>
      </c>
    </row>
    <row r="2199" spans="2:8" x14ac:dyDescent="0.25">
      <c r="B2199" s="1358" t="s">
        <v>6897</v>
      </c>
      <c r="C2199" s="1359" t="s">
        <v>6940</v>
      </c>
      <c r="D2199" s="1360">
        <v>11461</v>
      </c>
      <c r="E2199" s="1361" t="s">
        <v>4072</v>
      </c>
      <c r="F2199" s="1360" t="s">
        <v>896</v>
      </c>
      <c r="G2199" s="1362">
        <v>178500</v>
      </c>
      <c r="H2199" s="1363" t="s">
        <v>6899</v>
      </c>
    </row>
    <row r="2200" spans="2:8" x14ac:dyDescent="0.25">
      <c r="B2200" s="1358" t="s">
        <v>6897</v>
      </c>
      <c r="C2200" s="1359" t="s">
        <v>6940</v>
      </c>
      <c r="D2200" s="1360">
        <v>11462</v>
      </c>
      <c r="E2200" s="1361" t="s">
        <v>4073</v>
      </c>
      <c r="F2200" s="1360" t="s">
        <v>896</v>
      </c>
      <c r="G2200" s="1362">
        <v>178605</v>
      </c>
      <c r="H2200" s="1363" t="s">
        <v>6899</v>
      </c>
    </row>
    <row r="2201" spans="2:8" x14ac:dyDescent="0.25">
      <c r="B2201" s="1358" t="s">
        <v>6897</v>
      </c>
      <c r="C2201" s="1359" t="s">
        <v>6940</v>
      </c>
      <c r="D2201" s="1360">
        <v>11463</v>
      </c>
      <c r="E2201" s="1361" t="s">
        <v>4074</v>
      </c>
      <c r="F2201" s="1360" t="s">
        <v>896</v>
      </c>
      <c r="G2201" s="1362">
        <v>205527</v>
      </c>
      <c r="H2201" s="1363" t="s">
        <v>6899</v>
      </c>
    </row>
    <row r="2202" spans="2:8" x14ac:dyDescent="0.25">
      <c r="B2202" s="1358" t="s">
        <v>6897</v>
      </c>
      <c r="C2202" s="1359" t="s">
        <v>6940</v>
      </c>
      <c r="D2202" s="1360">
        <v>11464</v>
      </c>
      <c r="E2202" s="1361" t="s">
        <v>4075</v>
      </c>
      <c r="F2202" s="1360" t="s">
        <v>896</v>
      </c>
      <c r="G2202" s="1362">
        <v>258944</v>
      </c>
      <c r="H2202" s="1363" t="s">
        <v>6899</v>
      </c>
    </row>
    <row r="2203" spans="2:8" x14ac:dyDescent="0.25">
      <c r="B2203" s="1358" t="s">
        <v>6897</v>
      </c>
      <c r="C2203" s="1359" t="s">
        <v>6940</v>
      </c>
      <c r="D2203" s="1360">
        <v>11465</v>
      </c>
      <c r="E2203" s="1361" t="s">
        <v>4076</v>
      </c>
      <c r="F2203" s="1360" t="s">
        <v>896</v>
      </c>
      <c r="G2203" s="1362">
        <v>187604</v>
      </c>
      <c r="H2203" s="1363" t="s">
        <v>6899</v>
      </c>
    </row>
    <row r="2204" spans="2:8" x14ac:dyDescent="0.25">
      <c r="B2204" s="1358" t="s">
        <v>6897</v>
      </c>
      <c r="C2204" s="1359" t="s">
        <v>6940</v>
      </c>
      <c r="D2204" s="1360">
        <v>11466</v>
      </c>
      <c r="E2204" s="1361" t="s">
        <v>4077</v>
      </c>
      <c r="F2204" s="1360" t="s">
        <v>896</v>
      </c>
      <c r="G2204" s="1362">
        <v>164707</v>
      </c>
      <c r="H2204" s="1363" t="s">
        <v>6899</v>
      </c>
    </row>
    <row r="2205" spans="2:8" x14ac:dyDescent="0.25">
      <c r="B2205" s="1358" t="s">
        <v>6897</v>
      </c>
      <c r="C2205" s="1359" t="s">
        <v>6940</v>
      </c>
      <c r="D2205" s="1360">
        <v>11467</v>
      </c>
      <c r="E2205" s="1361" t="s">
        <v>4078</v>
      </c>
      <c r="F2205" s="1360" t="s">
        <v>896</v>
      </c>
      <c r="G2205" s="1362">
        <v>192298</v>
      </c>
      <c r="H2205" s="1363" t="s">
        <v>6899</v>
      </c>
    </row>
    <row r="2206" spans="2:8" x14ac:dyDescent="0.25">
      <c r="B2206" s="1358" t="s">
        <v>6897</v>
      </c>
      <c r="C2206" s="1359" t="s">
        <v>6940</v>
      </c>
      <c r="D2206" s="1360">
        <v>11468</v>
      </c>
      <c r="E2206" s="1361" t="s">
        <v>4079</v>
      </c>
      <c r="F2206" s="1360" t="s">
        <v>896</v>
      </c>
      <c r="G2206" s="1362">
        <v>336532</v>
      </c>
      <c r="H2206" s="1363" t="s">
        <v>6899</v>
      </c>
    </row>
    <row r="2207" spans="2:8" x14ac:dyDescent="0.25">
      <c r="B2207" s="1358" t="s">
        <v>6897</v>
      </c>
      <c r="C2207" s="1359" t="s">
        <v>6940</v>
      </c>
      <c r="D2207" s="1360">
        <v>11470</v>
      </c>
      <c r="E2207" s="1361" t="s">
        <v>4080</v>
      </c>
      <c r="F2207" s="1360" t="s">
        <v>896</v>
      </c>
      <c r="G2207" s="1362">
        <v>76538</v>
      </c>
      <c r="H2207" s="1363" t="s">
        <v>6899</v>
      </c>
    </row>
    <row r="2208" spans="2:8" x14ac:dyDescent="0.25">
      <c r="B2208" s="1358" t="s">
        <v>6897</v>
      </c>
      <c r="C2208" s="1359" t="s">
        <v>6940</v>
      </c>
      <c r="D2208" s="1360">
        <v>11471</v>
      </c>
      <c r="E2208" s="1361" t="s">
        <v>4081</v>
      </c>
      <c r="F2208" s="1360" t="s">
        <v>896</v>
      </c>
      <c r="G2208" s="1362">
        <v>93237</v>
      </c>
      <c r="H2208" s="1363" t="s">
        <v>6899</v>
      </c>
    </row>
    <row r="2209" spans="2:8" x14ac:dyDescent="0.25">
      <c r="B2209" s="1358" t="s">
        <v>6897</v>
      </c>
      <c r="C2209" s="1359" t="s">
        <v>6940</v>
      </c>
      <c r="D2209" s="1360">
        <v>11472</v>
      </c>
      <c r="E2209" s="1361" t="s">
        <v>4082</v>
      </c>
      <c r="F2209" s="1360" t="s">
        <v>896</v>
      </c>
      <c r="G2209" s="1362">
        <v>113050</v>
      </c>
      <c r="H2209" s="1363" t="s">
        <v>6899</v>
      </c>
    </row>
    <row r="2210" spans="2:8" x14ac:dyDescent="0.25">
      <c r="B2210" s="1358" t="s">
        <v>6897</v>
      </c>
      <c r="C2210" s="1359" t="s">
        <v>6940</v>
      </c>
      <c r="D2210" s="1360">
        <v>11473</v>
      </c>
      <c r="E2210" s="1361" t="s">
        <v>4083</v>
      </c>
      <c r="F2210" s="1360" t="s">
        <v>342</v>
      </c>
      <c r="G2210" s="1362">
        <v>4038384</v>
      </c>
      <c r="H2210" s="1363" t="s">
        <v>6899</v>
      </c>
    </row>
    <row r="2211" spans="2:8" x14ac:dyDescent="0.25">
      <c r="B2211" s="1358" t="s">
        <v>6897</v>
      </c>
      <c r="C2211" s="1359" t="s">
        <v>6940</v>
      </c>
      <c r="D2211" s="1360">
        <v>11474</v>
      </c>
      <c r="E2211" s="1361" t="s">
        <v>4084</v>
      </c>
      <c r="F2211" s="1360" t="s">
        <v>342</v>
      </c>
      <c r="G2211" s="1362">
        <v>3162782</v>
      </c>
      <c r="H2211" s="1363" t="s">
        <v>6899</v>
      </c>
    </row>
    <row r="2212" spans="2:8" x14ac:dyDescent="0.25">
      <c r="B2212" s="1358" t="s">
        <v>6897</v>
      </c>
      <c r="C2212" s="1359" t="s">
        <v>7074</v>
      </c>
      <c r="D2212" s="1360">
        <v>11477</v>
      </c>
      <c r="E2212" s="1361" t="s">
        <v>4085</v>
      </c>
      <c r="F2212" s="1360" t="s">
        <v>1124</v>
      </c>
      <c r="G2212" s="1362">
        <v>1130500</v>
      </c>
      <c r="H2212" s="1363" t="s">
        <v>6899</v>
      </c>
    </row>
    <row r="2213" spans="2:8" x14ac:dyDescent="0.25">
      <c r="B2213" s="1358" t="s">
        <v>6897</v>
      </c>
      <c r="C2213" s="1359" t="s">
        <v>7075</v>
      </c>
      <c r="D2213" s="1360">
        <v>11481</v>
      </c>
      <c r="E2213" s="1361" t="s">
        <v>4086</v>
      </c>
      <c r="F2213" s="1360" t="s">
        <v>1124</v>
      </c>
      <c r="G2213" s="1362">
        <v>919632</v>
      </c>
      <c r="H2213" s="1363" t="s">
        <v>6899</v>
      </c>
    </row>
    <row r="2214" spans="2:8" x14ac:dyDescent="0.25">
      <c r="B2214" s="1358" t="s">
        <v>6897</v>
      </c>
      <c r="C2214" s="1359" t="s">
        <v>7075</v>
      </c>
      <c r="D2214" s="1360">
        <v>11482</v>
      </c>
      <c r="E2214" s="1361" t="s">
        <v>4087</v>
      </c>
      <c r="F2214" s="1360" t="s">
        <v>1124</v>
      </c>
      <c r="G2214" s="1362">
        <v>919632</v>
      </c>
      <c r="H2214" s="1363" t="s">
        <v>6899</v>
      </c>
    </row>
    <row r="2215" spans="2:8" x14ac:dyDescent="0.25">
      <c r="B2215" s="1358" t="s">
        <v>6897</v>
      </c>
      <c r="C2215" s="1359" t="s">
        <v>7075</v>
      </c>
      <c r="D2215" s="1360">
        <v>11483</v>
      </c>
      <c r="E2215" s="1361" t="s">
        <v>4088</v>
      </c>
      <c r="F2215" s="1360" t="s">
        <v>1124</v>
      </c>
      <c r="G2215" s="1362">
        <v>919632</v>
      </c>
      <c r="H2215" s="1363" t="s">
        <v>6899</v>
      </c>
    </row>
    <row r="2216" spans="2:8" x14ac:dyDescent="0.25">
      <c r="B2216" s="1358" t="s">
        <v>6897</v>
      </c>
      <c r="C2216" s="1359" t="s">
        <v>7075</v>
      </c>
      <c r="D2216" s="1360">
        <v>11484</v>
      </c>
      <c r="E2216" s="1361" t="s">
        <v>4089</v>
      </c>
      <c r="F2216" s="1360" t="s">
        <v>1124</v>
      </c>
      <c r="G2216" s="1362">
        <v>919632</v>
      </c>
      <c r="H2216" s="1363" t="s">
        <v>6899</v>
      </c>
    </row>
    <row r="2217" spans="2:8" x14ac:dyDescent="0.25">
      <c r="B2217" s="1358" t="s">
        <v>6897</v>
      </c>
      <c r="C2217" s="1359" t="s">
        <v>7075</v>
      </c>
      <c r="D2217" s="1360">
        <v>11485</v>
      </c>
      <c r="E2217" s="1361" t="s">
        <v>4090</v>
      </c>
      <c r="F2217" s="1360" t="s">
        <v>1124</v>
      </c>
      <c r="G2217" s="1362">
        <v>919632</v>
      </c>
      <c r="H2217" s="1363" t="s">
        <v>6899</v>
      </c>
    </row>
    <row r="2218" spans="2:8" x14ac:dyDescent="0.25">
      <c r="B2218" s="1358" t="s">
        <v>6897</v>
      </c>
      <c r="C2218" s="1359" t="s">
        <v>7075</v>
      </c>
      <c r="D2218" s="1360">
        <v>11489</v>
      </c>
      <c r="E2218" s="1361" t="s">
        <v>4091</v>
      </c>
      <c r="F2218" s="1360" t="s">
        <v>1124</v>
      </c>
      <c r="G2218" s="1362">
        <v>919632</v>
      </c>
      <c r="H2218" s="1363" t="s">
        <v>6899</v>
      </c>
    </row>
    <row r="2219" spans="2:8" x14ac:dyDescent="0.25">
      <c r="B2219" s="1358" t="s">
        <v>6897</v>
      </c>
      <c r="C2219" s="1359" t="s">
        <v>7076</v>
      </c>
      <c r="D2219" s="1360">
        <v>11498</v>
      </c>
      <c r="E2219" s="1361" t="s">
        <v>4092</v>
      </c>
      <c r="F2219" s="1360" t="s">
        <v>266</v>
      </c>
      <c r="G2219" s="1362">
        <v>178500</v>
      </c>
      <c r="H2219" s="1363" t="s">
        <v>6899</v>
      </c>
    </row>
    <row r="2220" spans="2:8" x14ac:dyDescent="0.25">
      <c r="B2220" s="1358" t="s">
        <v>6897</v>
      </c>
      <c r="C2220" s="1359" t="s">
        <v>7077</v>
      </c>
      <c r="D2220" s="1360">
        <v>11499</v>
      </c>
      <c r="E2220" s="1361" t="s">
        <v>4093</v>
      </c>
      <c r="F2220" s="1360" t="s">
        <v>266</v>
      </c>
      <c r="G2220" s="1362">
        <v>125000</v>
      </c>
      <c r="H2220" s="1363" t="s">
        <v>6899</v>
      </c>
    </row>
    <row r="2221" spans="2:8" x14ac:dyDescent="0.25">
      <c r="B2221" s="1358" t="s">
        <v>6897</v>
      </c>
      <c r="C2221" s="1359" t="s">
        <v>7077</v>
      </c>
      <c r="D2221" s="1360">
        <v>11500</v>
      </c>
      <c r="E2221" s="1361" t="s">
        <v>4094</v>
      </c>
      <c r="F2221" s="1360" t="s">
        <v>266</v>
      </c>
      <c r="G2221" s="1362">
        <v>164000</v>
      </c>
      <c r="H2221" s="1363" t="s">
        <v>6899</v>
      </c>
    </row>
    <row r="2222" spans="2:8" x14ac:dyDescent="0.25">
      <c r="B2222" s="1358" t="s">
        <v>6897</v>
      </c>
      <c r="C2222" s="1359" t="s">
        <v>7078</v>
      </c>
      <c r="D2222" s="1360">
        <v>11501</v>
      </c>
      <c r="E2222" s="1361" t="s">
        <v>4095</v>
      </c>
      <c r="F2222" s="1360" t="s">
        <v>266</v>
      </c>
      <c r="G2222" s="1362">
        <v>118535</v>
      </c>
      <c r="H2222" s="1363" t="s">
        <v>6899</v>
      </c>
    </row>
    <row r="2223" spans="2:8" x14ac:dyDescent="0.25">
      <c r="B2223" s="1358" t="s">
        <v>6897</v>
      </c>
      <c r="C2223" s="1359" t="s">
        <v>6936</v>
      </c>
      <c r="D2223" s="1360">
        <v>11502</v>
      </c>
      <c r="E2223" s="1361" t="s">
        <v>4096</v>
      </c>
      <c r="F2223" s="1360" t="s">
        <v>266</v>
      </c>
      <c r="G2223" s="1362">
        <v>816340</v>
      </c>
      <c r="H2223" s="1363" t="s">
        <v>6899</v>
      </c>
    </row>
    <row r="2224" spans="2:8" x14ac:dyDescent="0.25">
      <c r="B2224" s="1358" t="s">
        <v>6897</v>
      </c>
      <c r="C2224" s="1359" t="s">
        <v>6936</v>
      </c>
      <c r="D2224" s="1360">
        <v>11503</v>
      </c>
      <c r="E2224" s="1361" t="s">
        <v>4097</v>
      </c>
      <c r="F2224" s="1360" t="s">
        <v>266</v>
      </c>
      <c r="G2224" s="1362">
        <v>907864</v>
      </c>
      <c r="H2224" s="1363" t="s">
        <v>6899</v>
      </c>
    </row>
    <row r="2225" spans="2:8" x14ac:dyDescent="0.25">
      <c r="B2225" s="1358" t="s">
        <v>6897</v>
      </c>
      <c r="C2225" s="1359" t="s">
        <v>7079</v>
      </c>
      <c r="D2225" s="1360">
        <v>11504</v>
      </c>
      <c r="E2225" s="1361" t="s">
        <v>4098</v>
      </c>
      <c r="F2225" s="1360" t="s">
        <v>266</v>
      </c>
      <c r="G2225" s="1362">
        <v>357000</v>
      </c>
      <c r="H2225" s="1363" t="s">
        <v>6899</v>
      </c>
    </row>
    <row r="2226" spans="2:8" x14ac:dyDescent="0.25">
      <c r="B2226" s="1358" t="s">
        <v>6897</v>
      </c>
      <c r="C2226" s="1359" t="s">
        <v>7079</v>
      </c>
      <c r="D2226" s="1360">
        <v>11505</v>
      </c>
      <c r="E2226" s="1361" t="s">
        <v>4099</v>
      </c>
      <c r="F2226" s="1360" t="s">
        <v>266</v>
      </c>
      <c r="G2226" s="1362">
        <v>525631</v>
      </c>
      <c r="H2226" s="1363" t="s">
        <v>6899</v>
      </c>
    </row>
    <row r="2227" spans="2:8" x14ac:dyDescent="0.25">
      <c r="B2227" s="1358" t="s">
        <v>6897</v>
      </c>
      <c r="C2227" s="1359" t="s">
        <v>7079</v>
      </c>
      <c r="D2227" s="1360">
        <v>11506</v>
      </c>
      <c r="E2227" s="1361" t="s">
        <v>4100</v>
      </c>
      <c r="F2227" s="1360" t="s">
        <v>266</v>
      </c>
      <c r="G2227" s="1362">
        <v>626000</v>
      </c>
      <c r="H2227" s="1363" t="s">
        <v>6899</v>
      </c>
    </row>
    <row r="2228" spans="2:8" x14ac:dyDescent="0.25">
      <c r="B2228" s="1358" t="s">
        <v>6897</v>
      </c>
      <c r="C2228" s="1359" t="s">
        <v>6941</v>
      </c>
      <c r="D2228" s="1360">
        <v>11507</v>
      </c>
      <c r="E2228" s="1361" t="s">
        <v>4101</v>
      </c>
      <c r="F2228" s="1360" t="s">
        <v>266</v>
      </c>
      <c r="G2228" s="1362">
        <v>89845</v>
      </c>
      <c r="H2228" s="1363" t="s">
        <v>6899</v>
      </c>
    </row>
    <row r="2229" spans="2:8" x14ac:dyDescent="0.25">
      <c r="B2229" s="1358" t="s">
        <v>6897</v>
      </c>
      <c r="C2229" s="1359" t="s">
        <v>6941</v>
      </c>
      <c r="D2229" s="1360">
        <v>11508</v>
      </c>
      <c r="E2229" s="1361" t="s">
        <v>4102</v>
      </c>
      <c r="F2229" s="1360" t="s">
        <v>266</v>
      </c>
      <c r="G2229" s="1362">
        <v>113050</v>
      </c>
      <c r="H2229" s="1363" t="s">
        <v>6899</v>
      </c>
    </row>
    <row r="2230" spans="2:8" x14ac:dyDescent="0.25">
      <c r="B2230" s="1358" t="s">
        <v>6897</v>
      </c>
      <c r="C2230" s="1359" t="s">
        <v>6941</v>
      </c>
      <c r="D2230" s="1360">
        <v>11509</v>
      </c>
      <c r="E2230" s="1361" t="s">
        <v>4103</v>
      </c>
      <c r="F2230" s="1360" t="s">
        <v>266</v>
      </c>
      <c r="G2230" s="1362">
        <v>141015</v>
      </c>
      <c r="H2230" s="1363" t="s">
        <v>6899</v>
      </c>
    </row>
    <row r="2231" spans="2:8" x14ac:dyDescent="0.25">
      <c r="B2231" s="1358" t="s">
        <v>6897</v>
      </c>
      <c r="C2231" s="1359" t="s">
        <v>6941</v>
      </c>
      <c r="D2231" s="1360">
        <v>11510</v>
      </c>
      <c r="E2231" s="1361" t="s">
        <v>4104</v>
      </c>
      <c r="F2231" s="1360" t="s">
        <v>266</v>
      </c>
      <c r="G2231" s="1362">
        <v>235620</v>
      </c>
      <c r="H2231" s="1363" t="s">
        <v>6899</v>
      </c>
    </row>
    <row r="2232" spans="2:8" x14ac:dyDescent="0.25">
      <c r="B2232" s="1358" t="s">
        <v>6897</v>
      </c>
      <c r="C2232" s="1359" t="s">
        <v>6941</v>
      </c>
      <c r="D2232" s="1360">
        <v>11511</v>
      </c>
      <c r="E2232" s="1361" t="s">
        <v>4105</v>
      </c>
      <c r="F2232" s="1360" t="s">
        <v>2668</v>
      </c>
      <c r="G2232" s="1362">
        <v>152915</v>
      </c>
      <c r="H2232" s="1363" t="s">
        <v>6899</v>
      </c>
    </row>
    <row r="2233" spans="2:8" x14ac:dyDescent="0.25">
      <c r="B2233" s="1358" t="s">
        <v>6897</v>
      </c>
      <c r="C2233" s="1359" t="s">
        <v>7045</v>
      </c>
      <c r="D2233" s="1360">
        <v>11512</v>
      </c>
      <c r="E2233" s="1361" t="s">
        <v>4106</v>
      </c>
      <c r="F2233" s="1360" t="s">
        <v>266</v>
      </c>
      <c r="G2233" s="1362">
        <v>351288</v>
      </c>
      <c r="H2233" s="1363" t="s">
        <v>6899</v>
      </c>
    </row>
    <row r="2234" spans="2:8" x14ac:dyDescent="0.25">
      <c r="B2234" s="1358" t="s">
        <v>6897</v>
      </c>
      <c r="C2234" s="1359" t="s">
        <v>7045</v>
      </c>
      <c r="D2234" s="1360">
        <v>11513</v>
      </c>
      <c r="E2234" s="1361" t="s">
        <v>4107</v>
      </c>
      <c r="F2234" s="1360" t="s">
        <v>266</v>
      </c>
      <c r="G2234" s="1362">
        <v>207536</v>
      </c>
      <c r="H2234" s="1363" t="s">
        <v>6899</v>
      </c>
    </row>
    <row r="2235" spans="2:8" x14ac:dyDescent="0.25">
      <c r="B2235" s="1358" t="s">
        <v>6897</v>
      </c>
      <c r="C2235" s="1359" t="s">
        <v>7045</v>
      </c>
      <c r="D2235" s="1360">
        <v>11514</v>
      </c>
      <c r="E2235" s="1361" t="s">
        <v>4108</v>
      </c>
      <c r="F2235" s="1360" t="s">
        <v>202</v>
      </c>
      <c r="G2235" s="1362">
        <v>23800</v>
      </c>
      <c r="H2235" s="1363" t="s">
        <v>6899</v>
      </c>
    </row>
    <row r="2236" spans="2:8" x14ac:dyDescent="0.25">
      <c r="B2236" s="1358" t="s">
        <v>6897</v>
      </c>
      <c r="C2236" s="1359" t="s">
        <v>7045</v>
      </c>
      <c r="D2236" s="1360">
        <v>11515</v>
      </c>
      <c r="E2236" s="1361" t="s">
        <v>4109</v>
      </c>
      <c r="F2236" s="1360" t="s">
        <v>266</v>
      </c>
      <c r="G2236" s="1362">
        <v>333200</v>
      </c>
      <c r="H2236" s="1363" t="s">
        <v>6899</v>
      </c>
    </row>
    <row r="2237" spans="2:8" x14ac:dyDescent="0.25">
      <c r="B2237" s="1358" t="s">
        <v>6897</v>
      </c>
      <c r="C2237" s="1359" t="s">
        <v>7045</v>
      </c>
      <c r="D2237" s="1360">
        <v>11516</v>
      </c>
      <c r="E2237" s="1361" t="s">
        <v>4110</v>
      </c>
      <c r="F2237" s="1360" t="s">
        <v>266</v>
      </c>
      <c r="G2237" s="1362">
        <v>142800</v>
      </c>
      <c r="H2237" s="1363" t="s">
        <v>6899</v>
      </c>
    </row>
    <row r="2238" spans="2:8" x14ac:dyDescent="0.25">
      <c r="B2238" s="1358" t="s">
        <v>6897</v>
      </c>
      <c r="C2238" s="1359" t="s">
        <v>7045</v>
      </c>
      <c r="D2238" s="1360">
        <v>11517</v>
      </c>
      <c r="E2238" s="1361" t="s">
        <v>4111</v>
      </c>
      <c r="F2238" s="1360" t="s">
        <v>266</v>
      </c>
      <c r="G2238" s="1362">
        <v>119000</v>
      </c>
      <c r="H2238" s="1363" t="s">
        <v>6899</v>
      </c>
    </row>
    <row r="2239" spans="2:8" x14ac:dyDescent="0.25">
      <c r="B2239" s="1358" t="s">
        <v>6897</v>
      </c>
      <c r="C2239" s="1359" t="s">
        <v>7045</v>
      </c>
      <c r="D2239" s="1360">
        <v>11518</v>
      </c>
      <c r="E2239" s="1361" t="s">
        <v>4112</v>
      </c>
      <c r="F2239" s="1360" t="s">
        <v>266</v>
      </c>
      <c r="G2239" s="1362">
        <v>333200</v>
      </c>
      <c r="H2239" s="1363" t="s">
        <v>6899</v>
      </c>
    </row>
    <row r="2240" spans="2:8" x14ac:dyDescent="0.25">
      <c r="B2240" s="1358" t="s">
        <v>6897</v>
      </c>
      <c r="C2240" s="1359" t="s">
        <v>7045</v>
      </c>
      <c r="D2240" s="1360">
        <v>11519</v>
      </c>
      <c r="E2240" s="1361" t="s">
        <v>4113</v>
      </c>
      <c r="F2240" s="1360" t="s">
        <v>266</v>
      </c>
      <c r="G2240" s="1362">
        <v>189210</v>
      </c>
      <c r="H2240" s="1363" t="s">
        <v>6899</v>
      </c>
    </row>
    <row r="2241" spans="2:8" x14ac:dyDescent="0.25">
      <c r="B2241" s="1358" t="s">
        <v>6897</v>
      </c>
      <c r="C2241" s="1359" t="s">
        <v>7045</v>
      </c>
      <c r="D2241" s="1360">
        <v>11520</v>
      </c>
      <c r="E2241" s="1361" t="s">
        <v>4114</v>
      </c>
      <c r="F2241" s="1360" t="s">
        <v>266</v>
      </c>
      <c r="G2241" s="1362">
        <v>214200</v>
      </c>
      <c r="H2241" s="1363" t="s">
        <v>6899</v>
      </c>
    </row>
    <row r="2242" spans="2:8" x14ac:dyDescent="0.25">
      <c r="B2242" s="1358" t="s">
        <v>6897</v>
      </c>
      <c r="C2242" s="1359" t="s">
        <v>7045</v>
      </c>
      <c r="D2242" s="1360">
        <v>11521</v>
      </c>
      <c r="E2242" s="1361" t="s">
        <v>4115</v>
      </c>
      <c r="F2242" s="1360" t="s">
        <v>266</v>
      </c>
      <c r="G2242" s="1362">
        <v>809200</v>
      </c>
      <c r="H2242" s="1363" t="s">
        <v>6899</v>
      </c>
    </row>
    <row r="2243" spans="2:8" x14ac:dyDescent="0.25">
      <c r="B2243" s="1358" t="s">
        <v>6897</v>
      </c>
      <c r="C2243" s="1359" t="s">
        <v>7045</v>
      </c>
      <c r="D2243" s="1360">
        <v>11522</v>
      </c>
      <c r="E2243" s="1361" t="s">
        <v>4116</v>
      </c>
      <c r="F2243" s="1360" t="s">
        <v>266</v>
      </c>
      <c r="G2243" s="1362">
        <v>214200</v>
      </c>
      <c r="H2243" s="1363" t="s">
        <v>6899</v>
      </c>
    </row>
    <row r="2244" spans="2:8" x14ac:dyDescent="0.25">
      <c r="B2244" s="1358" t="s">
        <v>6897</v>
      </c>
      <c r="C2244" s="1359" t="s">
        <v>7045</v>
      </c>
      <c r="D2244" s="1360">
        <v>11523</v>
      </c>
      <c r="E2244" s="1361" t="s">
        <v>4117</v>
      </c>
      <c r="F2244" s="1360" t="s">
        <v>266</v>
      </c>
      <c r="G2244" s="1362">
        <v>357000</v>
      </c>
      <c r="H2244" s="1363" t="s">
        <v>6899</v>
      </c>
    </row>
    <row r="2245" spans="2:8" x14ac:dyDescent="0.25">
      <c r="B2245" s="1358" t="s">
        <v>6897</v>
      </c>
      <c r="C2245" s="1359" t="s">
        <v>7045</v>
      </c>
      <c r="D2245" s="1360">
        <v>11524</v>
      </c>
      <c r="E2245" s="1361" t="s">
        <v>4118</v>
      </c>
      <c r="F2245" s="1360" t="s">
        <v>266</v>
      </c>
      <c r="G2245" s="1362">
        <v>178500</v>
      </c>
      <c r="H2245" s="1363" t="s">
        <v>6899</v>
      </c>
    </row>
    <row r="2246" spans="2:8" x14ac:dyDescent="0.25">
      <c r="B2246" s="1358" t="s">
        <v>6897</v>
      </c>
      <c r="C2246" s="1359" t="s">
        <v>7045</v>
      </c>
      <c r="D2246" s="1360">
        <v>11525</v>
      </c>
      <c r="E2246" s="1361" t="s">
        <v>4119</v>
      </c>
      <c r="F2246" s="1360" t="s">
        <v>266</v>
      </c>
      <c r="G2246" s="1362">
        <v>151130</v>
      </c>
      <c r="H2246" s="1363" t="s">
        <v>6899</v>
      </c>
    </row>
    <row r="2247" spans="2:8" x14ac:dyDescent="0.25">
      <c r="B2247" s="1358" t="s">
        <v>6897</v>
      </c>
      <c r="C2247" s="1359" t="s">
        <v>7045</v>
      </c>
      <c r="D2247" s="1360">
        <v>11526</v>
      </c>
      <c r="E2247" s="1361" t="s">
        <v>4120</v>
      </c>
      <c r="F2247" s="1360" t="s">
        <v>266</v>
      </c>
      <c r="G2247" s="1362">
        <v>714000</v>
      </c>
      <c r="H2247" s="1363" t="s">
        <v>6899</v>
      </c>
    </row>
    <row r="2248" spans="2:8" x14ac:dyDescent="0.25">
      <c r="B2248" s="1358" t="s">
        <v>6897</v>
      </c>
      <c r="C2248" s="1359" t="s">
        <v>6942</v>
      </c>
      <c r="D2248" s="1360">
        <v>11528</v>
      </c>
      <c r="E2248" s="1361" t="s">
        <v>4121</v>
      </c>
      <c r="F2248" s="1360" t="s">
        <v>266</v>
      </c>
      <c r="G2248" s="1362">
        <v>210773</v>
      </c>
      <c r="H2248" s="1363" t="s">
        <v>6899</v>
      </c>
    </row>
    <row r="2249" spans="2:8" x14ac:dyDescent="0.25">
      <c r="B2249" s="1358" t="s">
        <v>6897</v>
      </c>
      <c r="C2249" s="1359" t="s">
        <v>6942</v>
      </c>
      <c r="D2249" s="1360">
        <v>11529</v>
      </c>
      <c r="E2249" s="1361" t="s">
        <v>4122</v>
      </c>
      <c r="F2249" s="1360" t="s">
        <v>266</v>
      </c>
      <c r="G2249" s="1362">
        <v>250019</v>
      </c>
      <c r="H2249" s="1363" t="s">
        <v>6899</v>
      </c>
    </row>
    <row r="2250" spans="2:8" x14ac:dyDescent="0.25">
      <c r="B2250" s="1358" t="s">
        <v>6897</v>
      </c>
      <c r="C2250" s="1359" t="s">
        <v>7080</v>
      </c>
      <c r="D2250" s="1360">
        <v>11531</v>
      </c>
      <c r="E2250" s="1361" t="s">
        <v>4123</v>
      </c>
      <c r="F2250" s="1360" t="s">
        <v>266</v>
      </c>
      <c r="G2250" s="1362">
        <v>159000</v>
      </c>
      <c r="H2250" s="1363" t="s">
        <v>6899</v>
      </c>
    </row>
    <row r="2251" spans="2:8" x14ac:dyDescent="0.25">
      <c r="B2251" s="1358" t="s">
        <v>6897</v>
      </c>
      <c r="C2251" s="1359" t="s">
        <v>7080</v>
      </c>
      <c r="D2251" s="1360">
        <v>11532</v>
      </c>
      <c r="E2251" s="1361" t="s">
        <v>4124</v>
      </c>
      <c r="F2251" s="1360" t="s">
        <v>266</v>
      </c>
      <c r="G2251" s="1362">
        <v>159000</v>
      </c>
      <c r="H2251" s="1363" t="s">
        <v>6899</v>
      </c>
    </row>
    <row r="2252" spans="2:8" x14ac:dyDescent="0.25">
      <c r="B2252" s="1358" t="s">
        <v>6897</v>
      </c>
      <c r="C2252" s="1359" t="s">
        <v>7080</v>
      </c>
      <c r="D2252" s="1360">
        <v>11533</v>
      </c>
      <c r="E2252" s="1361" t="s">
        <v>4125</v>
      </c>
      <c r="F2252" s="1360" t="s">
        <v>266</v>
      </c>
      <c r="G2252" s="1362">
        <v>571200</v>
      </c>
      <c r="H2252" s="1363" t="s">
        <v>6899</v>
      </c>
    </row>
    <row r="2253" spans="2:8" x14ac:dyDescent="0.25">
      <c r="B2253" s="1358" t="s">
        <v>6897</v>
      </c>
      <c r="C2253" s="1359" t="s">
        <v>7080</v>
      </c>
      <c r="D2253" s="1360">
        <v>11534</v>
      </c>
      <c r="E2253" s="1361" t="s">
        <v>4126</v>
      </c>
      <c r="F2253" s="1360" t="s">
        <v>266</v>
      </c>
      <c r="G2253" s="1362">
        <v>1428000</v>
      </c>
      <c r="H2253" s="1363" t="s">
        <v>6899</v>
      </c>
    </row>
    <row r="2254" spans="2:8" x14ac:dyDescent="0.25">
      <c r="B2254" s="1358" t="s">
        <v>6897</v>
      </c>
      <c r="C2254" s="1359" t="s">
        <v>7080</v>
      </c>
      <c r="D2254" s="1360">
        <v>11535</v>
      </c>
      <c r="E2254" s="1361" t="s">
        <v>4127</v>
      </c>
      <c r="F2254" s="1360" t="s">
        <v>266</v>
      </c>
      <c r="G2254" s="1362">
        <v>357000</v>
      </c>
      <c r="H2254" s="1363" t="s">
        <v>6899</v>
      </c>
    </row>
    <row r="2255" spans="2:8" x14ac:dyDescent="0.25">
      <c r="B2255" s="1358" t="s">
        <v>6897</v>
      </c>
      <c r="C2255" s="1359" t="s">
        <v>7080</v>
      </c>
      <c r="D2255" s="1360">
        <v>11536</v>
      </c>
      <c r="E2255" s="1361" t="s">
        <v>4128</v>
      </c>
      <c r="F2255" s="1360" t="s">
        <v>266</v>
      </c>
      <c r="G2255" s="1362">
        <v>119500</v>
      </c>
      <c r="H2255" s="1363" t="s">
        <v>6899</v>
      </c>
    </row>
    <row r="2256" spans="2:8" x14ac:dyDescent="0.25">
      <c r="B2256" s="1358" t="s">
        <v>6897</v>
      </c>
      <c r="C2256" s="1359" t="s">
        <v>7080</v>
      </c>
      <c r="D2256" s="1360">
        <v>11537</v>
      </c>
      <c r="E2256" s="1361" t="s">
        <v>4129</v>
      </c>
      <c r="F2256" s="1360" t="s">
        <v>266</v>
      </c>
      <c r="G2256" s="1362">
        <v>142800</v>
      </c>
      <c r="H2256" s="1363" t="s">
        <v>6899</v>
      </c>
    </row>
    <row r="2257" spans="2:8" x14ac:dyDescent="0.25">
      <c r="B2257" s="1358" t="s">
        <v>6897</v>
      </c>
      <c r="C2257" s="1359" t="s">
        <v>7080</v>
      </c>
      <c r="D2257" s="1360">
        <v>11538</v>
      </c>
      <c r="E2257" s="1361" t="s">
        <v>4130</v>
      </c>
      <c r="F2257" s="1360" t="s">
        <v>266</v>
      </c>
      <c r="G2257" s="1362">
        <v>505516</v>
      </c>
      <c r="H2257" s="1363" t="s">
        <v>6899</v>
      </c>
    </row>
    <row r="2258" spans="2:8" x14ac:dyDescent="0.25">
      <c r="B2258" s="1358" t="s">
        <v>6897</v>
      </c>
      <c r="C2258" s="1359" t="s">
        <v>7080</v>
      </c>
      <c r="D2258" s="1360">
        <v>11543</v>
      </c>
      <c r="E2258" s="1361" t="s">
        <v>4131</v>
      </c>
      <c r="F2258" s="1360" t="s">
        <v>266</v>
      </c>
      <c r="G2258" s="1362">
        <v>404600</v>
      </c>
      <c r="H2258" s="1363" t="s">
        <v>6899</v>
      </c>
    </row>
    <row r="2259" spans="2:8" x14ac:dyDescent="0.25">
      <c r="B2259" s="1358" t="s">
        <v>6897</v>
      </c>
      <c r="C2259" s="1359" t="s">
        <v>7080</v>
      </c>
      <c r="D2259" s="1360">
        <v>11544</v>
      </c>
      <c r="E2259" s="1361" t="s">
        <v>4132</v>
      </c>
      <c r="F2259" s="1360" t="s">
        <v>266</v>
      </c>
      <c r="G2259" s="1362">
        <v>476000</v>
      </c>
      <c r="H2259" s="1363" t="s">
        <v>6899</v>
      </c>
    </row>
    <row r="2260" spans="2:8" x14ac:dyDescent="0.25">
      <c r="B2260" s="1358" t="s">
        <v>6897</v>
      </c>
      <c r="C2260" s="1359" t="s">
        <v>7081</v>
      </c>
      <c r="D2260" s="1360">
        <v>11546</v>
      </c>
      <c r="E2260" s="1361" t="s">
        <v>4133</v>
      </c>
      <c r="F2260" s="1360" t="s">
        <v>266</v>
      </c>
      <c r="G2260" s="1362">
        <v>157080</v>
      </c>
      <c r="H2260" s="1363" t="s">
        <v>6899</v>
      </c>
    </row>
    <row r="2261" spans="2:8" x14ac:dyDescent="0.25">
      <c r="B2261" s="1358" t="s">
        <v>6897</v>
      </c>
      <c r="C2261" s="1359" t="s">
        <v>7081</v>
      </c>
      <c r="D2261" s="1360">
        <v>11547</v>
      </c>
      <c r="E2261" s="1361" t="s">
        <v>4134</v>
      </c>
      <c r="F2261" s="1360" t="s">
        <v>266</v>
      </c>
      <c r="G2261" s="1362">
        <v>330000</v>
      </c>
      <c r="H2261" s="1363" t="s">
        <v>6899</v>
      </c>
    </row>
    <row r="2262" spans="2:8" x14ac:dyDescent="0.25">
      <c r="B2262" s="1358" t="s">
        <v>6897</v>
      </c>
      <c r="C2262" s="1359" t="s">
        <v>7082</v>
      </c>
      <c r="D2262" s="1360">
        <v>11549</v>
      </c>
      <c r="E2262" s="1361" t="s">
        <v>4135</v>
      </c>
      <c r="F2262" s="1360" t="s">
        <v>266</v>
      </c>
      <c r="G2262" s="1362">
        <v>476000</v>
      </c>
      <c r="H2262" s="1363" t="s">
        <v>6899</v>
      </c>
    </row>
    <row r="2263" spans="2:8" x14ac:dyDescent="0.25">
      <c r="B2263" s="1358" t="s">
        <v>6897</v>
      </c>
      <c r="C2263" s="1359" t="s">
        <v>7082</v>
      </c>
      <c r="D2263" s="1360">
        <v>11550</v>
      </c>
      <c r="E2263" s="1361" t="s">
        <v>4136</v>
      </c>
      <c r="F2263" s="1360" t="s">
        <v>266</v>
      </c>
      <c r="G2263" s="1362">
        <v>229299</v>
      </c>
      <c r="H2263" s="1363" t="s">
        <v>6899</v>
      </c>
    </row>
    <row r="2264" spans="2:8" x14ac:dyDescent="0.25">
      <c r="B2264" s="1358" t="s">
        <v>6897</v>
      </c>
      <c r="C2264" s="1359" t="s">
        <v>7082</v>
      </c>
      <c r="D2264" s="1360">
        <v>11551</v>
      </c>
      <c r="E2264" s="1361" t="s">
        <v>4137</v>
      </c>
      <c r="F2264" s="1360" t="s">
        <v>266</v>
      </c>
      <c r="G2264" s="1362">
        <v>452200</v>
      </c>
      <c r="H2264" s="1363" t="s">
        <v>6899</v>
      </c>
    </row>
    <row r="2265" spans="2:8" x14ac:dyDescent="0.25">
      <c r="B2265" s="1358" t="s">
        <v>6897</v>
      </c>
      <c r="C2265" s="1359" t="s">
        <v>1798</v>
      </c>
      <c r="D2265" s="1360">
        <v>11554</v>
      </c>
      <c r="E2265" s="1361" t="s">
        <v>2669</v>
      </c>
      <c r="F2265" s="1360" t="s">
        <v>6</v>
      </c>
      <c r="G2265" s="1362">
        <v>8211</v>
      </c>
      <c r="H2265" s="1363" t="s">
        <v>6899</v>
      </c>
    </row>
    <row r="2266" spans="2:8" x14ac:dyDescent="0.25">
      <c r="B2266" s="1358" t="s">
        <v>6897</v>
      </c>
      <c r="C2266" s="1359" t="s">
        <v>6916</v>
      </c>
      <c r="D2266" s="1360">
        <v>11561</v>
      </c>
      <c r="E2266" s="1361" t="s">
        <v>2670</v>
      </c>
      <c r="F2266" s="1360" t="s">
        <v>266</v>
      </c>
      <c r="G2266" s="1362">
        <v>193841</v>
      </c>
      <c r="H2266" s="1363" t="s">
        <v>3538</v>
      </c>
    </row>
    <row r="2267" spans="2:8" x14ac:dyDescent="0.25">
      <c r="B2267" s="1358" t="s">
        <v>6897</v>
      </c>
      <c r="C2267" s="1359" t="s">
        <v>7069</v>
      </c>
      <c r="D2267" s="1360">
        <v>11562</v>
      </c>
      <c r="E2267" s="1361" t="s">
        <v>2671</v>
      </c>
      <c r="F2267" s="1360" t="s">
        <v>266</v>
      </c>
      <c r="G2267" s="1362">
        <v>150943</v>
      </c>
      <c r="H2267" s="1363" t="s">
        <v>3538</v>
      </c>
    </row>
    <row r="2268" spans="2:8" x14ac:dyDescent="0.25">
      <c r="B2268" s="1358" t="s">
        <v>6897</v>
      </c>
      <c r="C2268" s="1359" t="s">
        <v>7069</v>
      </c>
      <c r="D2268" s="1360">
        <v>11563</v>
      </c>
      <c r="E2268" s="1361" t="s">
        <v>2672</v>
      </c>
      <c r="F2268" s="1360" t="s">
        <v>266</v>
      </c>
      <c r="G2268" s="1362">
        <v>537994</v>
      </c>
      <c r="H2268" s="1363" t="s">
        <v>3538</v>
      </c>
    </row>
    <row r="2269" spans="2:8" x14ac:dyDescent="0.25">
      <c r="B2269" s="1358" t="s">
        <v>6897</v>
      </c>
      <c r="C2269" s="1359" t="s">
        <v>7010</v>
      </c>
      <c r="D2269" s="1360">
        <v>11566</v>
      </c>
      <c r="E2269" s="1361" t="s">
        <v>2673</v>
      </c>
      <c r="F2269" s="1360" t="s">
        <v>266</v>
      </c>
      <c r="G2269" s="1362">
        <v>29718855</v>
      </c>
      <c r="H2269" s="1363" t="s">
        <v>3538</v>
      </c>
    </row>
    <row r="2270" spans="2:8" x14ac:dyDescent="0.25">
      <c r="B2270" s="1358" t="s">
        <v>6897</v>
      </c>
      <c r="C2270" s="1359" t="s">
        <v>7010</v>
      </c>
      <c r="D2270" s="1360">
        <v>11567</v>
      </c>
      <c r="E2270" s="1361" t="s">
        <v>2674</v>
      </c>
      <c r="F2270" s="1360" t="s">
        <v>266</v>
      </c>
      <c r="G2270" s="1362">
        <v>23712955</v>
      </c>
      <c r="H2270" s="1363" t="s">
        <v>3538</v>
      </c>
    </row>
    <row r="2271" spans="2:8" x14ac:dyDescent="0.25">
      <c r="B2271" s="1358" t="s">
        <v>6897</v>
      </c>
      <c r="C2271" s="1359" t="s">
        <v>6915</v>
      </c>
      <c r="D2271" s="1360">
        <v>11569</v>
      </c>
      <c r="E2271" s="1361" t="s">
        <v>2675</v>
      </c>
      <c r="F2271" s="1360" t="s">
        <v>12</v>
      </c>
      <c r="G2271" s="1362">
        <v>74078</v>
      </c>
      <c r="H2271" s="1363" t="s">
        <v>6899</v>
      </c>
    </row>
    <row r="2272" spans="2:8" x14ac:dyDescent="0.25">
      <c r="B2272" s="1358" t="s">
        <v>6897</v>
      </c>
      <c r="C2272" s="1359" t="s">
        <v>7056</v>
      </c>
      <c r="D2272" s="1360">
        <v>11572</v>
      </c>
      <c r="E2272" s="1361" t="s">
        <v>4138</v>
      </c>
      <c r="F2272" s="1360" t="s">
        <v>13</v>
      </c>
      <c r="G2272" s="1362">
        <v>97537</v>
      </c>
      <c r="H2272" s="1363" t="s">
        <v>3538</v>
      </c>
    </row>
    <row r="2273" spans="2:8" x14ac:dyDescent="0.25">
      <c r="B2273" s="1358" t="s">
        <v>6897</v>
      </c>
      <c r="C2273" s="1359" t="s">
        <v>6931</v>
      </c>
      <c r="D2273" s="1360">
        <v>11574</v>
      </c>
      <c r="E2273" s="1361" t="s">
        <v>2676</v>
      </c>
      <c r="F2273" s="1360" t="s">
        <v>6</v>
      </c>
      <c r="G2273" s="1362">
        <v>136815</v>
      </c>
      <c r="H2273" s="1363" t="s">
        <v>3538</v>
      </c>
    </row>
    <row r="2274" spans="2:8" x14ac:dyDescent="0.25">
      <c r="B2274" s="1358" t="s">
        <v>6897</v>
      </c>
      <c r="C2274" s="1359" t="s">
        <v>6931</v>
      </c>
      <c r="D2274" s="1360">
        <v>11575</v>
      </c>
      <c r="E2274" s="1361" t="s">
        <v>2677</v>
      </c>
      <c r="F2274" s="1360" t="s">
        <v>6</v>
      </c>
      <c r="G2274" s="1362">
        <v>56784</v>
      </c>
      <c r="H2274" s="1363" t="s">
        <v>3538</v>
      </c>
    </row>
    <row r="2275" spans="2:8" x14ac:dyDescent="0.25">
      <c r="B2275" s="1358" t="s">
        <v>6897</v>
      </c>
      <c r="C2275" s="1359" t="s">
        <v>6930</v>
      </c>
      <c r="D2275" s="1360">
        <v>11576</v>
      </c>
      <c r="E2275" s="1361" t="s">
        <v>2678</v>
      </c>
      <c r="F2275" s="1360" t="s">
        <v>1155</v>
      </c>
      <c r="G2275" s="1362">
        <v>148816</v>
      </c>
      <c r="H2275" s="1363" t="s">
        <v>6899</v>
      </c>
    </row>
    <row r="2276" spans="2:8" x14ac:dyDescent="0.25">
      <c r="B2276" s="1358" t="s">
        <v>6897</v>
      </c>
      <c r="C2276" s="1359" t="s">
        <v>6904</v>
      </c>
      <c r="D2276" s="1360">
        <v>11577</v>
      </c>
      <c r="E2276" s="1361" t="s">
        <v>2679</v>
      </c>
      <c r="F2276" s="1360" t="s">
        <v>266</v>
      </c>
      <c r="G2276" s="1362">
        <v>1400</v>
      </c>
      <c r="H2276" s="1363" t="s">
        <v>6899</v>
      </c>
    </row>
    <row r="2277" spans="2:8" x14ac:dyDescent="0.25">
      <c r="B2277" s="1358" t="s">
        <v>6897</v>
      </c>
      <c r="C2277" s="1359" t="s">
        <v>6915</v>
      </c>
      <c r="D2277" s="1360">
        <v>11580</v>
      </c>
      <c r="E2277" s="1361" t="s">
        <v>2680</v>
      </c>
      <c r="F2277" s="1360" t="s">
        <v>266</v>
      </c>
      <c r="G2277" s="1362">
        <v>2950</v>
      </c>
      <c r="H2277" s="1363" t="s">
        <v>6899</v>
      </c>
    </row>
    <row r="2278" spans="2:8" x14ac:dyDescent="0.25">
      <c r="B2278" s="1358" t="s">
        <v>6897</v>
      </c>
      <c r="C2278" s="1359" t="s">
        <v>6915</v>
      </c>
      <c r="D2278" s="1360">
        <v>11581</v>
      </c>
      <c r="E2278" s="1361" t="s">
        <v>2681</v>
      </c>
      <c r="F2278" s="1360" t="s">
        <v>266</v>
      </c>
      <c r="G2278" s="1362">
        <v>2950</v>
      </c>
      <c r="H2278" s="1363" t="s">
        <v>6899</v>
      </c>
    </row>
    <row r="2279" spans="2:8" x14ac:dyDescent="0.25">
      <c r="B2279" s="1358" t="s">
        <v>6897</v>
      </c>
      <c r="C2279" s="1359" t="s">
        <v>7056</v>
      </c>
      <c r="D2279" s="1360">
        <v>11586</v>
      </c>
      <c r="E2279" s="1361" t="s">
        <v>4139</v>
      </c>
      <c r="F2279" s="1360" t="s">
        <v>13</v>
      </c>
      <c r="G2279" s="1362">
        <v>46522</v>
      </c>
      <c r="H2279" s="1363" t="s">
        <v>3538</v>
      </c>
    </row>
    <row r="2280" spans="2:8" x14ac:dyDescent="0.25">
      <c r="B2280" s="1358" t="s">
        <v>6897</v>
      </c>
      <c r="C2280" s="1359" t="s">
        <v>7056</v>
      </c>
      <c r="D2280" s="1360">
        <v>11587</v>
      </c>
      <c r="E2280" s="1361" t="s">
        <v>4140</v>
      </c>
      <c r="F2280" s="1360" t="s">
        <v>13</v>
      </c>
      <c r="G2280" s="1362">
        <v>470456</v>
      </c>
      <c r="H2280" s="1363" t="s">
        <v>3538</v>
      </c>
    </row>
    <row r="2281" spans="2:8" x14ac:dyDescent="0.25">
      <c r="B2281" s="1358" t="s">
        <v>6897</v>
      </c>
      <c r="C2281" s="1359" t="s">
        <v>7056</v>
      </c>
      <c r="D2281" s="1360">
        <v>11588</v>
      </c>
      <c r="E2281" s="1361" t="s">
        <v>4141</v>
      </c>
      <c r="F2281" s="1360" t="s">
        <v>13</v>
      </c>
      <c r="G2281" s="1362">
        <v>182264</v>
      </c>
      <c r="H2281" s="1363" t="s">
        <v>3538</v>
      </c>
    </row>
    <row r="2282" spans="2:8" x14ac:dyDescent="0.25">
      <c r="B2282" s="1358" t="s">
        <v>6897</v>
      </c>
      <c r="C2282" s="1359" t="s">
        <v>7056</v>
      </c>
      <c r="D2282" s="1360">
        <v>11589</v>
      </c>
      <c r="E2282" s="1361" t="s">
        <v>4142</v>
      </c>
      <c r="F2282" s="1360" t="s">
        <v>13</v>
      </c>
      <c r="G2282" s="1362">
        <v>304161</v>
      </c>
      <c r="H2282" s="1363" t="s">
        <v>3538</v>
      </c>
    </row>
    <row r="2283" spans="2:8" x14ac:dyDescent="0.25">
      <c r="B2283" s="1358" t="s">
        <v>6897</v>
      </c>
      <c r="C2283" s="1359" t="s">
        <v>6919</v>
      </c>
      <c r="D2283" s="1360">
        <v>11590</v>
      </c>
      <c r="E2283" s="1361" t="s">
        <v>2682</v>
      </c>
      <c r="F2283" s="1360" t="s">
        <v>266</v>
      </c>
      <c r="G2283" s="1362">
        <v>1071000</v>
      </c>
      <c r="H2283" s="1363" t="s">
        <v>6899</v>
      </c>
    </row>
    <row r="2284" spans="2:8" x14ac:dyDescent="0.25">
      <c r="B2284" s="1358" t="s">
        <v>6897</v>
      </c>
      <c r="C2284" s="1359" t="s">
        <v>6919</v>
      </c>
      <c r="D2284" s="1360">
        <v>11591</v>
      </c>
      <c r="E2284" s="1361" t="s">
        <v>2683</v>
      </c>
      <c r="F2284" s="1360" t="s">
        <v>266</v>
      </c>
      <c r="G2284" s="1362">
        <v>730733</v>
      </c>
      <c r="H2284" s="1363" t="s">
        <v>6899</v>
      </c>
    </row>
    <row r="2285" spans="2:8" x14ac:dyDescent="0.25">
      <c r="B2285" s="1358" t="s">
        <v>6897</v>
      </c>
      <c r="C2285" s="1359" t="s">
        <v>6919</v>
      </c>
      <c r="D2285" s="1360">
        <v>11592</v>
      </c>
      <c r="E2285" s="1361" t="s">
        <v>2684</v>
      </c>
      <c r="F2285" s="1360" t="s">
        <v>266</v>
      </c>
      <c r="G2285" s="1362">
        <v>930024</v>
      </c>
      <c r="H2285" s="1363" t="s">
        <v>6899</v>
      </c>
    </row>
    <row r="2286" spans="2:8" x14ac:dyDescent="0.25">
      <c r="B2286" s="1358" t="s">
        <v>6897</v>
      </c>
      <c r="C2286" s="1359" t="s">
        <v>7056</v>
      </c>
      <c r="D2286" s="1360">
        <v>11593</v>
      </c>
      <c r="E2286" s="1361" t="s">
        <v>7083</v>
      </c>
      <c r="F2286" s="1360" t="s">
        <v>13</v>
      </c>
      <c r="G2286" s="1362">
        <v>4166</v>
      </c>
      <c r="H2286" s="1363" t="s">
        <v>3538</v>
      </c>
    </row>
    <row r="2287" spans="2:8" x14ac:dyDescent="0.25">
      <c r="B2287" s="1358" t="s">
        <v>6897</v>
      </c>
      <c r="C2287" s="1359" t="s">
        <v>7010</v>
      </c>
      <c r="D2287" s="1360">
        <v>11595</v>
      </c>
      <c r="E2287" s="1361" t="s">
        <v>2685</v>
      </c>
      <c r="F2287" s="1360" t="s">
        <v>266</v>
      </c>
      <c r="G2287" s="1362">
        <v>28682570</v>
      </c>
      <c r="H2287" s="1363" t="s">
        <v>3538</v>
      </c>
    </row>
    <row r="2288" spans="2:8" x14ac:dyDescent="0.25">
      <c r="B2288" s="1358" t="s">
        <v>6897</v>
      </c>
      <c r="C2288" s="1359" t="s">
        <v>7010</v>
      </c>
      <c r="D2288" s="1360">
        <v>11596</v>
      </c>
      <c r="E2288" s="1361" t="s">
        <v>2686</v>
      </c>
      <c r="F2288" s="1360" t="s">
        <v>266</v>
      </c>
      <c r="G2288" s="1362">
        <v>23266880</v>
      </c>
      <c r="H2288" s="1363" t="s">
        <v>3538</v>
      </c>
    </row>
    <row r="2289" spans="2:8" x14ac:dyDescent="0.25">
      <c r="B2289" s="1358" t="s">
        <v>6897</v>
      </c>
      <c r="C2289" s="1359" t="s">
        <v>7010</v>
      </c>
      <c r="D2289" s="1360">
        <v>11597</v>
      </c>
      <c r="E2289" s="1361" t="s">
        <v>2687</v>
      </c>
      <c r="F2289" s="1360" t="s">
        <v>266</v>
      </c>
      <c r="G2289" s="1362">
        <v>60123560</v>
      </c>
      <c r="H2289" s="1363" t="s">
        <v>3538</v>
      </c>
    </row>
    <row r="2290" spans="2:8" x14ac:dyDescent="0.25">
      <c r="B2290" s="1358" t="s">
        <v>6897</v>
      </c>
      <c r="C2290" s="1359" t="s">
        <v>6906</v>
      </c>
      <c r="D2290" s="1360">
        <v>11600</v>
      </c>
      <c r="E2290" s="1361" t="s">
        <v>2688</v>
      </c>
      <c r="F2290" s="1360" t="s">
        <v>266</v>
      </c>
      <c r="G2290" s="1362">
        <v>41703</v>
      </c>
      <c r="H2290" s="1363" t="s">
        <v>3535</v>
      </c>
    </row>
    <row r="2291" spans="2:8" x14ac:dyDescent="0.25">
      <c r="B2291" s="1358" t="s">
        <v>6897</v>
      </c>
      <c r="C2291" s="1359" t="s">
        <v>6901</v>
      </c>
      <c r="D2291" s="1360">
        <v>11601</v>
      </c>
      <c r="E2291" s="1361" t="s">
        <v>7084</v>
      </c>
      <c r="F2291" s="1360" t="s">
        <v>12</v>
      </c>
      <c r="G2291" s="1362">
        <v>61880</v>
      </c>
      <c r="H2291" s="1363" t="s">
        <v>3538</v>
      </c>
    </row>
    <row r="2292" spans="2:8" x14ac:dyDescent="0.25">
      <c r="B2292" s="1358" t="s">
        <v>6897</v>
      </c>
      <c r="C2292" s="1359" t="s">
        <v>7009</v>
      </c>
      <c r="D2292" s="1360">
        <v>11602</v>
      </c>
      <c r="E2292" s="1361" t="s">
        <v>2689</v>
      </c>
      <c r="F2292" s="1360" t="s">
        <v>266</v>
      </c>
      <c r="G2292" s="1362">
        <v>4574583</v>
      </c>
      <c r="H2292" s="1363" t="s">
        <v>6899</v>
      </c>
    </row>
    <row r="2293" spans="2:8" x14ac:dyDescent="0.25">
      <c r="B2293" s="1358" t="s">
        <v>6897</v>
      </c>
      <c r="C2293" s="1359" t="s">
        <v>7009</v>
      </c>
      <c r="D2293" s="1360">
        <v>11603</v>
      </c>
      <c r="E2293" s="1361" t="s">
        <v>2690</v>
      </c>
      <c r="F2293" s="1360" t="s">
        <v>266</v>
      </c>
      <c r="G2293" s="1362">
        <v>4480262</v>
      </c>
      <c r="H2293" s="1363" t="s">
        <v>6899</v>
      </c>
    </row>
    <row r="2294" spans="2:8" x14ac:dyDescent="0.25">
      <c r="B2294" s="1358" t="s">
        <v>6897</v>
      </c>
      <c r="C2294" s="1359" t="s">
        <v>6898</v>
      </c>
      <c r="D2294" s="1360">
        <v>11605</v>
      </c>
      <c r="E2294" s="1361" t="s">
        <v>2691</v>
      </c>
      <c r="F2294" s="1360" t="s">
        <v>3</v>
      </c>
      <c r="G2294" s="1362">
        <v>719766</v>
      </c>
      <c r="H2294" s="1363" t="s">
        <v>6899</v>
      </c>
    </row>
    <row r="2295" spans="2:8" x14ac:dyDescent="0.25">
      <c r="B2295" s="1358" t="s">
        <v>6897</v>
      </c>
      <c r="C2295" s="1359" t="s">
        <v>6904</v>
      </c>
      <c r="D2295" s="1360">
        <v>11617</v>
      </c>
      <c r="E2295" s="1361" t="s">
        <v>2692</v>
      </c>
      <c r="F2295" s="1360" t="s">
        <v>266</v>
      </c>
      <c r="G2295" s="1362">
        <v>1600</v>
      </c>
      <c r="H2295" s="1363" t="s">
        <v>6899</v>
      </c>
    </row>
    <row r="2296" spans="2:8" x14ac:dyDescent="0.25">
      <c r="B2296" s="1358" t="s">
        <v>6897</v>
      </c>
      <c r="C2296" s="1359" t="s">
        <v>6904</v>
      </c>
      <c r="D2296" s="1360">
        <v>11618</v>
      </c>
      <c r="E2296" s="1361" t="s">
        <v>2693</v>
      </c>
      <c r="F2296" s="1360" t="s">
        <v>266</v>
      </c>
      <c r="G2296" s="1362">
        <v>1565</v>
      </c>
      <c r="H2296" s="1363" t="s">
        <v>6899</v>
      </c>
    </row>
    <row r="2297" spans="2:8" x14ac:dyDescent="0.25">
      <c r="B2297" s="1358" t="s">
        <v>6897</v>
      </c>
      <c r="C2297" s="1359" t="s">
        <v>1798</v>
      </c>
      <c r="D2297" s="1360">
        <v>11619</v>
      </c>
      <c r="E2297" s="1361" t="s">
        <v>7085</v>
      </c>
      <c r="F2297" s="1360" t="s">
        <v>6</v>
      </c>
      <c r="G2297" s="1362">
        <v>18088</v>
      </c>
      <c r="H2297" s="1363" t="s">
        <v>6899</v>
      </c>
    </row>
    <row r="2298" spans="2:8" x14ac:dyDescent="0.25">
      <c r="B2298" s="1358" t="s">
        <v>6897</v>
      </c>
      <c r="C2298" s="1359" t="s">
        <v>6904</v>
      </c>
      <c r="D2298" s="1360">
        <v>11620</v>
      </c>
      <c r="E2298" s="1361" t="s">
        <v>2694</v>
      </c>
      <c r="F2298" s="1360" t="s">
        <v>266</v>
      </c>
      <c r="G2298" s="1362">
        <v>1450</v>
      </c>
      <c r="H2298" s="1363" t="s">
        <v>6899</v>
      </c>
    </row>
    <row r="2299" spans="2:8" x14ac:dyDescent="0.25">
      <c r="B2299" s="1358" t="s">
        <v>6897</v>
      </c>
      <c r="C2299" s="1359" t="s">
        <v>6992</v>
      </c>
      <c r="D2299" s="1360">
        <v>11624</v>
      </c>
      <c r="E2299" s="1361" t="s">
        <v>2695</v>
      </c>
      <c r="F2299" s="1360" t="s">
        <v>266</v>
      </c>
      <c r="G2299" s="1362">
        <v>4164512</v>
      </c>
      <c r="H2299" s="1363" t="s">
        <v>3538</v>
      </c>
    </row>
    <row r="2300" spans="2:8" x14ac:dyDescent="0.25">
      <c r="B2300" s="1358" t="s">
        <v>6897</v>
      </c>
      <c r="C2300" s="1359" t="s">
        <v>6992</v>
      </c>
      <c r="D2300" s="1360">
        <v>11625</v>
      </c>
      <c r="E2300" s="1361" t="s">
        <v>2696</v>
      </c>
      <c r="F2300" s="1360" t="s">
        <v>266</v>
      </c>
      <c r="G2300" s="1362">
        <v>9000720</v>
      </c>
      <c r="H2300" s="1363" t="s">
        <v>3538</v>
      </c>
    </row>
    <row r="2301" spans="2:8" x14ac:dyDescent="0.25">
      <c r="B2301" s="1358" t="s">
        <v>6897</v>
      </c>
      <c r="C2301" s="1359" t="s">
        <v>7061</v>
      </c>
      <c r="D2301" s="1360">
        <v>11629</v>
      </c>
      <c r="E2301" s="1361" t="s">
        <v>2697</v>
      </c>
      <c r="F2301" s="1360" t="s">
        <v>13</v>
      </c>
      <c r="G2301" s="1362">
        <v>3401072</v>
      </c>
      <c r="H2301" s="1363" t="s">
        <v>3538</v>
      </c>
    </row>
    <row r="2302" spans="2:8" x14ac:dyDescent="0.25">
      <c r="B2302" s="1358" t="s">
        <v>6897</v>
      </c>
      <c r="C2302" s="1359" t="s">
        <v>7061</v>
      </c>
      <c r="D2302" s="1360">
        <v>11630</v>
      </c>
      <c r="E2302" s="1361" t="s">
        <v>2698</v>
      </c>
      <c r="F2302" s="1360" t="s">
        <v>266</v>
      </c>
      <c r="G2302" s="1362">
        <v>7510128</v>
      </c>
      <c r="H2302" s="1363" t="s">
        <v>3538</v>
      </c>
    </row>
    <row r="2303" spans="2:8" x14ac:dyDescent="0.25">
      <c r="B2303" s="1358" t="s">
        <v>6897</v>
      </c>
      <c r="C2303" s="1359" t="s">
        <v>7061</v>
      </c>
      <c r="D2303" s="1360">
        <v>11631</v>
      </c>
      <c r="E2303" s="1361" t="s">
        <v>2699</v>
      </c>
      <c r="F2303" s="1360" t="s">
        <v>266</v>
      </c>
      <c r="G2303" s="1362">
        <v>9650338</v>
      </c>
      <c r="H2303" s="1363" t="s">
        <v>3538</v>
      </c>
    </row>
    <row r="2304" spans="2:8" x14ac:dyDescent="0.25">
      <c r="B2304" s="1358" t="s">
        <v>6897</v>
      </c>
      <c r="C2304" s="1359" t="s">
        <v>7061</v>
      </c>
      <c r="D2304" s="1360">
        <v>11632</v>
      </c>
      <c r="E2304" s="1361" t="s">
        <v>2700</v>
      </c>
      <c r="F2304" s="1360" t="s">
        <v>266</v>
      </c>
      <c r="G2304" s="1362">
        <v>12252931</v>
      </c>
      <c r="H2304" s="1363" t="s">
        <v>3538</v>
      </c>
    </row>
    <row r="2305" spans="2:8" x14ac:dyDescent="0.25">
      <c r="B2305" s="1358" t="s">
        <v>6897</v>
      </c>
      <c r="C2305" s="1359" t="s">
        <v>7061</v>
      </c>
      <c r="D2305" s="1360">
        <v>11633</v>
      </c>
      <c r="E2305" s="1361" t="s">
        <v>2701</v>
      </c>
      <c r="F2305" s="1360" t="s">
        <v>266</v>
      </c>
      <c r="G2305" s="1362">
        <v>15086714</v>
      </c>
      <c r="H2305" s="1363" t="s">
        <v>3538</v>
      </c>
    </row>
    <row r="2306" spans="2:8" x14ac:dyDescent="0.25">
      <c r="B2306" s="1358" t="s">
        <v>6897</v>
      </c>
      <c r="C2306" s="1359" t="s">
        <v>7061</v>
      </c>
      <c r="D2306" s="1360">
        <v>11634</v>
      </c>
      <c r="E2306" s="1361" t="s">
        <v>2702</v>
      </c>
      <c r="F2306" s="1360" t="s">
        <v>266</v>
      </c>
      <c r="G2306" s="1362">
        <v>6864859</v>
      </c>
      <c r="H2306" s="1363" t="s">
        <v>3538</v>
      </c>
    </row>
    <row r="2307" spans="2:8" x14ac:dyDescent="0.25">
      <c r="B2307" s="1358" t="s">
        <v>6897</v>
      </c>
      <c r="C2307" s="1359" t="s">
        <v>7061</v>
      </c>
      <c r="D2307" s="1360">
        <v>11635</v>
      </c>
      <c r="E2307" s="1361" t="s">
        <v>2703</v>
      </c>
      <c r="F2307" s="1360" t="s">
        <v>266</v>
      </c>
      <c r="G2307" s="1362">
        <v>11550975</v>
      </c>
      <c r="H2307" s="1363" t="s">
        <v>3538</v>
      </c>
    </row>
    <row r="2308" spans="2:8" x14ac:dyDescent="0.25">
      <c r="B2308" s="1358" t="s">
        <v>6897</v>
      </c>
      <c r="C2308" s="1359" t="s">
        <v>7061</v>
      </c>
      <c r="D2308" s="1360">
        <v>11641</v>
      </c>
      <c r="E2308" s="1361" t="s">
        <v>2704</v>
      </c>
      <c r="F2308" s="1360" t="s">
        <v>266</v>
      </c>
      <c r="G2308" s="1362">
        <v>3382197</v>
      </c>
      <c r="H2308" s="1363" t="s">
        <v>3538</v>
      </c>
    </row>
    <row r="2309" spans="2:8" x14ac:dyDescent="0.25">
      <c r="B2309" s="1358" t="s">
        <v>6897</v>
      </c>
      <c r="C2309" s="1359" t="s">
        <v>7061</v>
      </c>
      <c r="D2309" s="1360">
        <v>11642</v>
      </c>
      <c r="E2309" s="1361" t="s">
        <v>2705</v>
      </c>
      <c r="F2309" s="1360" t="s">
        <v>266</v>
      </c>
      <c r="G2309" s="1362">
        <v>6365060</v>
      </c>
      <c r="H2309" s="1363" t="s">
        <v>3538</v>
      </c>
    </row>
    <row r="2310" spans="2:8" x14ac:dyDescent="0.25">
      <c r="B2310" s="1358" t="s">
        <v>6897</v>
      </c>
      <c r="C2310" s="1359" t="s">
        <v>7061</v>
      </c>
      <c r="D2310" s="1360">
        <v>11643</v>
      </c>
      <c r="E2310" s="1361" t="s">
        <v>2706</v>
      </c>
      <c r="F2310" s="1360" t="s">
        <v>13</v>
      </c>
      <c r="G2310" s="1362">
        <v>2181746</v>
      </c>
      <c r="H2310" s="1363" t="s">
        <v>3538</v>
      </c>
    </row>
    <row r="2311" spans="2:8" x14ac:dyDescent="0.25">
      <c r="B2311" s="1358" t="s">
        <v>6897</v>
      </c>
      <c r="C2311" s="1359" t="s">
        <v>7061</v>
      </c>
      <c r="D2311" s="1360">
        <v>11644</v>
      </c>
      <c r="E2311" s="1361" t="s">
        <v>2707</v>
      </c>
      <c r="F2311" s="1360" t="s">
        <v>266</v>
      </c>
      <c r="G2311" s="1362">
        <v>702449</v>
      </c>
      <c r="H2311" s="1363" t="s">
        <v>3538</v>
      </c>
    </row>
    <row r="2312" spans="2:8" x14ac:dyDescent="0.25">
      <c r="B2312" s="1358" t="s">
        <v>6897</v>
      </c>
      <c r="C2312" s="1359" t="s">
        <v>7061</v>
      </c>
      <c r="D2312" s="1360">
        <v>11646</v>
      </c>
      <c r="E2312" s="1361" t="s">
        <v>2708</v>
      </c>
      <c r="F2312" s="1360" t="s">
        <v>266</v>
      </c>
      <c r="G2312" s="1362">
        <v>8741080</v>
      </c>
      <c r="H2312" s="1363" t="s">
        <v>3538</v>
      </c>
    </row>
    <row r="2313" spans="2:8" x14ac:dyDescent="0.25">
      <c r="B2313" s="1358" t="s">
        <v>6897</v>
      </c>
      <c r="C2313" s="1359" t="s">
        <v>7061</v>
      </c>
      <c r="D2313" s="1360">
        <v>11647</v>
      </c>
      <c r="E2313" s="1361" t="s">
        <v>2709</v>
      </c>
      <c r="F2313" s="1360" t="s">
        <v>266</v>
      </c>
      <c r="G2313" s="1362">
        <v>5561859</v>
      </c>
      <c r="H2313" s="1363" t="s">
        <v>3538</v>
      </c>
    </row>
    <row r="2314" spans="2:8" x14ac:dyDescent="0.25">
      <c r="B2314" s="1358" t="s">
        <v>6897</v>
      </c>
      <c r="C2314" s="1359" t="s">
        <v>7061</v>
      </c>
      <c r="D2314" s="1360">
        <v>11648</v>
      </c>
      <c r="E2314" s="1361" t="s">
        <v>2710</v>
      </c>
      <c r="F2314" s="1360" t="s">
        <v>266</v>
      </c>
      <c r="G2314" s="1362">
        <v>1925474</v>
      </c>
      <c r="H2314" s="1363" t="s">
        <v>3538</v>
      </c>
    </row>
    <row r="2315" spans="2:8" x14ac:dyDescent="0.25">
      <c r="B2315" s="1358" t="s">
        <v>6897</v>
      </c>
      <c r="C2315" s="1359" t="s">
        <v>6921</v>
      </c>
      <c r="D2315" s="1360">
        <v>11649</v>
      </c>
      <c r="E2315" s="1361" t="s">
        <v>4143</v>
      </c>
      <c r="F2315" s="1360" t="s">
        <v>266</v>
      </c>
      <c r="G2315" s="1362">
        <v>4915794</v>
      </c>
      <c r="H2315" s="1363" t="s">
        <v>3538</v>
      </c>
    </row>
    <row r="2316" spans="2:8" x14ac:dyDescent="0.25">
      <c r="B2316" s="1358" t="s">
        <v>6897</v>
      </c>
      <c r="C2316" s="1359" t="s">
        <v>7061</v>
      </c>
      <c r="D2316" s="1360">
        <v>11652</v>
      </c>
      <c r="E2316" s="1361" t="s">
        <v>2711</v>
      </c>
      <c r="F2316" s="1360" t="s">
        <v>266</v>
      </c>
      <c r="G2316" s="1362">
        <v>14122570</v>
      </c>
      <c r="H2316" s="1363" t="s">
        <v>3538</v>
      </c>
    </row>
    <row r="2317" spans="2:8" x14ac:dyDescent="0.25">
      <c r="B2317" s="1358" t="s">
        <v>6897</v>
      </c>
      <c r="C2317" s="1359" t="s">
        <v>7061</v>
      </c>
      <c r="D2317" s="1360">
        <v>11653</v>
      </c>
      <c r="E2317" s="1361" t="s">
        <v>2712</v>
      </c>
      <c r="F2317" s="1360" t="s">
        <v>266</v>
      </c>
      <c r="G2317" s="1362">
        <v>16091693</v>
      </c>
      <c r="H2317" s="1363" t="s">
        <v>3538</v>
      </c>
    </row>
    <row r="2318" spans="2:8" x14ac:dyDescent="0.25">
      <c r="B2318" s="1358" t="s">
        <v>6897</v>
      </c>
      <c r="C2318" s="1359" t="s">
        <v>7061</v>
      </c>
      <c r="D2318" s="1360">
        <v>11655</v>
      </c>
      <c r="E2318" s="1361" t="s">
        <v>2713</v>
      </c>
      <c r="F2318" s="1360" t="s">
        <v>266</v>
      </c>
      <c r="G2318" s="1362">
        <v>454980</v>
      </c>
      <c r="H2318" s="1363" t="s">
        <v>3538</v>
      </c>
    </row>
    <row r="2319" spans="2:8" x14ac:dyDescent="0.25">
      <c r="B2319" s="1358" t="s">
        <v>6897</v>
      </c>
      <c r="C2319" s="1359" t="s">
        <v>6916</v>
      </c>
      <c r="D2319" s="1360">
        <v>11657</v>
      </c>
      <c r="E2319" s="1361" t="s">
        <v>2714</v>
      </c>
      <c r="F2319" s="1360" t="s">
        <v>266</v>
      </c>
      <c r="G2319" s="1362">
        <v>1750490</v>
      </c>
      <c r="H2319" s="1363" t="s">
        <v>3538</v>
      </c>
    </row>
    <row r="2320" spans="2:8" x14ac:dyDescent="0.25">
      <c r="B2320" s="1358" t="s">
        <v>6897</v>
      </c>
      <c r="C2320" s="1359" t="s">
        <v>7061</v>
      </c>
      <c r="D2320" s="1360">
        <v>11659</v>
      </c>
      <c r="E2320" s="1361" t="s">
        <v>2715</v>
      </c>
      <c r="F2320" s="1360" t="s">
        <v>266</v>
      </c>
      <c r="G2320" s="1362">
        <v>7019664</v>
      </c>
      <c r="H2320" s="1363" t="s">
        <v>3538</v>
      </c>
    </row>
    <row r="2321" spans="2:8" x14ac:dyDescent="0.25">
      <c r="B2321" s="1358" t="s">
        <v>6897</v>
      </c>
      <c r="C2321" s="1359" t="s">
        <v>6921</v>
      </c>
      <c r="D2321" s="1360">
        <v>11665</v>
      </c>
      <c r="E2321" s="1361" t="s">
        <v>2716</v>
      </c>
      <c r="F2321" s="1360" t="s">
        <v>266</v>
      </c>
      <c r="G2321" s="1362">
        <v>1797209</v>
      </c>
      <c r="H2321" s="1363" t="s">
        <v>3538</v>
      </c>
    </row>
    <row r="2322" spans="2:8" x14ac:dyDescent="0.25">
      <c r="B2322" s="1358" t="s">
        <v>6897</v>
      </c>
      <c r="C2322" s="1359" t="s">
        <v>6921</v>
      </c>
      <c r="D2322" s="1360">
        <v>11666</v>
      </c>
      <c r="E2322" s="1361" t="s">
        <v>4144</v>
      </c>
      <c r="F2322" s="1360" t="s">
        <v>266</v>
      </c>
      <c r="G2322" s="1362">
        <v>22411666</v>
      </c>
      <c r="H2322" s="1363" t="s">
        <v>3538</v>
      </c>
    </row>
    <row r="2323" spans="2:8" x14ac:dyDescent="0.25">
      <c r="B2323" s="1358" t="s">
        <v>6897</v>
      </c>
      <c r="C2323" s="1359" t="s">
        <v>7061</v>
      </c>
      <c r="D2323" s="1360">
        <v>11668</v>
      </c>
      <c r="E2323" s="1361" t="s">
        <v>2717</v>
      </c>
      <c r="F2323" s="1360" t="s">
        <v>266</v>
      </c>
      <c r="G2323" s="1362">
        <v>281911</v>
      </c>
      <c r="H2323" s="1363" t="s">
        <v>3538</v>
      </c>
    </row>
    <row r="2324" spans="2:8" x14ac:dyDescent="0.25">
      <c r="B2324" s="1358" t="s">
        <v>6897</v>
      </c>
      <c r="C2324" s="1359" t="s">
        <v>6921</v>
      </c>
      <c r="D2324" s="1360">
        <v>11670</v>
      </c>
      <c r="E2324" s="1361" t="s">
        <v>4145</v>
      </c>
      <c r="F2324" s="1360" t="s">
        <v>266</v>
      </c>
      <c r="G2324" s="1362">
        <v>1139187</v>
      </c>
      <c r="H2324" s="1363" t="s">
        <v>3538</v>
      </c>
    </row>
    <row r="2325" spans="2:8" x14ac:dyDescent="0.25">
      <c r="B2325" s="1358" t="s">
        <v>6897</v>
      </c>
      <c r="C2325" s="1359" t="s">
        <v>7061</v>
      </c>
      <c r="D2325" s="1360">
        <v>11672</v>
      </c>
      <c r="E2325" s="1361" t="s">
        <v>2718</v>
      </c>
      <c r="F2325" s="1360" t="s">
        <v>266</v>
      </c>
      <c r="G2325" s="1362">
        <v>5554995</v>
      </c>
      <c r="H2325" s="1363" t="s">
        <v>3538</v>
      </c>
    </row>
    <row r="2326" spans="2:8" x14ac:dyDescent="0.25">
      <c r="B2326" s="1358" t="s">
        <v>6897</v>
      </c>
      <c r="C2326" s="1359" t="s">
        <v>6990</v>
      </c>
      <c r="D2326" s="1360">
        <v>11708</v>
      </c>
      <c r="E2326" s="1361" t="s">
        <v>2719</v>
      </c>
      <c r="F2326" s="1360" t="s">
        <v>266</v>
      </c>
      <c r="G2326" s="1362">
        <v>320529</v>
      </c>
      <c r="H2326" s="1363" t="s">
        <v>3538</v>
      </c>
    </row>
    <row r="2327" spans="2:8" x14ac:dyDescent="0.25">
      <c r="B2327" s="1358" t="s">
        <v>6897</v>
      </c>
      <c r="C2327" s="1359" t="s">
        <v>7056</v>
      </c>
      <c r="D2327" s="1360">
        <v>11711</v>
      </c>
      <c r="E2327" s="1361" t="s">
        <v>7086</v>
      </c>
      <c r="F2327" s="1360" t="s">
        <v>13</v>
      </c>
      <c r="G2327" s="1362">
        <v>3559191</v>
      </c>
      <c r="H2327" s="1363" t="s">
        <v>3538</v>
      </c>
    </row>
    <row r="2328" spans="2:8" x14ac:dyDescent="0.25">
      <c r="B2328" s="1358" t="s">
        <v>6897</v>
      </c>
      <c r="C2328" s="1359" t="s">
        <v>7056</v>
      </c>
      <c r="D2328" s="1360">
        <v>11712</v>
      </c>
      <c r="E2328" s="1361" t="s">
        <v>7087</v>
      </c>
      <c r="F2328" s="1360" t="s">
        <v>13</v>
      </c>
      <c r="G2328" s="1362">
        <v>3885244</v>
      </c>
      <c r="H2328" s="1363" t="s">
        <v>3538</v>
      </c>
    </row>
    <row r="2329" spans="2:8" x14ac:dyDescent="0.25">
      <c r="B2329" s="1358" t="s">
        <v>6897</v>
      </c>
      <c r="C2329" s="1359" t="s">
        <v>7056</v>
      </c>
      <c r="D2329" s="1360">
        <v>11713</v>
      </c>
      <c r="E2329" s="1361" t="s">
        <v>7088</v>
      </c>
      <c r="F2329" s="1360" t="s">
        <v>13</v>
      </c>
      <c r="G2329" s="1362">
        <v>4391814</v>
      </c>
      <c r="H2329" s="1363" t="s">
        <v>3538</v>
      </c>
    </row>
    <row r="2330" spans="2:8" x14ac:dyDescent="0.25">
      <c r="B2330" s="1358" t="s">
        <v>6897</v>
      </c>
      <c r="C2330" s="1359" t="s">
        <v>6931</v>
      </c>
      <c r="D2330" s="1360">
        <v>11714</v>
      </c>
      <c r="E2330" s="1361" t="s">
        <v>2720</v>
      </c>
      <c r="F2330" s="1360" t="s">
        <v>266</v>
      </c>
      <c r="G2330" s="1362">
        <v>812808</v>
      </c>
      <c r="H2330" s="1363" t="s">
        <v>3538</v>
      </c>
    </row>
    <row r="2331" spans="2:8" x14ac:dyDescent="0.25">
      <c r="B2331" s="1358" t="s">
        <v>6897</v>
      </c>
      <c r="C2331" s="1359" t="s">
        <v>7056</v>
      </c>
      <c r="D2331" s="1360">
        <v>11715</v>
      </c>
      <c r="E2331" s="1361" t="s">
        <v>7089</v>
      </c>
      <c r="F2331" s="1360" t="s">
        <v>13</v>
      </c>
      <c r="G2331" s="1362">
        <v>4932863</v>
      </c>
      <c r="H2331" s="1363" t="s">
        <v>3538</v>
      </c>
    </row>
    <row r="2332" spans="2:8" x14ac:dyDescent="0.25">
      <c r="B2332" s="1358" t="s">
        <v>6897</v>
      </c>
      <c r="C2332" s="1359" t="s">
        <v>7056</v>
      </c>
      <c r="D2332" s="1360">
        <v>11716</v>
      </c>
      <c r="E2332" s="1361" t="s">
        <v>7090</v>
      </c>
      <c r="F2332" s="1360" t="s">
        <v>13</v>
      </c>
      <c r="G2332" s="1362">
        <v>6289996</v>
      </c>
      <c r="H2332" s="1363" t="s">
        <v>3538</v>
      </c>
    </row>
    <row r="2333" spans="2:8" x14ac:dyDescent="0.25">
      <c r="B2333" s="1358" t="s">
        <v>6897</v>
      </c>
      <c r="C2333" s="1359" t="s">
        <v>7056</v>
      </c>
      <c r="D2333" s="1360">
        <v>11717</v>
      </c>
      <c r="E2333" s="1361" t="s">
        <v>7091</v>
      </c>
      <c r="F2333" s="1360" t="s">
        <v>13</v>
      </c>
      <c r="G2333" s="1362">
        <v>7661157</v>
      </c>
      <c r="H2333" s="1363" t="s">
        <v>3538</v>
      </c>
    </row>
    <row r="2334" spans="2:8" x14ac:dyDescent="0.25">
      <c r="B2334" s="1358" t="s">
        <v>6897</v>
      </c>
      <c r="C2334" s="1359" t="s">
        <v>7056</v>
      </c>
      <c r="D2334" s="1360">
        <v>11718</v>
      </c>
      <c r="E2334" s="1361" t="s">
        <v>2721</v>
      </c>
      <c r="F2334" s="1360" t="s">
        <v>13</v>
      </c>
      <c r="G2334" s="1362">
        <v>29286</v>
      </c>
      <c r="H2334" s="1363" t="s">
        <v>3538</v>
      </c>
    </row>
    <row r="2335" spans="2:8" x14ac:dyDescent="0.25">
      <c r="B2335" s="1358" t="s">
        <v>6897</v>
      </c>
      <c r="C2335" s="1359" t="s">
        <v>7056</v>
      </c>
      <c r="D2335" s="1360">
        <v>11719</v>
      </c>
      <c r="E2335" s="1361" t="s">
        <v>2722</v>
      </c>
      <c r="F2335" s="1360" t="s">
        <v>13</v>
      </c>
      <c r="G2335" s="1362">
        <v>43381</v>
      </c>
      <c r="H2335" s="1363" t="s">
        <v>3538</v>
      </c>
    </row>
    <row r="2336" spans="2:8" x14ac:dyDescent="0.25">
      <c r="B2336" s="1358" t="s">
        <v>6897</v>
      </c>
      <c r="C2336" s="1359" t="s">
        <v>7056</v>
      </c>
      <c r="D2336" s="1360">
        <v>11720</v>
      </c>
      <c r="E2336" s="1361" t="s">
        <v>2723</v>
      </c>
      <c r="F2336" s="1360" t="s">
        <v>13</v>
      </c>
      <c r="G2336" s="1362">
        <v>62267</v>
      </c>
      <c r="H2336" s="1363" t="s">
        <v>3538</v>
      </c>
    </row>
    <row r="2337" spans="2:8" x14ac:dyDescent="0.25">
      <c r="B2337" s="1358" t="s">
        <v>6897</v>
      </c>
      <c r="C2337" s="1359" t="s">
        <v>7056</v>
      </c>
      <c r="D2337" s="1360">
        <v>11721</v>
      </c>
      <c r="E2337" s="1361" t="s">
        <v>7092</v>
      </c>
      <c r="F2337" s="1360" t="s">
        <v>266</v>
      </c>
      <c r="G2337" s="1362">
        <v>148051</v>
      </c>
      <c r="H2337" s="1363" t="s">
        <v>3538</v>
      </c>
    </row>
    <row r="2338" spans="2:8" x14ac:dyDescent="0.25">
      <c r="B2338" s="1358" t="s">
        <v>6897</v>
      </c>
      <c r="C2338" s="1359" t="s">
        <v>7056</v>
      </c>
      <c r="D2338" s="1360">
        <v>11722</v>
      </c>
      <c r="E2338" s="1361" t="s">
        <v>7093</v>
      </c>
      <c r="F2338" s="1360" t="s">
        <v>266</v>
      </c>
      <c r="G2338" s="1362">
        <v>293316</v>
      </c>
      <c r="H2338" s="1363" t="s">
        <v>3538</v>
      </c>
    </row>
    <row r="2339" spans="2:8" x14ac:dyDescent="0.25">
      <c r="B2339" s="1358" t="s">
        <v>6897</v>
      </c>
      <c r="C2339" s="1359" t="s">
        <v>7056</v>
      </c>
      <c r="D2339" s="1360">
        <v>11723</v>
      </c>
      <c r="E2339" s="1361" t="s">
        <v>7094</v>
      </c>
      <c r="F2339" s="1360" t="s">
        <v>266</v>
      </c>
      <c r="G2339" s="1362">
        <v>350866</v>
      </c>
      <c r="H2339" s="1363" t="s">
        <v>3538</v>
      </c>
    </row>
    <row r="2340" spans="2:8" x14ac:dyDescent="0.25">
      <c r="B2340" s="1358" t="s">
        <v>6897</v>
      </c>
      <c r="C2340" s="1359" t="s">
        <v>7056</v>
      </c>
      <c r="D2340" s="1360">
        <v>11724</v>
      </c>
      <c r="E2340" s="1361" t="s">
        <v>7095</v>
      </c>
      <c r="F2340" s="1360" t="s">
        <v>266</v>
      </c>
      <c r="G2340" s="1362">
        <v>518404</v>
      </c>
      <c r="H2340" s="1363" t="s">
        <v>3538</v>
      </c>
    </row>
    <row r="2341" spans="2:8" x14ac:dyDescent="0.25">
      <c r="B2341" s="1358" t="s">
        <v>6897</v>
      </c>
      <c r="C2341" s="1359" t="s">
        <v>6908</v>
      </c>
      <c r="D2341" s="1360">
        <v>11727</v>
      </c>
      <c r="E2341" s="1361" t="s">
        <v>927</v>
      </c>
      <c r="F2341" s="1360" t="s">
        <v>266</v>
      </c>
      <c r="G2341" s="1362">
        <v>1091860</v>
      </c>
      <c r="H2341" s="1363" t="s">
        <v>3538</v>
      </c>
    </row>
    <row r="2342" spans="2:8" x14ac:dyDescent="0.25">
      <c r="B2342" s="1358" t="s">
        <v>6897</v>
      </c>
      <c r="C2342" s="1359" t="s">
        <v>7056</v>
      </c>
      <c r="D2342" s="1360">
        <v>11728</v>
      </c>
      <c r="E2342" s="1361" t="s">
        <v>7096</v>
      </c>
      <c r="F2342" s="1360" t="s">
        <v>266</v>
      </c>
      <c r="G2342" s="1362">
        <v>86152</v>
      </c>
      <c r="H2342" s="1363" t="s">
        <v>3538</v>
      </c>
    </row>
    <row r="2343" spans="2:8" x14ac:dyDescent="0.25">
      <c r="B2343" s="1358" t="s">
        <v>6897</v>
      </c>
      <c r="C2343" s="1359" t="s">
        <v>7056</v>
      </c>
      <c r="D2343" s="1360">
        <v>11729</v>
      </c>
      <c r="E2343" s="1361" t="s">
        <v>7097</v>
      </c>
      <c r="F2343" s="1360" t="s">
        <v>266</v>
      </c>
      <c r="G2343" s="1362">
        <v>103523</v>
      </c>
      <c r="H2343" s="1363" t="s">
        <v>3538</v>
      </c>
    </row>
    <row r="2344" spans="2:8" x14ac:dyDescent="0.25">
      <c r="B2344" s="1358" t="s">
        <v>6897</v>
      </c>
      <c r="C2344" s="1359" t="s">
        <v>7056</v>
      </c>
      <c r="D2344" s="1360">
        <v>11735</v>
      </c>
      <c r="E2344" s="1361" t="s">
        <v>2724</v>
      </c>
      <c r="F2344" s="1360" t="s">
        <v>266</v>
      </c>
      <c r="G2344" s="1362">
        <v>231693</v>
      </c>
      <c r="H2344" s="1363" t="s">
        <v>3538</v>
      </c>
    </row>
    <row r="2345" spans="2:8" x14ac:dyDescent="0.25">
      <c r="B2345" s="1358" t="s">
        <v>6897</v>
      </c>
      <c r="C2345" s="1359" t="s">
        <v>7056</v>
      </c>
      <c r="D2345" s="1360">
        <v>11736</v>
      </c>
      <c r="E2345" s="1361" t="s">
        <v>7098</v>
      </c>
      <c r="F2345" s="1360" t="s">
        <v>266</v>
      </c>
      <c r="G2345" s="1362">
        <v>200956</v>
      </c>
      <c r="H2345" s="1363" t="s">
        <v>3538</v>
      </c>
    </row>
    <row r="2346" spans="2:8" x14ac:dyDescent="0.25">
      <c r="B2346" s="1358" t="s">
        <v>6897</v>
      </c>
      <c r="C2346" s="1359" t="s">
        <v>7056</v>
      </c>
      <c r="D2346" s="1360">
        <v>11737</v>
      </c>
      <c r="E2346" s="1361" t="s">
        <v>7099</v>
      </c>
      <c r="F2346" s="1360" t="s">
        <v>266</v>
      </c>
      <c r="G2346" s="1362">
        <v>200473</v>
      </c>
      <c r="H2346" s="1363" t="s">
        <v>3538</v>
      </c>
    </row>
    <row r="2347" spans="2:8" x14ac:dyDescent="0.25">
      <c r="B2347" s="1358" t="s">
        <v>6897</v>
      </c>
      <c r="C2347" s="1359" t="s">
        <v>7056</v>
      </c>
      <c r="D2347" s="1360">
        <v>11738</v>
      </c>
      <c r="E2347" s="1361" t="s">
        <v>2725</v>
      </c>
      <c r="F2347" s="1360" t="s">
        <v>266</v>
      </c>
      <c r="G2347" s="1362">
        <v>95609</v>
      </c>
      <c r="H2347" s="1363" t="s">
        <v>3538</v>
      </c>
    </row>
    <row r="2348" spans="2:8" x14ac:dyDescent="0.25">
      <c r="B2348" s="1358" t="s">
        <v>6897</v>
      </c>
      <c r="C2348" s="1359" t="s">
        <v>7056</v>
      </c>
      <c r="D2348" s="1360">
        <v>11739</v>
      </c>
      <c r="E2348" s="1361" t="s">
        <v>7100</v>
      </c>
      <c r="F2348" s="1360" t="s">
        <v>266</v>
      </c>
      <c r="G2348" s="1362">
        <v>48314</v>
      </c>
      <c r="H2348" s="1363" t="s">
        <v>3538</v>
      </c>
    </row>
    <row r="2349" spans="2:8" x14ac:dyDescent="0.25">
      <c r="B2349" s="1358" t="s">
        <v>6897</v>
      </c>
      <c r="C2349" s="1359" t="s">
        <v>7061</v>
      </c>
      <c r="D2349" s="1360">
        <v>11743</v>
      </c>
      <c r="E2349" s="1361" t="s">
        <v>2726</v>
      </c>
      <c r="F2349" s="1360" t="s">
        <v>266</v>
      </c>
      <c r="G2349" s="1362">
        <v>24000155</v>
      </c>
      <c r="H2349" s="1363" t="s">
        <v>3538</v>
      </c>
    </row>
    <row r="2350" spans="2:8" x14ac:dyDescent="0.25">
      <c r="B2350" s="1358" t="s">
        <v>6897</v>
      </c>
      <c r="C2350" s="1359" t="s">
        <v>7056</v>
      </c>
      <c r="D2350" s="1360">
        <v>11744</v>
      </c>
      <c r="E2350" s="1361" t="s">
        <v>7101</v>
      </c>
      <c r="F2350" s="1360" t="s">
        <v>13</v>
      </c>
      <c r="G2350" s="1362">
        <v>88839</v>
      </c>
      <c r="H2350" s="1363" t="s">
        <v>3538</v>
      </c>
    </row>
    <row r="2351" spans="2:8" x14ac:dyDescent="0.25">
      <c r="B2351" s="1358" t="s">
        <v>6897</v>
      </c>
      <c r="C2351" s="1359" t="s">
        <v>7056</v>
      </c>
      <c r="D2351" s="1360">
        <v>11745</v>
      </c>
      <c r="E2351" s="1361" t="s">
        <v>7102</v>
      </c>
      <c r="F2351" s="1360" t="s">
        <v>13</v>
      </c>
      <c r="G2351" s="1362">
        <v>151219</v>
      </c>
      <c r="H2351" s="1363" t="s">
        <v>3538</v>
      </c>
    </row>
    <row r="2352" spans="2:8" x14ac:dyDescent="0.25">
      <c r="B2352" s="1358" t="s">
        <v>6897</v>
      </c>
      <c r="C2352" s="1359" t="s">
        <v>7056</v>
      </c>
      <c r="D2352" s="1360">
        <v>11746</v>
      </c>
      <c r="E2352" s="1361" t="s">
        <v>7103</v>
      </c>
      <c r="F2352" s="1360" t="s">
        <v>13</v>
      </c>
      <c r="G2352" s="1362">
        <v>240445</v>
      </c>
      <c r="H2352" s="1363" t="s">
        <v>3538</v>
      </c>
    </row>
    <row r="2353" spans="2:8" x14ac:dyDescent="0.25">
      <c r="B2353" s="1358" t="s">
        <v>6897</v>
      </c>
      <c r="C2353" s="1359" t="s">
        <v>7056</v>
      </c>
      <c r="D2353" s="1360">
        <v>11747</v>
      </c>
      <c r="E2353" s="1361" t="s">
        <v>7104</v>
      </c>
      <c r="F2353" s="1360" t="s">
        <v>13</v>
      </c>
      <c r="G2353" s="1362">
        <v>264088</v>
      </c>
      <c r="H2353" s="1363" t="s">
        <v>3538</v>
      </c>
    </row>
    <row r="2354" spans="2:8" x14ac:dyDescent="0.25">
      <c r="B2354" s="1358" t="s">
        <v>6897</v>
      </c>
      <c r="C2354" s="1359" t="s">
        <v>7056</v>
      </c>
      <c r="D2354" s="1360">
        <v>11748</v>
      </c>
      <c r="E2354" s="1361" t="s">
        <v>7105</v>
      </c>
      <c r="F2354" s="1360" t="s">
        <v>13</v>
      </c>
      <c r="G2354" s="1362">
        <v>300813</v>
      </c>
      <c r="H2354" s="1363" t="s">
        <v>3538</v>
      </c>
    </row>
    <row r="2355" spans="2:8" x14ac:dyDescent="0.25">
      <c r="B2355" s="1358" t="s">
        <v>6897</v>
      </c>
      <c r="C2355" s="1359" t="s">
        <v>7056</v>
      </c>
      <c r="D2355" s="1360">
        <v>11764</v>
      </c>
      <c r="E2355" s="1361" t="s">
        <v>7106</v>
      </c>
      <c r="F2355" s="1360" t="s">
        <v>266</v>
      </c>
      <c r="G2355" s="1362">
        <v>204116</v>
      </c>
      <c r="H2355" s="1363" t="s">
        <v>3538</v>
      </c>
    </row>
    <row r="2356" spans="2:8" x14ac:dyDescent="0.25">
      <c r="B2356" s="1358" t="s">
        <v>6897</v>
      </c>
      <c r="C2356" s="1359" t="s">
        <v>6908</v>
      </c>
      <c r="D2356" s="1360">
        <v>11765</v>
      </c>
      <c r="E2356" s="1361" t="s">
        <v>2727</v>
      </c>
      <c r="F2356" s="1360" t="s">
        <v>266</v>
      </c>
      <c r="G2356" s="1362">
        <v>17336</v>
      </c>
      <c r="H2356" s="1363" t="s">
        <v>3538</v>
      </c>
    </row>
    <row r="2357" spans="2:8" x14ac:dyDescent="0.25">
      <c r="B2357" s="1358" t="s">
        <v>6897</v>
      </c>
      <c r="C2357" s="1359" t="s">
        <v>7056</v>
      </c>
      <c r="D2357" s="1360">
        <v>11766</v>
      </c>
      <c r="E2357" s="1361" t="s">
        <v>7107</v>
      </c>
      <c r="F2357" s="1360" t="s">
        <v>266</v>
      </c>
      <c r="G2357" s="1362">
        <v>602969</v>
      </c>
      <c r="H2357" s="1363" t="s">
        <v>3538</v>
      </c>
    </row>
    <row r="2358" spans="2:8" x14ac:dyDescent="0.25">
      <c r="B2358" s="1358" t="s">
        <v>6897</v>
      </c>
      <c r="C2358" s="1359" t="s">
        <v>7056</v>
      </c>
      <c r="D2358" s="1360">
        <v>11770</v>
      </c>
      <c r="E2358" s="1361" t="s">
        <v>2728</v>
      </c>
      <c r="F2358" s="1360" t="s">
        <v>266</v>
      </c>
      <c r="G2358" s="1362">
        <v>73423</v>
      </c>
      <c r="H2358" s="1363" t="s">
        <v>3538</v>
      </c>
    </row>
    <row r="2359" spans="2:8" x14ac:dyDescent="0.25">
      <c r="B2359" s="1358" t="s">
        <v>6897</v>
      </c>
      <c r="C2359" s="1359" t="s">
        <v>7056</v>
      </c>
      <c r="D2359" s="1360">
        <v>11771</v>
      </c>
      <c r="E2359" s="1361" t="s">
        <v>7108</v>
      </c>
      <c r="F2359" s="1360" t="s">
        <v>266</v>
      </c>
      <c r="G2359" s="1362">
        <v>46448</v>
      </c>
      <c r="H2359" s="1363" t="s">
        <v>3538</v>
      </c>
    </row>
    <row r="2360" spans="2:8" x14ac:dyDescent="0.25">
      <c r="B2360" s="1358" t="s">
        <v>6897</v>
      </c>
      <c r="C2360" s="1359" t="s">
        <v>6931</v>
      </c>
      <c r="D2360" s="1360">
        <v>11772</v>
      </c>
      <c r="E2360" s="1361" t="s">
        <v>2729</v>
      </c>
      <c r="F2360" s="1360" t="s">
        <v>266</v>
      </c>
      <c r="G2360" s="1362">
        <v>9900</v>
      </c>
      <c r="H2360" s="1363" t="s">
        <v>3538</v>
      </c>
    </row>
    <row r="2361" spans="2:8" x14ac:dyDescent="0.25">
      <c r="B2361" s="1358" t="s">
        <v>6897</v>
      </c>
      <c r="C2361" s="1359" t="s">
        <v>7056</v>
      </c>
      <c r="D2361" s="1360">
        <v>11774</v>
      </c>
      <c r="E2361" s="1361" t="s">
        <v>2730</v>
      </c>
      <c r="F2361" s="1360" t="s">
        <v>266</v>
      </c>
      <c r="G2361" s="1362">
        <v>168504</v>
      </c>
      <c r="H2361" s="1363" t="s">
        <v>3538</v>
      </c>
    </row>
    <row r="2362" spans="2:8" x14ac:dyDescent="0.25">
      <c r="B2362" s="1358" t="s">
        <v>6897</v>
      </c>
      <c r="C2362" s="1359" t="s">
        <v>7056</v>
      </c>
      <c r="D2362" s="1360">
        <v>11775</v>
      </c>
      <c r="E2362" s="1361" t="s">
        <v>7109</v>
      </c>
      <c r="F2362" s="1360" t="s">
        <v>266</v>
      </c>
      <c r="G2362" s="1362">
        <v>111545</v>
      </c>
      <c r="H2362" s="1363" t="s">
        <v>3538</v>
      </c>
    </row>
    <row r="2363" spans="2:8" x14ac:dyDescent="0.25">
      <c r="B2363" s="1358" t="s">
        <v>6897</v>
      </c>
      <c r="C2363" s="1359" t="s">
        <v>6921</v>
      </c>
      <c r="D2363" s="1360">
        <v>11776</v>
      </c>
      <c r="E2363" s="1361" t="s">
        <v>2731</v>
      </c>
      <c r="F2363" s="1360" t="s">
        <v>266</v>
      </c>
      <c r="G2363" s="1362">
        <v>3171519</v>
      </c>
      <c r="H2363" s="1363" t="s">
        <v>3538</v>
      </c>
    </row>
    <row r="2364" spans="2:8" x14ac:dyDescent="0.25">
      <c r="B2364" s="1358" t="s">
        <v>6897</v>
      </c>
      <c r="C2364" s="1359" t="s">
        <v>6921</v>
      </c>
      <c r="D2364" s="1360">
        <v>11777</v>
      </c>
      <c r="E2364" s="1361" t="s">
        <v>4146</v>
      </c>
      <c r="F2364" s="1360" t="s">
        <v>266</v>
      </c>
      <c r="G2364" s="1362">
        <v>57120</v>
      </c>
      <c r="H2364" s="1363" t="s">
        <v>3538</v>
      </c>
    </row>
    <row r="2365" spans="2:8" x14ac:dyDescent="0.25">
      <c r="B2365" s="1358" t="s">
        <v>6897</v>
      </c>
      <c r="C2365" s="1359" t="s">
        <v>7010</v>
      </c>
      <c r="D2365" s="1360">
        <v>11781</v>
      </c>
      <c r="E2365" s="1361" t="s">
        <v>7110</v>
      </c>
      <c r="F2365" s="1360" t="s">
        <v>266</v>
      </c>
      <c r="G2365" s="1362">
        <v>239600</v>
      </c>
      <c r="H2365" s="1363" t="s">
        <v>3538</v>
      </c>
    </row>
    <row r="2366" spans="2:8" x14ac:dyDescent="0.25">
      <c r="B2366" s="1358" t="s">
        <v>6897</v>
      </c>
      <c r="C2366" s="1359" t="s">
        <v>7010</v>
      </c>
      <c r="D2366" s="1360">
        <v>11783</v>
      </c>
      <c r="E2366" s="1361" t="s">
        <v>2732</v>
      </c>
      <c r="F2366" s="1360" t="s">
        <v>266</v>
      </c>
      <c r="G2366" s="1362">
        <v>134311</v>
      </c>
      <c r="H2366" s="1363" t="s">
        <v>3538</v>
      </c>
    </row>
    <row r="2367" spans="2:8" x14ac:dyDescent="0.25">
      <c r="B2367" s="1358" t="s">
        <v>6897</v>
      </c>
      <c r="C2367" s="1359" t="s">
        <v>6908</v>
      </c>
      <c r="D2367" s="1360">
        <v>11784</v>
      </c>
      <c r="E2367" s="1361" t="s">
        <v>2733</v>
      </c>
      <c r="F2367" s="1360" t="s">
        <v>266</v>
      </c>
      <c r="G2367" s="1362">
        <v>1040</v>
      </c>
      <c r="H2367" s="1363" t="s">
        <v>3538</v>
      </c>
    </row>
    <row r="2368" spans="2:8" x14ac:dyDescent="0.25">
      <c r="B2368" s="1358" t="s">
        <v>6897</v>
      </c>
      <c r="C2368" s="1359" t="s">
        <v>7010</v>
      </c>
      <c r="D2368" s="1360">
        <v>11785</v>
      </c>
      <c r="E2368" s="1361" t="s">
        <v>2734</v>
      </c>
      <c r="F2368" s="1360" t="s">
        <v>13</v>
      </c>
      <c r="G2368" s="1362">
        <v>3808</v>
      </c>
      <c r="H2368" s="1363" t="s">
        <v>3538</v>
      </c>
    </row>
    <row r="2369" spans="2:8" x14ac:dyDescent="0.25">
      <c r="B2369" s="1358" t="s">
        <v>6897</v>
      </c>
      <c r="C2369" s="1359" t="s">
        <v>6916</v>
      </c>
      <c r="D2369" s="1360">
        <v>11786</v>
      </c>
      <c r="E2369" s="1361" t="s">
        <v>2735</v>
      </c>
      <c r="F2369" s="1360" t="s">
        <v>266</v>
      </c>
      <c r="G2369" s="1362">
        <v>10370</v>
      </c>
      <c r="H2369" s="1363" t="s">
        <v>3538</v>
      </c>
    </row>
    <row r="2370" spans="2:8" x14ac:dyDescent="0.25">
      <c r="B2370" s="1358" t="s">
        <v>6897</v>
      </c>
      <c r="C2370" s="1359" t="s">
        <v>6916</v>
      </c>
      <c r="D2370" s="1360">
        <v>11787</v>
      </c>
      <c r="E2370" s="1361" t="s">
        <v>2736</v>
      </c>
      <c r="F2370" s="1360" t="s">
        <v>266</v>
      </c>
      <c r="G2370" s="1362">
        <v>284054</v>
      </c>
      <c r="H2370" s="1363" t="s">
        <v>3538</v>
      </c>
    </row>
    <row r="2371" spans="2:8" x14ac:dyDescent="0.25">
      <c r="B2371" s="1358" t="s">
        <v>6897</v>
      </c>
      <c r="C2371" s="1359" t="s">
        <v>6916</v>
      </c>
      <c r="D2371" s="1360">
        <v>11789</v>
      </c>
      <c r="E2371" s="1361" t="s">
        <v>2737</v>
      </c>
      <c r="F2371" s="1360" t="s">
        <v>13</v>
      </c>
      <c r="G2371" s="1362">
        <v>4497322</v>
      </c>
      <c r="H2371" s="1363" t="s">
        <v>3538</v>
      </c>
    </row>
    <row r="2372" spans="2:8" x14ac:dyDescent="0.25">
      <c r="B2372" s="1358" t="s">
        <v>6897</v>
      </c>
      <c r="C2372" s="1359" t="s">
        <v>6931</v>
      </c>
      <c r="D2372" s="1360">
        <v>11790</v>
      </c>
      <c r="E2372" s="1361" t="s">
        <v>7111</v>
      </c>
      <c r="F2372" s="1360" t="s">
        <v>266</v>
      </c>
      <c r="G2372" s="1362">
        <v>3402</v>
      </c>
      <c r="H2372" s="1363" t="s">
        <v>3538</v>
      </c>
    </row>
    <row r="2373" spans="2:8" x14ac:dyDescent="0.25">
      <c r="B2373" s="1358" t="s">
        <v>6897</v>
      </c>
      <c r="C2373" s="1359" t="s">
        <v>7061</v>
      </c>
      <c r="D2373" s="1360">
        <v>11796</v>
      </c>
      <c r="E2373" s="1361" t="s">
        <v>2738</v>
      </c>
      <c r="F2373" s="1360" t="s">
        <v>266</v>
      </c>
      <c r="G2373" s="1362">
        <v>4195010</v>
      </c>
      <c r="H2373" s="1363" t="s">
        <v>3538</v>
      </c>
    </row>
    <row r="2374" spans="2:8" x14ac:dyDescent="0.25">
      <c r="B2374" s="1358" t="s">
        <v>6897</v>
      </c>
      <c r="C2374" s="1359" t="s">
        <v>7010</v>
      </c>
      <c r="D2374" s="1360">
        <v>11797</v>
      </c>
      <c r="E2374" s="1361" t="s">
        <v>2739</v>
      </c>
      <c r="F2374" s="1360" t="s">
        <v>266</v>
      </c>
      <c r="G2374" s="1362">
        <v>19384379</v>
      </c>
      <c r="H2374" s="1363" t="s">
        <v>3538</v>
      </c>
    </row>
    <row r="2375" spans="2:8" x14ac:dyDescent="0.25">
      <c r="B2375" s="1358" t="s">
        <v>6897</v>
      </c>
      <c r="C2375" s="1359" t="s">
        <v>6921</v>
      </c>
      <c r="D2375" s="1360">
        <v>11798</v>
      </c>
      <c r="E2375" s="1361" t="s">
        <v>2740</v>
      </c>
      <c r="F2375" s="1360" t="s">
        <v>266</v>
      </c>
      <c r="G2375" s="1362">
        <v>941909</v>
      </c>
      <c r="H2375" s="1363" t="s">
        <v>3538</v>
      </c>
    </row>
    <row r="2376" spans="2:8" x14ac:dyDescent="0.25">
      <c r="B2376" s="1358" t="s">
        <v>6897</v>
      </c>
      <c r="C2376" s="1359" t="s">
        <v>6921</v>
      </c>
      <c r="D2376" s="1360">
        <v>11799</v>
      </c>
      <c r="E2376" s="1361" t="s">
        <v>2741</v>
      </c>
      <c r="F2376" s="1360" t="s">
        <v>266</v>
      </c>
      <c r="G2376" s="1362">
        <v>379466</v>
      </c>
      <c r="H2376" s="1363" t="s">
        <v>3538</v>
      </c>
    </row>
    <row r="2377" spans="2:8" x14ac:dyDescent="0.25">
      <c r="B2377" s="1358" t="s">
        <v>6897</v>
      </c>
      <c r="C2377" s="1359" t="s">
        <v>6921</v>
      </c>
      <c r="D2377" s="1360">
        <v>11800</v>
      </c>
      <c r="E2377" s="1361" t="s">
        <v>2742</v>
      </c>
      <c r="F2377" s="1360" t="s">
        <v>266</v>
      </c>
      <c r="G2377" s="1362">
        <v>1131535</v>
      </c>
      <c r="H2377" s="1363" t="s">
        <v>3538</v>
      </c>
    </row>
    <row r="2378" spans="2:8" x14ac:dyDescent="0.25">
      <c r="B2378" s="1358" t="s">
        <v>6897</v>
      </c>
      <c r="C2378" s="1359" t="s">
        <v>6921</v>
      </c>
      <c r="D2378" s="1360">
        <v>11801</v>
      </c>
      <c r="E2378" s="1361" t="s">
        <v>2743</v>
      </c>
      <c r="F2378" s="1360" t="s">
        <v>266</v>
      </c>
      <c r="G2378" s="1362">
        <v>1280440</v>
      </c>
      <c r="H2378" s="1363" t="s">
        <v>3538</v>
      </c>
    </row>
    <row r="2379" spans="2:8" x14ac:dyDescent="0.25">
      <c r="B2379" s="1358" t="s">
        <v>6897</v>
      </c>
      <c r="C2379" s="1359" t="s">
        <v>6921</v>
      </c>
      <c r="D2379" s="1360">
        <v>11803</v>
      </c>
      <c r="E2379" s="1361" t="s">
        <v>4147</v>
      </c>
      <c r="F2379" s="1360" t="s">
        <v>266</v>
      </c>
      <c r="G2379" s="1362">
        <v>20436796</v>
      </c>
      <c r="H2379" s="1363" t="s">
        <v>3538</v>
      </c>
    </row>
    <row r="2380" spans="2:8" x14ac:dyDescent="0.25">
      <c r="B2380" s="1358" t="s">
        <v>6897</v>
      </c>
      <c r="C2380" s="1359" t="s">
        <v>6921</v>
      </c>
      <c r="D2380" s="1360">
        <v>11804</v>
      </c>
      <c r="E2380" s="1361" t="s">
        <v>2744</v>
      </c>
      <c r="F2380" s="1360" t="s">
        <v>266</v>
      </c>
      <c r="G2380" s="1362">
        <v>177310</v>
      </c>
      <c r="H2380" s="1363" t="s">
        <v>3538</v>
      </c>
    </row>
    <row r="2381" spans="2:8" x14ac:dyDescent="0.25">
      <c r="B2381" s="1358" t="s">
        <v>6897</v>
      </c>
      <c r="C2381" s="1359" t="s">
        <v>6921</v>
      </c>
      <c r="D2381" s="1360">
        <v>11805</v>
      </c>
      <c r="E2381" s="1361" t="s">
        <v>2745</v>
      </c>
      <c r="F2381" s="1360" t="s">
        <v>266</v>
      </c>
      <c r="G2381" s="1362">
        <v>177310</v>
      </c>
      <c r="H2381" s="1363" t="s">
        <v>3538</v>
      </c>
    </row>
    <row r="2382" spans="2:8" x14ac:dyDescent="0.25">
      <c r="B2382" s="1358" t="s">
        <v>6897</v>
      </c>
      <c r="C2382" s="1359" t="s">
        <v>6921</v>
      </c>
      <c r="D2382" s="1360">
        <v>11806</v>
      </c>
      <c r="E2382" s="1361" t="s">
        <v>2746</v>
      </c>
      <c r="F2382" s="1360" t="s">
        <v>266</v>
      </c>
      <c r="G2382" s="1362">
        <v>185640</v>
      </c>
      <c r="H2382" s="1363" t="s">
        <v>3538</v>
      </c>
    </row>
    <row r="2383" spans="2:8" x14ac:dyDescent="0.25">
      <c r="B2383" s="1358" t="s">
        <v>6897</v>
      </c>
      <c r="C2383" s="1359" t="s">
        <v>6921</v>
      </c>
      <c r="D2383" s="1360">
        <v>11807</v>
      </c>
      <c r="E2383" s="1361" t="s">
        <v>2747</v>
      </c>
      <c r="F2383" s="1360" t="s">
        <v>266</v>
      </c>
      <c r="G2383" s="1362">
        <v>765170</v>
      </c>
      <c r="H2383" s="1363" t="s">
        <v>3538</v>
      </c>
    </row>
    <row r="2384" spans="2:8" x14ac:dyDescent="0.25">
      <c r="B2384" s="1358" t="s">
        <v>6897</v>
      </c>
      <c r="C2384" s="1359" t="s">
        <v>7010</v>
      </c>
      <c r="D2384" s="1360">
        <v>11813</v>
      </c>
      <c r="E2384" s="1361" t="s">
        <v>2748</v>
      </c>
      <c r="F2384" s="1360" t="s">
        <v>266</v>
      </c>
      <c r="G2384" s="1362">
        <v>225446</v>
      </c>
      <c r="H2384" s="1363" t="s">
        <v>3538</v>
      </c>
    </row>
    <row r="2385" spans="2:8" x14ac:dyDescent="0.25">
      <c r="B2385" s="1358" t="s">
        <v>6897</v>
      </c>
      <c r="C2385" s="1359" t="s">
        <v>6904</v>
      </c>
      <c r="D2385" s="1360">
        <v>11814</v>
      </c>
      <c r="E2385" s="1361" t="s">
        <v>2749</v>
      </c>
      <c r="F2385" s="1360" t="s">
        <v>266</v>
      </c>
      <c r="G2385" s="1362">
        <v>3500</v>
      </c>
      <c r="H2385" s="1363" t="s">
        <v>6899</v>
      </c>
    </row>
    <row r="2386" spans="2:8" x14ac:dyDescent="0.25">
      <c r="B2386" s="1358" t="s">
        <v>6897</v>
      </c>
      <c r="C2386" s="1359" t="s">
        <v>7112</v>
      </c>
      <c r="D2386" s="1360">
        <v>11815</v>
      </c>
      <c r="E2386" s="1361" t="s">
        <v>2750</v>
      </c>
      <c r="F2386" s="1360" t="s">
        <v>266</v>
      </c>
      <c r="G2386" s="1362">
        <v>49600</v>
      </c>
      <c r="H2386" s="1363" t="s">
        <v>3538</v>
      </c>
    </row>
    <row r="2387" spans="2:8" x14ac:dyDescent="0.25">
      <c r="B2387" s="1358" t="s">
        <v>6897</v>
      </c>
      <c r="C2387" s="1359" t="s">
        <v>6904</v>
      </c>
      <c r="D2387" s="1360">
        <v>11817</v>
      </c>
      <c r="E2387" s="1361" t="s">
        <v>2751</v>
      </c>
      <c r="F2387" s="1360" t="s">
        <v>266</v>
      </c>
      <c r="G2387" s="1362">
        <v>3500</v>
      </c>
      <c r="H2387" s="1363" t="s">
        <v>6899</v>
      </c>
    </row>
    <row r="2388" spans="2:8" x14ac:dyDescent="0.25">
      <c r="B2388" s="1358" t="s">
        <v>6897</v>
      </c>
      <c r="C2388" s="1359" t="s">
        <v>7112</v>
      </c>
      <c r="D2388" s="1360">
        <v>11819</v>
      </c>
      <c r="E2388" s="1361" t="s">
        <v>2752</v>
      </c>
      <c r="F2388" s="1360" t="s">
        <v>266</v>
      </c>
      <c r="G2388" s="1362">
        <v>49600</v>
      </c>
      <c r="H2388" s="1363" t="s">
        <v>3538</v>
      </c>
    </row>
    <row r="2389" spans="2:8" x14ac:dyDescent="0.25">
      <c r="B2389" s="1358" t="s">
        <v>6897</v>
      </c>
      <c r="C2389" s="1359" t="s">
        <v>7112</v>
      </c>
      <c r="D2389" s="1360">
        <v>11820</v>
      </c>
      <c r="E2389" s="1361" t="s">
        <v>2753</v>
      </c>
      <c r="F2389" s="1360" t="s">
        <v>266</v>
      </c>
      <c r="G2389" s="1362">
        <v>126700</v>
      </c>
      <c r="H2389" s="1363" t="s">
        <v>3538</v>
      </c>
    </row>
    <row r="2390" spans="2:8" x14ac:dyDescent="0.25">
      <c r="B2390" s="1358" t="s">
        <v>6897</v>
      </c>
      <c r="C2390" s="1359" t="s">
        <v>7010</v>
      </c>
      <c r="D2390" s="1360">
        <v>11826</v>
      </c>
      <c r="E2390" s="1361" t="s">
        <v>2754</v>
      </c>
      <c r="F2390" s="1360" t="s">
        <v>13</v>
      </c>
      <c r="G2390" s="1362">
        <v>2650</v>
      </c>
      <c r="H2390" s="1363" t="s">
        <v>3538</v>
      </c>
    </row>
    <row r="2391" spans="2:8" x14ac:dyDescent="0.25">
      <c r="B2391" s="1358" t="s">
        <v>6897</v>
      </c>
      <c r="C2391" s="1359" t="s">
        <v>6904</v>
      </c>
      <c r="D2391" s="1360">
        <v>11830</v>
      </c>
      <c r="E2391" s="1361" t="s">
        <v>2755</v>
      </c>
      <c r="F2391" s="1360" t="s">
        <v>266</v>
      </c>
      <c r="G2391" s="1362">
        <v>3600</v>
      </c>
      <c r="H2391" s="1363" t="s">
        <v>6899</v>
      </c>
    </row>
    <row r="2392" spans="2:8" x14ac:dyDescent="0.25">
      <c r="B2392" s="1358" t="s">
        <v>6897</v>
      </c>
      <c r="C2392" s="1359" t="s">
        <v>6904</v>
      </c>
      <c r="D2392" s="1360">
        <v>11831</v>
      </c>
      <c r="E2392" s="1361" t="s">
        <v>2756</v>
      </c>
      <c r="F2392" s="1360" t="s">
        <v>266</v>
      </c>
      <c r="G2392" s="1362">
        <v>3451</v>
      </c>
      <c r="H2392" s="1363" t="s">
        <v>6899</v>
      </c>
    </row>
    <row r="2393" spans="2:8" x14ac:dyDescent="0.25">
      <c r="B2393" s="1358" t="s">
        <v>6897</v>
      </c>
      <c r="C2393" s="1359" t="s">
        <v>7007</v>
      </c>
      <c r="D2393" s="1360">
        <v>11834</v>
      </c>
      <c r="E2393" s="1361" t="s">
        <v>4148</v>
      </c>
      <c r="F2393" s="1360" t="s">
        <v>266</v>
      </c>
      <c r="G2393" s="1362">
        <v>799680</v>
      </c>
      <c r="H2393" s="1363" t="s">
        <v>3538</v>
      </c>
    </row>
    <row r="2394" spans="2:8" x14ac:dyDescent="0.25">
      <c r="B2394" s="1358" t="s">
        <v>6897</v>
      </c>
      <c r="C2394" s="1359" t="s">
        <v>6994</v>
      </c>
      <c r="D2394" s="1360">
        <v>11835</v>
      </c>
      <c r="E2394" s="1361" t="s">
        <v>2757</v>
      </c>
      <c r="F2394" s="1360" t="s">
        <v>266</v>
      </c>
      <c r="G2394" s="1362">
        <v>440</v>
      </c>
      <c r="H2394" s="1363" t="s">
        <v>3538</v>
      </c>
    </row>
    <row r="2395" spans="2:8" x14ac:dyDescent="0.25">
      <c r="B2395" s="1358" t="s">
        <v>6897</v>
      </c>
      <c r="C2395" s="1359" t="s">
        <v>6994</v>
      </c>
      <c r="D2395" s="1360">
        <v>11836</v>
      </c>
      <c r="E2395" s="1361" t="s">
        <v>2758</v>
      </c>
      <c r="F2395" s="1360" t="s">
        <v>266</v>
      </c>
      <c r="G2395" s="1362">
        <v>476</v>
      </c>
      <c r="H2395" s="1363" t="s">
        <v>3538</v>
      </c>
    </row>
    <row r="2396" spans="2:8" x14ac:dyDescent="0.25">
      <c r="B2396" s="1358" t="s">
        <v>6897</v>
      </c>
      <c r="C2396" s="1359" t="s">
        <v>6994</v>
      </c>
      <c r="D2396" s="1360">
        <v>11837</v>
      </c>
      <c r="E2396" s="1361" t="s">
        <v>2759</v>
      </c>
      <c r="F2396" s="1360" t="s">
        <v>266</v>
      </c>
      <c r="G2396" s="1362">
        <v>417</v>
      </c>
      <c r="H2396" s="1363" t="s">
        <v>3538</v>
      </c>
    </row>
    <row r="2397" spans="2:8" x14ac:dyDescent="0.25">
      <c r="B2397" s="1358" t="s">
        <v>6897</v>
      </c>
      <c r="C2397" s="1359" t="s">
        <v>6994</v>
      </c>
      <c r="D2397" s="1360">
        <v>11838</v>
      </c>
      <c r="E2397" s="1361" t="s">
        <v>2760</v>
      </c>
      <c r="F2397" s="1360" t="s">
        <v>266</v>
      </c>
      <c r="G2397" s="1362">
        <v>233</v>
      </c>
      <c r="H2397" s="1363" t="s">
        <v>3538</v>
      </c>
    </row>
    <row r="2398" spans="2:8" x14ac:dyDescent="0.25">
      <c r="B2398" s="1358" t="s">
        <v>6897</v>
      </c>
      <c r="C2398" s="1359" t="s">
        <v>6994</v>
      </c>
      <c r="D2398" s="1360">
        <v>11839</v>
      </c>
      <c r="E2398" s="1361" t="s">
        <v>2761</v>
      </c>
      <c r="F2398" s="1360" t="s">
        <v>266</v>
      </c>
      <c r="G2398" s="1362">
        <v>220</v>
      </c>
      <c r="H2398" s="1363" t="s">
        <v>3538</v>
      </c>
    </row>
    <row r="2399" spans="2:8" x14ac:dyDescent="0.25">
      <c r="B2399" s="1358" t="s">
        <v>6897</v>
      </c>
      <c r="C2399" s="1359" t="s">
        <v>6994</v>
      </c>
      <c r="D2399" s="1360">
        <v>11840</v>
      </c>
      <c r="E2399" s="1361" t="s">
        <v>2762</v>
      </c>
      <c r="F2399" s="1360" t="s">
        <v>266</v>
      </c>
      <c r="G2399" s="1362">
        <v>7221</v>
      </c>
      <c r="H2399" s="1363" t="s">
        <v>3538</v>
      </c>
    </row>
    <row r="2400" spans="2:8" x14ac:dyDescent="0.25">
      <c r="B2400" s="1358" t="s">
        <v>6897</v>
      </c>
      <c r="C2400" s="1359" t="s">
        <v>6994</v>
      </c>
      <c r="D2400" s="1360">
        <v>11841</v>
      </c>
      <c r="E2400" s="1361" t="s">
        <v>2763</v>
      </c>
      <c r="F2400" s="1360" t="s">
        <v>266</v>
      </c>
      <c r="G2400" s="1362">
        <v>409</v>
      </c>
      <c r="H2400" s="1363" t="s">
        <v>3538</v>
      </c>
    </row>
    <row r="2401" spans="2:8" x14ac:dyDescent="0.25">
      <c r="B2401" s="1358" t="s">
        <v>6897</v>
      </c>
      <c r="C2401" s="1359" t="s">
        <v>6994</v>
      </c>
      <c r="D2401" s="1360">
        <v>11842</v>
      </c>
      <c r="E2401" s="1361" t="s">
        <v>2764</v>
      </c>
      <c r="F2401" s="1360" t="s">
        <v>266</v>
      </c>
      <c r="G2401" s="1362">
        <v>452200</v>
      </c>
      <c r="H2401" s="1363" t="s">
        <v>3538</v>
      </c>
    </row>
    <row r="2402" spans="2:8" x14ac:dyDescent="0.25">
      <c r="B2402" s="1358" t="s">
        <v>6897</v>
      </c>
      <c r="C2402" s="1359" t="s">
        <v>6994</v>
      </c>
      <c r="D2402" s="1360">
        <v>11843</v>
      </c>
      <c r="E2402" s="1361" t="s">
        <v>2765</v>
      </c>
      <c r="F2402" s="1360" t="s">
        <v>266</v>
      </c>
      <c r="G2402" s="1362">
        <v>2332</v>
      </c>
      <c r="H2402" s="1363" t="s">
        <v>3538</v>
      </c>
    </row>
    <row r="2403" spans="2:8" x14ac:dyDescent="0.25">
      <c r="B2403" s="1358" t="s">
        <v>6897</v>
      </c>
      <c r="C2403" s="1359" t="s">
        <v>6994</v>
      </c>
      <c r="D2403" s="1360">
        <v>11844</v>
      </c>
      <c r="E2403" s="1361" t="s">
        <v>2766</v>
      </c>
      <c r="F2403" s="1360" t="s">
        <v>266</v>
      </c>
      <c r="G2403" s="1362">
        <v>774</v>
      </c>
      <c r="H2403" s="1363" t="s">
        <v>3538</v>
      </c>
    </row>
    <row r="2404" spans="2:8" x14ac:dyDescent="0.25">
      <c r="B2404" s="1358" t="s">
        <v>6897</v>
      </c>
      <c r="C2404" s="1359" t="s">
        <v>6994</v>
      </c>
      <c r="D2404" s="1360">
        <v>11845</v>
      </c>
      <c r="E2404" s="1361" t="s">
        <v>2767</v>
      </c>
      <c r="F2404" s="1360" t="s">
        <v>266</v>
      </c>
      <c r="G2404" s="1362">
        <v>83300</v>
      </c>
      <c r="H2404" s="1363" t="s">
        <v>3538</v>
      </c>
    </row>
    <row r="2405" spans="2:8" x14ac:dyDescent="0.25">
      <c r="B2405" s="1358" t="s">
        <v>6897</v>
      </c>
      <c r="C2405" s="1359" t="s">
        <v>6994</v>
      </c>
      <c r="D2405" s="1360">
        <v>11846</v>
      </c>
      <c r="E2405" s="1361" t="s">
        <v>2768</v>
      </c>
      <c r="F2405" s="1360" t="s">
        <v>266</v>
      </c>
      <c r="G2405" s="1362">
        <v>46648</v>
      </c>
      <c r="H2405" s="1363" t="s">
        <v>3538</v>
      </c>
    </row>
    <row r="2406" spans="2:8" x14ac:dyDescent="0.25">
      <c r="B2406" s="1358" t="s">
        <v>6897</v>
      </c>
      <c r="C2406" s="1359" t="s">
        <v>7010</v>
      </c>
      <c r="D2406" s="1360">
        <v>11847</v>
      </c>
      <c r="E2406" s="1361" t="s">
        <v>2769</v>
      </c>
      <c r="F2406" s="1360" t="s">
        <v>266</v>
      </c>
      <c r="G2406" s="1362">
        <v>55002990</v>
      </c>
      <c r="H2406" s="1363" t="s">
        <v>3538</v>
      </c>
    </row>
    <row r="2407" spans="2:8" x14ac:dyDescent="0.25">
      <c r="B2407" s="1358" t="s">
        <v>6897</v>
      </c>
      <c r="C2407" s="1359" t="s">
        <v>7010</v>
      </c>
      <c r="D2407" s="1360">
        <v>11848</v>
      </c>
      <c r="E2407" s="1361" t="s">
        <v>2770</v>
      </c>
      <c r="F2407" s="1360" t="s">
        <v>266</v>
      </c>
      <c r="G2407" s="1362">
        <v>57356810</v>
      </c>
      <c r="H2407" s="1363" t="s">
        <v>3538</v>
      </c>
    </row>
    <row r="2408" spans="2:8" x14ac:dyDescent="0.25">
      <c r="B2408" s="1358" t="s">
        <v>6897</v>
      </c>
      <c r="C2408" s="1359" t="s">
        <v>7010</v>
      </c>
      <c r="D2408" s="1360">
        <v>11849</v>
      </c>
      <c r="E2408" s="1361" t="s">
        <v>2771</v>
      </c>
      <c r="F2408" s="1360" t="s">
        <v>266</v>
      </c>
      <c r="G2408" s="1362">
        <v>6337239</v>
      </c>
      <c r="H2408" s="1363" t="s">
        <v>3538</v>
      </c>
    </row>
    <row r="2409" spans="2:8" x14ac:dyDescent="0.25">
      <c r="B2409" s="1358" t="s">
        <v>6897</v>
      </c>
      <c r="C2409" s="1359" t="s">
        <v>7010</v>
      </c>
      <c r="D2409" s="1360">
        <v>11850</v>
      </c>
      <c r="E2409" s="1361" t="s">
        <v>2772</v>
      </c>
      <c r="F2409" s="1360" t="s">
        <v>266</v>
      </c>
      <c r="G2409" s="1362">
        <v>8732222</v>
      </c>
      <c r="H2409" s="1363" t="s">
        <v>3538</v>
      </c>
    </row>
    <row r="2410" spans="2:8" x14ac:dyDescent="0.25">
      <c r="B2410" s="1358" t="s">
        <v>6897</v>
      </c>
      <c r="C2410" s="1359" t="s">
        <v>7010</v>
      </c>
      <c r="D2410" s="1360">
        <v>11851</v>
      </c>
      <c r="E2410" s="1361" t="s">
        <v>2773</v>
      </c>
      <c r="F2410" s="1360" t="s">
        <v>266</v>
      </c>
      <c r="G2410" s="1362">
        <v>13645640</v>
      </c>
      <c r="H2410" s="1363" t="s">
        <v>3538</v>
      </c>
    </row>
    <row r="2411" spans="2:8" x14ac:dyDescent="0.25">
      <c r="B2411" s="1358" t="s">
        <v>6897</v>
      </c>
      <c r="C2411" s="1359" t="s">
        <v>7010</v>
      </c>
      <c r="D2411" s="1360">
        <v>11852</v>
      </c>
      <c r="E2411" s="1361" t="s">
        <v>2774</v>
      </c>
      <c r="F2411" s="1360" t="s">
        <v>13</v>
      </c>
      <c r="G2411" s="1362">
        <v>3591</v>
      </c>
      <c r="H2411" s="1363" t="s">
        <v>3538</v>
      </c>
    </row>
    <row r="2412" spans="2:8" x14ac:dyDescent="0.25">
      <c r="B2412" s="1358" t="s">
        <v>6897</v>
      </c>
      <c r="C2412" s="1359" t="s">
        <v>7010</v>
      </c>
      <c r="D2412" s="1360">
        <v>11853</v>
      </c>
      <c r="E2412" s="1361" t="s">
        <v>2775</v>
      </c>
      <c r="F2412" s="1360" t="s">
        <v>13</v>
      </c>
      <c r="G2412" s="1362">
        <v>187927</v>
      </c>
      <c r="H2412" s="1363" t="s">
        <v>3538</v>
      </c>
    </row>
    <row r="2413" spans="2:8" x14ac:dyDescent="0.25">
      <c r="B2413" s="1358" t="s">
        <v>6897</v>
      </c>
      <c r="C2413" s="1359" t="s">
        <v>6919</v>
      </c>
      <c r="D2413" s="1360">
        <v>11854</v>
      </c>
      <c r="E2413" s="1361" t="s">
        <v>2776</v>
      </c>
      <c r="F2413" s="1360" t="s">
        <v>266</v>
      </c>
      <c r="G2413" s="1362">
        <v>1053521</v>
      </c>
      <c r="H2413" s="1363" t="s">
        <v>6899</v>
      </c>
    </row>
    <row r="2414" spans="2:8" x14ac:dyDescent="0.25">
      <c r="B2414" s="1358" t="s">
        <v>6897</v>
      </c>
      <c r="C2414" s="1359" t="s">
        <v>6903</v>
      </c>
      <c r="D2414" s="1360">
        <v>11856</v>
      </c>
      <c r="E2414" s="1361" t="s">
        <v>2777</v>
      </c>
      <c r="F2414" s="1360" t="s">
        <v>6</v>
      </c>
      <c r="G2414" s="1362">
        <v>6069</v>
      </c>
      <c r="H2414" s="1363" t="s">
        <v>6899</v>
      </c>
    </row>
    <row r="2415" spans="2:8" x14ac:dyDescent="0.25">
      <c r="B2415" s="1358" t="s">
        <v>6897</v>
      </c>
      <c r="C2415" s="1359" t="s">
        <v>6919</v>
      </c>
      <c r="D2415" s="1360">
        <v>11862</v>
      </c>
      <c r="E2415" s="1361" t="s">
        <v>2778</v>
      </c>
      <c r="F2415" s="1360" t="s">
        <v>266</v>
      </c>
      <c r="G2415" s="1362">
        <v>1289385</v>
      </c>
      <c r="H2415" s="1363" t="s">
        <v>6899</v>
      </c>
    </row>
    <row r="2416" spans="2:8" x14ac:dyDescent="0.25">
      <c r="B2416" s="1358" t="s">
        <v>6897</v>
      </c>
      <c r="C2416" s="1359" t="s">
        <v>6919</v>
      </c>
      <c r="D2416" s="1360">
        <v>11863</v>
      </c>
      <c r="E2416" s="1361" t="s">
        <v>2779</v>
      </c>
      <c r="F2416" s="1360" t="s">
        <v>266</v>
      </c>
      <c r="G2416" s="1362">
        <v>927728</v>
      </c>
      <c r="H2416" s="1363" t="s">
        <v>6899</v>
      </c>
    </row>
    <row r="2417" spans="2:8" x14ac:dyDescent="0.25">
      <c r="B2417" s="1358" t="s">
        <v>6897</v>
      </c>
      <c r="C2417" s="1359" t="s">
        <v>7010</v>
      </c>
      <c r="D2417" s="1360">
        <v>11864</v>
      </c>
      <c r="E2417" s="1361" t="s">
        <v>2780</v>
      </c>
      <c r="F2417" s="1360" t="s">
        <v>266</v>
      </c>
      <c r="G2417" s="1362">
        <v>155325</v>
      </c>
      <c r="H2417" s="1363" t="s">
        <v>3538</v>
      </c>
    </row>
    <row r="2418" spans="2:8" x14ac:dyDescent="0.25">
      <c r="B2418" s="1358" t="s">
        <v>6897</v>
      </c>
      <c r="C2418" s="1359" t="s">
        <v>6907</v>
      </c>
      <c r="D2418" s="1360">
        <v>11865</v>
      </c>
      <c r="E2418" s="1361" t="s">
        <v>2781</v>
      </c>
      <c r="F2418" s="1360" t="s">
        <v>13</v>
      </c>
      <c r="G2418" s="1362">
        <v>19814</v>
      </c>
      <c r="H2418" s="1363" t="s">
        <v>3535</v>
      </c>
    </row>
    <row r="2419" spans="2:8" x14ac:dyDescent="0.25">
      <c r="B2419" s="1358" t="s">
        <v>6897</v>
      </c>
      <c r="C2419" s="1359" t="s">
        <v>6907</v>
      </c>
      <c r="D2419" s="1360">
        <v>11866</v>
      </c>
      <c r="E2419" s="1361" t="s">
        <v>2782</v>
      </c>
      <c r="F2419" s="1360" t="s">
        <v>13</v>
      </c>
      <c r="G2419" s="1362">
        <v>9750</v>
      </c>
      <c r="H2419" s="1363" t="s">
        <v>3535</v>
      </c>
    </row>
    <row r="2420" spans="2:8" x14ac:dyDescent="0.25">
      <c r="B2420" s="1358" t="s">
        <v>6897</v>
      </c>
      <c r="C2420" s="1359" t="s">
        <v>6919</v>
      </c>
      <c r="D2420" s="1360">
        <v>11869</v>
      </c>
      <c r="E2420" s="1361" t="s">
        <v>2783</v>
      </c>
      <c r="F2420" s="1360" t="s">
        <v>266</v>
      </c>
      <c r="G2420" s="1362">
        <v>1053521</v>
      </c>
      <c r="H2420" s="1363" t="s">
        <v>6899</v>
      </c>
    </row>
    <row r="2421" spans="2:8" x14ac:dyDescent="0.25">
      <c r="B2421" s="1358" t="s">
        <v>6897</v>
      </c>
      <c r="C2421" s="1359" t="s">
        <v>6915</v>
      </c>
      <c r="D2421" s="1360">
        <v>11870</v>
      </c>
      <c r="E2421" s="1361" t="s">
        <v>2784</v>
      </c>
      <c r="F2421" s="1360" t="s">
        <v>266</v>
      </c>
      <c r="G2421" s="1362">
        <v>3166</v>
      </c>
      <c r="H2421" s="1363" t="s">
        <v>6899</v>
      </c>
    </row>
    <row r="2422" spans="2:8" x14ac:dyDescent="0.25">
      <c r="B2422" s="1358" t="s">
        <v>6897</v>
      </c>
      <c r="C2422" s="1359" t="s">
        <v>6922</v>
      </c>
      <c r="D2422" s="1360">
        <v>11871</v>
      </c>
      <c r="E2422" s="1361" t="s">
        <v>4149</v>
      </c>
      <c r="F2422" s="1360" t="s">
        <v>12</v>
      </c>
      <c r="G2422" s="1362">
        <v>62443</v>
      </c>
      <c r="H2422" s="1363" t="s">
        <v>3538</v>
      </c>
    </row>
    <row r="2423" spans="2:8" x14ac:dyDescent="0.25">
      <c r="B2423" s="1358" t="s">
        <v>6897</v>
      </c>
      <c r="C2423" s="1359" t="s">
        <v>7076</v>
      </c>
      <c r="D2423" s="1360">
        <v>11872</v>
      </c>
      <c r="E2423" s="1361" t="s">
        <v>4150</v>
      </c>
      <c r="F2423" s="1360" t="s">
        <v>266</v>
      </c>
      <c r="G2423" s="1362">
        <v>208847</v>
      </c>
      <c r="H2423" s="1363" t="s">
        <v>6899</v>
      </c>
    </row>
    <row r="2424" spans="2:8" x14ac:dyDescent="0.25">
      <c r="B2424" s="1358" t="s">
        <v>6897</v>
      </c>
      <c r="C2424" s="1359" t="s">
        <v>7078</v>
      </c>
      <c r="D2424" s="1360">
        <v>11873</v>
      </c>
      <c r="E2424" s="1361" t="s">
        <v>4151</v>
      </c>
      <c r="F2424" s="1360" t="s">
        <v>266</v>
      </c>
      <c r="G2424" s="1362">
        <v>4977488</v>
      </c>
      <c r="H2424" s="1363" t="s">
        <v>6899</v>
      </c>
    </row>
    <row r="2425" spans="2:8" x14ac:dyDescent="0.25">
      <c r="B2425" s="1358" t="s">
        <v>6897</v>
      </c>
      <c r="C2425" s="1359" t="s">
        <v>7078</v>
      </c>
      <c r="D2425" s="1360">
        <v>11874</v>
      </c>
      <c r="E2425" s="1361" t="s">
        <v>4152</v>
      </c>
      <c r="F2425" s="1360" t="s">
        <v>266</v>
      </c>
      <c r="G2425" s="1362">
        <v>500780</v>
      </c>
      <c r="H2425" s="1363" t="s">
        <v>6899</v>
      </c>
    </row>
    <row r="2426" spans="2:8" x14ac:dyDescent="0.25">
      <c r="B2426" s="1358" t="s">
        <v>6897</v>
      </c>
      <c r="C2426" s="1359" t="s">
        <v>7079</v>
      </c>
      <c r="D2426" s="1360">
        <v>11875</v>
      </c>
      <c r="E2426" s="1361" t="s">
        <v>4153</v>
      </c>
      <c r="F2426" s="1360" t="s">
        <v>266</v>
      </c>
      <c r="G2426" s="1362">
        <v>6210000</v>
      </c>
      <c r="H2426" s="1363" t="s">
        <v>6899</v>
      </c>
    </row>
    <row r="2427" spans="2:8" x14ac:dyDescent="0.25">
      <c r="B2427" s="1358" t="s">
        <v>6897</v>
      </c>
      <c r="C2427" s="1359" t="s">
        <v>7080</v>
      </c>
      <c r="D2427" s="1360">
        <v>11876</v>
      </c>
      <c r="E2427" s="1361" t="s">
        <v>4154</v>
      </c>
      <c r="F2427" s="1360" t="s">
        <v>266</v>
      </c>
      <c r="G2427" s="1362">
        <v>452200</v>
      </c>
      <c r="H2427" s="1363" t="s">
        <v>6899</v>
      </c>
    </row>
    <row r="2428" spans="2:8" x14ac:dyDescent="0.25">
      <c r="B2428" s="1358" t="s">
        <v>6897</v>
      </c>
      <c r="C2428" s="1359" t="s">
        <v>7081</v>
      </c>
      <c r="D2428" s="1360">
        <v>11877</v>
      </c>
      <c r="E2428" s="1361" t="s">
        <v>4155</v>
      </c>
      <c r="F2428" s="1360" t="s">
        <v>266</v>
      </c>
      <c r="G2428" s="1362">
        <v>165334</v>
      </c>
      <c r="H2428" s="1363" t="s">
        <v>6899</v>
      </c>
    </row>
    <row r="2429" spans="2:8" x14ac:dyDescent="0.25">
      <c r="B2429" s="1358" t="s">
        <v>6897</v>
      </c>
      <c r="C2429" s="1359" t="s">
        <v>7082</v>
      </c>
      <c r="D2429" s="1360">
        <v>11878</v>
      </c>
      <c r="E2429" s="1361" t="s">
        <v>4156</v>
      </c>
      <c r="F2429" s="1360" t="s">
        <v>266</v>
      </c>
      <c r="G2429" s="1362">
        <v>476000</v>
      </c>
      <c r="H2429" s="1363" t="s">
        <v>6899</v>
      </c>
    </row>
    <row r="2430" spans="2:8" x14ac:dyDescent="0.25">
      <c r="B2430" s="1358" t="s">
        <v>6897</v>
      </c>
      <c r="C2430" s="1359" t="s">
        <v>6940</v>
      </c>
      <c r="D2430" s="1360">
        <v>11879</v>
      </c>
      <c r="E2430" s="1361" t="s">
        <v>4157</v>
      </c>
      <c r="F2430" s="1360" t="s">
        <v>896</v>
      </c>
      <c r="G2430" s="1362">
        <v>160650</v>
      </c>
      <c r="H2430" s="1363" t="s">
        <v>6899</v>
      </c>
    </row>
    <row r="2431" spans="2:8" x14ac:dyDescent="0.25">
      <c r="B2431" s="1358" t="s">
        <v>6897</v>
      </c>
      <c r="C2431" s="1359" t="s">
        <v>7044</v>
      </c>
      <c r="D2431" s="1360">
        <v>11880</v>
      </c>
      <c r="E2431" s="1361" t="s">
        <v>4158</v>
      </c>
      <c r="F2431" s="1360" t="s">
        <v>266</v>
      </c>
      <c r="G2431" s="1362">
        <v>49980</v>
      </c>
      <c r="H2431" s="1363" t="s">
        <v>6899</v>
      </c>
    </row>
    <row r="2432" spans="2:8" x14ac:dyDescent="0.25">
      <c r="B2432" s="1358" t="s">
        <v>6897</v>
      </c>
      <c r="C2432" s="1359" t="s">
        <v>7044</v>
      </c>
      <c r="D2432" s="1360">
        <v>11881</v>
      </c>
      <c r="E2432" s="1361" t="s">
        <v>4159</v>
      </c>
      <c r="F2432" s="1360" t="s">
        <v>266</v>
      </c>
      <c r="G2432" s="1362">
        <v>86513</v>
      </c>
      <c r="H2432" s="1363" t="s">
        <v>6899</v>
      </c>
    </row>
    <row r="2433" spans="2:8" x14ac:dyDescent="0.25">
      <c r="B2433" s="1358" t="s">
        <v>6897</v>
      </c>
      <c r="C2433" s="1359" t="s">
        <v>6915</v>
      </c>
      <c r="D2433" s="1360">
        <v>11882</v>
      </c>
      <c r="E2433" s="1361" t="s">
        <v>2785</v>
      </c>
      <c r="F2433" s="1360" t="s">
        <v>266</v>
      </c>
      <c r="G2433" s="1362">
        <v>113162</v>
      </c>
      <c r="H2433" s="1363" t="s">
        <v>6899</v>
      </c>
    </row>
    <row r="2434" spans="2:8" x14ac:dyDescent="0.25">
      <c r="B2434" s="1358" t="s">
        <v>6897</v>
      </c>
      <c r="C2434" s="1359" t="s">
        <v>6915</v>
      </c>
      <c r="D2434" s="1360">
        <v>11883</v>
      </c>
      <c r="E2434" s="1361" t="s">
        <v>2786</v>
      </c>
      <c r="F2434" s="1360" t="s">
        <v>266</v>
      </c>
      <c r="G2434" s="1362">
        <v>121836</v>
      </c>
      <c r="H2434" s="1363" t="s">
        <v>6899</v>
      </c>
    </row>
    <row r="2435" spans="2:8" x14ac:dyDescent="0.25">
      <c r="B2435" s="1358" t="s">
        <v>6897</v>
      </c>
      <c r="C2435" s="1359" t="s">
        <v>6915</v>
      </c>
      <c r="D2435" s="1360">
        <v>11885</v>
      </c>
      <c r="E2435" s="1361" t="s">
        <v>2787</v>
      </c>
      <c r="F2435" s="1360" t="s">
        <v>266</v>
      </c>
      <c r="G2435" s="1362">
        <v>99431</v>
      </c>
      <c r="H2435" s="1363" t="s">
        <v>6899</v>
      </c>
    </row>
    <row r="2436" spans="2:8" x14ac:dyDescent="0.25">
      <c r="B2436" s="1358" t="s">
        <v>6897</v>
      </c>
      <c r="C2436" s="1359" t="s">
        <v>6921</v>
      </c>
      <c r="D2436" s="1360">
        <v>11886</v>
      </c>
      <c r="E2436" s="1361" t="s">
        <v>2788</v>
      </c>
      <c r="F2436" s="1360" t="s">
        <v>266</v>
      </c>
      <c r="G2436" s="1362">
        <v>238000</v>
      </c>
      <c r="H2436" s="1363" t="s">
        <v>3538</v>
      </c>
    </row>
    <row r="2437" spans="2:8" x14ac:dyDescent="0.25">
      <c r="B2437" s="1358" t="s">
        <v>6897</v>
      </c>
      <c r="C2437" s="1359" t="s">
        <v>6921</v>
      </c>
      <c r="D2437" s="1360">
        <v>11887</v>
      </c>
      <c r="E2437" s="1361" t="s">
        <v>4160</v>
      </c>
      <c r="F2437" s="1360" t="s">
        <v>266</v>
      </c>
      <c r="G2437" s="1362">
        <v>712009</v>
      </c>
      <c r="H2437" s="1363" t="s">
        <v>3538</v>
      </c>
    </row>
    <row r="2438" spans="2:8" x14ac:dyDescent="0.25">
      <c r="B2438" s="1358" t="s">
        <v>6897</v>
      </c>
      <c r="C2438" s="1359" t="s">
        <v>6922</v>
      </c>
      <c r="D2438" s="1360">
        <v>11888</v>
      </c>
      <c r="E2438" s="1361" t="s">
        <v>2789</v>
      </c>
      <c r="F2438" s="1360" t="s">
        <v>266</v>
      </c>
      <c r="G2438" s="1362">
        <v>589050</v>
      </c>
      <c r="H2438" s="1363" t="s">
        <v>3538</v>
      </c>
    </row>
    <row r="2439" spans="2:8" x14ac:dyDescent="0.25">
      <c r="B2439" s="1358" t="s">
        <v>6897</v>
      </c>
      <c r="C2439" s="1359" t="s">
        <v>7069</v>
      </c>
      <c r="D2439" s="1360">
        <v>11889</v>
      </c>
      <c r="E2439" s="1361" t="s">
        <v>2790</v>
      </c>
      <c r="F2439" s="1360" t="s">
        <v>266</v>
      </c>
      <c r="G2439" s="1362">
        <v>758260</v>
      </c>
      <c r="H2439" s="1363" t="s">
        <v>3538</v>
      </c>
    </row>
    <row r="2440" spans="2:8" x14ac:dyDescent="0.25">
      <c r="B2440" s="1358" t="s">
        <v>6897</v>
      </c>
      <c r="C2440" s="1359" t="s">
        <v>7069</v>
      </c>
      <c r="D2440" s="1360">
        <v>11890</v>
      </c>
      <c r="E2440" s="1361" t="s">
        <v>2791</v>
      </c>
      <c r="F2440" s="1360" t="s">
        <v>266</v>
      </c>
      <c r="G2440" s="1362">
        <v>770734</v>
      </c>
      <c r="H2440" s="1363" t="s">
        <v>3538</v>
      </c>
    </row>
    <row r="2441" spans="2:8" x14ac:dyDescent="0.25">
      <c r="B2441" s="1358" t="s">
        <v>6897</v>
      </c>
      <c r="C2441" s="1359" t="s">
        <v>7069</v>
      </c>
      <c r="D2441" s="1360">
        <v>11891</v>
      </c>
      <c r="E2441" s="1361" t="s">
        <v>2792</v>
      </c>
      <c r="F2441" s="1360" t="s">
        <v>266</v>
      </c>
      <c r="G2441" s="1362">
        <v>876755</v>
      </c>
      <c r="H2441" s="1363" t="s">
        <v>3538</v>
      </c>
    </row>
    <row r="2442" spans="2:8" x14ac:dyDescent="0.25">
      <c r="B2442" s="1358" t="s">
        <v>6897</v>
      </c>
      <c r="C2442" s="1359" t="s">
        <v>7112</v>
      </c>
      <c r="D2442" s="1360">
        <v>11893</v>
      </c>
      <c r="E2442" s="1361" t="s">
        <v>2793</v>
      </c>
      <c r="F2442" s="1360" t="s">
        <v>13</v>
      </c>
      <c r="G2442" s="1362">
        <v>695</v>
      </c>
      <c r="H2442" s="1363" t="s">
        <v>3538</v>
      </c>
    </row>
    <row r="2443" spans="2:8" x14ac:dyDescent="0.25">
      <c r="B2443" s="1358" t="s">
        <v>6897</v>
      </c>
      <c r="C2443" s="1359" t="s">
        <v>7008</v>
      </c>
      <c r="D2443" s="1360">
        <v>11894</v>
      </c>
      <c r="E2443" s="1361" t="s">
        <v>2794</v>
      </c>
      <c r="F2443" s="1360" t="s">
        <v>13</v>
      </c>
      <c r="G2443" s="1362">
        <v>529880</v>
      </c>
      <c r="H2443" s="1363" t="s">
        <v>6899</v>
      </c>
    </row>
    <row r="2444" spans="2:8" x14ac:dyDescent="0.25">
      <c r="B2444" s="1358" t="s">
        <v>6897</v>
      </c>
      <c r="C2444" s="1359" t="s">
        <v>6921</v>
      </c>
      <c r="D2444" s="1360">
        <v>11895</v>
      </c>
      <c r="E2444" s="1361" t="s">
        <v>2795</v>
      </c>
      <c r="F2444" s="1360" t="s">
        <v>266</v>
      </c>
      <c r="G2444" s="1362">
        <v>642838</v>
      </c>
      <c r="H2444" s="1363" t="s">
        <v>3538</v>
      </c>
    </row>
    <row r="2445" spans="2:8" x14ac:dyDescent="0.25">
      <c r="B2445" s="1358" t="s">
        <v>6897</v>
      </c>
      <c r="C2445" s="1359" t="s">
        <v>6930</v>
      </c>
      <c r="D2445" s="1360">
        <v>11896</v>
      </c>
      <c r="E2445" s="1361" t="s">
        <v>2796</v>
      </c>
      <c r="F2445" s="1360" t="s">
        <v>266</v>
      </c>
      <c r="G2445" s="1362">
        <v>64900</v>
      </c>
      <c r="H2445" s="1363" t="s">
        <v>6899</v>
      </c>
    </row>
    <row r="2446" spans="2:8" x14ac:dyDescent="0.25">
      <c r="B2446" s="1358" t="s">
        <v>6897</v>
      </c>
      <c r="C2446" s="1359" t="s">
        <v>6908</v>
      </c>
      <c r="D2446" s="1360">
        <v>11897</v>
      </c>
      <c r="E2446" s="1361" t="s">
        <v>2797</v>
      </c>
      <c r="F2446" s="1360" t="s">
        <v>13</v>
      </c>
      <c r="G2446" s="1362">
        <v>14130</v>
      </c>
      <c r="H2446" s="1363" t="s">
        <v>3538</v>
      </c>
    </row>
    <row r="2447" spans="2:8" x14ac:dyDescent="0.25">
      <c r="B2447" s="1358" t="s">
        <v>6897</v>
      </c>
      <c r="C2447" s="1359" t="s">
        <v>6908</v>
      </c>
      <c r="D2447" s="1360">
        <v>11898</v>
      </c>
      <c r="E2447" s="1361" t="s">
        <v>2798</v>
      </c>
      <c r="F2447" s="1360" t="s">
        <v>13</v>
      </c>
      <c r="G2447" s="1362">
        <v>8598</v>
      </c>
      <c r="H2447" s="1363" t="s">
        <v>3538</v>
      </c>
    </row>
    <row r="2448" spans="2:8" x14ac:dyDescent="0.25">
      <c r="B2448" s="1358" t="s">
        <v>6897</v>
      </c>
      <c r="C2448" s="1359" t="s">
        <v>6908</v>
      </c>
      <c r="D2448" s="1360">
        <v>11899</v>
      </c>
      <c r="E2448" s="1361" t="s">
        <v>2799</v>
      </c>
      <c r="F2448" s="1360" t="s">
        <v>266</v>
      </c>
      <c r="G2448" s="1362">
        <v>3472</v>
      </c>
      <c r="H2448" s="1363" t="s">
        <v>3538</v>
      </c>
    </row>
    <row r="2449" spans="2:8" x14ac:dyDescent="0.25">
      <c r="B2449" s="1358" t="s">
        <v>6897</v>
      </c>
      <c r="C2449" s="1359" t="s">
        <v>6908</v>
      </c>
      <c r="D2449" s="1360">
        <v>11902</v>
      </c>
      <c r="E2449" s="1361" t="s">
        <v>2800</v>
      </c>
      <c r="F2449" s="1360" t="s">
        <v>266</v>
      </c>
      <c r="G2449" s="1362">
        <v>5305</v>
      </c>
      <c r="H2449" s="1363" t="s">
        <v>3538</v>
      </c>
    </row>
    <row r="2450" spans="2:8" x14ac:dyDescent="0.25">
      <c r="B2450" s="1358" t="s">
        <v>6897</v>
      </c>
      <c r="C2450" s="1359" t="s">
        <v>6908</v>
      </c>
      <c r="D2450" s="1360">
        <v>11903</v>
      </c>
      <c r="E2450" s="1361" t="s">
        <v>2801</v>
      </c>
      <c r="F2450" s="1360" t="s">
        <v>266</v>
      </c>
      <c r="G2450" s="1362">
        <v>1396</v>
      </c>
      <c r="H2450" s="1363" t="s">
        <v>3538</v>
      </c>
    </row>
    <row r="2451" spans="2:8" x14ac:dyDescent="0.25">
      <c r="B2451" s="1358" t="s">
        <v>6897</v>
      </c>
      <c r="C2451" s="1359" t="s">
        <v>6908</v>
      </c>
      <c r="D2451" s="1360">
        <v>11904</v>
      </c>
      <c r="E2451" s="1361" t="s">
        <v>2802</v>
      </c>
      <c r="F2451" s="1360" t="s">
        <v>266</v>
      </c>
      <c r="G2451" s="1362">
        <v>2059</v>
      </c>
      <c r="H2451" s="1363" t="s">
        <v>3538</v>
      </c>
    </row>
    <row r="2452" spans="2:8" x14ac:dyDescent="0.25">
      <c r="B2452" s="1358" t="s">
        <v>6897</v>
      </c>
      <c r="C2452" s="1359" t="s">
        <v>6908</v>
      </c>
      <c r="D2452" s="1360">
        <v>11905</v>
      </c>
      <c r="E2452" s="1361" t="s">
        <v>2803</v>
      </c>
      <c r="F2452" s="1360" t="s">
        <v>266</v>
      </c>
      <c r="G2452" s="1362">
        <v>1921</v>
      </c>
      <c r="H2452" s="1363" t="s">
        <v>3538</v>
      </c>
    </row>
    <row r="2453" spans="2:8" x14ac:dyDescent="0.25">
      <c r="B2453" s="1358" t="s">
        <v>6897</v>
      </c>
      <c r="C2453" s="1359" t="s">
        <v>6908</v>
      </c>
      <c r="D2453" s="1360">
        <v>11906</v>
      </c>
      <c r="E2453" s="1361" t="s">
        <v>2804</v>
      </c>
      <c r="F2453" s="1360" t="s">
        <v>266</v>
      </c>
      <c r="G2453" s="1362">
        <v>2548</v>
      </c>
      <c r="H2453" s="1363" t="s">
        <v>3538</v>
      </c>
    </row>
    <row r="2454" spans="2:8" x14ac:dyDescent="0.25">
      <c r="B2454" s="1358" t="s">
        <v>6897</v>
      </c>
      <c r="C2454" s="1359" t="s">
        <v>6908</v>
      </c>
      <c r="D2454" s="1360">
        <v>11907</v>
      </c>
      <c r="E2454" s="1361" t="s">
        <v>2805</v>
      </c>
      <c r="F2454" s="1360" t="s">
        <v>266</v>
      </c>
      <c r="G2454" s="1362">
        <v>4035</v>
      </c>
      <c r="H2454" s="1363" t="s">
        <v>3538</v>
      </c>
    </row>
    <row r="2455" spans="2:8" x14ac:dyDescent="0.25">
      <c r="B2455" s="1358" t="s">
        <v>6897</v>
      </c>
      <c r="C2455" s="1359" t="s">
        <v>6908</v>
      </c>
      <c r="D2455" s="1360">
        <v>11908</v>
      </c>
      <c r="E2455" s="1361" t="s">
        <v>2806</v>
      </c>
      <c r="F2455" s="1360" t="s">
        <v>266</v>
      </c>
      <c r="G2455" s="1362">
        <v>3996</v>
      </c>
      <c r="H2455" s="1363" t="s">
        <v>3538</v>
      </c>
    </row>
    <row r="2456" spans="2:8" x14ac:dyDescent="0.25">
      <c r="B2456" s="1358" t="s">
        <v>6897</v>
      </c>
      <c r="C2456" s="1359" t="s">
        <v>6908</v>
      </c>
      <c r="D2456" s="1360">
        <v>11909</v>
      </c>
      <c r="E2456" s="1361" t="s">
        <v>2807</v>
      </c>
      <c r="F2456" s="1360" t="s">
        <v>266</v>
      </c>
      <c r="G2456" s="1362">
        <v>2570</v>
      </c>
      <c r="H2456" s="1363" t="s">
        <v>3538</v>
      </c>
    </row>
    <row r="2457" spans="2:8" x14ac:dyDescent="0.25">
      <c r="B2457" s="1358" t="s">
        <v>6897</v>
      </c>
      <c r="C2457" s="1359" t="s">
        <v>6997</v>
      </c>
      <c r="D2457" s="1360">
        <v>11910</v>
      </c>
      <c r="E2457" s="1361" t="s">
        <v>2808</v>
      </c>
      <c r="F2457" s="1360" t="s">
        <v>266</v>
      </c>
      <c r="G2457" s="1362">
        <v>3094</v>
      </c>
      <c r="H2457" s="1363" t="s">
        <v>3538</v>
      </c>
    </row>
    <row r="2458" spans="2:8" x14ac:dyDescent="0.25">
      <c r="B2458" s="1358" t="s">
        <v>6897</v>
      </c>
      <c r="C2458" s="1359" t="s">
        <v>6908</v>
      </c>
      <c r="D2458" s="1360">
        <v>11911</v>
      </c>
      <c r="E2458" s="1361" t="s">
        <v>2809</v>
      </c>
      <c r="F2458" s="1360" t="s">
        <v>266</v>
      </c>
      <c r="G2458" s="1362">
        <v>3280</v>
      </c>
      <c r="H2458" s="1363" t="s">
        <v>3538</v>
      </c>
    </row>
    <row r="2459" spans="2:8" x14ac:dyDescent="0.25">
      <c r="B2459" s="1358" t="s">
        <v>6897</v>
      </c>
      <c r="C2459" s="1359" t="s">
        <v>6997</v>
      </c>
      <c r="D2459" s="1360">
        <v>11912</v>
      </c>
      <c r="E2459" s="1361" t="s">
        <v>2810</v>
      </c>
      <c r="F2459" s="1360" t="s">
        <v>266</v>
      </c>
      <c r="G2459" s="1362">
        <v>2202</v>
      </c>
      <c r="H2459" s="1363" t="s">
        <v>3538</v>
      </c>
    </row>
    <row r="2460" spans="2:8" x14ac:dyDescent="0.25">
      <c r="B2460" s="1358" t="s">
        <v>6897</v>
      </c>
      <c r="C2460" s="1359" t="s">
        <v>6997</v>
      </c>
      <c r="D2460" s="1360">
        <v>11913</v>
      </c>
      <c r="E2460" s="1361" t="s">
        <v>2811</v>
      </c>
      <c r="F2460" s="1360" t="s">
        <v>266</v>
      </c>
      <c r="G2460" s="1362">
        <v>1785</v>
      </c>
      <c r="H2460" s="1363" t="s">
        <v>3538</v>
      </c>
    </row>
    <row r="2461" spans="2:8" x14ac:dyDescent="0.25">
      <c r="B2461" s="1358" t="s">
        <v>6897</v>
      </c>
      <c r="C2461" s="1359" t="s">
        <v>6916</v>
      </c>
      <c r="D2461" s="1360">
        <v>11914</v>
      </c>
      <c r="E2461" s="1361" t="s">
        <v>2812</v>
      </c>
      <c r="F2461" s="1360" t="s">
        <v>266</v>
      </c>
      <c r="G2461" s="1362">
        <v>12061</v>
      </c>
      <c r="H2461" s="1363" t="s">
        <v>3538</v>
      </c>
    </row>
    <row r="2462" spans="2:8" x14ac:dyDescent="0.25">
      <c r="B2462" s="1358" t="s">
        <v>6897</v>
      </c>
      <c r="C2462" s="1359" t="s">
        <v>6916</v>
      </c>
      <c r="D2462" s="1360">
        <v>11915</v>
      </c>
      <c r="E2462" s="1361" t="s">
        <v>2813</v>
      </c>
      <c r="F2462" s="1360" t="s">
        <v>266</v>
      </c>
      <c r="G2462" s="1362">
        <v>45347</v>
      </c>
      <c r="H2462" s="1363" t="s">
        <v>3538</v>
      </c>
    </row>
    <row r="2463" spans="2:8" x14ac:dyDescent="0.25">
      <c r="B2463" s="1358" t="s">
        <v>6897</v>
      </c>
      <c r="C2463" s="1359" t="s">
        <v>6916</v>
      </c>
      <c r="D2463" s="1360">
        <v>11916</v>
      </c>
      <c r="E2463" s="1361" t="s">
        <v>2814</v>
      </c>
      <c r="F2463" s="1360" t="s">
        <v>266</v>
      </c>
      <c r="G2463" s="1362">
        <v>148938</v>
      </c>
      <c r="H2463" s="1363" t="s">
        <v>3538</v>
      </c>
    </row>
    <row r="2464" spans="2:8" x14ac:dyDescent="0.25">
      <c r="B2464" s="1358" t="s">
        <v>6897</v>
      </c>
      <c r="C2464" s="1359" t="s">
        <v>7010</v>
      </c>
      <c r="D2464" s="1360">
        <v>11918</v>
      </c>
      <c r="E2464" s="1361" t="s">
        <v>2815</v>
      </c>
      <c r="F2464" s="1360" t="s">
        <v>266</v>
      </c>
      <c r="G2464" s="1362">
        <v>9007</v>
      </c>
      <c r="H2464" s="1363" t="s">
        <v>3538</v>
      </c>
    </row>
    <row r="2465" spans="2:8" x14ac:dyDescent="0.25">
      <c r="B2465" s="1358" t="s">
        <v>6897</v>
      </c>
      <c r="C2465" s="1359" t="s">
        <v>6901</v>
      </c>
      <c r="D2465" s="1360">
        <v>11919</v>
      </c>
      <c r="E2465" s="1361" t="s">
        <v>2816</v>
      </c>
      <c r="F2465" s="1360" t="s">
        <v>266</v>
      </c>
      <c r="G2465" s="1362">
        <v>53550</v>
      </c>
      <c r="H2465" s="1363" t="s">
        <v>3538</v>
      </c>
    </row>
    <row r="2466" spans="2:8" x14ac:dyDescent="0.25">
      <c r="B2466" s="1358" t="s">
        <v>6897</v>
      </c>
      <c r="C2466" s="1359" t="s">
        <v>6901</v>
      </c>
      <c r="D2466" s="1360">
        <v>11920</v>
      </c>
      <c r="E2466" s="1361" t="s">
        <v>2817</v>
      </c>
      <c r="F2466" s="1360" t="s">
        <v>266</v>
      </c>
      <c r="G2466" s="1362">
        <v>177310</v>
      </c>
      <c r="H2466" s="1363" t="s">
        <v>3538</v>
      </c>
    </row>
    <row r="2467" spans="2:8" x14ac:dyDescent="0.25">
      <c r="B2467" s="1358" t="s">
        <v>6897</v>
      </c>
      <c r="C2467" s="1359" t="s">
        <v>6901</v>
      </c>
      <c r="D2467" s="1360">
        <v>11921</v>
      </c>
      <c r="E2467" s="1361" t="s">
        <v>2818</v>
      </c>
      <c r="F2467" s="1360" t="s">
        <v>266</v>
      </c>
      <c r="G2467" s="1362">
        <v>7735</v>
      </c>
      <c r="H2467" s="1363" t="s">
        <v>3538</v>
      </c>
    </row>
    <row r="2468" spans="2:8" x14ac:dyDescent="0.25">
      <c r="B2468" s="1358" t="s">
        <v>6897</v>
      </c>
      <c r="C2468" s="1359" t="s">
        <v>6901</v>
      </c>
      <c r="D2468" s="1360">
        <v>11922</v>
      </c>
      <c r="E2468" s="1361" t="s">
        <v>2819</v>
      </c>
      <c r="F2468" s="1360" t="s">
        <v>266</v>
      </c>
      <c r="G2468" s="1362">
        <v>113050</v>
      </c>
      <c r="H2468" s="1363" t="s">
        <v>3538</v>
      </c>
    </row>
    <row r="2469" spans="2:8" x14ac:dyDescent="0.25">
      <c r="B2469" s="1358" t="s">
        <v>6897</v>
      </c>
      <c r="C2469" s="1359" t="s">
        <v>6901</v>
      </c>
      <c r="D2469" s="1360">
        <v>11923</v>
      </c>
      <c r="E2469" s="1361" t="s">
        <v>2820</v>
      </c>
      <c r="F2469" s="1360" t="s">
        <v>266</v>
      </c>
      <c r="G2469" s="1362">
        <v>10353</v>
      </c>
      <c r="H2469" s="1363" t="s">
        <v>3538</v>
      </c>
    </row>
    <row r="2470" spans="2:8" x14ac:dyDescent="0.25">
      <c r="B2470" s="1358" t="s">
        <v>6897</v>
      </c>
      <c r="C2470" s="1359" t="s">
        <v>6901</v>
      </c>
      <c r="D2470" s="1360">
        <v>11924</v>
      </c>
      <c r="E2470" s="1361" t="s">
        <v>4161</v>
      </c>
      <c r="F2470" s="1360" t="s">
        <v>266</v>
      </c>
      <c r="G2470" s="1362">
        <v>157080</v>
      </c>
      <c r="H2470" s="1363" t="s">
        <v>3538</v>
      </c>
    </row>
    <row r="2471" spans="2:8" x14ac:dyDescent="0.25">
      <c r="B2471" s="1358" t="s">
        <v>6897</v>
      </c>
      <c r="C2471" s="1359" t="s">
        <v>6915</v>
      </c>
      <c r="D2471" s="1360">
        <v>11925</v>
      </c>
      <c r="E2471" s="1361" t="s">
        <v>2821</v>
      </c>
      <c r="F2471" s="1360" t="s">
        <v>266</v>
      </c>
      <c r="G2471" s="1362">
        <v>146155</v>
      </c>
      <c r="H2471" s="1363" t="s">
        <v>6899</v>
      </c>
    </row>
    <row r="2472" spans="2:8" x14ac:dyDescent="0.25">
      <c r="B2472" s="1358" t="s">
        <v>6897</v>
      </c>
      <c r="C2472" s="1359" t="s">
        <v>6922</v>
      </c>
      <c r="D2472" s="1360">
        <v>11926</v>
      </c>
      <c r="E2472" s="1361" t="s">
        <v>2822</v>
      </c>
      <c r="F2472" s="1360" t="s">
        <v>266</v>
      </c>
      <c r="G2472" s="1362">
        <v>430780</v>
      </c>
      <c r="H2472" s="1363" t="s">
        <v>3538</v>
      </c>
    </row>
    <row r="2473" spans="2:8" x14ac:dyDescent="0.25">
      <c r="B2473" s="1358" t="s">
        <v>6897</v>
      </c>
      <c r="C2473" s="1359" t="s">
        <v>6922</v>
      </c>
      <c r="D2473" s="1360">
        <v>11927</v>
      </c>
      <c r="E2473" s="1361" t="s">
        <v>2823</v>
      </c>
      <c r="F2473" s="1360" t="s">
        <v>266</v>
      </c>
      <c r="G2473" s="1362">
        <v>299632</v>
      </c>
      <c r="H2473" s="1363" t="s">
        <v>3538</v>
      </c>
    </row>
    <row r="2474" spans="2:8" x14ac:dyDescent="0.25">
      <c r="B2474" s="1358" t="s">
        <v>6897</v>
      </c>
      <c r="C2474" s="1359" t="s">
        <v>6922</v>
      </c>
      <c r="D2474" s="1360">
        <v>11928</v>
      </c>
      <c r="E2474" s="1361" t="s">
        <v>2824</v>
      </c>
      <c r="F2474" s="1360" t="s">
        <v>266</v>
      </c>
      <c r="G2474" s="1362">
        <v>538594</v>
      </c>
      <c r="H2474" s="1363" t="s">
        <v>3538</v>
      </c>
    </row>
    <row r="2475" spans="2:8" x14ac:dyDescent="0.25">
      <c r="B2475" s="1358" t="s">
        <v>6897</v>
      </c>
      <c r="C2475" s="1359" t="s">
        <v>6922</v>
      </c>
      <c r="D2475" s="1360">
        <v>11929</v>
      </c>
      <c r="E2475" s="1361" t="s">
        <v>2825</v>
      </c>
      <c r="F2475" s="1360" t="s">
        <v>266</v>
      </c>
      <c r="G2475" s="1362">
        <v>430780</v>
      </c>
      <c r="H2475" s="1363" t="s">
        <v>3538</v>
      </c>
    </row>
    <row r="2476" spans="2:8" x14ac:dyDescent="0.25">
      <c r="B2476" s="1358" t="s">
        <v>6897</v>
      </c>
      <c r="C2476" s="1359" t="s">
        <v>6922</v>
      </c>
      <c r="D2476" s="1360">
        <v>11930</v>
      </c>
      <c r="E2476" s="1361" t="s">
        <v>2826</v>
      </c>
      <c r="F2476" s="1360" t="s">
        <v>266</v>
      </c>
      <c r="G2476" s="1362">
        <v>383689</v>
      </c>
      <c r="H2476" s="1363" t="s">
        <v>3538</v>
      </c>
    </row>
    <row r="2477" spans="2:8" x14ac:dyDescent="0.25">
      <c r="B2477" s="1358" t="s">
        <v>6897</v>
      </c>
      <c r="C2477" s="1359" t="s">
        <v>7010</v>
      </c>
      <c r="D2477" s="1360">
        <v>11936</v>
      </c>
      <c r="E2477" s="1361" t="s">
        <v>2827</v>
      </c>
      <c r="F2477" s="1360" t="s">
        <v>266</v>
      </c>
      <c r="G2477" s="1362">
        <v>26665784</v>
      </c>
      <c r="H2477" s="1363" t="s">
        <v>3538</v>
      </c>
    </row>
    <row r="2478" spans="2:8" x14ac:dyDescent="0.25">
      <c r="B2478" s="1358" t="s">
        <v>6897</v>
      </c>
      <c r="C2478" s="1359" t="s">
        <v>6908</v>
      </c>
      <c r="D2478" s="1360">
        <v>11938</v>
      </c>
      <c r="E2478" s="1361" t="s">
        <v>2828</v>
      </c>
      <c r="F2478" s="1360" t="s">
        <v>266</v>
      </c>
      <c r="G2478" s="1362">
        <v>20171</v>
      </c>
      <c r="H2478" s="1363" t="s">
        <v>3538</v>
      </c>
    </row>
    <row r="2479" spans="2:8" x14ac:dyDescent="0.25">
      <c r="B2479" s="1358" t="s">
        <v>6897</v>
      </c>
      <c r="C2479" s="1359" t="s">
        <v>6908</v>
      </c>
      <c r="D2479" s="1360">
        <v>11939</v>
      </c>
      <c r="E2479" s="1361" t="s">
        <v>2829</v>
      </c>
      <c r="F2479" s="1360" t="s">
        <v>266</v>
      </c>
      <c r="G2479" s="1362">
        <v>6850</v>
      </c>
      <c r="H2479" s="1363" t="s">
        <v>3538</v>
      </c>
    </row>
    <row r="2480" spans="2:8" x14ac:dyDescent="0.25">
      <c r="B2480" s="1358" t="s">
        <v>6897</v>
      </c>
      <c r="C2480" s="1359" t="s">
        <v>6908</v>
      </c>
      <c r="D2480" s="1360">
        <v>11940</v>
      </c>
      <c r="E2480" s="1361" t="s">
        <v>4162</v>
      </c>
      <c r="F2480" s="1360" t="s">
        <v>266</v>
      </c>
      <c r="G2480" s="1362">
        <v>101261</v>
      </c>
      <c r="H2480" s="1363" t="s">
        <v>3538</v>
      </c>
    </row>
    <row r="2481" spans="2:8" x14ac:dyDescent="0.25">
      <c r="B2481" s="1358" t="s">
        <v>6897</v>
      </c>
      <c r="C2481" s="1359" t="s">
        <v>6908</v>
      </c>
      <c r="D2481" s="1360">
        <v>11941</v>
      </c>
      <c r="E2481" s="1361" t="s">
        <v>2830</v>
      </c>
      <c r="F2481" s="1360" t="s">
        <v>266</v>
      </c>
      <c r="G2481" s="1362">
        <v>1827</v>
      </c>
      <c r="H2481" s="1363" t="s">
        <v>3538</v>
      </c>
    </row>
    <row r="2482" spans="2:8" x14ac:dyDescent="0.25">
      <c r="B2482" s="1358" t="s">
        <v>6897</v>
      </c>
      <c r="C2482" s="1359" t="s">
        <v>6921</v>
      </c>
      <c r="D2482" s="1360">
        <v>11942</v>
      </c>
      <c r="E2482" s="1361" t="s">
        <v>2831</v>
      </c>
      <c r="F2482" s="1360" t="s">
        <v>266</v>
      </c>
      <c r="G2482" s="1362">
        <v>151130</v>
      </c>
      <c r="H2482" s="1363" t="s">
        <v>3538</v>
      </c>
    </row>
    <row r="2483" spans="2:8" x14ac:dyDescent="0.25">
      <c r="B2483" s="1358" t="s">
        <v>6897</v>
      </c>
      <c r="C2483" s="1359" t="s">
        <v>6908</v>
      </c>
      <c r="D2483" s="1360">
        <v>11943</v>
      </c>
      <c r="E2483" s="1361" t="s">
        <v>2832</v>
      </c>
      <c r="F2483" s="1360" t="s">
        <v>266</v>
      </c>
      <c r="G2483" s="1362">
        <v>121900</v>
      </c>
      <c r="H2483" s="1363" t="s">
        <v>3538</v>
      </c>
    </row>
    <row r="2484" spans="2:8" x14ac:dyDescent="0.25">
      <c r="B2484" s="1358" t="s">
        <v>6897</v>
      </c>
      <c r="C2484" s="1359" t="s">
        <v>6908</v>
      </c>
      <c r="D2484" s="1360">
        <v>11944</v>
      </c>
      <c r="E2484" s="1361" t="s">
        <v>4163</v>
      </c>
      <c r="F2484" s="1360" t="s">
        <v>266</v>
      </c>
      <c r="G2484" s="1362">
        <v>2069</v>
      </c>
      <c r="H2484" s="1363" t="s">
        <v>3538</v>
      </c>
    </row>
    <row r="2485" spans="2:8" x14ac:dyDescent="0.25">
      <c r="B2485" s="1358" t="s">
        <v>6897</v>
      </c>
      <c r="C2485" s="1359" t="s">
        <v>6916</v>
      </c>
      <c r="D2485" s="1360">
        <v>11945</v>
      </c>
      <c r="E2485" s="1361" t="s">
        <v>2833</v>
      </c>
      <c r="F2485" s="1360" t="s">
        <v>266</v>
      </c>
      <c r="G2485" s="1362">
        <v>3238</v>
      </c>
      <c r="H2485" s="1363" t="s">
        <v>3538</v>
      </c>
    </row>
    <row r="2486" spans="2:8" x14ac:dyDescent="0.25">
      <c r="B2486" s="1358" t="s">
        <v>6897</v>
      </c>
      <c r="C2486" s="1359" t="s">
        <v>6916</v>
      </c>
      <c r="D2486" s="1360">
        <v>11946</v>
      </c>
      <c r="E2486" s="1361" t="s">
        <v>2834</v>
      </c>
      <c r="F2486" s="1360" t="s">
        <v>266</v>
      </c>
      <c r="G2486" s="1362">
        <v>790</v>
      </c>
      <c r="H2486" s="1363" t="s">
        <v>3538</v>
      </c>
    </row>
    <row r="2487" spans="2:8" x14ac:dyDescent="0.25">
      <c r="B2487" s="1358" t="s">
        <v>6897</v>
      </c>
      <c r="C2487" s="1359" t="s">
        <v>6908</v>
      </c>
      <c r="D2487" s="1360">
        <v>11947</v>
      </c>
      <c r="E2487" s="1361" t="s">
        <v>2835</v>
      </c>
      <c r="F2487" s="1360" t="s">
        <v>266</v>
      </c>
      <c r="G2487" s="1362">
        <v>2902</v>
      </c>
      <c r="H2487" s="1363" t="s">
        <v>3538</v>
      </c>
    </row>
    <row r="2488" spans="2:8" x14ac:dyDescent="0.25">
      <c r="B2488" s="1358" t="s">
        <v>6897</v>
      </c>
      <c r="C2488" s="1359" t="s">
        <v>6908</v>
      </c>
      <c r="D2488" s="1360">
        <v>11948</v>
      </c>
      <c r="E2488" s="1361" t="s">
        <v>2836</v>
      </c>
      <c r="F2488" s="1360" t="s">
        <v>266</v>
      </c>
      <c r="G2488" s="1362">
        <v>6850</v>
      </c>
      <c r="H2488" s="1363" t="s">
        <v>3538</v>
      </c>
    </row>
    <row r="2489" spans="2:8" x14ac:dyDescent="0.25">
      <c r="B2489" s="1358" t="s">
        <v>6897</v>
      </c>
      <c r="C2489" s="1359" t="s">
        <v>6908</v>
      </c>
      <c r="D2489" s="1360">
        <v>11949</v>
      </c>
      <c r="E2489" s="1361" t="s">
        <v>2837</v>
      </c>
      <c r="F2489" s="1360" t="s">
        <v>266</v>
      </c>
      <c r="G2489" s="1362">
        <v>6850</v>
      </c>
      <c r="H2489" s="1363" t="s">
        <v>3538</v>
      </c>
    </row>
    <row r="2490" spans="2:8" x14ac:dyDescent="0.25">
      <c r="B2490" s="1358" t="s">
        <v>6897</v>
      </c>
      <c r="C2490" s="1359" t="s">
        <v>6910</v>
      </c>
      <c r="D2490" s="1360">
        <v>11950</v>
      </c>
      <c r="E2490" s="1361" t="s">
        <v>2838</v>
      </c>
      <c r="F2490" s="1360" t="s">
        <v>266</v>
      </c>
      <c r="G2490" s="1362">
        <v>9785</v>
      </c>
      <c r="H2490" s="1363" t="s">
        <v>6899</v>
      </c>
    </row>
    <row r="2491" spans="2:8" x14ac:dyDescent="0.25">
      <c r="B2491" s="1358" t="s">
        <v>6897</v>
      </c>
      <c r="C2491" s="1359" t="s">
        <v>6910</v>
      </c>
      <c r="D2491" s="1360">
        <v>11951</v>
      </c>
      <c r="E2491" s="1361" t="s">
        <v>2839</v>
      </c>
      <c r="F2491" s="1360" t="s">
        <v>266</v>
      </c>
      <c r="G2491" s="1362">
        <v>182070</v>
      </c>
      <c r="H2491" s="1363" t="s">
        <v>6899</v>
      </c>
    </row>
    <row r="2492" spans="2:8" x14ac:dyDescent="0.25">
      <c r="B2492" s="1358" t="s">
        <v>6897</v>
      </c>
      <c r="C2492" s="1359" t="s">
        <v>6910</v>
      </c>
      <c r="D2492" s="1360">
        <v>11952</v>
      </c>
      <c r="E2492" s="1361" t="s">
        <v>2840</v>
      </c>
      <c r="F2492" s="1360" t="s">
        <v>266</v>
      </c>
      <c r="G2492" s="1362">
        <v>199920</v>
      </c>
      <c r="H2492" s="1363" t="s">
        <v>6899</v>
      </c>
    </row>
    <row r="2493" spans="2:8" x14ac:dyDescent="0.25">
      <c r="B2493" s="1358" t="s">
        <v>6897</v>
      </c>
      <c r="C2493" s="1359" t="s">
        <v>6910</v>
      </c>
      <c r="D2493" s="1360">
        <v>11953</v>
      </c>
      <c r="E2493" s="1361" t="s">
        <v>2841</v>
      </c>
      <c r="F2493" s="1360" t="s">
        <v>266</v>
      </c>
      <c r="G2493" s="1362">
        <v>315707</v>
      </c>
      <c r="H2493" s="1363" t="s">
        <v>6899</v>
      </c>
    </row>
    <row r="2494" spans="2:8" x14ac:dyDescent="0.25">
      <c r="B2494" s="1358" t="s">
        <v>6897</v>
      </c>
      <c r="C2494" s="1359" t="s">
        <v>6921</v>
      </c>
      <c r="D2494" s="1360">
        <v>11954</v>
      </c>
      <c r="E2494" s="1361" t="s">
        <v>2842</v>
      </c>
      <c r="F2494" s="1360" t="s">
        <v>266</v>
      </c>
      <c r="G2494" s="1362">
        <v>174941</v>
      </c>
      <c r="H2494" s="1363" t="s">
        <v>3538</v>
      </c>
    </row>
    <row r="2495" spans="2:8" x14ac:dyDescent="0.25">
      <c r="B2495" s="1358" t="s">
        <v>6897</v>
      </c>
      <c r="C2495" s="1359" t="s">
        <v>6921</v>
      </c>
      <c r="D2495" s="1360">
        <v>11955</v>
      </c>
      <c r="E2495" s="1361" t="s">
        <v>2843</v>
      </c>
      <c r="F2495" s="1360" t="s">
        <v>266</v>
      </c>
      <c r="G2495" s="1362">
        <v>416463</v>
      </c>
      <c r="H2495" s="1363" t="s">
        <v>3538</v>
      </c>
    </row>
    <row r="2496" spans="2:8" x14ac:dyDescent="0.25">
      <c r="B2496" s="1358" t="s">
        <v>6897</v>
      </c>
      <c r="C2496" s="1359" t="s">
        <v>6921</v>
      </c>
      <c r="D2496" s="1360">
        <v>11956</v>
      </c>
      <c r="E2496" s="1361" t="s">
        <v>2844</v>
      </c>
      <c r="F2496" s="1360" t="s">
        <v>266</v>
      </c>
      <c r="G2496" s="1362">
        <v>74900</v>
      </c>
      <c r="H2496" s="1363" t="s">
        <v>3538</v>
      </c>
    </row>
    <row r="2497" spans="2:8" x14ac:dyDescent="0.25">
      <c r="B2497" s="1358" t="s">
        <v>6897</v>
      </c>
      <c r="C2497" s="1359" t="s">
        <v>6908</v>
      </c>
      <c r="D2497" s="1360">
        <v>11957</v>
      </c>
      <c r="E2497" s="1361" t="s">
        <v>2845</v>
      </c>
      <c r="F2497" s="1360" t="s">
        <v>266</v>
      </c>
      <c r="G2497" s="1362">
        <v>458132</v>
      </c>
      <c r="H2497" s="1363" t="s">
        <v>3538</v>
      </c>
    </row>
    <row r="2498" spans="2:8" x14ac:dyDescent="0.25">
      <c r="B2498" s="1358" t="s">
        <v>6897</v>
      </c>
      <c r="C2498" s="1359" t="s">
        <v>6921</v>
      </c>
      <c r="D2498" s="1360">
        <v>11958</v>
      </c>
      <c r="E2498" s="1361" t="s">
        <v>2846</v>
      </c>
      <c r="F2498" s="1360" t="s">
        <v>266</v>
      </c>
      <c r="G2498" s="1362">
        <v>292439</v>
      </c>
      <c r="H2498" s="1363" t="s">
        <v>3538</v>
      </c>
    </row>
    <row r="2499" spans="2:8" x14ac:dyDescent="0.25">
      <c r="B2499" s="1358" t="s">
        <v>6897</v>
      </c>
      <c r="C2499" s="1359" t="s">
        <v>6908</v>
      </c>
      <c r="D2499" s="1360">
        <v>11960</v>
      </c>
      <c r="E2499" s="1361" t="s">
        <v>2847</v>
      </c>
      <c r="F2499" s="1360" t="s">
        <v>266</v>
      </c>
      <c r="G2499" s="1362">
        <v>2091</v>
      </c>
      <c r="H2499" s="1363" t="s">
        <v>3538</v>
      </c>
    </row>
    <row r="2500" spans="2:8" x14ac:dyDescent="0.25">
      <c r="B2500" s="1358" t="s">
        <v>6897</v>
      </c>
      <c r="C2500" s="1359" t="s">
        <v>6904</v>
      </c>
      <c r="D2500" s="1360">
        <v>11961</v>
      </c>
      <c r="E2500" s="1361" t="s">
        <v>2848</v>
      </c>
      <c r="F2500" s="1360" t="s">
        <v>266</v>
      </c>
      <c r="G2500" s="1362">
        <v>1100</v>
      </c>
      <c r="H2500" s="1363" t="s">
        <v>6899</v>
      </c>
    </row>
    <row r="2501" spans="2:8" x14ac:dyDescent="0.25">
      <c r="B2501" s="1358" t="s">
        <v>6897</v>
      </c>
      <c r="C2501" s="1359" t="s">
        <v>7010</v>
      </c>
      <c r="D2501" s="1360">
        <v>11965</v>
      </c>
      <c r="E2501" s="1361" t="s">
        <v>2849</v>
      </c>
      <c r="F2501" s="1360" t="s">
        <v>266</v>
      </c>
      <c r="G2501" s="1362">
        <v>36229067</v>
      </c>
      <c r="H2501" s="1363" t="s">
        <v>3538</v>
      </c>
    </row>
    <row r="2502" spans="2:8" x14ac:dyDescent="0.25">
      <c r="B2502" s="1358" t="s">
        <v>6897</v>
      </c>
      <c r="C2502" s="1359" t="s">
        <v>6905</v>
      </c>
      <c r="D2502" s="1360">
        <v>11968</v>
      </c>
      <c r="E2502" s="1361" t="s">
        <v>2850</v>
      </c>
      <c r="F2502" s="1360" t="s">
        <v>3</v>
      </c>
      <c r="G2502" s="1362">
        <v>95557</v>
      </c>
      <c r="H2502" s="1363" t="s">
        <v>6899</v>
      </c>
    </row>
    <row r="2503" spans="2:8" x14ac:dyDescent="0.25">
      <c r="B2503" s="1358" t="s">
        <v>6897</v>
      </c>
      <c r="C2503" s="1359" t="s">
        <v>6905</v>
      </c>
      <c r="D2503" s="1360">
        <v>11969</v>
      </c>
      <c r="E2503" s="1361" t="s">
        <v>2851</v>
      </c>
      <c r="F2503" s="1360" t="s">
        <v>3</v>
      </c>
      <c r="G2503" s="1362">
        <v>92716</v>
      </c>
      <c r="H2503" s="1363" t="s">
        <v>6899</v>
      </c>
    </row>
    <row r="2504" spans="2:8" x14ac:dyDescent="0.25">
      <c r="B2504" s="1358" t="s">
        <v>6897</v>
      </c>
      <c r="C2504" s="1359" t="s">
        <v>1474</v>
      </c>
      <c r="D2504" s="1360">
        <v>11970</v>
      </c>
      <c r="E2504" s="1361" t="s">
        <v>2852</v>
      </c>
      <c r="F2504" s="1360" t="s">
        <v>12</v>
      </c>
      <c r="G2504" s="1362">
        <v>11176</v>
      </c>
      <c r="H2504" s="1363" t="s">
        <v>6899</v>
      </c>
    </row>
    <row r="2505" spans="2:8" x14ac:dyDescent="0.25">
      <c r="B2505" s="1358" t="s">
        <v>6897</v>
      </c>
      <c r="C2505" s="1359" t="s">
        <v>7069</v>
      </c>
      <c r="D2505" s="1360">
        <v>11972</v>
      </c>
      <c r="E2505" s="1361" t="s">
        <v>2853</v>
      </c>
      <c r="F2505" s="1360" t="s">
        <v>266</v>
      </c>
      <c r="G2505" s="1362">
        <v>1138414</v>
      </c>
      <c r="H2505" s="1363" t="s">
        <v>3538</v>
      </c>
    </row>
    <row r="2506" spans="2:8" x14ac:dyDescent="0.25">
      <c r="B2506" s="1358" t="s">
        <v>6897</v>
      </c>
      <c r="C2506" s="1359" t="s">
        <v>7069</v>
      </c>
      <c r="D2506" s="1360">
        <v>11973</v>
      </c>
      <c r="E2506" s="1361" t="s">
        <v>2854</v>
      </c>
      <c r="F2506" s="1360" t="s">
        <v>266</v>
      </c>
      <c r="G2506" s="1362">
        <v>496132</v>
      </c>
      <c r="H2506" s="1363" t="s">
        <v>3538</v>
      </c>
    </row>
    <row r="2507" spans="2:8" x14ac:dyDescent="0.25">
      <c r="B2507" s="1358" t="s">
        <v>6897</v>
      </c>
      <c r="C2507" s="1359" t="s">
        <v>7069</v>
      </c>
      <c r="D2507" s="1360">
        <v>11974</v>
      </c>
      <c r="E2507" s="1361" t="s">
        <v>2855</v>
      </c>
      <c r="F2507" s="1360" t="s">
        <v>266</v>
      </c>
      <c r="G2507" s="1362">
        <v>1128101</v>
      </c>
      <c r="H2507" s="1363" t="s">
        <v>3538</v>
      </c>
    </row>
    <row r="2508" spans="2:8" x14ac:dyDescent="0.25">
      <c r="B2508" s="1358" t="s">
        <v>6897</v>
      </c>
      <c r="C2508" s="1359" t="s">
        <v>7008</v>
      </c>
      <c r="D2508" s="1360">
        <v>11976</v>
      </c>
      <c r="E2508" s="1361" t="s">
        <v>2856</v>
      </c>
      <c r="F2508" s="1360" t="s">
        <v>266</v>
      </c>
      <c r="G2508" s="1362">
        <v>11768900</v>
      </c>
      <c r="H2508" s="1363" t="s">
        <v>6899</v>
      </c>
    </row>
    <row r="2509" spans="2:8" x14ac:dyDescent="0.25">
      <c r="B2509" s="1358" t="s">
        <v>6897</v>
      </c>
      <c r="C2509" s="1359" t="s">
        <v>6921</v>
      </c>
      <c r="D2509" s="1360">
        <v>11977</v>
      </c>
      <c r="E2509" s="1361" t="s">
        <v>2857</v>
      </c>
      <c r="F2509" s="1360" t="s">
        <v>266</v>
      </c>
      <c r="G2509" s="1362">
        <v>104037</v>
      </c>
      <c r="H2509" s="1363" t="s">
        <v>3538</v>
      </c>
    </row>
    <row r="2510" spans="2:8" x14ac:dyDescent="0.25">
      <c r="B2510" s="1358" t="s">
        <v>6897</v>
      </c>
      <c r="C2510" s="1359" t="s">
        <v>6921</v>
      </c>
      <c r="D2510" s="1360">
        <v>11978</v>
      </c>
      <c r="E2510" s="1361" t="s">
        <v>2858</v>
      </c>
      <c r="F2510" s="1360" t="s">
        <v>266</v>
      </c>
      <c r="G2510" s="1362">
        <v>1696940</v>
      </c>
      <c r="H2510" s="1363" t="s">
        <v>3538</v>
      </c>
    </row>
    <row r="2511" spans="2:8" x14ac:dyDescent="0.25">
      <c r="B2511" s="1358" t="s">
        <v>6897</v>
      </c>
      <c r="C2511" s="1359" t="s">
        <v>6921</v>
      </c>
      <c r="D2511" s="1360">
        <v>11979</v>
      </c>
      <c r="E2511" s="1361" t="s">
        <v>2859</v>
      </c>
      <c r="F2511" s="1360" t="s">
        <v>266</v>
      </c>
      <c r="G2511" s="1362">
        <v>107100</v>
      </c>
      <c r="H2511" s="1363" t="s">
        <v>3538</v>
      </c>
    </row>
    <row r="2512" spans="2:8" x14ac:dyDescent="0.25">
      <c r="B2512" s="1358" t="s">
        <v>6897</v>
      </c>
      <c r="C2512" s="1359" t="s">
        <v>6901</v>
      </c>
      <c r="D2512" s="1360">
        <v>11981</v>
      </c>
      <c r="E2512" s="1361" t="s">
        <v>7113</v>
      </c>
      <c r="F2512" s="1360" t="s">
        <v>266</v>
      </c>
      <c r="G2512" s="1362">
        <v>176120</v>
      </c>
      <c r="H2512" s="1363" t="s">
        <v>3538</v>
      </c>
    </row>
    <row r="2513" spans="2:8" x14ac:dyDescent="0.25">
      <c r="B2513" s="1358" t="s">
        <v>6897</v>
      </c>
      <c r="C2513" s="1359" t="s">
        <v>6901</v>
      </c>
      <c r="D2513" s="1360">
        <v>11982</v>
      </c>
      <c r="E2513" s="1361" t="s">
        <v>7114</v>
      </c>
      <c r="F2513" s="1360" t="s">
        <v>266</v>
      </c>
      <c r="G2513" s="1362">
        <v>279650</v>
      </c>
      <c r="H2513" s="1363" t="s">
        <v>3538</v>
      </c>
    </row>
    <row r="2514" spans="2:8" x14ac:dyDescent="0.25">
      <c r="B2514" s="1358" t="s">
        <v>6897</v>
      </c>
      <c r="C2514" s="1359" t="s">
        <v>6901</v>
      </c>
      <c r="D2514" s="1360">
        <v>11983</v>
      </c>
      <c r="E2514" s="1361" t="s">
        <v>7115</v>
      </c>
      <c r="F2514" s="1360" t="s">
        <v>266</v>
      </c>
      <c r="G2514" s="1362">
        <v>172550</v>
      </c>
      <c r="H2514" s="1363" t="s">
        <v>3538</v>
      </c>
    </row>
    <row r="2515" spans="2:8" x14ac:dyDescent="0.25">
      <c r="B2515" s="1358" t="s">
        <v>6897</v>
      </c>
      <c r="C2515" s="1359" t="s">
        <v>6909</v>
      </c>
      <c r="D2515" s="1360">
        <v>11984</v>
      </c>
      <c r="E2515" s="1361" t="s">
        <v>2860</v>
      </c>
      <c r="F2515" s="1360" t="s">
        <v>6</v>
      </c>
      <c r="G2515" s="1362">
        <v>4446</v>
      </c>
      <c r="H2515" s="1363" t="s">
        <v>6899</v>
      </c>
    </row>
    <row r="2516" spans="2:8" x14ac:dyDescent="0.25">
      <c r="B2516" s="1358" t="s">
        <v>6897</v>
      </c>
      <c r="C2516" s="1359" t="s">
        <v>6915</v>
      </c>
      <c r="D2516" s="1360">
        <v>11986</v>
      </c>
      <c r="E2516" s="1361" t="s">
        <v>2861</v>
      </c>
      <c r="F2516" s="1360" t="s">
        <v>13</v>
      </c>
      <c r="G2516" s="1362">
        <v>68827</v>
      </c>
      <c r="H2516" s="1363" t="s">
        <v>6899</v>
      </c>
    </row>
    <row r="2517" spans="2:8" x14ac:dyDescent="0.25">
      <c r="B2517" s="1358" t="s">
        <v>6897</v>
      </c>
      <c r="C2517" s="1359" t="s">
        <v>6901</v>
      </c>
      <c r="D2517" s="1360">
        <v>11987</v>
      </c>
      <c r="E2517" s="1361" t="s">
        <v>7116</v>
      </c>
      <c r="F2517" s="1360" t="s">
        <v>266</v>
      </c>
      <c r="G2517" s="1362">
        <v>132000</v>
      </c>
      <c r="H2517" s="1363" t="s">
        <v>3538</v>
      </c>
    </row>
    <row r="2518" spans="2:8" x14ac:dyDescent="0.25">
      <c r="B2518" s="1358" t="s">
        <v>6897</v>
      </c>
      <c r="C2518" s="1359" t="s">
        <v>6922</v>
      </c>
      <c r="D2518" s="1360">
        <v>11988</v>
      </c>
      <c r="E2518" s="1361" t="s">
        <v>2862</v>
      </c>
      <c r="F2518" s="1360" t="s">
        <v>13</v>
      </c>
      <c r="G2518" s="1362">
        <v>2874</v>
      </c>
      <c r="H2518" s="1363" t="s">
        <v>3538</v>
      </c>
    </row>
    <row r="2519" spans="2:8" x14ac:dyDescent="0.25">
      <c r="B2519" s="1358" t="s">
        <v>6897</v>
      </c>
      <c r="C2519" s="1359" t="s">
        <v>6927</v>
      </c>
      <c r="D2519" s="1360">
        <v>11989</v>
      </c>
      <c r="E2519" s="1361" t="s">
        <v>2863</v>
      </c>
      <c r="F2519" s="1360" t="s">
        <v>13</v>
      </c>
      <c r="G2519" s="1362">
        <v>4800</v>
      </c>
      <c r="H2519" s="1363" t="s">
        <v>6899</v>
      </c>
    </row>
    <row r="2520" spans="2:8" x14ac:dyDescent="0.25">
      <c r="B2520" s="1358" t="s">
        <v>6897</v>
      </c>
      <c r="C2520" s="1359" t="s">
        <v>6901</v>
      </c>
      <c r="D2520" s="1360">
        <v>11990</v>
      </c>
      <c r="E2520" s="1361" t="s">
        <v>7117</v>
      </c>
      <c r="F2520" s="1360" t="s">
        <v>266</v>
      </c>
      <c r="G2520" s="1362">
        <v>114240</v>
      </c>
      <c r="H2520" s="1363" t="s">
        <v>3538</v>
      </c>
    </row>
    <row r="2521" spans="2:8" x14ac:dyDescent="0.25">
      <c r="B2521" s="1358" t="s">
        <v>6897</v>
      </c>
      <c r="C2521" s="1359" t="s">
        <v>7008</v>
      </c>
      <c r="D2521" s="1360">
        <v>11991</v>
      </c>
      <c r="E2521" s="1361" t="s">
        <v>2864</v>
      </c>
      <c r="F2521" s="1360" t="s">
        <v>13</v>
      </c>
      <c r="G2521" s="1362">
        <v>659776</v>
      </c>
      <c r="H2521" s="1363" t="s">
        <v>6899</v>
      </c>
    </row>
    <row r="2522" spans="2:8" x14ac:dyDescent="0.25">
      <c r="B2522" s="1358" t="s">
        <v>6897</v>
      </c>
      <c r="C2522" s="1359" t="s">
        <v>7008</v>
      </c>
      <c r="D2522" s="1360">
        <v>11992</v>
      </c>
      <c r="E2522" s="1361" t="s">
        <v>2865</v>
      </c>
      <c r="F2522" s="1360" t="s">
        <v>13</v>
      </c>
      <c r="G2522" s="1362">
        <v>1322615</v>
      </c>
      <c r="H2522" s="1363" t="s">
        <v>6899</v>
      </c>
    </row>
    <row r="2523" spans="2:8" x14ac:dyDescent="0.25">
      <c r="B2523" s="1358" t="s">
        <v>6897</v>
      </c>
      <c r="C2523" s="1359" t="s">
        <v>6907</v>
      </c>
      <c r="D2523" s="1360">
        <v>11993</v>
      </c>
      <c r="E2523" s="1361" t="s">
        <v>4164</v>
      </c>
      <c r="F2523" s="1360" t="s">
        <v>266</v>
      </c>
      <c r="G2523" s="1362">
        <v>5416</v>
      </c>
      <c r="H2523" s="1363" t="s">
        <v>3535</v>
      </c>
    </row>
    <row r="2524" spans="2:8" x14ac:dyDescent="0.25">
      <c r="B2524" s="1358" t="s">
        <v>6897</v>
      </c>
      <c r="C2524" s="1359" t="s">
        <v>7056</v>
      </c>
      <c r="D2524" s="1360">
        <v>11994</v>
      </c>
      <c r="E2524" s="1361" t="s">
        <v>7118</v>
      </c>
      <c r="F2524" s="1360" t="s">
        <v>266</v>
      </c>
      <c r="G2524" s="1362">
        <v>1037205</v>
      </c>
      <c r="H2524" s="1363" t="s">
        <v>3538</v>
      </c>
    </row>
    <row r="2525" spans="2:8" x14ac:dyDescent="0.25">
      <c r="B2525" s="1358" t="s">
        <v>6897</v>
      </c>
      <c r="C2525" s="1359" t="s">
        <v>7056</v>
      </c>
      <c r="D2525" s="1360">
        <v>11995</v>
      </c>
      <c r="E2525" s="1361" t="s">
        <v>7119</v>
      </c>
      <c r="F2525" s="1360" t="s">
        <v>266</v>
      </c>
      <c r="G2525" s="1362">
        <v>205269</v>
      </c>
      <c r="H2525" s="1363" t="s">
        <v>3538</v>
      </c>
    </row>
    <row r="2526" spans="2:8" x14ac:dyDescent="0.25">
      <c r="B2526" s="1358" t="s">
        <v>6897</v>
      </c>
      <c r="C2526" s="1359" t="s">
        <v>6921</v>
      </c>
      <c r="D2526" s="1360">
        <v>11996</v>
      </c>
      <c r="E2526" s="1361" t="s">
        <v>2866</v>
      </c>
      <c r="F2526" s="1360" t="s">
        <v>266</v>
      </c>
      <c r="G2526" s="1362">
        <v>1163556</v>
      </c>
      <c r="H2526" s="1363" t="s">
        <v>3538</v>
      </c>
    </row>
    <row r="2527" spans="2:8" x14ac:dyDescent="0.25">
      <c r="B2527" s="1358" t="s">
        <v>6897</v>
      </c>
      <c r="C2527" s="1359" t="s">
        <v>6905</v>
      </c>
      <c r="D2527" s="1360">
        <v>11997</v>
      </c>
      <c r="E2527" s="1361" t="s">
        <v>2867</v>
      </c>
      <c r="F2527" s="1360" t="s">
        <v>3</v>
      </c>
      <c r="G2527" s="1362">
        <v>85680</v>
      </c>
      <c r="H2527" s="1363" t="s">
        <v>6899</v>
      </c>
    </row>
    <row r="2528" spans="2:8" x14ac:dyDescent="0.25">
      <c r="B2528" s="1358" t="s">
        <v>6897</v>
      </c>
      <c r="C2528" s="1359" t="s">
        <v>6922</v>
      </c>
      <c r="D2528" s="1360">
        <v>11998</v>
      </c>
      <c r="E2528" s="1361" t="s">
        <v>2868</v>
      </c>
      <c r="F2528" s="1360" t="s">
        <v>266</v>
      </c>
      <c r="G2528" s="1362">
        <v>85120</v>
      </c>
      <c r="H2528" s="1363" t="s">
        <v>3538</v>
      </c>
    </row>
    <row r="2529" spans="2:8" x14ac:dyDescent="0.25">
      <c r="B2529" s="1358" t="s">
        <v>6897</v>
      </c>
      <c r="C2529" s="1359" t="s">
        <v>6944</v>
      </c>
      <c r="D2529" s="1360">
        <v>12002</v>
      </c>
      <c r="E2529" s="1361" t="s">
        <v>2869</v>
      </c>
      <c r="F2529" s="1360" t="s">
        <v>1155</v>
      </c>
      <c r="G2529" s="1362">
        <v>26000</v>
      </c>
      <c r="H2529" s="1363" t="s">
        <v>6899</v>
      </c>
    </row>
    <row r="2530" spans="2:8" x14ac:dyDescent="0.25">
      <c r="B2530" s="1358" t="s">
        <v>6897</v>
      </c>
      <c r="C2530" s="1359" t="s">
        <v>6944</v>
      </c>
      <c r="D2530" s="1360">
        <v>12003</v>
      </c>
      <c r="E2530" s="1361" t="s">
        <v>2870</v>
      </c>
      <c r="F2530" s="1360" t="s">
        <v>266</v>
      </c>
      <c r="G2530" s="1362">
        <v>7700</v>
      </c>
      <c r="H2530" s="1363" t="s">
        <v>6899</v>
      </c>
    </row>
    <row r="2531" spans="2:8" x14ac:dyDescent="0.25">
      <c r="B2531" s="1358" t="s">
        <v>6897</v>
      </c>
      <c r="C2531" s="1359" t="s">
        <v>6944</v>
      </c>
      <c r="D2531" s="1360">
        <v>12004</v>
      </c>
      <c r="E2531" s="1361" t="s">
        <v>2871</v>
      </c>
      <c r="F2531" s="1360" t="s">
        <v>266</v>
      </c>
      <c r="G2531" s="1362">
        <v>59235</v>
      </c>
      <c r="H2531" s="1363" t="s">
        <v>6899</v>
      </c>
    </row>
    <row r="2532" spans="2:8" x14ac:dyDescent="0.25">
      <c r="B2532" s="1358" t="s">
        <v>6897</v>
      </c>
      <c r="C2532" s="1359" t="s">
        <v>6944</v>
      </c>
      <c r="D2532" s="1360">
        <v>12005</v>
      </c>
      <c r="E2532" s="1361" t="s">
        <v>2872</v>
      </c>
      <c r="F2532" s="1360" t="s">
        <v>266</v>
      </c>
      <c r="G2532" s="1362">
        <v>99900</v>
      </c>
      <c r="H2532" s="1363" t="s">
        <v>6899</v>
      </c>
    </row>
    <row r="2533" spans="2:8" x14ac:dyDescent="0.25">
      <c r="B2533" s="1358" t="s">
        <v>6897</v>
      </c>
      <c r="C2533" s="1359" t="s">
        <v>6944</v>
      </c>
      <c r="D2533" s="1360">
        <v>12006</v>
      </c>
      <c r="E2533" s="1361" t="s">
        <v>4165</v>
      </c>
      <c r="F2533" s="1360" t="s">
        <v>266</v>
      </c>
      <c r="G2533" s="1362">
        <v>78100</v>
      </c>
      <c r="H2533" s="1363" t="s">
        <v>6899</v>
      </c>
    </row>
    <row r="2534" spans="2:8" x14ac:dyDescent="0.25">
      <c r="B2534" s="1358" t="s">
        <v>6897</v>
      </c>
      <c r="C2534" s="1359" t="s">
        <v>6944</v>
      </c>
      <c r="D2534" s="1360">
        <v>12010</v>
      </c>
      <c r="E2534" s="1361" t="s">
        <v>2873</v>
      </c>
      <c r="F2534" s="1360" t="s">
        <v>1155</v>
      </c>
      <c r="G2534" s="1362">
        <v>26000</v>
      </c>
      <c r="H2534" s="1363" t="s">
        <v>6899</v>
      </c>
    </row>
    <row r="2535" spans="2:8" x14ac:dyDescent="0.25">
      <c r="B2535" s="1358" t="s">
        <v>6897</v>
      </c>
      <c r="C2535" s="1359" t="s">
        <v>6944</v>
      </c>
      <c r="D2535" s="1360">
        <v>12011</v>
      </c>
      <c r="E2535" s="1361" t="s">
        <v>2874</v>
      </c>
      <c r="F2535" s="1360" t="s">
        <v>266</v>
      </c>
      <c r="G2535" s="1362">
        <v>1100000</v>
      </c>
      <c r="H2535" s="1363" t="s">
        <v>6899</v>
      </c>
    </row>
    <row r="2536" spans="2:8" x14ac:dyDescent="0.25">
      <c r="B2536" s="1358" t="s">
        <v>6897</v>
      </c>
      <c r="C2536" s="1359" t="s">
        <v>6944</v>
      </c>
      <c r="D2536" s="1360">
        <v>12015</v>
      </c>
      <c r="E2536" s="1361" t="s">
        <v>4166</v>
      </c>
      <c r="F2536" s="1360" t="s">
        <v>93</v>
      </c>
      <c r="G2536" s="1362">
        <v>13500</v>
      </c>
      <c r="H2536" s="1363" t="s">
        <v>6899</v>
      </c>
    </row>
    <row r="2537" spans="2:8" x14ac:dyDescent="0.25">
      <c r="B2537" s="1358" t="s">
        <v>6897</v>
      </c>
      <c r="C2537" s="1359" t="s">
        <v>6944</v>
      </c>
      <c r="D2537" s="1360">
        <v>12017</v>
      </c>
      <c r="E2537" s="1361" t="s">
        <v>2875</v>
      </c>
      <c r="F2537" s="1360" t="s">
        <v>266</v>
      </c>
      <c r="G2537" s="1362">
        <v>129900</v>
      </c>
      <c r="H2537" s="1363" t="s">
        <v>6899</v>
      </c>
    </row>
    <row r="2538" spans="2:8" x14ac:dyDescent="0.25">
      <c r="B2538" s="1358" t="s">
        <v>6897</v>
      </c>
      <c r="C2538" s="1359" t="s">
        <v>6944</v>
      </c>
      <c r="D2538" s="1360">
        <v>12019</v>
      </c>
      <c r="E2538" s="1361" t="s">
        <v>4167</v>
      </c>
      <c r="F2538" s="1360" t="s">
        <v>266</v>
      </c>
      <c r="G2538" s="1362">
        <v>59417</v>
      </c>
      <c r="H2538" s="1363" t="s">
        <v>6899</v>
      </c>
    </row>
    <row r="2539" spans="2:8" x14ac:dyDescent="0.25">
      <c r="B2539" s="1358" t="s">
        <v>6897</v>
      </c>
      <c r="C2539" s="1359" t="s">
        <v>6925</v>
      </c>
      <c r="D2539" s="1360">
        <v>12020</v>
      </c>
      <c r="E2539" s="1361" t="s">
        <v>2876</v>
      </c>
      <c r="F2539" s="1360" t="s">
        <v>3</v>
      </c>
      <c r="G2539" s="1362">
        <v>29691</v>
      </c>
      <c r="H2539" s="1363" t="s">
        <v>6899</v>
      </c>
    </row>
    <row r="2540" spans="2:8" x14ac:dyDescent="0.25">
      <c r="B2540" s="1358" t="s">
        <v>6897</v>
      </c>
      <c r="C2540" s="1359" t="s">
        <v>6925</v>
      </c>
      <c r="D2540" s="1360">
        <v>12021</v>
      </c>
      <c r="E2540" s="1361" t="s">
        <v>2877</v>
      </c>
      <c r="F2540" s="1360" t="s">
        <v>6</v>
      </c>
      <c r="G2540" s="1362">
        <v>1071</v>
      </c>
      <c r="H2540" s="1363" t="s">
        <v>6899</v>
      </c>
    </row>
    <row r="2541" spans="2:8" x14ac:dyDescent="0.25">
      <c r="B2541" s="1358" t="s">
        <v>6897</v>
      </c>
      <c r="C2541" s="1359" t="s">
        <v>6944</v>
      </c>
      <c r="D2541" s="1360">
        <v>12022</v>
      </c>
      <c r="E2541" s="1361" t="s">
        <v>2878</v>
      </c>
      <c r="F2541" s="1360" t="s">
        <v>266</v>
      </c>
      <c r="G2541" s="1362">
        <v>26686</v>
      </c>
      <c r="H2541" s="1363" t="s">
        <v>6899</v>
      </c>
    </row>
    <row r="2542" spans="2:8" x14ac:dyDescent="0.25">
      <c r="B2542" s="1358" t="s">
        <v>6897</v>
      </c>
      <c r="C2542" s="1359" t="s">
        <v>6944</v>
      </c>
      <c r="D2542" s="1360">
        <v>12023</v>
      </c>
      <c r="E2542" s="1361" t="s">
        <v>2879</v>
      </c>
      <c r="F2542" s="1360" t="s">
        <v>266</v>
      </c>
      <c r="G2542" s="1362">
        <v>61680</v>
      </c>
      <c r="H2542" s="1363" t="s">
        <v>6899</v>
      </c>
    </row>
    <row r="2543" spans="2:8" x14ac:dyDescent="0.25">
      <c r="B2543" s="1358" t="s">
        <v>6897</v>
      </c>
      <c r="C2543" s="1359" t="s">
        <v>6944</v>
      </c>
      <c r="D2543" s="1360">
        <v>12024</v>
      </c>
      <c r="E2543" s="1361" t="s">
        <v>2880</v>
      </c>
      <c r="F2543" s="1360" t="s">
        <v>710</v>
      </c>
      <c r="G2543" s="1362">
        <v>38100</v>
      </c>
      <c r="H2543" s="1363" t="s">
        <v>6899</v>
      </c>
    </row>
    <row r="2544" spans="2:8" x14ac:dyDescent="0.25">
      <c r="B2544" s="1358" t="s">
        <v>6897</v>
      </c>
      <c r="C2544" s="1359" t="s">
        <v>6944</v>
      </c>
      <c r="D2544" s="1360">
        <v>12025</v>
      </c>
      <c r="E2544" s="1361" t="s">
        <v>2881</v>
      </c>
      <c r="F2544" s="1360" t="s">
        <v>710</v>
      </c>
      <c r="G2544" s="1362">
        <v>11100</v>
      </c>
      <c r="H2544" s="1363" t="s">
        <v>6899</v>
      </c>
    </row>
    <row r="2545" spans="2:8" x14ac:dyDescent="0.25">
      <c r="B2545" s="1358" t="s">
        <v>6897</v>
      </c>
      <c r="C2545" s="1359" t="s">
        <v>6944</v>
      </c>
      <c r="D2545" s="1360">
        <v>12026</v>
      </c>
      <c r="E2545" s="1361" t="s">
        <v>2882</v>
      </c>
      <c r="F2545" s="1360" t="s">
        <v>266</v>
      </c>
      <c r="G2545" s="1362">
        <v>268</v>
      </c>
      <c r="H2545" s="1363" t="s">
        <v>6899</v>
      </c>
    </row>
    <row r="2546" spans="2:8" x14ac:dyDescent="0.25">
      <c r="B2546" s="1358" t="s">
        <v>6897</v>
      </c>
      <c r="C2546" s="1359" t="s">
        <v>6944</v>
      </c>
      <c r="D2546" s="1360">
        <v>12027</v>
      </c>
      <c r="E2546" s="1361" t="s">
        <v>2883</v>
      </c>
      <c r="F2546" s="1360" t="s">
        <v>20</v>
      </c>
      <c r="G2546" s="1362">
        <v>34000</v>
      </c>
      <c r="H2546" s="1363" t="s">
        <v>6899</v>
      </c>
    </row>
    <row r="2547" spans="2:8" x14ac:dyDescent="0.25">
      <c r="B2547" s="1358" t="s">
        <v>6897</v>
      </c>
      <c r="C2547" s="1359" t="s">
        <v>6944</v>
      </c>
      <c r="D2547" s="1360">
        <v>12028</v>
      </c>
      <c r="E2547" s="1361" t="s">
        <v>2884</v>
      </c>
      <c r="F2547" s="1360" t="s">
        <v>6</v>
      </c>
      <c r="G2547" s="1362">
        <v>2118</v>
      </c>
      <c r="H2547" s="1363" t="s">
        <v>6899</v>
      </c>
    </row>
    <row r="2548" spans="2:8" x14ac:dyDescent="0.25">
      <c r="B2548" s="1358" t="s">
        <v>6897</v>
      </c>
      <c r="C2548" s="1359" t="s">
        <v>6944</v>
      </c>
      <c r="D2548" s="1360">
        <v>12029</v>
      </c>
      <c r="E2548" s="1361" t="s">
        <v>2885</v>
      </c>
      <c r="F2548" s="1360" t="s">
        <v>266</v>
      </c>
      <c r="G2548" s="1362">
        <v>20468</v>
      </c>
      <c r="H2548" s="1363" t="s">
        <v>6899</v>
      </c>
    </row>
    <row r="2549" spans="2:8" x14ac:dyDescent="0.25">
      <c r="B2549" s="1358" t="s">
        <v>6897</v>
      </c>
      <c r="C2549" s="1359" t="s">
        <v>6944</v>
      </c>
      <c r="D2549" s="1360">
        <v>12030</v>
      </c>
      <c r="E2549" s="1361" t="s">
        <v>2886</v>
      </c>
      <c r="F2549" s="1360" t="s">
        <v>266</v>
      </c>
      <c r="G2549" s="1362">
        <v>65000</v>
      </c>
      <c r="H2549" s="1363" t="s">
        <v>6899</v>
      </c>
    </row>
    <row r="2550" spans="2:8" x14ac:dyDescent="0.25">
      <c r="B2550" s="1358" t="s">
        <v>6897</v>
      </c>
      <c r="C2550" s="1359" t="s">
        <v>6944</v>
      </c>
      <c r="D2550" s="1360">
        <v>12031</v>
      </c>
      <c r="E2550" s="1361" t="s">
        <v>2887</v>
      </c>
      <c r="F2550" s="1360" t="s">
        <v>266</v>
      </c>
      <c r="G2550" s="1362">
        <v>2800</v>
      </c>
      <c r="H2550" s="1363" t="s">
        <v>6899</v>
      </c>
    </row>
    <row r="2551" spans="2:8" x14ac:dyDescent="0.25">
      <c r="B2551" s="1358" t="s">
        <v>6897</v>
      </c>
      <c r="C2551" s="1359" t="s">
        <v>6944</v>
      </c>
      <c r="D2551" s="1360">
        <v>12039</v>
      </c>
      <c r="E2551" s="1361" t="s">
        <v>2888</v>
      </c>
      <c r="F2551" s="1360" t="s">
        <v>266</v>
      </c>
      <c r="G2551" s="1362">
        <v>336</v>
      </c>
      <c r="H2551" s="1363" t="s">
        <v>6899</v>
      </c>
    </row>
    <row r="2552" spans="2:8" x14ac:dyDescent="0.25">
      <c r="B2552" s="1358" t="s">
        <v>6897</v>
      </c>
      <c r="C2552" s="1359" t="s">
        <v>6944</v>
      </c>
      <c r="D2552" s="1360">
        <v>12040</v>
      </c>
      <c r="E2552" s="1361" t="s">
        <v>2889</v>
      </c>
      <c r="F2552" s="1360" t="s">
        <v>93</v>
      </c>
      <c r="G2552" s="1362">
        <v>2618</v>
      </c>
      <c r="H2552" s="1363" t="s">
        <v>6899</v>
      </c>
    </row>
    <row r="2553" spans="2:8" x14ac:dyDescent="0.25">
      <c r="B2553" s="1358" t="s">
        <v>6897</v>
      </c>
      <c r="C2553" s="1359" t="s">
        <v>7056</v>
      </c>
      <c r="D2553" s="1360">
        <v>12043</v>
      </c>
      <c r="E2553" s="1361" t="s">
        <v>7120</v>
      </c>
      <c r="F2553" s="1360" t="s">
        <v>266</v>
      </c>
      <c r="G2553" s="1362">
        <v>2832751</v>
      </c>
      <c r="H2553" s="1363" t="s">
        <v>3538</v>
      </c>
    </row>
    <row r="2554" spans="2:8" x14ac:dyDescent="0.25">
      <c r="B2554" s="1358" t="s">
        <v>6897</v>
      </c>
      <c r="C2554" s="1359" t="s">
        <v>6931</v>
      </c>
      <c r="D2554" s="1360">
        <v>12045</v>
      </c>
      <c r="E2554" s="1361" t="s">
        <v>2890</v>
      </c>
      <c r="F2554" s="1360" t="s">
        <v>12</v>
      </c>
      <c r="G2554" s="1362">
        <v>1507</v>
      </c>
      <c r="H2554" s="1363" t="s">
        <v>3538</v>
      </c>
    </row>
    <row r="2555" spans="2:8" x14ac:dyDescent="0.25">
      <c r="B2555" s="1358" t="s">
        <v>6897</v>
      </c>
      <c r="C2555" s="1359" t="s">
        <v>6931</v>
      </c>
      <c r="D2555" s="1360">
        <v>12046</v>
      </c>
      <c r="E2555" s="1361" t="s">
        <v>2891</v>
      </c>
      <c r="F2555" s="1360" t="s">
        <v>266</v>
      </c>
      <c r="G2555" s="1362">
        <v>135900</v>
      </c>
      <c r="H2555" s="1363" t="s">
        <v>3538</v>
      </c>
    </row>
    <row r="2556" spans="2:8" x14ac:dyDescent="0.25">
      <c r="B2556" s="1358" t="s">
        <v>6897</v>
      </c>
      <c r="C2556" s="1359" t="s">
        <v>6901</v>
      </c>
      <c r="D2556" s="1360">
        <v>12048</v>
      </c>
      <c r="E2556" s="1361" t="s">
        <v>2892</v>
      </c>
      <c r="F2556" s="1360" t="s">
        <v>6</v>
      </c>
      <c r="G2556" s="1362">
        <v>16065</v>
      </c>
      <c r="H2556" s="1363" t="s">
        <v>3538</v>
      </c>
    </row>
    <row r="2557" spans="2:8" x14ac:dyDescent="0.25">
      <c r="B2557" s="1358" t="s">
        <v>6897</v>
      </c>
      <c r="C2557" s="1359" t="s">
        <v>7069</v>
      </c>
      <c r="D2557" s="1360">
        <v>12050</v>
      </c>
      <c r="E2557" s="1361" t="s">
        <v>2893</v>
      </c>
      <c r="F2557" s="1360" t="s">
        <v>266</v>
      </c>
      <c r="G2557" s="1362">
        <v>422911</v>
      </c>
      <c r="H2557" s="1363" t="s">
        <v>3538</v>
      </c>
    </row>
    <row r="2558" spans="2:8" x14ac:dyDescent="0.25">
      <c r="B2558" s="1358" t="s">
        <v>6897</v>
      </c>
      <c r="C2558" s="1359" t="s">
        <v>6916</v>
      </c>
      <c r="D2558" s="1360">
        <v>12051</v>
      </c>
      <c r="E2558" s="1361" t="s">
        <v>2894</v>
      </c>
      <c r="F2558" s="1360" t="s">
        <v>13</v>
      </c>
      <c r="G2558" s="1362">
        <v>187300</v>
      </c>
      <c r="H2558" s="1363" t="s">
        <v>3538</v>
      </c>
    </row>
    <row r="2559" spans="2:8" x14ac:dyDescent="0.25">
      <c r="B2559" s="1358" t="s">
        <v>6897</v>
      </c>
      <c r="C2559" s="1359" t="s">
        <v>6916</v>
      </c>
      <c r="D2559" s="1360">
        <v>12052</v>
      </c>
      <c r="E2559" s="1361" t="s">
        <v>2895</v>
      </c>
      <c r="F2559" s="1360" t="s">
        <v>266</v>
      </c>
      <c r="G2559" s="1362">
        <v>195272</v>
      </c>
      <c r="H2559" s="1363" t="s">
        <v>3538</v>
      </c>
    </row>
    <row r="2560" spans="2:8" x14ac:dyDescent="0.25">
      <c r="B2560" s="1358" t="s">
        <v>6897</v>
      </c>
      <c r="C2560" s="1359" t="s">
        <v>6916</v>
      </c>
      <c r="D2560" s="1360">
        <v>12053</v>
      </c>
      <c r="E2560" s="1361" t="s">
        <v>2896</v>
      </c>
      <c r="F2560" s="1360" t="s">
        <v>266</v>
      </c>
      <c r="G2560" s="1362">
        <v>170295</v>
      </c>
      <c r="H2560" s="1363" t="s">
        <v>3538</v>
      </c>
    </row>
    <row r="2561" spans="2:8" x14ac:dyDescent="0.25">
      <c r="B2561" s="1358" t="s">
        <v>6897</v>
      </c>
      <c r="C2561" s="1359" t="s">
        <v>6927</v>
      </c>
      <c r="D2561" s="1360">
        <v>12058</v>
      </c>
      <c r="E2561" s="1361" t="s">
        <v>2250</v>
      </c>
      <c r="F2561" s="1360" t="s">
        <v>6</v>
      </c>
      <c r="G2561" s="1362">
        <v>6526</v>
      </c>
      <c r="H2561" s="1363" t="s">
        <v>6899</v>
      </c>
    </row>
    <row r="2562" spans="2:8" x14ac:dyDescent="0.25">
      <c r="B2562" s="1358" t="s">
        <v>6897</v>
      </c>
      <c r="C2562" s="1359" t="s">
        <v>6921</v>
      </c>
      <c r="D2562" s="1360">
        <v>12059</v>
      </c>
      <c r="E2562" s="1361" t="s">
        <v>2420</v>
      </c>
      <c r="F2562" s="1360" t="s">
        <v>266</v>
      </c>
      <c r="G2562" s="1362">
        <v>411900</v>
      </c>
      <c r="H2562" s="1363" t="s">
        <v>3538</v>
      </c>
    </row>
    <row r="2563" spans="2:8" x14ac:dyDescent="0.25">
      <c r="B2563" s="1358" t="s">
        <v>6897</v>
      </c>
      <c r="C2563" s="1359" t="s">
        <v>6917</v>
      </c>
      <c r="D2563" s="1360">
        <v>12090</v>
      </c>
      <c r="E2563" s="1361" t="s">
        <v>4168</v>
      </c>
      <c r="F2563" s="1360" t="s">
        <v>6</v>
      </c>
      <c r="G2563" s="1362">
        <v>160155</v>
      </c>
      <c r="H2563" s="1363" t="s">
        <v>3538</v>
      </c>
    </row>
    <row r="2564" spans="2:8" x14ac:dyDescent="0.25">
      <c r="B2564" s="1358" t="s">
        <v>6897</v>
      </c>
      <c r="C2564" s="1359" t="s">
        <v>7010</v>
      </c>
      <c r="D2564" s="1360">
        <v>12091</v>
      </c>
      <c r="E2564" s="1361" t="s">
        <v>2601</v>
      </c>
      <c r="F2564" s="1360" t="s">
        <v>266</v>
      </c>
      <c r="G2564" s="1362">
        <v>9980</v>
      </c>
      <c r="H2564" s="1363" t="s">
        <v>3538</v>
      </c>
    </row>
    <row r="2565" spans="2:8" x14ac:dyDescent="0.25">
      <c r="B2565" s="1358" t="s">
        <v>6897</v>
      </c>
      <c r="C2565" s="1359" t="s">
        <v>7056</v>
      </c>
      <c r="D2565" s="1360">
        <v>12092</v>
      </c>
      <c r="E2565" s="1361" t="s">
        <v>2602</v>
      </c>
      <c r="F2565" s="1360" t="s">
        <v>266</v>
      </c>
      <c r="G2565" s="1362">
        <v>16800</v>
      </c>
      <c r="H2565" s="1363" t="s">
        <v>3538</v>
      </c>
    </row>
    <row r="2566" spans="2:8" x14ac:dyDescent="0.25">
      <c r="B2566" s="1358" t="s">
        <v>6897</v>
      </c>
      <c r="C2566" s="1359" t="s">
        <v>7056</v>
      </c>
      <c r="D2566" s="1360">
        <v>12093</v>
      </c>
      <c r="E2566" s="1361" t="s">
        <v>4169</v>
      </c>
      <c r="F2566" s="1360" t="s">
        <v>266</v>
      </c>
      <c r="G2566" s="1362">
        <v>21291</v>
      </c>
      <c r="H2566" s="1363" t="s">
        <v>3538</v>
      </c>
    </row>
    <row r="2567" spans="2:8" x14ac:dyDescent="0.25">
      <c r="B2567" s="1358" t="s">
        <v>6897</v>
      </c>
      <c r="C2567" s="1359" t="s">
        <v>7010</v>
      </c>
      <c r="D2567" s="1360">
        <v>12094</v>
      </c>
      <c r="E2567" s="1361" t="s">
        <v>4170</v>
      </c>
      <c r="F2567" s="1360" t="s">
        <v>266</v>
      </c>
      <c r="G2567" s="1362">
        <v>26081</v>
      </c>
      <c r="H2567" s="1363" t="s">
        <v>3538</v>
      </c>
    </row>
    <row r="2568" spans="2:8" x14ac:dyDescent="0.25">
      <c r="B2568" s="1358" t="s">
        <v>6897</v>
      </c>
      <c r="C2568" s="1359" t="s">
        <v>7010</v>
      </c>
      <c r="D2568" s="1360">
        <v>12095</v>
      </c>
      <c r="E2568" s="1361" t="s">
        <v>2603</v>
      </c>
      <c r="F2568" s="1360" t="s">
        <v>266</v>
      </c>
      <c r="G2568" s="1362">
        <v>10113</v>
      </c>
      <c r="H2568" s="1363" t="s">
        <v>3538</v>
      </c>
    </row>
    <row r="2569" spans="2:8" x14ac:dyDescent="0.25">
      <c r="B2569" s="1358" t="s">
        <v>6897</v>
      </c>
      <c r="C2569" s="1359" t="s">
        <v>7056</v>
      </c>
      <c r="D2569" s="1360">
        <v>12096</v>
      </c>
      <c r="E2569" s="1361" t="s">
        <v>2604</v>
      </c>
      <c r="F2569" s="1360" t="s">
        <v>266</v>
      </c>
      <c r="G2569" s="1362">
        <v>21485</v>
      </c>
      <c r="H2569" s="1363" t="s">
        <v>3538</v>
      </c>
    </row>
    <row r="2570" spans="2:8" x14ac:dyDescent="0.25">
      <c r="B2570" s="1358" t="s">
        <v>6897</v>
      </c>
      <c r="C2570" s="1359" t="s">
        <v>7010</v>
      </c>
      <c r="D2570" s="1360">
        <v>12097</v>
      </c>
      <c r="E2570" s="1361" t="s">
        <v>4171</v>
      </c>
      <c r="F2570" s="1360" t="s">
        <v>266</v>
      </c>
      <c r="G2570" s="1362">
        <v>30150</v>
      </c>
      <c r="H2570" s="1363" t="s">
        <v>3538</v>
      </c>
    </row>
    <row r="2571" spans="2:8" x14ac:dyDescent="0.25">
      <c r="B2571" s="1358" t="s">
        <v>6897</v>
      </c>
      <c r="C2571" s="1359" t="s">
        <v>7056</v>
      </c>
      <c r="D2571" s="1360">
        <v>12098</v>
      </c>
      <c r="E2571" s="1361" t="s">
        <v>4172</v>
      </c>
      <c r="F2571" s="1360" t="s">
        <v>266</v>
      </c>
      <c r="G2571" s="1362">
        <v>36546</v>
      </c>
      <c r="H2571" s="1363" t="s">
        <v>3538</v>
      </c>
    </row>
    <row r="2572" spans="2:8" x14ac:dyDescent="0.25">
      <c r="B2572" s="1358" t="s">
        <v>6897</v>
      </c>
      <c r="C2572" s="1359" t="s">
        <v>7069</v>
      </c>
      <c r="D2572" s="1360">
        <v>12229</v>
      </c>
      <c r="E2572" s="1361" t="s">
        <v>4173</v>
      </c>
      <c r="F2572" s="1360" t="s">
        <v>266</v>
      </c>
      <c r="G2572" s="1362">
        <v>463949</v>
      </c>
      <c r="H2572" s="1363" t="s">
        <v>3538</v>
      </c>
    </row>
    <row r="2573" spans="2:8" x14ac:dyDescent="0.25">
      <c r="B2573" s="1358" t="s">
        <v>6897</v>
      </c>
      <c r="C2573" s="1359" t="s">
        <v>6904</v>
      </c>
      <c r="D2573" s="1360">
        <v>12234</v>
      </c>
      <c r="E2573" s="1361" t="s">
        <v>4174</v>
      </c>
      <c r="F2573" s="1360" t="s">
        <v>266</v>
      </c>
      <c r="G2573" s="1362">
        <v>2142</v>
      </c>
      <c r="H2573" s="1363" t="s">
        <v>6899</v>
      </c>
    </row>
    <row r="2574" spans="2:8" x14ac:dyDescent="0.25">
      <c r="B2574" s="1358" t="s">
        <v>6897</v>
      </c>
      <c r="C2574" s="1359" t="s">
        <v>6927</v>
      </c>
      <c r="D2574" s="1360">
        <v>12235</v>
      </c>
      <c r="E2574" s="1361" t="s">
        <v>4175</v>
      </c>
      <c r="F2574" s="1360" t="s">
        <v>6</v>
      </c>
      <c r="G2574" s="1362">
        <v>55692</v>
      </c>
      <c r="H2574" s="1363" t="s">
        <v>6899</v>
      </c>
    </row>
    <row r="2575" spans="2:8" x14ac:dyDescent="0.25">
      <c r="B2575" s="1358" t="s">
        <v>6897</v>
      </c>
      <c r="C2575" s="1359" t="s">
        <v>7081</v>
      </c>
      <c r="D2575" s="1360">
        <v>12236</v>
      </c>
      <c r="E2575" s="1361" t="s">
        <v>4176</v>
      </c>
      <c r="F2575" s="1360" t="s">
        <v>266</v>
      </c>
      <c r="G2575" s="1362">
        <v>215866</v>
      </c>
      <c r="H2575" s="1363" t="s">
        <v>6899</v>
      </c>
    </row>
    <row r="2576" spans="2:8" x14ac:dyDescent="0.25">
      <c r="B2576" s="1358" t="s">
        <v>6897</v>
      </c>
      <c r="C2576" s="1359" t="s">
        <v>7078</v>
      </c>
      <c r="D2576" s="1360">
        <v>12237</v>
      </c>
      <c r="E2576" s="1361" t="s">
        <v>4177</v>
      </c>
      <c r="F2576" s="1360" t="s">
        <v>266</v>
      </c>
      <c r="G2576" s="1362">
        <v>115000</v>
      </c>
      <c r="H2576" s="1363" t="s">
        <v>6899</v>
      </c>
    </row>
    <row r="2577" spans="2:8" x14ac:dyDescent="0.25">
      <c r="B2577" s="1358" t="s">
        <v>6897</v>
      </c>
      <c r="C2577" s="1359" t="s">
        <v>7078</v>
      </c>
      <c r="D2577" s="1360">
        <v>12238</v>
      </c>
      <c r="E2577" s="1361" t="s">
        <v>4178</v>
      </c>
      <c r="F2577" s="1360" t="s">
        <v>266</v>
      </c>
      <c r="G2577" s="1362">
        <v>154700</v>
      </c>
      <c r="H2577" s="1363" t="s">
        <v>6899</v>
      </c>
    </row>
    <row r="2578" spans="2:8" x14ac:dyDescent="0.25">
      <c r="B2578" s="1358" t="s">
        <v>6897</v>
      </c>
      <c r="C2578" s="1359" t="s">
        <v>6905</v>
      </c>
      <c r="D2578" s="1360">
        <v>12239</v>
      </c>
      <c r="E2578" s="1361" t="s">
        <v>4179</v>
      </c>
      <c r="F2578" s="1360" t="s">
        <v>3</v>
      </c>
      <c r="G2578" s="1362">
        <v>71995</v>
      </c>
      <c r="H2578" s="1363" t="s">
        <v>6899</v>
      </c>
    </row>
    <row r="2579" spans="2:8" x14ac:dyDescent="0.25">
      <c r="B2579" s="1358" t="s">
        <v>6897</v>
      </c>
      <c r="C2579" s="1359" t="s">
        <v>6905</v>
      </c>
      <c r="D2579" s="1360">
        <v>12240</v>
      </c>
      <c r="E2579" s="1361" t="s">
        <v>4180</v>
      </c>
      <c r="F2579" s="1360" t="s">
        <v>3</v>
      </c>
      <c r="G2579" s="1362">
        <v>71995</v>
      </c>
      <c r="H2579" s="1363" t="s">
        <v>6899</v>
      </c>
    </row>
    <row r="2580" spans="2:8" x14ac:dyDescent="0.25">
      <c r="B2580" s="1358" t="s">
        <v>6897</v>
      </c>
      <c r="C2580" s="1359" t="s">
        <v>6905</v>
      </c>
      <c r="D2580" s="1360">
        <v>12241</v>
      </c>
      <c r="E2580" s="1361" t="s">
        <v>4181</v>
      </c>
      <c r="F2580" s="1360" t="s">
        <v>3</v>
      </c>
      <c r="G2580" s="1362">
        <v>71995</v>
      </c>
      <c r="H2580" s="1363" t="s">
        <v>6899</v>
      </c>
    </row>
    <row r="2581" spans="2:8" x14ac:dyDescent="0.25">
      <c r="B2581" s="1358" t="s">
        <v>6897</v>
      </c>
      <c r="C2581" s="1359" t="s">
        <v>6927</v>
      </c>
      <c r="D2581" s="1360">
        <v>12242</v>
      </c>
      <c r="E2581" s="1361" t="s">
        <v>4182</v>
      </c>
      <c r="F2581" s="1360" t="s">
        <v>6</v>
      </c>
      <c r="G2581" s="1362">
        <v>10115</v>
      </c>
      <c r="H2581" s="1363" t="s">
        <v>6899</v>
      </c>
    </row>
    <row r="2582" spans="2:8" x14ac:dyDescent="0.25">
      <c r="B2582" s="1358" t="s">
        <v>6897</v>
      </c>
      <c r="C2582" s="1359" t="s">
        <v>6905</v>
      </c>
      <c r="D2582" s="1360">
        <v>12243</v>
      </c>
      <c r="E2582" s="1361" t="s">
        <v>4183</v>
      </c>
      <c r="F2582" s="1360" t="s">
        <v>3</v>
      </c>
      <c r="G2582" s="1362">
        <v>71995</v>
      </c>
      <c r="H2582" s="1363" t="s">
        <v>6899</v>
      </c>
    </row>
    <row r="2583" spans="2:8" x14ac:dyDescent="0.25">
      <c r="B2583" s="1358" t="s">
        <v>6897</v>
      </c>
      <c r="C2583" s="1359" t="s">
        <v>6905</v>
      </c>
      <c r="D2583" s="1360">
        <v>12244</v>
      </c>
      <c r="E2583" s="1361" t="s">
        <v>4184</v>
      </c>
      <c r="F2583" s="1360" t="s">
        <v>3</v>
      </c>
      <c r="G2583" s="1362">
        <v>19635</v>
      </c>
      <c r="H2583" s="1363" t="s">
        <v>6899</v>
      </c>
    </row>
    <row r="2584" spans="2:8" x14ac:dyDescent="0.25">
      <c r="B2584" s="1358" t="s">
        <v>6897</v>
      </c>
      <c r="C2584" s="1359" t="s">
        <v>6905</v>
      </c>
      <c r="D2584" s="1360">
        <v>12245</v>
      </c>
      <c r="E2584" s="1361" t="s">
        <v>4185</v>
      </c>
      <c r="F2584" s="1360" t="s">
        <v>3</v>
      </c>
      <c r="G2584" s="1362">
        <v>107701</v>
      </c>
      <c r="H2584" s="1363" t="s">
        <v>6899</v>
      </c>
    </row>
    <row r="2585" spans="2:8" x14ac:dyDescent="0.25">
      <c r="B2585" s="1358" t="s">
        <v>6897</v>
      </c>
      <c r="C2585" s="1359" t="s">
        <v>6905</v>
      </c>
      <c r="D2585" s="1360">
        <v>12246</v>
      </c>
      <c r="E2585" s="1361" t="s">
        <v>4186</v>
      </c>
      <c r="F2585" s="1360" t="s">
        <v>3</v>
      </c>
      <c r="G2585" s="1362">
        <v>107701</v>
      </c>
      <c r="H2585" s="1363" t="s">
        <v>6899</v>
      </c>
    </row>
    <row r="2586" spans="2:8" x14ac:dyDescent="0.25">
      <c r="B2586" s="1358" t="s">
        <v>6897</v>
      </c>
      <c r="C2586" s="1359" t="s">
        <v>6905</v>
      </c>
      <c r="D2586" s="1360">
        <v>12247</v>
      </c>
      <c r="E2586" s="1361" t="s">
        <v>4187</v>
      </c>
      <c r="F2586" s="1360" t="s">
        <v>3</v>
      </c>
      <c r="G2586" s="1362">
        <v>76160</v>
      </c>
      <c r="H2586" s="1363" t="s">
        <v>6899</v>
      </c>
    </row>
    <row r="2587" spans="2:8" x14ac:dyDescent="0.25">
      <c r="B2587" s="1358" t="s">
        <v>6897</v>
      </c>
      <c r="C2587" s="1359" t="s">
        <v>6905</v>
      </c>
      <c r="D2587" s="1360">
        <v>12248</v>
      </c>
      <c r="E2587" s="1361" t="s">
        <v>4188</v>
      </c>
      <c r="F2587" s="1360" t="s">
        <v>3</v>
      </c>
      <c r="G2587" s="1362">
        <v>76160</v>
      </c>
      <c r="H2587" s="1363" t="s">
        <v>6899</v>
      </c>
    </row>
    <row r="2588" spans="2:8" x14ac:dyDescent="0.25">
      <c r="B2588" s="1358" t="s">
        <v>6897</v>
      </c>
      <c r="C2588" s="1359" t="s">
        <v>6909</v>
      </c>
      <c r="D2588" s="1360">
        <v>12249</v>
      </c>
      <c r="E2588" s="1361" t="s">
        <v>4189</v>
      </c>
      <c r="F2588" s="1360" t="s">
        <v>6</v>
      </c>
      <c r="G2588" s="1362">
        <v>1900</v>
      </c>
      <c r="H2588" s="1363" t="s">
        <v>6899</v>
      </c>
    </row>
    <row r="2589" spans="2:8" x14ac:dyDescent="0.25">
      <c r="B2589" s="1358" t="s">
        <v>6897</v>
      </c>
      <c r="C2589" s="1359" t="s">
        <v>6898</v>
      </c>
      <c r="D2589" s="1360">
        <v>12250</v>
      </c>
      <c r="E2589" s="1361" t="s">
        <v>4190</v>
      </c>
      <c r="F2589" s="1360" t="s">
        <v>3</v>
      </c>
      <c r="G2589" s="1362">
        <v>659290</v>
      </c>
      <c r="H2589" s="1363" t="s">
        <v>6899</v>
      </c>
    </row>
    <row r="2590" spans="2:8" x14ac:dyDescent="0.25">
      <c r="B2590" s="1358" t="s">
        <v>6897</v>
      </c>
      <c r="C2590" s="1359" t="s">
        <v>6898</v>
      </c>
      <c r="D2590" s="1360">
        <v>12251</v>
      </c>
      <c r="E2590" s="1361" t="s">
        <v>4191</v>
      </c>
      <c r="F2590" s="1360" t="s">
        <v>3</v>
      </c>
      <c r="G2590" s="1362">
        <v>676235</v>
      </c>
      <c r="H2590" s="1363" t="s">
        <v>6899</v>
      </c>
    </row>
    <row r="2591" spans="2:8" x14ac:dyDescent="0.25">
      <c r="B2591" s="1358" t="s">
        <v>6897</v>
      </c>
      <c r="C2591" s="1359" t="s">
        <v>6898</v>
      </c>
      <c r="D2591" s="1360">
        <v>12252</v>
      </c>
      <c r="E2591" s="1361" t="s">
        <v>4192</v>
      </c>
      <c r="F2591" s="1360" t="s">
        <v>3</v>
      </c>
      <c r="G2591" s="1362">
        <v>747038</v>
      </c>
      <c r="H2591" s="1363" t="s">
        <v>6899</v>
      </c>
    </row>
    <row r="2592" spans="2:8" x14ac:dyDescent="0.25">
      <c r="B2592" s="1358" t="s">
        <v>6897</v>
      </c>
      <c r="C2592" s="1359" t="s">
        <v>6940</v>
      </c>
      <c r="D2592" s="1360">
        <v>12253</v>
      </c>
      <c r="E2592" s="1361" t="s">
        <v>4193</v>
      </c>
      <c r="F2592" s="1360" t="s">
        <v>896</v>
      </c>
      <c r="G2592" s="1362">
        <v>175205</v>
      </c>
      <c r="H2592" s="1363" t="s">
        <v>6899</v>
      </c>
    </row>
    <row r="2593" spans="2:8" x14ac:dyDescent="0.25">
      <c r="B2593" s="1358" t="s">
        <v>6897</v>
      </c>
      <c r="C2593" s="1359" t="s">
        <v>6940</v>
      </c>
      <c r="D2593" s="1360">
        <v>12254</v>
      </c>
      <c r="E2593" s="1361" t="s">
        <v>4194</v>
      </c>
      <c r="F2593" s="1360" t="s">
        <v>896</v>
      </c>
      <c r="G2593" s="1362">
        <v>178054</v>
      </c>
      <c r="H2593" s="1363" t="s">
        <v>6899</v>
      </c>
    </row>
    <row r="2594" spans="2:8" x14ac:dyDescent="0.25">
      <c r="B2594" s="1358" t="s">
        <v>6897</v>
      </c>
      <c r="C2594" s="1359" t="s">
        <v>6940</v>
      </c>
      <c r="D2594" s="1360">
        <v>12255</v>
      </c>
      <c r="E2594" s="1361" t="s">
        <v>4195</v>
      </c>
      <c r="F2594" s="1360" t="s">
        <v>896</v>
      </c>
      <c r="G2594" s="1362">
        <v>184450</v>
      </c>
      <c r="H2594" s="1363" t="s">
        <v>6899</v>
      </c>
    </row>
    <row r="2595" spans="2:8" x14ac:dyDescent="0.25">
      <c r="B2595" s="1358" t="s">
        <v>6897</v>
      </c>
      <c r="C2595" s="1359" t="s">
        <v>6940</v>
      </c>
      <c r="D2595" s="1360">
        <v>12256</v>
      </c>
      <c r="E2595" s="1361" t="s">
        <v>4196</v>
      </c>
      <c r="F2595" s="1360" t="s">
        <v>896</v>
      </c>
      <c r="G2595" s="1362">
        <v>175205</v>
      </c>
      <c r="H2595" s="1363" t="s">
        <v>6899</v>
      </c>
    </row>
    <row r="2596" spans="2:8" x14ac:dyDescent="0.25">
      <c r="B2596" s="1358" t="s">
        <v>6897</v>
      </c>
      <c r="C2596" s="1359" t="s">
        <v>6937</v>
      </c>
      <c r="D2596" s="1360">
        <v>12257</v>
      </c>
      <c r="E2596" s="1361" t="s">
        <v>4197</v>
      </c>
      <c r="F2596" s="1360" t="s">
        <v>266</v>
      </c>
      <c r="G2596" s="1362">
        <v>97818</v>
      </c>
      <c r="H2596" s="1363" t="s">
        <v>6899</v>
      </c>
    </row>
    <row r="2597" spans="2:8" x14ac:dyDescent="0.25">
      <c r="B2597" s="1358" t="s">
        <v>6897</v>
      </c>
      <c r="C2597" s="1359" t="s">
        <v>7074</v>
      </c>
      <c r="D2597" s="1360">
        <v>12258</v>
      </c>
      <c r="E2597" s="1361" t="s">
        <v>4198</v>
      </c>
      <c r="F2597" s="1360" t="s">
        <v>1124</v>
      </c>
      <c r="G2597" s="1362">
        <v>1410150</v>
      </c>
      <c r="H2597" s="1363" t="s">
        <v>6899</v>
      </c>
    </row>
    <row r="2598" spans="2:8" x14ac:dyDescent="0.25">
      <c r="B2598" s="1358" t="s">
        <v>6897</v>
      </c>
      <c r="C2598" s="1359" t="s">
        <v>7074</v>
      </c>
      <c r="D2598" s="1360">
        <v>12259</v>
      </c>
      <c r="E2598" s="1361" t="s">
        <v>4199</v>
      </c>
      <c r="F2598" s="1360" t="s">
        <v>1124</v>
      </c>
      <c r="G2598" s="1362">
        <v>714000</v>
      </c>
      <c r="H2598" s="1363" t="s">
        <v>6899</v>
      </c>
    </row>
    <row r="2599" spans="2:8" x14ac:dyDescent="0.25">
      <c r="B2599" s="1358" t="s">
        <v>6897</v>
      </c>
      <c r="C2599" s="1359" t="s">
        <v>7075</v>
      </c>
      <c r="D2599" s="1360">
        <v>12260</v>
      </c>
      <c r="E2599" s="1361" t="s">
        <v>4200</v>
      </c>
      <c r="F2599" s="1360" t="s">
        <v>1124</v>
      </c>
      <c r="G2599" s="1362">
        <v>919632</v>
      </c>
      <c r="H2599" s="1363" t="s">
        <v>6899</v>
      </c>
    </row>
    <row r="2600" spans="2:8" x14ac:dyDescent="0.25">
      <c r="B2600" s="1358" t="s">
        <v>6897</v>
      </c>
      <c r="C2600" s="1359" t="s">
        <v>7075</v>
      </c>
      <c r="D2600" s="1360">
        <v>12261</v>
      </c>
      <c r="E2600" s="1361" t="s">
        <v>4201</v>
      </c>
      <c r="F2600" s="1360" t="s">
        <v>1124</v>
      </c>
      <c r="G2600" s="1362">
        <v>919632</v>
      </c>
      <c r="H2600" s="1363" t="s">
        <v>6899</v>
      </c>
    </row>
    <row r="2601" spans="2:8" x14ac:dyDescent="0.25">
      <c r="B2601" s="1358" t="s">
        <v>6897</v>
      </c>
      <c r="C2601" s="1359" t="s">
        <v>7075</v>
      </c>
      <c r="D2601" s="1360">
        <v>12262</v>
      </c>
      <c r="E2601" s="1361" t="s">
        <v>4202</v>
      </c>
      <c r="F2601" s="1360" t="s">
        <v>1124</v>
      </c>
      <c r="G2601" s="1362">
        <v>919632</v>
      </c>
      <c r="H2601" s="1363" t="s">
        <v>6899</v>
      </c>
    </row>
    <row r="2602" spans="2:8" x14ac:dyDescent="0.25">
      <c r="B2602" s="1358" t="s">
        <v>6897</v>
      </c>
      <c r="C2602" s="1359" t="s">
        <v>7075</v>
      </c>
      <c r="D2602" s="1360">
        <v>12263</v>
      </c>
      <c r="E2602" s="1361" t="s">
        <v>4203</v>
      </c>
      <c r="F2602" s="1360" t="s">
        <v>1124</v>
      </c>
      <c r="G2602" s="1362">
        <v>919632</v>
      </c>
      <c r="H2602" s="1363" t="s">
        <v>6899</v>
      </c>
    </row>
    <row r="2603" spans="2:8" x14ac:dyDescent="0.25">
      <c r="B2603" s="1358" t="s">
        <v>6897</v>
      </c>
      <c r="C2603" s="1359" t="s">
        <v>6936</v>
      </c>
      <c r="D2603" s="1360">
        <v>12264</v>
      </c>
      <c r="E2603" s="1361" t="s">
        <v>4204</v>
      </c>
      <c r="F2603" s="1360" t="s">
        <v>266</v>
      </c>
      <c r="G2603" s="1362">
        <v>74375</v>
      </c>
      <c r="H2603" s="1363" t="s">
        <v>6899</v>
      </c>
    </row>
    <row r="2604" spans="2:8" x14ac:dyDescent="0.25">
      <c r="B2604" s="1358" t="s">
        <v>6897</v>
      </c>
      <c r="C2604" s="1359" t="s">
        <v>6997</v>
      </c>
      <c r="D2604" s="1360">
        <v>12265</v>
      </c>
      <c r="E2604" s="1361" t="s">
        <v>2537</v>
      </c>
      <c r="F2604" s="1360" t="s">
        <v>13</v>
      </c>
      <c r="G2604" s="1362">
        <v>115550</v>
      </c>
      <c r="H2604" s="1363" t="s">
        <v>3538</v>
      </c>
    </row>
    <row r="2605" spans="2:8" x14ac:dyDescent="0.25">
      <c r="B2605" s="1358" t="s">
        <v>6897</v>
      </c>
      <c r="C2605" s="1359" t="s">
        <v>7074</v>
      </c>
      <c r="D2605" s="1360">
        <v>12266</v>
      </c>
      <c r="E2605" s="1361" t="s">
        <v>4205</v>
      </c>
      <c r="F2605" s="1360" t="s">
        <v>1124</v>
      </c>
      <c r="G2605" s="1362">
        <v>773500</v>
      </c>
      <c r="H2605" s="1363" t="s">
        <v>6899</v>
      </c>
    </row>
    <row r="2606" spans="2:8" x14ac:dyDescent="0.25">
      <c r="B2606" s="1358" t="s">
        <v>6897</v>
      </c>
      <c r="C2606" s="1359" t="s">
        <v>6944</v>
      </c>
      <c r="D2606" s="1360">
        <v>12267</v>
      </c>
      <c r="E2606" s="1361" t="s">
        <v>4206</v>
      </c>
      <c r="F2606" s="1360" t="s">
        <v>266</v>
      </c>
      <c r="G2606" s="1362">
        <v>994534</v>
      </c>
      <c r="H2606" s="1363" t="s">
        <v>6899</v>
      </c>
    </row>
    <row r="2607" spans="2:8" x14ac:dyDescent="0.25">
      <c r="B2607" s="1358" t="s">
        <v>6897</v>
      </c>
      <c r="C2607" s="1359" t="s">
        <v>6944</v>
      </c>
      <c r="D2607" s="1360">
        <v>12268</v>
      </c>
      <c r="E2607" s="1361" t="s">
        <v>4207</v>
      </c>
      <c r="F2607" s="1360" t="s">
        <v>266</v>
      </c>
      <c r="G2607" s="1362">
        <v>207012</v>
      </c>
      <c r="H2607" s="1363" t="s">
        <v>6899</v>
      </c>
    </row>
    <row r="2608" spans="2:8" x14ac:dyDescent="0.25">
      <c r="B2608" s="1358" t="s">
        <v>6897</v>
      </c>
      <c r="C2608" s="1359" t="s">
        <v>6944</v>
      </c>
      <c r="D2608" s="1360">
        <v>12269</v>
      </c>
      <c r="E2608" s="1361" t="s">
        <v>4208</v>
      </c>
      <c r="F2608" s="1360" t="s">
        <v>266</v>
      </c>
      <c r="G2608" s="1362">
        <v>78100</v>
      </c>
      <c r="H2608" s="1363" t="s">
        <v>6899</v>
      </c>
    </row>
    <row r="2609" spans="2:8" x14ac:dyDescent="0.25">
      <c r="B2609" s="1358" t="s">
        <v>6897</v>
      </c>
      <c r="C2609" s="1359" t="s">
        <v>6944</v>
      </c>
      <c r="D2609" s="1360">
        <v>12270</v>
      </c>
      <c r="E2609" s="1361" t="s">
        <v>4209</v>
      </c>
      <c r="F2609" s="1360" t="s">
        <v>266</v>
      </c>
      <c r="G2609" s="1362">
        <v>139900</v>
      </c>
      <c r="H2609" s="1363" t="s">
        <v>6899</v>
      </c>
    </row>
    <row r="2610" spans="2:8" x14ac:dyDescent="0.25">
      <c r="B2610" s="1358" t="s">
        <v>6897</v>
      </c>
      <c r="C2610" s="1359" t="s">
        <v>6925</v>
      </c>
      <c r="D2610" s="1360">
        <v>12271</v>
      </c>
      <c r="E2610" s="1361" t="s">
        <v>4210</v>
      </c>
      <c r="F2610" s="1360" t="s">
        <v>3</v>
      </c>
      <c r="G2610" s="1362">
        <v>371137</v>
      </c>
      <c r="H2610" s="1363" t="s">
        <v>6899</v>
      </c>
    </row>
    <row r="2611" spans="2:8" x14ac:dyDescent="0.25">
      <c r="B2611" s="1358" t="s">
        <v>6897</v>
      </c>
      <c r="C2611" s="1359" t="s">
        <v>6944</v>
      </c>
      <c r="D2611" s="1360">
        <v>12272</v>
      </c>
      <c r="E2611" s="1361" t="s">
        <v>4211</v>
      </c>
      <c r="F2611" s="1360" t="s">
        <v>266</v>
      </c>
      <c r="G2611" s="1362">
        <v>387900</v>
      </c>
      <c r="H2611" s="1363" t="s">
        <v>6899</v>
      </c>
    </row>
    <row r="2612" spans="2:8" x14ac:dyDescent="0.25">
      <c r="B2612" s="1358" t="s">
        <v>6897</v>
      </c>
      <c r="C2612" s="1359" t="s">
        <v>7121</v>
      </c>
      <c r="D2612" s="1360">
        <v>12277</v>
      </c>
      <c r="E2612" s="1361" t="s">
        <v>4212</v>
      </c>
      <c r="F2612" s="1360" t="s">
        <v>202</v>
      </c>
      <c r="G2612" s="1362">
        <v>251285</v>
      </c>
      <c r="H2612" s="1363" t="s">
        <v>3538</v>
      </c>
    </row>
    <row r="2613" spans="2:8" x14ac:dyDescent="0.25">
      <c r="B2613" s="1358" t="s">
        <v>6897</v>
      </c>
      <c r="C2613" s="1359" t="s">
        <v>7067</v>
      </c>
      <c r="D2613" s="1360">
        <v>12319</v>
      </c>
      <c r="E2613" s="1361" t="s">
        <v>4213</v>
      </c>
      <c r="F2613" s="1360" t="s">
        <v>13</v>
      </c>
      <c r="G2613" s="1362">
        <v>107100</v>
      </c>
      <c r="H2613" s="1363" t="s">
        <v>6899</v>
      </c>
    </row>
    <row r="2614" spans="2:8" x14ac:dyDescent="0.25">
      <c r="B2614" s="1358" t="s">
        <v>6897</v>
      </c>
      <c r="C2614" s="1359" t="s">
        <v>7067</v>
      </c>
      <c r="D2614" s="1360">
        <v>12320</v>
      </c>
      <c r="E2614" s="1361" t="s">
        <v>4214</v>
      </c>
      <c r="F2614" s="1360" t="s">
        <v>13</v>
      </c>
      <c r="G2614" s="1362">
        <v>242303</v>
      </c>
      <c r="H2614" s="1363" t="s">
        <v>6899</v>
      </c>
    </row>
    <row r="2615" spans="2:8" x14ac:dyDescent="0.25">
      <c r="B2615" s="1358" t="s">
        <v>6897</v>
      </c>
      <c r="C2615" s="1359" t="s">
        <v>7067</v>
      </c>
      <c r="D2615" s="1360">
        <v>12321</v>
      </c>
      <c r="E2615" s="1361" t="s">
        <v>4215</v>
      </c>
      <c r="F2615" s="1360" t="s">
        <v>13</v>
      </c>
      <c r="G2615" s="1362">
        <v>302879</v>
      </c>
      <c r="H2615" s="1363" t="s">
        <v>6899</v>
      </c>
    </row>
    <row r="2616" spans="2:8" x14ac:dyDescent="0.25">
      <c r="B2616" s="1358" t="s">
        <v>6897</v>
      </c>
      <c r="C2616" s="1359" t="s">
        <v>7067</v>
      </c>
      <c r="D2616" s="1360">
        <v>12322</v>
      </c>
      <c r="E2616" s="1361" t="s">
        <v>4216</v>
      </c>
      <c r="F2616" s="1360" t="s">
        <v>13</v>
      </c>
      <c r="G2616" s="1362">
        <v>214200</v>
      </c>
      <c r="H2616" s="1363" t="s">
        <v>6899</v>
      </c>
    </row>
    <row r="2617" spans="2:8" x14ac:dyDescent="0.25">
      <c r="B2617" s="1358" t="s">
        <v>6897</v>
      </c>
      <c r="C2617" s="1359" t="s">
        <v>7067</v>
      </c>
      <c r="D2617" s="1360">
        <v>12323</v>
      </c>
      <c r="E2617" s="1361" t="s">
        <v>4217</v>
      </c>
      <c r="F2617" s="1360" t="s">
        <v>13</v>
      </c>
      <c r="G2617" s="1362">
        <v>166600</v>
      </c>
      <c r="H2617" s="1363" t="s">
        <v>6899</v>
      </c>
    </row>
    <row r="2618" spans="2:8" x14ac:dyDescent="0.25">
      <c r="B2618" s="1358" t="s">
        <v>6897</v>
      </c>
      <c r="C2618" s="1359" t="s">
        <v>7067</v>
      </c>
      <c r="D2618" s="1360">
        <v>12324</v>
      </c>
      <c r="E2618" s="1361" t="s">
        <v>4218</v>
      </c>
      <c r="F2618" s="1360" t="s">
        <v>13</v>
      </c>
      <c r="G2618" s="1362">
        <v>220150</v>
      </c>
      <c r="H2618" s="1363" t="s">
        <v>6899</v>
      </c>
    </row>
    <row r="2619" spans="2:8" x14ac:dyDescent="0.25">
      <c r="B2619" s="1358" t="s">
        <v>6897</v>
      </c>
      <c r="C2619" s="1359" t="s">
        <v>7067</v>
      </c>
      <c r="D2619" s="1360">
        <v>12325</v>
      </c>
      <c r="E2619" s="1361" t="s">
        <v>4219</v>
      </c>
      <c r="F2619" s="1360" t="s">
        <v>13</v>
      </c>
      <c r="G2619" s="1362">
        <v>238000</v>
      </c>
      <c r="H2619" s="1363" t="s">
        <v>6899</v>
      </c>
    </row>
    <row r="2620" spans="2:8" x14ac:dyDescent="0.25">
      <c r="B2620" s="1358" t="s">
        <v>6897</v>
      </c>
      <c r="C2620" s="1359" t="s">
        <v>7067</v>
      </c>
      <c r="D2620" s="1360">
        <v>12326</v>
      </c>
      <c r="E2620" s="1361" t="s">
        <v>4220</v>
      </c>
      <c r="F2620" s="1360" t="s">
        <v>13</v>
      </c>
      <c r="G2620" s="1362">
        <v>403838</v>
      </c>
      <c r="H2620" s="1363" t="s">
        <v>6899</v>
      </c>
    </row>
    <row r="2621" spans="2:8" x14ac:dyDescent="0.25">
      <c r="B2621" s="1358" t="s">
        <v>6897</v>
      </c>
      <c r="C2621" s="1359" t="s">
        <v>7067</v>
      </c>
      <c r="D2621" s="1360">
        <v>12327</v>
      </c>
      <c r="E2621" s="1361" t="s">
        <v>4221</v>
      </c>
      <c r="F2621" s="1360" t="s">
        <v>13</v>
      </c>
      <c r="G2621" s="1362">
        <v>535500</v>
      </c>
      <c r="H2621" s="1363" t="s">
        <v>6899</v>
      </c>
    </row>
    <row r="2622" spans="2:8" x14ac:dyDescent="0.25">
      <c r="B2622" s="1358" t="s">
        <v>6897</v>
      </c>
      <c r="C2622" s="1359" t="s">
        <v>7067</v>
      </c>
      <c r="D2622" s="1360">
        <v>12328</v>
      </c>
      <c r="E2622" s="1361" t="s">
        <v>4222</v>
      </c>
      <c r="F2622" s="1360" t="s">
        <v>13</v>
      </c>
      <c r="G2622" s="1362">
        <v>499800</v>
      </c>
      <c r="H2622" s="1363" t="s">
        <v>6899</v>
      </c>
    </row>
    <row r="2623" spans="2:8" x14ac:dyDescent="0.25">
      <c r="B2623" s="1358" t="s">
        <v>6897</v>
      </c>
      <c r="C2623" s="1359" t="s">
        <v>6937</v>
      </c>
      <c r="D2623" s="1360">
        <v>12329</v>
      </c>
      <c r="E2623" s="1361" t="s">
        <v>4223</v>
      </c>
      <c r="F2623" s="1360" t="s">
        <v>266</v>
      </c>
      <c r="G2623" s="1362">
        <v>3451000</v>
      </c>
      <c r="H2623" s="1363" t="s">
        <v>6899</v>
      </c>
    </row>
    <row r="2624" spans="2:8" x14ac:dyDescent="0.25">
      <c r="B2624" s="1358" t="s">
        <v>6897</v>
      </c>
      <c r="C2624" s="1359" t="s">
        <v>6937</v>
      </c>
      <c r="D2624" s="1360">
        <v>12330</v>
      </c>
      <c r="E2624" s="1361" t="s">
        <v>4224</v>
      </c>
      <c r="F2624" s="1360" t="s">
        <v>266</v>
      </c>
      <c r="G2624" s="1362">
        <v>3451000</v>
      </c>
      <c r="H2624" s="1363" t="s">
        <v>6899</v>
      </c>
    </row>
    <row r="2625" spans="2:8" x14ac:dyDescent="0.25">
      <c r="B2625" s="1358" t="s">
        <v>6897</v>
      </c>
      <c r="C2625" s="1359" t="s">
        <v>6937</v>
      </c>
      <c r="D2625" s="1360">
        <v>12331</v>
      </c>
      <c r="E2625" s="1361" t="s">
        <v>4225</v>
      </c>
      <c r="F2625" s="1360" t="s">
        <v>266</v>
      </c>
      <c r="G2625" s="1362">
        <v>4760000</v>
      </c>
      <c r="H2625" s="1363" t="s">
        <v>6899</v>
      </c>
    </row>
    <row r="2626" spans="2:8" x14ac:dyDescent="0.25">
      <c r="B2626" s="1358" t="s">
        <v>6897</v>
      </c>
      <c r="C2626" s="1359" t="s">
        <v>6937</v>
      </c>
      <c r="D2626" s="1360">
        <v>12332</v>
      </c>
      <c r="E2626" s="1361" t="s">
        <v>4226</v>
      </c>
      <c r="F2626" s="1360" t="s">
        <v>266</v>
      </c>
      <c r="G2626" s="1362">
        <v>1483000</v>
      </c>
      <c r="H2626" s="1363" t="s">
        <v>6899</v>
      </c>
    </row>
    <row r="2627" spans="2:8" x14ac:dyDescent="0.25">
      <c r="B2627" s="1358" t="s">
        <v>6897</v>
      </c>
      <c r="C2627" s="1359" t="s">
        <v>6937</v>
      </c>
      <c r="D2627" s="1360">
        <v>12333</v>
      </c>
      <c r="E2627" s="1361" t="s">
        <v>4227</v>
      </c>
      <c r="F2627" s="1360" t="s">
        <v>266</v>
      </c>
      <c r="G2627" s="1362">
        <v>1725500</v>
      </c>
      <c r="H2627" s="1363" t="s">
        <v>6899</v>
      </c>
    </row>
    <row r="2628" spans="2:8" x14ac:dyDescent="0.25">
      <c r="B2628" s="1358" t="s">
        <v>6897</v>
      </c>
      <c r="C2628" s="1359" t="s">
        <v>6937</v>
      </c>
      <c r="D2628" s="1360">
        <v>12334</v>
      </c>
      <c r="E2628" s="1361" t="s">
        <v>4228</v>
      </c>
      <c r="F2628" s="1360" t="s">
        <v>266</v>
      </c>
      <c r="G2628" s="1362">
        <v>348003</v>
      </c>
      <c r="H2628" s="1363" t="s">
        <v>6899</v>
      </c>
    </row>
    <row r="2629" spans="2:8" x14ac:dyDescent="0.25">
      <c r="B2629" s="1358" t="s">
        <v>6897</v>
      </c>
      <c r="C2629" s="1359" t="s">
        <v>6937</v>
      </c>
      <c r="D2629" s="1360">
        <v>12335</v>
      </c>
      <c r="E2629" s="1361" t="s">
        <v>4229</v>
      </c>
      <c r="F2629" s="1360" t="s">
        <v>266</v>
      </c>
      <c r="G2629" s="1362">
        <v>258230</v>
      </c>
      <c r="H2629" s="1363" t="s">
        <v>6899</v>
      </c>
    </row>
    <row r="2630" spans="2:8" x14ac:dyDescent="0.25">
      <c r="B2630" s="1358" t="s">
        <v>6897</v>
      </c>
      <c r="C2630" s="1359" t="s">
        <v>6937</v>
      </c>
      <c r="D2630" s="1360">
        <v>12336</v>
      </c>
      <c r="E2630" s="1361" t="s">
        <v>4230</v>
      </c>
      <c r="F2630" s="1360" t="s">
        <v>266</v>
      </c>
      <c r="G2630" s="1362">
        <v>49980</v>
      </c>
      <c r="H2630" s="1363" t="s">
        <v>6899</v>
      </c>
    </row>
    <row r="2631" spans="2:8" x14ac:dyDescent="0.25">
      <c r="B2631" s="1358" t="s">
        <v>6897</v>
      </c>
      <c r="C2631" s="1359" t="s">
        <v>6906</v>
      </c>
      <c r="D2631" s="1360">
        <v>12341</v>
      </c>
      <c r="E2631" s="1361" t="s">
        <v>4231</v>
      </c>
      <c r="F2631" s="1360" t="s">
        <v>266</v>
      </c>
      <c r="G2631" s="1362">
        <v>3519860</v>
      </c>
      <c r="H2631" s="1363" t="s">
        <v>3535</v>
      </c>
    </row>
    <row r="2632" spans="2:8" x14ac:dyDescent="0.25">
      <c r="B2632" s="1358" t="s">
        <v>6897</v>
      </c>
      <c r="C2632" s="1359" t="s">
        <v>6931</v>
      </c>
      <c r="D2632" s="1360">
        <v>12346</v>
      </c>
      <c r="E2632" s="1361" t="s">
        <v>4232</v>
      </c>
      <c r="F2632" s="1360" t="s">
        <v>266</v>
      </c>
      <c r="G2632" s="1362">
        <v>92158</v>
      </c>
      <c r="H2632" s="1363" t="s">
        <v>3538</v>
      </c>
    </row>
    <row r="2633" spans="2:8" x14ac:dyDescent="0.25">
      <c r="B2633" s="1358" t="s">
        <v>6897</v>
      </c>
      <c r="C2633" s="1359" t="s">
        <v>6902</v>
      </c>
      <c r="D2633" s="1360">
        <v>12350</v>
      </c>
      <c r="E2633" s="1361" t="s">
        <v>4233</v>
      </c>
      <c r="F2633" s="1360" t="s">
        <v>1124</v>
      </c>
      <c r="G2633" s="1362">
        <v>30127</v>
      </c>
      <c r="H2633" s="1363" t="s">
        <v>3538</v>
      </c>
    </row>
    <row r="2634" spans="2:8" x14ac:dyDescent="0.25">
      <c r="B2634" s="1358" t="s">
        <v>6897</v>
      </c>
      <c r="C2634" s="1359" t="s">
        <v>6927</v>
      </c>
      <c r="D2634" s="1360">
        <v>12352</v>
      </c>
      <c r="E2634" s="1361" t="s">
        <v>4234</v>
      </c>
      <c r="F2634" s="1360" t="s">
        <v>2058</v>
      </c>
      <c r="G2634" s="1362">
        <v>211900</v>
      </c>
      <c r="H2634" s="1363" t="s">
        <v>6899</v>
      </c>
    </row>
    <row r="2635" spans="2:8" x14ac:dyDescent="0.25">
      <c r="B2635" s="1358" t="s">
        <v>6897</v>
      </c>
      <c r="C2635" s="1359" t="s">
        <v>6902</v>
      </c>
      <c r="D2635" s="1360">
        <v>12355</v>
      </c>
      <c r="E2635" s="1361" t="s">
        <v>4235</v>
      </c>
      <c r="F2635" s="1360" t="s">
        <v>1124</v>
      </c>
      <c r="G2635" s="1362">
        <v>38698</v>
      </c>
      <c r="H2635" s="1363" t="s">
        <v>3538</v>
      </c>
    </row>
    <row r="2636" spans="2:8" x14ac:dyDescent="0.25">
      <c r="B2636" s="1358" t="s">
        <v>6897</v>
      </c>
      <c r="C2636" s="1359" t="s">
        <v>1798</v>
      </c>
      <c r="D2636" s="1360">
        <v>12356</v>
      </c>
      <c r="E2636" s="1361" t="s">
        <v>4236</v>
      </c>
      <c r="F2636" s="1360" t="s">
        <v>6</v>
      </c>
      <c r="G2636" s="1362">
        <v>13804</v>
      </c>
      <c r="H2636" s="1363" t="s">
        <v>6899</v>
      </c>
    </row>
    <row r="2637" spans="2:8" x14ac:dyDescent="0.25">
      <c r="B2637" s="1358" t="s">
        <v>6897</v>
      </c>
      <c r="C2637" s="1359" t="s">
        <v>6944</v>
      </c>
      <c r="D2637" s="1360">
        <v>12357</v>
      </c>
      <c r="E2637" s="1361" t="s">
        <v>4237</v>
      </c>
      <c r="F2637" s="1360" t="s">
        <v>266</v>
      </c>
      <c r="G2637" s="1362">
        <v>125300</v>
      </c>
      <c r="H2637" s="1363" t="s">
        <v>6899</v>
      </c>
    </row>
    <row r="2638" spans="2:8" x14ac:dyDescent="0.25">
      <c r="B2638" s="1358" t="s">
        <v>6897</v>
      </c>
      <c r="C2638" s="1359" t="s">
        <v>7005</v>
      </c>
      <c r="D2638" s="1360">
        <v>12358</v>
      </c>
      <c r="E2638" s="1361" t="s">
        <v>4238</v>
      </c>
      <c r="F2638" s="1360" t="s">
        <v>266</v>
      </c>
      <c r="G2638" s="1362">
        <v>493850</v>
      </c>
      <c r="H2638" s="1363" t="s">
        <v>3538</v>
      </c>
    </row>
    <row r="2639" spans="2:8" x14ac:dyDescent="0.25">
      <c r="B2639" s="1358" t="s">
        <v>6897</v>
      </c>
      <c r="C2639" s="1359" t="s">
        <v>6898</v>
      </c>
      <c r="D2639" s="1360">
        <v>12373</v>
      </c>
      <c r="E2639" s="1361" t="s">
        <v>4239</v>
      </c>
      <c r="F2639" s="1360" t="s">
        <v>3</v>
      </c>
      <c r="G2639" s="1362">
        <v>697219</v>
      </c>
      <c r="H2639" s="1363" t="s">
        <v>6899</v>
      </c>
    </row>
    <row r="2640" spans="2:8" x14ac:dyDescent="0.25">
      <c r="B2640" s="1358" t="s">
        <v>6897</v>
      </c>
      <c r="C2640" s="1359" t="s">
        <v>7061</v>
      </c>
      <c r="D2640" s="1360">
        <v>12375</v>
      </c>
      <c r="E2640" s="1361" t="s">
        <v>4240</v>
      </c>
      <c r="F2640" s="1360" t="s">
        <v>266</v>
      </c>
      <c r="G2640" s="1362">
        <v>8994957</v>
      </c>
      <c r="H2640" s="1363" t="s">
        <v>3538</v>
      </c>
    </row>
    <row r="2641" spans="2:8" x14ac:dyDescent="0.25">
      <c r="B2641" s="1358" t="s">
        <v>6897</v>
      </c>
      <c r="C2641" s="1359" t="s">
        <v>7061</v>
      </c>
      <c r="D2641" s="1360">
        <v>12376</v>
      </c>
      <c r="E2641" s="1361" t="s">
        <v>2482</v>
      </c>
      <c r="F2641" s="1360" t="s">
        <v>266</v>
      </c>
      <c r="G2641" s="1362">
        <v>442014</v>
      </c>
      <c r="H2641" s="1363" t="s">
        <v>3538</v>
      </c>
    </row>
    <row r="2642" spans="2:8" x14ac:dyDescent="0.25">
      <c r="B2642" s="1358" t="s">
        <v>6897</v>
      </c>
      <c r="C2642" s="1359" t="s">
        <v>7061</v>
      </c>
      <c r="D2642" s="1360">
        <v>12377</v>
      </c>
      <c r="E2642" s="1361" t="s">
        <v>4241</v>
      </c>
      <c r="F2642" s="1360" t="s">
        <v>266</v>
      </c>
      <c r="G2642" s="1362">
        <v>2935020</v>
      </c>
      <c r="H2642" s="1363" t="s">
        <v>3538</v>
      </c>
    </row>
    <row r="2643" spans="2:8" x14ac:dyDescent="0.25">
      <c r="B2643" s="1358" t="s">
        <v>6897</v>
      </c>
      <c r="C2643" s="1359" t="s">
        <v>1474</v>
      </c>
      <c r="D2643" s="1360">
        <v>12383</v>
      </c>
      <c r="E2643" s="1361" t="s">
        <v>4242</v>
      </c>
      <c r="F2643" s="1360" t="s">
        <v>13</v>
      </c>
      <c r="G2643" s="1362">
        <v>2874445</v>
      </c>
      <c r="H2643" s="1363" t="s">
        <v>6899</v>
      </c>
    </row>
    <row r="2644" spans="2:8" x14ac:dyDescent="0.25">
      <c r="B2644" s="1358" t="s">
        <v>6897</v>
      </c>
      <c r="C2644" s="1359" t="s">
        <v>1474</v>
      </c>
      <c r="D2644" s="1360">
        <v>12384</v>
      </c>
      <c r="E2644" s="1361" t="s">
        <v>4243</v>
      </c>
      <c r="F2644" s="1360" t="s">
        <v>13</v>
      </c>
      <c r="G2644" s="1362">
        <v>5967850</v>
      </c>
      <c r="H2644" s="1363" t="s">
        <v>6899</v>
      </c>
    </row>
    <row r="2645" spans="2:8" x14ac:dyDescent="0.25">
      <c r="B2645" s="1358" t="s">
        <v>6897</v>
      </c>
      <c r="C2645" s="1359" t="s">
        <v>2542</v>
      </c>
      <c r="D2645" s="1360">
        <v>12390</v>
      </c>
      <c r="E2645" s="1361" t="s">
        <v>4244</v>
      </c>
      <c r="F2645" s="1360" t="s">
        <v>266</v>
      </c>
      <c r="G2645" s="1362">
        <v>2085475</v>
      </c>
      <c r="H2645" s="1363" t="s">
        <v>3538</v>
      </c>
    </row>
    <row r="2646" spans="2:8" x14ac:dyDescent="0.25">
      <c r="B2646" s="1358" t="s">
        <v>6897</v>
      </c>
      <c r="C2646" s="1359" t="s">
        <v>2542</v>
      </c>
      <c r="D2646" s="1360">
        <v>12391</v>
      </c>
      <c r="E2646" s="1361" t="s">
        <v>4245</v>
      </c>
      <c r="F2646" s="1360" t="s">
        <v>266</v>
      </c>
      <c r="G2646" s="1362">
        <v>3677336</v>
      </c>
      <c r="H2646" s="1363" t="s">
        <v>3538</v>
      </c>
    </row>
    <row r="2647" spans="2:8" x14ac:dyDescent="0.25">
      <c r="B2647" s="1358" t="s">
        <v>6897</v>
      </c>
      <c r="C2647" s="1359" t="s">
        <v>2542</v>
      </c>
      <c r="D2647" s="1360">
        <v>12392</v>
      </c>
      <c r="E2647" s="1361" t="s">
        <v>4246</v>
      </c>
      <c r="F2647" s="1360" t="s">
        <v>266</v>
      </c>
      <c r="G2647" s="1362">
        <v>1165825</v>
      </c>
      <c r="H2647" s="1363" t="s">
        <v>3538</v>
      </c>
    </row>
    <row r="2648" spans="2:8" x14ac:dyDescent="0.25">
      <c r="B2648" s="1358" t="s">
        <v>6897</v>
      </c>
      <c r="C2648" s="1359" t="s">
        <v>2542</v>
      </c>
      <c r="D2648" s="1360">
        <v>12393</v>
      </c>
      <c r="E2648" s="1361" t="s">
        <v>4247</v>
      </c>
      <c r="F2648" s="1360" t="s">
        <v>4039</v>
      </c>
      <c r="G2648" s="1362">
        <v>1332800</v>
      </c>
      <c r="H2648" s="1363" t="s">
        <v>3538</v>
      </c>
    </row>
    <row r="2649" spans="2:8" x14ac:dyDescent="0.25">
      <c r="B2649" s="1358" t="s">
        <v>6897</v>
      </c>
      <c r="C2649" s="1359" t="s">
        <v>6939</v>
      </c>
      <c r="D2649" s="1360">
        <v>12394</v>
      </c>
      <c r="E2649" s="1361" t="s">
        <v>4248</v>
      </c>
      <c r="F2649" s="1360" t="s">
        <v>266</v>
      </c>
      <c r="G2649" s="1362">
        <v>19499839</v>
      </c>
      <c r="H2649" s="1363" t="s">
        <v>6899</v>
      </c>
    </row>
    <row r="2650" spans="2:8" x14ac:dyDescent="0.25">
      <c r="B2650" s="1358" t="s">
        <v>6897</v>
      </c>
      <c r="C2650" s="1359" t="s">
        <v>2542</v>
      </c>
      <c r="D2650" s="1360">
        <v>12396</v>
      </c>
      <c r="E2650" s="1361" t="s">
        <v>4249</v>
      </c>
      <c r="F2650" s="1360" t="s">
        <v>266</v>
      </c>
      <c r="G2650" s="1362">
        <v>2289000</v>
      </c>
      <c r="H2650" s="1363" t="s">
        <v>3538</v>
      </c>
    </row>
    <row r="2651" spans="2:8" x14ac:dyDescent="0.25">
      <c r="B2651" s="1358" t="s">
        <v>6897</v>
      </c>
      <c r="C2651" s="1359" t="s">
        <v>6927</v>
      </c>
      <c r="D2651" s="1360">
        <v>12405</v>
      </c>
      <c r="E2651" s="1361" t="s">
        <v>4250</v>
      </c>
      <c r="F2651" s="1360" t="s">
        <v>6</v>
      </c>
      <c r="G2651" s="1362">
        <v>292218</v>
      </c>
      <c r="H2651" s="1363" t="s">
        <v>6899</v>
      </c>
    </row>
    <row r="2652" spans="2:8" x14ac:dyDescent="0.25">
      <c r="B2652" s="1358" t="s">
        <v>6897</v>
      </c>
      <c r="C2652" s="1359" t="s">
        <v>6805</v>
      </c>
      <c r="D2652" s="1360">
        <v>12428</v>
      </c>
      <c r="E2652" s="1361" t="s">
        <v>4251</v>
      </c>
      <c r="F2652" s="1360" t="s">
        <v>266</v>
      </c>
      <c r="G2652" s="1362">
        <v>109160</v>
      </c>
      <c r="H2652" s="1363" t="s">
        <v>6899</v>
      </c>
    </row>
    <row r="2653" spans="2:8" x14ac:dyDescent="0.25">
      <c r="B2653" s="1358" t="s">
        <v>6897</v>
      </c>
      <c r="C2653" s="1359" t="s">
        <v>6805</v>
      </c>
      <c r="D2653" s="1360">
        <v>12429</v>
      </c>
      <c r="E2653" s="1361" t="s">
        <v>4252</v>
      </c>
      <c r="F2653" s="1360" t="s">
        <v>266</v>
      </c>
      <c r="G2653" s="1362">
        <v>2353</v>
      </c>
      <c r="H2653" s="1363" t="s">
        <v>6899</v>
      </c>
    </row>
    <row r="2654" spans="2:8" x14ac:dyDescent="0.25">
      <c r="B2654" s="1358" t="s">
        <v>6897</v>
      </c>
      <c r="C2654" s="1359" t="s">
        <v>6805</v>
      </c>
      <c r="D2654" s="1360">
        <v>12430</v>
      </c>
      <c r="E2654" s="1361" t="s">
        <v>4253</v>
      </c>
      <c r="F2654" s="1360" t="s">
        <v>93</v>
      </c>
      <c r="G2654" s="1362">
        <v>11345</v>
      </c>
      <c r="H2654" s="1363" t="s">
        <v>6899</v>
      </c>
    </row>
    <row r="2655" spans="2:8" x14ac:dyDescent="0.25">
      <c r="B2655" s="1358" t="s">
        <v>6897</v>
      </c>
      <c r="C2655" s="1359" t="s">
        <v>6805</v>
      </c>
      <c r="D2655" s="1360">
        <v>12431</v>
      </c>
      <c r="E2655" s="1361" t="s">
        <v>4254</v>
      </c>
      <c r="F2655" s="1360" t="s">
        <v>266</v>
      </c>
      <c r="G2655" s="1362">
        <v>10840</v>
      </c>
      <c r="H2655" s="1363" t="s">
        <v>6899</v>
      </c>
    </row>
    <row r="2656" spans="2:8" x14ac:dyDescent="0.25">
      <c r="B2656" s="1358" t="s">
        <v>6897</v>
      </c>
      <c r="C2656" s="1359" t="s">
        <v>7122</v>
      </c>
      <c r="D2656" s="1360">
        <v>12432</v>
      </c>
      <c r="E2656" s="1361" t="s">
        <v>4255</v>
      </c>
      <c r="F2656" s="1360" t="s">
        <v>3</v>
      </c>
      <c r="G2656" s="1362">
        <v>311880</v>
      </c>
      <c r="H2656" s="1363" t="s">
        <v>6899</v>
      </c>
    </row>
    <row r="2657" spans="2:8" x14ac:dyDescent="0.25">
      <c r="B2657" s="1358" t="s">
        <v>6897</v>
      </c>
      <c r="C2657" s="1359" t="s">
        <v>6805</v>
      </c>
      <c r="D2657" s="1360">
        <v>12434</v>
      </c>
      <c r="E2657" s="1361" t="s">
        <v>4256</v>
      </c>
      <c r="F2657" s="1360" t="s">
        <v>93</v>
      </c>
      <c r="G2657" s="1362">
        <v>2200</v>
      </c>
      <c r="H2657" s="1363" t="s">
        <v>6899</v>
      </c>
    </row>
    <row r="2658" spans="2:8" x14ac:dyDescent="0.25">
      <c r="B2658" s="1358" t="s">
        <v>6897</v>
      </c>
      <c r="C2658" s="1359" t="s">
        <v>6805</v>
      </c>
      <c r="D2658" s="1360">
        <v>12435</v>
      </c>
      <c r="E2658" s="1361" t="s">
        <v>4257</v>
      </c>
      <c r="F2658" s="1360" t="s">
        <v>266</v>
      </c>
      <c r="G2658" s="1362">
        <v>105294</v>
      </c>
      <c r="H2658" s="1363" t="s">
        <v>6899</v>
      </c>
    </row>
    <row r="2659" spans="2:8" x14ac:dyDescent="0.25">
      <c r="B2659" s="1358" t="s">
        <v>6897</v>
      </c>
      <c r="C2659" s="1359" t="s">
        <v>6805</v>
      </c>
      <c r="D2659" s="1360">
        <v>12436</v>
      </c>
      <c r="E2659" s="1361" t="s">
        <v>4258</v>
      </c>
      <c r="F2659" s="1360" t="s">
        <v>1155</v>
      </c>
      <c r="G2659" s="1362">
        <v>21849</v>
      </c>
      <c r="H2659" s="1363" t="s">
        <v>6899</v>
      </c>
    </row>
    <row r="2660" spans="2:8" x14ac:dyDescent="0.25">
      <c r="B2660" s="1358" t="s">
        <v>6897</v>
      </c>
      <c r="C2660" s="1359" t="s">
        <v>6805</v>
      </c>
      <c r="D2660" s="1360">
        <v>12437</v>
      </c>
      <c r="E2660" s="1361" t="s">
        <v>4259</v>
      </c>
      <c r="F2660" s="1360" t="s">
        <v>266</v>
      </c>
      <c r="G2660" s="1362">
        <v>51832</v>
      </c>
      <c r="H2660" s="1363" t="s">
        <v>6899</v>
      </c>
    </row>
    <row r="2661" spans="2:8" x14ac:dyDescent="0.25">
      <c r="B2661" s="1358" t="s">
        <v>6897</v>
      </c>
      <c r="C2661" s="1359" t="s">
        <v>6805</v>
      </c>
      <c r="D2661" s="1360">
        <v>12438</v>
      </c>
      <c r="E2661" s="1361" t="s">
        <v>4260</v>
      </c>
      <c r="F2661" s="1360" t="s">
        <v>266</v>
      </c>
      <c r="G2661" s="1362">
        <v>325966</v>
      </c>
      <c r="H2661" s="1363" t="s">
        <v>6899</v>
      </c>
    </row>
    <row r="2662" spans="2:8" x14ac:dyDescent="0.25">
      <c r="B2662" s="1358" t="s">
        <v>6897</v>
      </c>
      <c r="C2662" s="1359" t="s">
        <v>6805</v>
      </c>
      <c r="D2662" s="1360">
        <v>12439</v>
      </c>
      <c r="E2662" s="1361" t="s">
        <v>4261</v>
      </c>
      <c r="F2662" s="1360" t="s">
        <v>266</v>
      </c>
      <c r="G2662" s="1362">
        <v>924370</v>
      </c>
      <c r="H2662" s="1363" t="s">
        <v>6899</v>
      </c>
    </row>
    <row r="2663" spans="2:8" x14ac:dyDescent="0.25">
      <c r="B2663" s="1358" t="s">
        <v>6897</v>
      </c>
      <c r="C2663" s="1359" t="s">
        <v>6805</v>
      </c>
      <c r="D2663" s="1360">
        <v>12440</v>
      </c>
      <c r="E2663" s="1361" t="s">
        <v>4262</v>
      </c>
      <c r="F2663" s="1360" t="s">
        <v>266</v>
      </c>
      <c r="G2663" s="1362">
        <v>173960</v>
      </c>
      <c r="H2663" s="1363" t="s">
        <v>6899</v>
      </c>
    </row>
    <row r="2664" spans="2:8" x14ac:dyDescent="0.25">
      <c r="B2664" s="1358" t="s">
        <v>6897</v>
      </c>
      <c r="C2664" s="1359" t="s">
        <v>6805</v>
      </c>
      <c r="D2664" s="1360">
        <v>12441</v>
      </c>
      <c r="E2664" s="1361" t="s">
        <v>4263</v>
      </c>
      <c r="F2664" s="1360" t="s">
        <v>266</v>
      </c>
      <c r="G2664" s="1362">
        <v>158000</v>
      </c>
      <c r="H2664" s="1363" t="s">
        <v>6899</v>
      </c>
    </row>
    <row r="2665" spans="2:8" x14ac:dyDescent="0.25">
      <c r="B2665" s="1358" t="s">
        <v>6897</v>
      </c>
      <c r="C2665" s="1359" t="s">
        <v>6805</v>
      </c>
      <c r="D2665" s="1360">
        <v>12442</v>
      </c>
      <c r="E2665" s="1361" t="s">
        <v>4264</v>
      </c>
      <c r="F2665" s="1360" t="s">
        <v>266</v>
      </c>
      <c r="G2665" s="1362">
        <v>54622</v>
      </c>
      <c r="H2665" s="1363" t="s">
        <v>6899</v>
      </c>
    </row>
    <row r="2666" spans="2:8" x14ac:dyDescent="0.25">
      <c r="B2666" s="1358" t="s">
        <v>6897</v>
      </c>
      <c r="C2666" s="1359" t="s">
        <v>6805</v>
      </c>
      <c r="D2666" s="1360">
        <v>12443</v>
      </c>
      <c r="E2666" s="1361" t="s">
        <v>4265</v>
      </c>
      <c r="F2666" s="1360" t="s">
        <v>266</v>
      </c>
      <c r="G2666" s="1362">
        <v>1650000</v>
      </c>
      <c r="H2666" s="1363" t="s">
        <v>6899</v>
      </c>
    </row>
    <row r="2667" spans="2:8" x14ac:dyDescent="0.25">
      <c r="B2667" s="1358" t="s">
        <v>6897</v>
      </c>
      <c r="C2667" s="1359" t="s">
        <v>6805</v>
      </c>
      <c r="D2667" s="1360">
        <v>12444</v>
      </c>
      <c r="E2667" s="1361" t="s">
        <v>4266</v>
      </c>
      <c r="F2667" s="1360" t="s">
        <v>563</v>
      </c>
      <c r="G2667" s="1362">
        <v>300000</v>
      </c>
      <c r="H2667" s="1363" t="s">
        <v>6899</v>
      </c>
    </row>
    <row r="2668" spans="2:8" x14ac:dyDescent="0.25">
      <c r="B2668" s="1358" t="s">
        <v>6897</v>
      </c>
      <c r="C2668" s="1359" t="s">
        <v>6805</v>
      </c>
      <c r="D2668" s="1360">
        <v>12445</v>
      </c>
      <c r="E2668" s="1361" t="s">
        <v>4267</v>
      </c>
      <c r="F2668" s="1360" t="s">
        <v>266</v>
      </c>
      <c r="G2668" s="1362">
        <v>12900</v>
      </c>
      <c r="H2668" s="1363" t="s">
        <v>6899</v>
      </c>
    </row>
    <row r="2669" spans="2:8" x14ac:dyDescent="0.25">
      <c r="B2669" s="1358" t="s">
        <v>6897</v>
      </c>
      <c r="C2669" s="1359" t="s">
        <v>6805</v>
      </c>
      <c r="D2669" s="1360">
        <v>12446</v>
      </c>
      <c r="E2669" s="1361" t="s">
        <v>4268</v>
      </c>
      <c r="F2669" s="1360" t="s">
        <v>266</v>
      </c>
      <c r="G2669" s="1362">
        <v>65630</v>
      </c>
      <c r="H2669" s="1363" t="s">
        <v>6899</v>
      </c>
    </row>
    <row r="2670" spans="2:8" x14ac:dyDescent="0.25">
      <c r="B2670" s="1358" t="s">
        <v>6897</v>
      </c>
      <c r="C2670" s="1359" t="s">
        <v>6805</v>
      </c>
      <c r="D2670" s="1360">
        <v>12447</v>
      </c>
      <c r="E2670" s="1361" t="s">
        <v>4269</v>
      </c>
      <c r="F2670" s="1360" t="s">
        <v>266</v>
      </c>
      <c r="G2670" s="1362">
        <v>65630</v>
      </c>
      <c r="H2670" s="1363" t="s">
        <v>6899</v>
      </c>
    </row>
    <row r="2671" spans="2:8" x14ac:dyDescent="0.25">
      <c r="B2671" s="1358" t="s">
        <v>6897</v>
      </c>
      <c r="C2671" s="1359" t="s">
        <v>6805</v>
      </c>
      <c r="D2671" s="1360">
        <v>12448</v>
      </c>
      <c r="E2671" s="1361" t="s">
        <v>4270</v>
      </c>
      <c r="F2671" s="1360" t="s">
        <v>266</v>
      </c>
      <c r="G2671" s="1362">
        <v>6471</v>
      </c>
      <c r="H2671" s="1363" t="s">
        <v>6899</v>
      </c>
    </row>
    <row r="2672" spans="2:8" x14ac:dyDescent="0.25">
      <c r="B2672" s="1358" t="s">
        <v>6897</v>
      </c>
      <c r="C2672" s="1359" t="s">
        <v>6805</v>
      </c>
      <c r="D2672" s="1360">
        <v>12450</v>
      </c>
      <c r="E2672" s="1361" t="s">
        <v>4271</v>
      </c>
      <c r="F2672" s="1360" t="s">
        <v>266</v>
      </c>
      <c r="G2672" s="1362">
        <v>17200</v>
      </c>
      <c r="H2672" s="1363" t="s">
        <v>6899</v>
      </c>
    </row>
    <row r="2673" spans="2:8" x14ac:dyDescent="0.25">
      <c r="B2673" s="1358" t="s">
        <v>6897</v>
      </c>
      <c r="C2673" s="1359" t="s">
        <v>6805</v>
      </c>
      <c r="D2673" s="1360">
        <v>12451</v>
      </c>
      <c r="E2673" s="1361" t="s">
        <v>4272</v>
      </c>
      <c r="F2673" s="1360" t="s">
        <v>710</v>
      </c>
      <c r="G2673" s="1362">
        <v>9328</v>
      </c>
      <c r="H2673" s="1363" t="s">
        <v>6899</v>
      </c>
    </row>
    <row r="2674" spans="2:8" x14ac:dyDescent="0.25">
      <c r="B2674" s="1358" t="s">
        <v>6897</v>
      </c>
      <c r="C2674" s="1359" t="s">
        <v>6912</v>
      </c>
      <c r="D2674" s="1360">
        <v>12452</v>
      </c>
      <c r="E2674" s="1361" t="s">
        <v>4273</v>
      </c>
      <c r="F2674" s="1360" t="s">
        <v>1124</v>
      </c>
      <c r="G2674" s="1362">
        <v>51187</v>
      </c>
      <c r="H2674" s="1363" t="s">
        <v>6899</v>
      </c>
    </row>
    <row r="2675" spans="2:8" x14ac:dyDescent="0.25">
      <c r="B2675" s="1358" t="s">
        <v>6897</v>
      </c>
      <c r="C2675" s="1359" t="s">
        <v>6805</v>
      </c>
      <c r="D2675" s="1360">
        <v>12453</v>
      </c>
      <c r="E2675" s="1361" t="s">
        <v>4274</v>
      </c>
      <c r="F2675" s="1360" t="s">
        <v>20</v>
      </c>
      <c r="G2675" s="1362">
        <v>28571</v>
      </c>
      <c r="H2675" s="1363" t="s">
        <v>6899</v>
      </c>
    </row>
    <row r="2676" spans="2:8" x14ac:dyDescent="0.25">
      <c r="B2676" s="1358" t="s">
        <v>6897</v>
      </c>
      <c r="C2676" s="1359" t="s">
        <v>6900</v>
      </c>
      <c r="D2676" s="1360">
        <v>12454</v>
      </c>
      <c r="E2676" s="1361" t="s">
        <v>4275</v>
      </c>
      <c r="F2676" s="1360" t="s">
        <v>202</v>
      </c>
      <c r="G2676" s="1362">
        <v>124030</v>
      </c>
      <c r="H2676" s="1363" t="s">
        <v>6899</v>
      </c>
    </row>
    <row r="2677" spans="2:8" x14ac:dyDescent="0.25">
      <c r="B2677" s="1358" t="s">
        <v>6897</v>
      </c>
      <c r="C2677" s="1359" t="s">
        <v>6805</v>
      </c>
      <c r="D2677" s="1360">
        <v>12456</v>
      </c>
      <c r="E2677" s="1361" t="s">
        <v>4276</v>
      </c>
      <c r="F2677" s="1360" t="s">
        <v>266</v>
      </c>
      <c r="G2677" s="1362">
        <v>835743</v>
      </c>
      <c r="H2677" s="1363" t="s">
        <v>6899</v>
      </c>
    </row>
    <row r="2678" spans="2:8" x14ac:dyDescent="0.25">
      <c r="B2678" s="1358" t="s">
        <v>6897</v>
      </c>
      <c r="C2678" s="1359" t="s">
        <v>6805</v>
      </c>
      <c r="D2678" s="1360">
        <v>12457</v>
      </c>
      <c r="E2678" s="1361" t="s">
        <v>4277</v>
      </c>
      <c r="F2678" s="1360" t="s">
        <v>266</v>
      </c>
      <c r="G2678" s="1362">
        <v>49930</v>
      </c>
      <c r="H2678" s="1363" t="s">
        <v>6899</v>
      </c>
    </row>
    <row r="2679" spans="2:8" x14ac:dyDescent="0.25">
      <c r="B2679" s="1358" t="s">
        <v>6897</v>
      </c>
      <c r="C2679" s="1359" t="s">
        <v>6912</v>
      </c>
      <c r="D2679" s="1360">
        <v>12458</v>
      </c>
      <c r="E2679" s="1361" t="s">
        <v>4278</v>
      </c>
      <c r="F2679" s="1360" t="s">
        <v>202</v>
      </c>
      <c r="G2679" s="1362">
        <v>10500</v>
      </c>
      <c r="H2679" s="1363" t="s">
        <v>6899</v>
      </c>
    </row>
    <row r="2680" spans="2:8" x14ac:dyDescent="0.25">
      <c r="B2680" s="1358" t="s">
        <v>6897</v>
      </c>
      <c r="C2680" s="1359" t="s">
        <v>6900</v>
      </c>
      <c r="D2680" s="1360">
        <v>12460</v>
      </c>
      <c r="E2680" s="1361" t="s">
        <v>4279</v>
      </c>
      <c r="F2680" s="1360" t="s">
        <v>202</v>
      </c>
      <c r="G2680" s="1362">
        <v>346764</v>
      </c>
      <c r="H2680" s="1363" t="s">
        <v>6899</v>
      </c>
    </row>
    <row r="2681" spans="2:8" x14ac:dyDescent="0.25">
      <c r="B2681" s="1358" t="s">
        <v>6897</v>
      </c>
      <c r="C2681" s="1359" t="s">
        <v>6900</v>
      </c>
      <c r="D2681" s="1360">
        <v>12461</v>
      </c>
      <c r="E2681" s="1361" t="s">
        <v>4280</v>
      </c>
      <c r="F2681" s="1360" t="s">
        <v>202</v>
      </c>
      <c r="G2681" s="1362">
        <v>266665</v>
      </c>
      <c r="H2681" s="1363" t="s">
        <v>6899</v>
      </c>
    </row>
    <row r="2682" spans="2:8" x14ac:dyDescent="0.25">
      <c r="B2682" s="1358" t="s">
        <v>6897</v>
      </c>
      <c r="C2682" s="1359" t="s">
        <v>6900</v>
      </c>
      <c r="D2682" s="1360">
        <v>12462</v>
      </c>
      <c r="E2682" s="1361" t="s">
        <v>4281</v>
      </c>
      <c r="F2682" s="1360" t="s">
        <v>202</v>
      </c>
      <c r="G2682" s="1362">
        <v>93143</v>
      </c>
      <c r="H2682" s="1363" t="s">
        <v>6899</v>
      </c>
    </row>
    <row r="2683" spans="2:8" x14ac:dyDescent="0.25">
      <c r="B2683" s="1358" t="s">
        <v>6897</v>
      </c>
      <c r="C2683" s="1359" t="s">
        <v>6898</v>
      </c>
      <c r="D2683" s="1360">
        <v>12464</v>
      </c>
      <c r="E2683" s="1361" t="s">
        <v>4282</v>
      </c>
      <c r="F2683" s="1360" t="s">
        <v>3</v>
      </c>
      <c r="G2683" s="1362">
        <v>627618</v>
      </c>
      <c r="H2683" s="1363" t="s">
        <v>6899</v>
      </c>
    </row>
    <row r="2684" spans="2:8" x14ac:dyDescent="0.25">
      <c r="B2684" s="1358" t="s">
        <v>6897</v>
      </c>
      <c r="C2684" s="1359" t="s">
        <v>6898</v>
      </c>
      <c r="D2684" s="1360">
        <v>12465</v>
      </c>
      <c r="E2684" s="1361" t="s">
        <v>4283</v>
      </c>
      <c r="F2684" s="1360" t="s">
        <v>3</v>
      </c>
      <c r="G2684" s="1362">
        <v>611740</v>
      </c>
      <c r="H2684" s="1363" t="s">
        <v>6899</v>
      </c>
    </row>
    <row r="2685" spans="2:8" x14ac:dyDescent="0.25">
      <c r="B2685" s="1358" t="s">
        <v>6897</v>
      </c>
      <c r="C2685" s="1359" t="s">
        <v>6905</v>
      </c>
      <c r="D2685" s="1360">
        <v>12466</v>
      </c>
      <c r="E2685" s="1361" t="s">
        <v>4284</v>
      </c>
      <c r="F2685" s="1360" t="s">
        <v>3</v>
      </c>
      <c r="G2685" s="1362">
        <v>74000</v>
      </c>
      <c r="H2685" s="1363" t="s">
        <v>6899</v>
      </c>
    </row>
    <row r="2686" spans="2:8" x14ac:dyDescent="0.25">
      <c r="B2686" s="1358" t="s">
        <v>6897</v>
      </c>
      <c r="C2686" s="1359" t="s">
        <v>6905</v>
      </c>
      <c r="D2686" s="1360">
        <v>12467</v>
      </c>
      <c r="E2686" s="1361" t="s">
        <v>4285</v>
      </c>
      <c r="F2686" s="1360" t="s">
        <v>3</v>
      </c>
      <c r="G2686" s="1362">
        <v>74000</v>
      </c>
      <c r="H2686" s="1363" t="s">
        <v>6899</v>
      </c>
    </row>
    <row r="2687" spans="2:8" x14ac:dyDescent="0.25">
      <c r="B2687" s="1358" t="s">
        <v>6897</v>
      </c>
      <c r="C2687" s="1359" t="s">
        <v>7045</v>
      </c>
      <c r="D2687" s="1360">
        <v>12468</v>
      </c>
      <c r="E2687" s="1361" t="s">
        <v>4286</v>
      </c>
      <c r="F2687" s="1360" t="s">
        <v>266</v>
      </c>
      <c r="G2687" s="1362">
        <v>1071000</v>
      </c>
      <c r="H2687" s="1363" t="s">
        <v>6899</v>
      </c>
    </row>
    <row r="2688" spans="2:8" x14ac:dyDescent="0.25">
      <c r="B2688" s="1358" t="s">
        <v>6897</v>
      </c>
      <c r="C2688" s="1359" t="s">
        <v>7045</v>
      </c>
      <c r="D2688" s="1360">
        <v>12469</v>
      </c>
      <c r="E2688" s="1361" t="s">
        <v>4287</v>
      </c>
      <c r="F2688" s="1360" t="s">
        <v>266</v>
      </c>
      <c r="G2688" s="1362">
        <v>333200</v>
      </c>
      <c r="H2688" s="1363" t="s">
        <v>6899</v>
      </c>
    </row>
    <row r="2689" spans="2:8" x14ac:dyDescent="0.25">
      <c r="B2689" s="1358" t="s">
        <v>6897</v>
      </c>
      <c r="C2689" s="1359" t="s">
        <v>7045</v>
      </c>
      <c r="D2689" s="1360">
        <v>12470</v>
      </c>
      <c r="E2689" s="1361" t="s">
        <v>4288</v>
      </c>
      <c r="F2689" s="1360" t="s">
        <v>266</v>
      </c>
      <c r="G2689" s="1362">
        <v>333200</v>
      </c>
      <c r="H2689" s="1363" t="s">
        <v>6899</v>
      </c>
    </row>
    <row r="2690" spans="2:8" x14ac:dyDescent="0.25">
      <c r="B2690" s="1358" t="s">
        <v>6897</v>
      </c>
      <c r="C2690" s="1359" t="s">
        <v>7074</v>
      </c>
      <c r="D2690" s="1360">
        <v>12471</v>
      </c>
      <c r="E2690" s="1361" t="s">
        <v>4289</v>
      </c>
      <c r="F2690" s="1360" t="s">
        <v>266</v>
      </c>
      <c r="G2690" s="1362">
        <v>981750</v>
      </c>
      <c r="H2690" s="1363" t="s">
        <v>6899</v>
      </c>
    </row>
    <row r="2691" spans="2:8" x14ac:dyDescent="0.25">
      <c r="B2691" s="1358" t="s">
        <v>6897</v>
      </c>
      <c r="C2691" s="1359" t="s">
        <v>7078</v>
      </c>
      <c r="D2691" s="1360">
        <v>12472</v>
      </c>
      <c r="E2691" s="1361" t="s">
        <v>4290</v>
      </c>
      <c r="F2691" s="1360" t="s">
        <v>266</v>
      </c>
      <c r="G2691" s="1362">
        <v>1119304</v>
      </c>
      <c r="H2691" s="1363" t="s">
        <v>6899</v>
      </c>
    </row>
    <row r="2692" spans="2:8" x14ac:dyDescent="0.25">
      <c r="B2692" s="1358" t="s">
        <v>6897</v>
      </c>
      <c r="C2692" s="1359" t="s">
        <v>6805</v>
      </c>
      <c r="D2692" s="1360">
        <v>12473</v>
      </c>
      <c r="E2692" s="1361" t="s">
        <v>4291</v>
      </c>
      <c r="F2692" s="1360" t="s">
        <v>6</v>
      </c>
      <c r="G2692" s="1362">
        <v>1780</v>
      </c>
      <c r="H2692" s="1363" t="s">
        <v>6899</v>
      </c>
    </row>
    <row r="2693" spans="2:8" x14ac:dyDescent="0.25">
      <c r="B2693" s="1358" t="s">
        <v>6897</v>
      </c>
      <c r="C2693" s="1359" t="s">
        <v>6942</v>
      </c>
      <c r="D2693" s="1360">
        <v>12474</v>
      </c>
      <c r="E2693" s="1361" t="s">
        <v>4292</v>
      </c>
      <c r="F2693" s="1360" t="s">
        <v>266</v>
      </c>
      <c r="G2693" s="1362">
        <v>558467</v>
      </c>
      <c r="H2693" s="1363" t="s">
        <v>6899</v>
      </c>
    </row>
    <row r="2694" spans="2:8" x14ac:dyDescent="0.25">
      <c r="B2694" s="1358" t="s">
        <v>6897</v>
      </c>
      <c r="C2694" s="1359" t="s">
        <v>6943</v>
      </c>
      <c r="D2694" s="1360">
        <v>12475</v>
      </c>
      <c r="E2694" s="1361" t="s">
        <v>4293</v>
      </c>
      <c r="F2694" s="1360" t="s">
        <v>266</v>
      </c>
      <c r="G2694" s="1362">
        <v>142800</v>
      </c>
      <c r="H2694" s="1363" t="s">
        <v>6899</v>
      </c>
    </row>
    <row r="2695" spans="2:8" x14ac:dyDescent="0.25">
      <c r="B2695" s="1358" t="s">
        <v>6897</v>
      </c>
      <c r="C2695" s="1359" t="s">
        <v>6991</v>
      </c>
      <c r="D2695" s="1360">
        <v>12476</v>
      </c>
      <c r="E2695" s="1361" t="s">
        <v>4294</v>
      </c>
      <c r="F2695" s="1360" t="s">
        <v>266</v>
      </c>
      <c r="G2695" s="1362">
        <v>30940</v>
      </c>
      <c r="H2695" s="1363" t="s">
        <v>6899</v>
      </c>
    </row>
    <row r="2696" spans="2:8" x14ac:dyDescent="0.25">
      <c r="B2696" s="1358" t="s">
        <v>6897</v>
      </c>
      <c r="C2696" s="1359" t="s">
        <v>6991</v>
      </c>
      <c r="D2696" s="1360">
        <v>12477</v>
      </c>
      <c r="E2696" s="1361" t="s">
        <v>4295</v>
      </c>
      <c r="F2696" s="1360" t="s">
        <v>266</v>
      </c>
      <c r="G2696" s="1362">
        <v>45489</v>
      </c>
      <c r="H2696" s="1363" t="s">
        <v>6899</v>
      </c>
    </row>
    <row r="2697" spans="2:8" x14ac:dyDescent="0.25">
      <c r="B2697" s="1358" t="s">
        <v>6897</v>
      </c>
      <c r="C2697" s="1359" t="s">
        <v>6991</v>
      </c>
      <c r="D2697" s="1360">
        <v>12478</v>
      </c>
      <c r="E2697" s="1361" t="s">
        <v>4296</v>
      </c>
      <c r="F2697" s="1360" t="s">
        <v>266</v>
      </c>
      <c r="G2697" s="1362">
        <v>17870</v>
      </c>
      <c r="H2697" s="1363" t="s">
        <v>6899</v>
      </c>
    </row>
    <row r="2698" spans="2:8" x14ac:dyDescent="0.25">
      <c r="B2698" s="1358" t="s">
        <v>6897</v>
      </c>
      <c r="C2698" s="1359" t="s">
        <v>6805</v>
      </c>
      <c r="D2698" s="1360">
        <v>12479</v>
      </c>
      <c r="E2698" s="1361" t="s">
        <v>4297</v>
      </c>
      <c r="F2698" s="1360" t="s">
        <v>710</v>
      </c>
      <c r="G2698" s="1362">
        <v>32017</v>
      </c>
      <c r="H2698" s="1363" t="s">
        <v>6899</v>
      </c>
    </row>
    <row r="2699" spans="2:8" x14ac:dyDescent="0.25">
      <c r="B2699" s="1358" t="s">
        <v>6897</v>
      </c>
      <c r="C2699" s="1359" t="s">
        <v>6991</v>
      </c>
      <c r="D2699" s="1360">
        <v>12480</v>
      </c>
      <c r="E2699" s="1361" t="s">
        <v>4298</v>
      </c>
      <c r="F2699" s="1360" t="s">
        <v>266</v>
      </c>
      <c r="G2699" s="1362">
        <v>24276</v>
      </c>
      <c r="H2699" s="1363" t="s">
        <v>6899</v>
      </c>
    </row>
    <row r="2700" spans="2:8" x14ac:dyDescent="0.25">
      <c r="B2700" s="1358" t="s">
        <v>6897</v>
      </c>
      <c r="C2700" s="1359" t="s">
        <v>6943</v>
      </c>
      <c r="D2700" s="1360">
        <v>12481</v>
      </c>
      <c r="E2700" s="1361" t="s">
        <v>4299</v>
      </c>
      <c r="F2700" s="1360" t="s">
        <v>266</v>
      </c>
      <c r="G2700" s="1362">
        <v>142800</v>
      </c>
      <c r="H2700" s="1363" t="s">
        <v>6899</v>
      </c>
    </row>
    <row r="2701" spans="2:8" x14ac:dyDescent="0.25">
      <c r="B2701" s="1358" t="s">
        <v>6897</v>
      </c>
      <c r="C2701" s="1359" t="s">
        <v>6805</v>
      </c>
      <c r="D2701" s="1360">
        <v>12482</v>
      </c>
      <c r="E2701" s="1361" t="s">
        <v>4300</v>
      </c>
      <c r="F2701" s="1360" t="s">
        <v>266</v>
      </c>
      <c r="G2701" s="1362">
        <v>225</v>
      </c>
      <c r="H2701" s="1363" t="s">
        <v>6899</v>
      </c>
    </row>
    <row r="2702" spans="2:8" x14ac:dyDescent="0.25">
      <c r="B2702" s="1358" t="s">
        <v>6897</v>
      </c>
      <c r="C2702" s="1359" t="s">
        <v>6902</v>
      </c>
      <c r="D2702" s="1360">
        <v>12483</v>
      </c>
      <c r="E2702" s="1361" t="s">
        <v>4301</v>
      </c>
      <c r="F2702" s="1360" t="s">
        <v>1124</v>
      </c>
      <c r="G2702" s="1362">
        <v>863</v>
      </c>
      <c r="H2702" s="1363" t="s">
        <v>3538</v>
      </c>
    </row>
    <row r="2703" spans="2:8" x14ac:dyDescent="0.25">
      <c r="B2703" s="1358" t="s">
        <v>6897</v>
      </c>
      <c r="C2703" s="1359" t="s">
        <v>6902</v>
      </c>
      <c r="D2703" s="1360">
        <v>12484</v>
      </c>
      <c r="E2703" s="1361" t="s">
        <v>4302</v>
      </c>
      <c r="F2703" s="1360" t="s">
        <v>1124</v>
      </c>
      <c r="G2703" s="1362">
        <v>863</v>
      </c>
      <c r="H2703" s="1363" t="s">
        <v>3538</v>
      </c>
    </row>
    <row r="2704" spans="2:8" x14ac:dyDescent="0.25">
      <c r="B2704" s="1358" t="s">
        <v>6897</v>
      </c>
      <c r="C2704" s="1359" t="s">
        <v>6900</v>
      </c>
      <c r="D2704" s="1360">
        <v>12485</v>
      </c>
      <c r="E2704" s="1361" t="s">
        <v>4303</v>
      </c>
      <c r="F2704" s="1360" t="s">
        <v>202</v>
      </c>
      <c r="G2704" s="1362">
        <v>231155</v>
      </c>
      <c r="H2704" s="1363" t="s">
        <v>6899</v>
      </c>
    </row>
    <row r="2705" spans="2:8" x14ac:dyDescent="0.25">
      <c r="B2705" s="1358" t="s">
        <v>6897</v>
      </c>
      <c r="C2705" s="1359" t="s">
        <v>6902</v>
      </c>
      <c r="D2705" s="1360">
        <v>12486</v>
      </c>
      <c r="E2705" s="1361" t="s">
        <v>4304</v>
      </c>
      <c r="F2705" s="1360" t="s">
        <v>1124</v>
      </c>
      <c r="G2705" s="1362">
        <v>876</v>
      </c>
      <c r="H2705" s="1363" t="s">
        <v>3538</v>
      </c>
    </row>
    <row r="2706" spans="2:8" x14ac:dyDescent="0.25">
      <c r="B2706" s="1358" t="s">
        <v>6897</v>
      </c>
      <c r="C2706" s="1359" t="s">
        <v>6904</v>
      </c>
      <c r="D2706" s="1360">
        <v>12487</v>
      </c>
      <c r="E2706" s="1361" t="s">
        <v>4305</v>
      </c>
      <c r="F2706" s="1360" t="s">
        <v>266</v>
      </c>
      <c r="G2706" s="1362">
        <v>1964</v>
      </c>
      <c r="H2706" s="1363" t="s">
        <v>6899</v>
      </c>
    </row>
    <row r="2707" spans="2:8" x14ac:dyDescent="0.25">
      <c r="B2707" s="1358" t="s">
        <v>6897</v>
      </c>
      <c r="C2707" s="1359" t="s">
        <v>6912</v>
      </c>
      <c r="D2707" s="1360">
        <v>12488</v>
      </c>
      <c r="E2707" s="1361" t="s">
        <v>4306</v>
      </c>
      <c r="F2707" s="1360" t="s">
        <v>1124</v>
      </c>
      <c r="G2707" s="1362">
        <v>142575</v>
      </c>
      <c r="H2707" s="1363" t="s">
        <v>6899</v>
      </c>
    </row>
    <row r="2708" spans="2:8" x14ac:dyDescent="0.25">
      <c r="B2708" s="1358" t="s">
        <v>6897</v>
      </c>
      <c r="C2708" s="1359" t="s">
        <v>6904</v>
      </c>
      <c r="D2708" s="1360">
        <v>12489</v>
      </c>
      <c r="E2708" s="1361" t="s">
        <v>4307</v>
      </c>
      <c r="F2708" s="1360" t="s">
        <v>266</v>
      </c>
      <c r="G2708" s="1362">
        <v>1067</v>
      </c>
      <c r="H2708" s="1363" t="s">
        <v>6899</v>
      </c>
    </row>
    <row r="2709" spans="2:8" x14ac:dyDescent="0.25">
      <c r="B2709" s="1358" t="s">
        <v>6897</v>
      </c>
      <c r="C2709" s="1359" t="s">
        <v>7038</v>
      </c>
      <c r="D2709" s="1360">
        <v>12490</v>
      </c>
      <c r="E2709" s="1361" t="s">
        <v>4308</v>
      </c>
      <c r="F2709" s="1360" t="s">
        <v>12</v>
      </c>
      <c r="G2709" s="1362">
        <v>1240282</v>
      </c>
      <c r="H2709" s="1363" t="s">
        <v>3538</v>
      </c>
    </row>
    <row r="2710" spans="2:8" x14ac:dyDescent="0.25">
      <c r="B2710" s="1358" t="s">
        <v>6897</v>
      </c>
      <c r="C2710" s="1359" t="s">
        <v>6912</v>
      </c>
      <c r="D2710" s="1360">
        <v>12491</v>
      </c>
      <c r="E2710" s="1361" t="s">
        <v>4309</v>
      </c>
      <c r="F2710" s="1360" t="s">
        <v>1124</v>
      </c>
      <c r="G2710" s="1362">
        <v>173444</v>
      </c>
      <c r="H2710" s="1363" t="s">
        <v>6899</v>
      </c>
    </row>
    <row r="2711" spans="2:8" x14ac:dyDescent="0.25">
      <c r="B2711" s="1358" t="s">
        <v>6897</v>
      </c>
      <c r="C2711" s="1359" t="s">
        <v>6900</v>
      </c>
      <c r="D2711" s="1360">
        <v>12492</v>
      </c>
      <c r="E2711" s="1361" t="s">
        <v>4310</v>
      </c>
      <c r="F2711" s="1360" t="s">
        <v>202</v>
      </c>
      <c r="G2711" s="1362">
        <v>277205</v>
      </c>
      <c r="H2711" s="1363" t="s">
        <v>6899</v>
      </c>
    </row>
    <row r="2712" spans="2:8" x14ac:dyDescent="0.25">
      <c r="B2712" s="1358" t="s">
        <v>6897</v>
      </c>
      <c r="C2712" s="1359" t="s">
        <v>6900</v>
      </c>
      <c r="D2712" s="1360">
        <v>12493</v>
      </c>
      <c r="E2712" s="1361" t="s">
        <v>4311</v>
      </c>
      <c r="F2712" s="1360" t="s">
        <v>202</v>
      </c>
      <c r="G2712" s="1362">
        <v>358444</v>
      </c>
      <c r="H2712" s="1363" t="s">
        <v>6899</v>
      </c>
    </row>
    <row r="2713" spans="2:8" x14ac:dyDescent="0.25">
      <c r="B2713" s="1358" t="s">
        <v>6897</v>
      </c>
      <c r="C2713" s="1359" t="s">
        <v>6900</v>
      </c>
      <c r="D2713" s="1360">
        <v>12494</v>
      </c>
      <c r="E2713" s="1361" t="s">
        <v>4312</v>
      </c>
      <c r="F2713" s="1360" t="s">
        <v>202</v>
      </c>
      <c r="G2713" s="1362">
        <v>220245</v>
      </c>
      <c r="H2713" s="1363" t="s">
        <v>6899</v>
      </c>
    </row>
    <row r="2714" spans="2:8" x14ac:dyDescent="0.25">
      <c r="B2714" s="1358" t="s">
        <v>6897</v>
      </c>
      <c r="C2714" s="1359" t="s">
        <v>6900</v>
      </c>
      <c r="D2714" s="1360">
        <v>12495</v>
      </c>
      <c r="E2714" s="1361" t="s">
        <v>4313</v>
      </c>
      <c r="F2714" s="1360" t="s">
        <v>202</v>
      </c>
      <c r="G2714" s="1362">
        <v>109562</v>
      </c>
      <c r="H2714" s="1363" t="s">
        <v>6899</v>
      </c>
    </row>
    <row r="2715" spans="2:8" x14ac:dyDescent="0.25">
      <c r="B2715" s="1358" t="s">
        <v>6897</v>
      </c>
      <c r="C2715" s="1359" t="s">
        <v>6805</v>
      </c>
      <c r="D2715" s="1360">
        <v>12496</v>
      </c>
      <c r="E2715" s="1361" t="s">
        <v>4314</v>
      </c>
      <c r="F2715" s="1360" t="s">
        <v>266</v>
      </c>
      <c r="G2715" s="1362">
        <v>282</v>
      </c>
      <c r="H2715" s="1363" t="s">
        <v>6899</v>
      </c>
    </row>
    <row r="2716" spans="2:8" x14ac:dyDescent="0.25">
      <c r="B2716" s="1358" t="s">
        <v>6897</v>
      </c>
      <c r="C2716" s="1359" t="s">
        <v>6805</v>
      </c>
      <c r="D2716" s="1360">
        <v>12497</v>
      </c>
      <c r="E2716" s="1361" t="s">
        <v>4315</v>
      </c>
      <c r="F2716" s="1360" t="s">
        <v>266</v>
      </c>
      <c r="G2716" s="1362">
        <v>117563</v>
      </c>
      <c r="H2716" s="1363" t="s">
        <v>6899</v>
      </c>
    </row>
    <row r="2717" spans="2:8" x14ac:dyDescent="0.25">
      <c r="B2717" s="1358" t="s">
        <v>6897</v>
      </c>
      <c r="C2717" s="1359" t="s">
        <v>6805</v>
      </c>
      <c r="D2717" s="1360">
        <v>12498</v>
      </c>
      <c r="E2717" s="1361" t="s">
        <v>4316</v>
      </c>
      <c r="F2717" s="1360" t="s">
        <v>1155</v>
      </c>
      <c r="G2717" s="1362">
        <v>21849</v>
      </c>
      <c r="H2717" s="1363" t="s">
        <v>6899</v>
      </c>
    </row>
    <row r="2718" spans="2:8" x14ac:dyDescent="0.25">
      <c r="B2718" s="1358" t="s">
        <v>6897</v>
      </c>
      <c r="C2718" s="1359" t="s">
        <v>6805</v>
      </c>
      <c r="D2718" s="1360">
        <v>12499</v>
      </c>
      <c r="E2718" s="1361" t="s">
        <v>4317</v>
      </c>
      <c r="F2718" s="1360" t="s">
        <v>266</v>
      </c>
      <c r="G2718" s="1362">
        <v>58739</v>
      </c>
      <c r="H2718" s="1363" t="s">
        <v>6899</v>
      </c>
    </row>
    <row r="2719" spans="2:8" x14ac:dyDescent="0.25">
      <c r="B2719" s="1358" t="s">
        <v>6897</v>
      </c>
      <c r="C2719" s="1359" t="s">
        <v>6805</v>
      </c>
      <c r="D2719" s="1360">
        <v>12500</v>
      </c>
      <c r="E2719" s="1361" t="s">
        <v>4318</v>
      </c>
      <c r="F2719" s="1360" t="s">
        <v>93</v>
      </c>
      <c r="G2719" s="1362">
        <v>25</v>
      </c>
      <c r="H2719" s="1363" t="s">
        <v>6899</v>
      </c>
    </row>
    <row r="2720" spans="2:8" x14ac:dyDescent="0.25">
      <c r="B2720" s="1358" t="s">
        <v>6897</v>
      </c>
      <c r="C2720" s="1359" t="s">
        <v>6805</v>
      </c>
      <c r="D2720" s="1360">
        <v>12501</v>
      </c>
      <c r="E2720" s="1361" t="s">
        <v>4319</v>
      </c>
      <c r="F2720" s="1360" t="s">
        <v>266</v>
      </c>
      <c r="G2720" s="1362">
        <v>35500</v>
      </c>
      <c r="H2720" s="1363" t="s">
        <v>6899</v>
      </c>
    </row>
    <row r="2721" spans="2:8" x14ac:dyDescent="0.25">
      <c r="B2721" s="1358" t="s">
        <v>6897</v>
      </c>
      <c r="C2721" s="1359" t="s">
        <v>6805</v>
      </c>
      <c r="D2721" s="1360">
        <v>12502</v>
      </c>
      <c r="E2721" s="1361" t="s">
        <v>4320</v>
      </c>
      <c r="F2721" s="1360" t="s">
        <v>266</v>
      </c>
      <c r="G2721" s="1362">
        <v>521</v>
      </c>
      <c r="H2721" s="1363" t="s">
        <v>6899</v>
      </c>
    </row>
    <row r="2722" spans="2:8" x14ac:dyDescent="0.25">
      <c r="B2722" s="1358" t="s">
        <v>6897</v>
      </c>
      <c r="C2722" s="1359" t="s">
        <v>6805</v>
      </c>
      <c r="D2722" s="1360">
        <v>12503</v>
      </c>
      <c r="E2722" s="1361" t="s">
        <v>4321</v>
      </c>
      <c r="F2722" s="1360" t="s">
        <v>266</v>
      </c>
      <c r="G2722" s="1362">
        <v>83950</v>
      </c>
      <c r="H2722" s="1363" t="s">
        <v>6899</v>
      </c>
    </row>
    <row r="2723" spans="2:8" x14ac:dyDescent="0.25">
      <c r="B2723" s="1358" t="s">
        <v>6897</v>
      </c>
      <c r="C2723" s="1359" t="s">
        <v>6805</v>
      </c>
      <c r="D2723" s="1360">
        <v>12504</v>
      </c>
      <c r="E2723" s="1361" t="s">
        <v>4322</v>
      </c>
      <c r="F2723" s="1360" t="s">
        <v>266</v>
      </c>
      <c r="G2723" s="1362">
        <v>29328</v>
      </c>
      <c r="H2723" s="1363" t="s">
        <v>6899</v>
      </c>
    </row>
    <row r="2724" spans="2:8" x14ac:dyDescent="0.25">
      <c r="B2724" s="1358" t="s">
        <v>6897</v>
      </c>
      <c r="C2724" s="1359" t="s">
        <v>6805</v>
      </c>
      <c r="D2724" s="1360">
        <v>12505</v>
      </c>
      <c r="E2724" s="1361" t="s">
        <v>4323</v>
      </c>
      <c r="F2724" s="1360" t="s">
        <v>266</v>
      </c>
      <c r="G2724" s="1362">
        <v>49777</v>
      </c>
      <c r="H2724" s="1363" t="s">
        <v>6899</v>
      </c>
    </row>
    <row r="2725" spans="2:8" x14ac:dyDescent="0.25">
      <c r="B2725" s="1358" t="s">
        <v>6897</v>
      </c>
      <c r="C2725" s="1359" t="s">
        <v>6805</v>
      </c>
      <c r="D2725" s="1360">
        <v>12506</v>
      </c>
      <c r="E2725" s="1361" t="s">
        <v>4324</v>
      </c>
      <c r="F2725" s="1360" t="s">
        <v>266</v>
      </c>
      <c r="G2725" s="1362">
        <v>59680</v>
      </c>
      <c r="H2725" s="1363" t="s">
        <v>6899</v>
      </c>
    </row>
    <row r="2726" spans="2:8" x14ac:dyDescent="0.25">
      <c r="B2726" s="1358" t="s">
        <v>6897</v>
      </c>
      <c r="C2726" s="1359" t="s">
        <v>6805</v>
      </c>
      <c r="D2726" s="1360">
        <v>12507</v>
      </c>
      <c r="E2726" s="1361" t="s">
        <v>4325</v>
      </c>
      <c r="F2726" s="1360" t="s">
        <v>546</v>
      </c>
      <c r="G2726" s="1362">
        <v>523500</v>
      </c>
      <c r="H2726" s="1363" t="s">
        <v>6899</v>
      </c>
    </row>
    <row r="2727" spans="2:8" x14ac:dyDescent="0.25">
      <c r="B2727" s="1358" t="s">
        <v>6897</v>
      </c>
      <c r="C2727" s="1359" t="s">
        <v>6805</v>
      </c>
      <c r="D2727" s="1360">
        <v>12508</v>
      </c>
      <c r="E2727" s="1361" t="s">
        <v>4326</v>
      </c>
      <c r="F2727" s="1360" t="s">
        <v>266</v>
      </c>
      <c r="G2727" s="1362">
        <v>22425</v>
      </c>
      <c r="H2727" s="1363" t="s">
        <v>6899</v>
      </c>
    </row>
    <row r="2728" spans="2:8" x14ac:dyDescent="0.25">
      <c r="B2728" s="1358" t="s">
        <v>6897</v>
      </c>
      <c r="C2728" s="1359" t="s">
        <v>6902</v>
      </c>
      <c r="D2728" s="1360">
        <v>12509</v>
      </c>
      <c r="E2728" s="1361" t="s">
        <v>4327</v>
      </c>
      <c r="F2728" s="1360" t="s">
        <v>3539</v>
      </c>
      <c r="G2728" s="1362">
        <v>209440</v>
      </c>
      <c r="H2728" s="1363" t="s">
        <v>3538</v>
      </c>
    </row>
    <row r="2729" spans="2:8" x14ac:dyDescent="0.25">
      <c r="B2729" s="1358" t="s">
        <v>6897</v>
      </c>
      <c r="C2729" s="1359" t="s">
        <v>6902</v>
      </c>
      <c r="D2729" s="1360">
        <v>12510</v>
      </c>
      <c r="E2729" s="1361" t="s">
        <v>4328</v>
      </c>
      <c r="F2729" s="1360" t="s">
        <v>3539</v>
      </c>
      <c r="G2729" s="1362">
        <v>209440</v>
      </c>
      <c r="H2729" s="1363" t="s">
        <v>3538</v>
      </c>
    </row>
    <row r="2730" spans="2:8" x14ac:dyDescent="0.25">
      <c r="B2730" s="1358" t="s">
        <v>6897</v>
      </c>
      <c r="C2730" s="1359" t="s">
        <v>7007</v>
      </c>
      <c r="D2730" s="1360">
        <v>12511</v>
      </c>
      <c r="E2730" s="1361" t="s">
        <v>4329</v>
      </c>
      <c r="F2730" s="1360" t="s">
        <v>266</v>
      </c>
      <c r="G2730" s="1362">
        <v>1080695</v>
      </c>
      <c r="H2730" s="1363" t="s">
        <v>3538</v>
      </c>
    </row>
    <row r="2731" spans="2:8" x14ac:dyDescent="0.25">
      <c r="B2731" s="1358" t="s">
        <v>6897</v>
      </c>
      <c r="C2731" s="1359" t="s">
        <v>6805</v>
      </c>
      <c r="D2731" s="1360">
        <v>12512</v>
      </c>
      <c r="E2731" s="1361" t="s">
        <v>4330</v>
      </c>
      <c r="F2731" s="1360" t="s">
        <v>266</v>
      </c>
      <c r="G2731" s="1362">
        <v>109160</v>
      </c>
      <c r="H2731" s="1363" t="s">
        <v>6899</v>
      </c>
    </row>
    <row r="2732" spans="2:8" x14ac:dyDescent="0.25">
      <c r="B2732" s="1358" t="s">
        <v>6897</v>
      </c>
      <c r="C2732" s="1359" t="s">
        <v>6805</v>
      </c>
      <c r="D2732" s="1360">
        <v>12513</v>
      </c>
      <c r="E2732" s="1361" t="s">
        <v>4331</v>
      </c>
      <c r="F2732" s="1360" t="s">
        <v>93</v>
      </c>
      <c r="G2732" s="1362">
        <v>2200</v>
      </c>
      <c r="H2732" s="1363" t="s">
        <v>6899</v>
      </c>
    </row>
    <row r="2733" spans="2:8" x14ac:dyDescent="0.25">
      <c r="B2733" s="1358" t="s">
        <v>6897</v>
      </c>
      <c r="C2733" s="1359" t="s">
        <v>6805</v>
      </c>
      <c r="D2733" s="1360">
        <v>12514</v>
      </c>
      <c r="E2733" s="1361" t="s">
        <v>4332</v>
      </c>
      <c r="F2733" s="1360" t="s">
        <v>1155</v>
      </c>
      <c r="G2733" s="1362">
        <v>21849</v>
      </c>
      <c r="H2733" s="1363" t="s">
        <v>6899</v>
      </c>
    </row>
    <row r="2734" spans="2:8" x14ac:dyDescent="0.25">
      <c r="B2734" s="1358" t="s">
        <v>6897</v>
      </c>
      <c r="C2734" s="1359" t="s">
        <v>6805</v>
      </c>
      <c r="D2734" s="1360">
        <v>12515</v>
      </c>
      <c r="E2734" s="1361" t="s">
        <v>4333</v>
      </c>
      <c r="F2734" s="1360" t="s">
        <v>563</v>
      </c>
      <c r="G2734" s="1362">
        <v>300000</v>
      </c>
      <c r="H2734" s="1363" t="s">
        <v>6899</v>
      </c>
    </row>
    <row r="2735" spans="2:8" x14ac:dyDescent="0.25">
      <c r="B2735" s="1358" t="s">
        <v>6897</v>
      </c>
      <c r="C2735" s="1359" t="s">
        <v>6805</v>
      </c>
      <c r="D2735" s="1360">
        <v>12516</v>
      </c>
      <c r="E2735" s="1361" t="s">
        <v>4334</v>
      </c>
      <c r="F2735" s="1360" t="s">
        <v>266</v>
      </c>
      <c r="G2735" s="1362">
        <v>12900</v>
      </c>
      <c r="H2735" s="1363" t="s">
        <v>6899</v>
      </c>
    </row>
    <row r="2736" spans="2:8" x14ac:dyDescent="0.25">
      <c r="B2736" s="1358" t="s">
        <v>6897</v>
      </c>
      <c r="C2736" s="1359" t="s">
        <v>6805</v>
      </c>
      <c r="D2736" s="1360">
        <v>12517</v>
      </c>
      <c r="E2736" s="1361" t="s">
        <v>4335</v>
      </c>
      <c r="F2736" s="1360" t="s">
        <v>266</v>
      </c>
      <c r="G2736" s="1362">
        <v>6471</v>
      </c>
      <c r="H2736" s="1363" t="s">
        <v>6899</v>
      </c>
    </row>
    <row r="2737" spans="2:8" x14ac:dyDescent="0.25">
      <c r="B2737" s="1358" t="s">
        <v>6897</v>
      </c>
      <c r="C2737" s="1359" t="s">
        <v>6805</v>
      </c>
      <c r="D2737" s="1360">
        <v>12518</v>
      </c>
      <c r="E2737" s="1361" t="s">
        <v>4336</v>
      </c>
      <c r="F2737" s="1360" t="s">
        <v>266</v>
      </c>
      <c r="G2737" s="1362">
        <v>835743</v>
      </c>
      <c r="H2737" s="1363" t="s">
        <v>6899</v>
      </c>
    </row>
    <row r="2738" spans="2:8" x14ac:dyDescent="0.25">
      <c r="B2738" s="1358" t="s">
        <v>6897</v>
      </c>
      <c r="C2738" s="1359" t="s">
        <v>7122</v>
      </c>
      <c r="D2738" s="1360">
        <v>12519</v>
      </c>
      <c r="E2738" s="1361" t="s">
        <v>4337</v>
      </c>
      <c r="F2738" s="1360" t="s">
        <v>3</v>
      </c>
      <c r="G2738" s="1362">
        <v>311880</v>
      </c>
      <c r="H2738" s="1363" t="s">
        <v>6899</v>
      </c>
    </row>
    <row r="2739" spans="2:8" x14ac:dyDescent="0.25">
      <c r="B2739" s="1358" t="s">
        <v>6897</v>
      </c>
      <c r="C2739" s="1359" t="s">
        <v>6805</v>
      </c>
      <c r="D2739" s="1360">
        <v>12520</v>
      </c>
      <c r="E2739" s="1361" t="s">
        <v>4338</v>
      </c>
      <c r="F2739" s="1360" t="s">
        <v>266</v>
      </c>
      <c r="G2739" s="1362">
        <v>282</v>
      </c>
      <c r="H2739" s="1363" t="s">
        <v>6899</v>
      </c>
    </row>
    <row r="2740" spans="2:8" x14ac:dyDescent="0.25">
      <c r="B2740" s="1358" t="s">
        <v>6897</v>
      </c>
      <c r="C2740" s="1359" t="s">
        <v>6805</v>
      </c>
      <c r="D2740" s="1360">
        <v>12521</v>
      </c>
      <c r="E2740" s="1361" t="s">
        <v>4339</v>
      </c>
      <c r="F2740" s="1360" t="s">
        <v>266</v>
      </c>
      <c r="G2740" s="1362">
        <v>521</v>
      </c>
      <c r="H2740" s="1363" t="s">
        <v>6899</v>
      </c>
    </row>
    <row r="2741" spans="2:8" x14ac:dyDescent="0.25">
      <c r="B2741" s="1358" t="s">
        <v>6897</v>
      </c>
      <c r="C2741" s="1359" t="s">
        <v>6805</v>
      </c>
      <c r="D2741" s="1360">
        <v>12522</v>
      </c>
      <c r="E2741" s="1361" t="s">
        <v>4340</v>
      </c>
      <c r="F2741" s="1360" t="s">
        <v>266</v>
      </c>
      <c r="G2741" s="1362">
        <v>49777</v>
      </c>
      <c r="H2741" s="1363" t="s">
        <v>6899</v>
      </c>
    </row>
    <row r="2742" spans="2:8" x14ac:dyDescent="0.25">
      <c r="B2742" s="1358" t="s">
        <v>6897</v>
      </c>
      <c r="C2742" s="1359" t="s">
        <v>6805</v>
      </c>
      <c r="D2742" s="1360">
        <v>12523</v>
      </c>
      <c r="E2742" s="1361" t="s">
        <v>4341</v>
      </c>
      <c r="F2742" s="1360" t="s">
        <v>266</v>
      </c>
      <c r="G2742" s="1362">
        <v>59680</v>
      </c>
      <c r="H2742" s="1363" t="s">
        <v>6899</v>
      </c>
    </row>
    <row r="2743" spans="2:8" x14ac:dyDescent="0.25">
      <c r="B2743" s="1358" t="s">
        <v>6897</v>
      </c>
      <c r="C2743" s="1359" t="s">
        <v>6805</v>
      </c>
      <c r="D2743" s="1360">
        <v>12524</v>
      </c>
      <c r="E2743" s="1361" t="s">
        <v>4342</v>
      </c>
      <c r="F2743" s="1360" t="s">
        <v>93</v>
      </c>
      <c r="G2743" s="1362">
        <v>8824</v>
      </c>
      <c r="H2743" s="1363" t="s">
        <v>6899</v>
      </c>
    </row>
    <row r="2744" spans="2:8" x14ac:dyDescent="0.25">
      <c r="B2744" s="1358" t="s">
        <v>6897</v>
      </c>
      <c r="C2744" s="1359" t="s">
        <v>6805</v>
      </c>
      <c r="D2744" s="1360">
        <v>12525</v>
      </c>
      <c r="E2744" s="1361" t="s">
        <v>4343</v>
      </c>
      <c r="F2744" s="1360" t="s">
        <v>266</v>
      </c>
      <c r="G2744" s="1362">
        <v>117563</v>
      </c>
      <c r="H2744" s="1363" t="s">
        <v>6899</v>
      </c>
    </row>
    <row r="2745" spans="2:8" x14ac:dyDescent="0.25">
      <c r="B2745" s="1358" t="s">
        <v>6897</v>
      </c>
      <c r="C2745" s="1359" t="s">
        <v>6805</v>
      </c>
      <c r="D2745" s="1360">
        <v>12526</v>
      </c>
      <c r="E2745" s="1361" t="s">
        <v>4344</v>
      </c>
      <c r="F2745" s="1360" t="s">
        <v>93</v>
      </c>
      <c r="G2745" s="1362">
        <v>25</v>
      </c>
      <c r="H2745" s="1363" t="s">
        <v>6899</v>
      </c>
    </row>
    <row r="2746" spans="2:8" x14ac:dyDescent="0.25">
      <c r="B2746" s="1358" t="s">
        <v>6897</v>
      </c>
      <c r="C2746" s="1359" t="s">
        <v>7038</v>
      </c>
      <c r="D2746" s="1360">
        <v>12668</v>
      </c>
      <c r="E2746" s="1361" t="s">
        <v>4345</v>
      </c>
      <c r="F2746" s="1360" t="s">
        <v>12</v>
      </c>
      <c r="G2746" s="1362">
        <v>1441447</v>
      </c>
      <c r="H2746" s="1363" t="s">
        <v>3538</v>
      </c>
    </row>
    <row r="2747" spans="2:8" x14ac:dyDescent="0.25">
      <c r="B2747" s="1358" t="s">
        <v>6897</v>
      </c>
      <c r="C2747" s="1359" t="s">
        <v>7038</v>
      </c>
      <c r="D2747" s="1360">
        <v>12669</v>
      </c>
      <c r="E2747" s="1361" t="s">
        <v>4346</v>
      </c>
      <c r="F2747" s="1360" t="s">
        <v>13</v>
      </c>
      <c r="G2747" s="1362">
        <v>815150</v>
      </c>
      <c r="H2747" s="1363" t="s">
        <v>3538</v>
      </c>
    </row>
    <row r="2748" spans="2:8" x14ac:dyDescent="0.25">
      <c r="B2748" s="1358" t="s">
        <v>6897</v>
      </c>
      <c r="C2748" s="1359" t="s">
        <v>7038</v>
      </c>
      <c r="D2748" s="1360">
        <v>12670</v>
      </c>
      <c r="E2748" s="1361" t="s">
        <v>4347</v>
      </c>
      <c r="F2748" s="1360" t="s">
        <v>13</v>
      </c>
      <c r="G2748" s="1362">
        <v>145436</v>
      </c>
      <c r="H2748" s="1363" t="s">
        <v>3538</v>
      </c>
    </row>
    <row r="2749" spans="2:8" x14ac:dyDescent="0.25">
      <c r="B2749" s="1358" t="s">
        <v>6897</v>
      </c>
      <c r="C2749" s="1359" t="s">
        <v>7061</v>
      </c>
      <c r="D2749" s="1360">
        <v>12744</v>
      </c>
      <c r="E2749" s="1361" t="s">
        <v>4348</v>
      </c>
      <c r="F2749" s="1360" t="s">
        <v>13</v>
      </c>
      <c r="G2749" s="1362">
        <v>743387</v>
      </c>
      <c r="H2749" s="1363" t="s">
        <v>3538</v>
      </c>
    </row>
    <row r="2750" spans="2:8" x14ac:dyDescent="0.25">
      <c r="B2750" s="1358" t="s">
        <v>6897</v>
      </c>
      <c r="C2750" s="1359" t="s">
        <v>7061</v>
      </c>
      <c r="D2750" s="1360">
        <v>12745</v>
      </c>
      <c r="E2750" s="1361" t="s">
        <v>4349</v>
      </c>
      <c r="F2750" s="1360" t="s">
        <v>13</v>
      </c>
      <c r="G2750" s="1362">
        <v>743387</v>
      </c>
      <c r="H2750" s="1363" t="s">
        <v>3538</v>
      </c>
    </row>
    <row r="2751" spans="2:8" x14ac:dyDescent="0.25">
      <c r="B2751" s="1358" t="s">
        <v>6897</v>
      </c>
      <c r="C2751" s="1359" t="s">
        <v>7061</v>
      </c>
      <c r="D2751" s="1360">
        <v>12746</v>
      </c>
      <c r="E2751" s="1361" t="s">
        <v>4350</v>
      </c>
      <c r="F2751" s="1360" t="s">
        <v>13</v>
      </c>
      <c r="G2751" s="1362">
        <v>810188</v>
      </c>
      <c r="H2751" s="1363" t="s">
        <v>3538</v>
      </c>
    </row>
    <row r="2752" spans="2:8" x14ac:dyDescent="0.25">
      <c r="B2752" s="1358" t="s">
        <v>6897</v>
      </c>
      <c r="C2752" s="1359" t="s">
        <v>7061</v>
      </c>
      <c r="D2752" s="1360">
        <v>12747</v>
      </c>
      <c r="E2752" s="1361" t="s">
        <v>4351</v>
      </c>
      <c r="F2752" s="1360" t="s">
        <v>13</v>
      </c>
      <c r="G2752" s="1362">
        <v>1373519</v>
      </c>
      <c r="H2752" s="1363" t="s">
        <v>3538</v>
      </c>
    </row>
    <row r="2753" spans="2:8" x14ac:dyDescent="0.25">
      <c r="B2753" s="1358" t="s">
        <v>6897</v>
      </c>
      <c r="C2753" s="1359" t="s">
        <v>7061</v>
      </c>
      <c r="D2753" s="1360">
        <v>12748</v>
      </c>
      <c r="E2753" s="1361" t="s">
        <v>4352</v>
      </c>
      <c r="F2753" s="1360" t="s">
        <v>13</v>
      </c>
      <c r="G2753" s="1362">
        <v>2165567</v>
      </c>
      <c r="H2753" s="1363" t="s">
        <v>3538</v>
      </c>
    </row>
    <row r="2754" spans="2:8" x14ac:dyDescent="0.25">
      <c r="B2754" s="1358" t="s">
        <v>6897</v>
      </c>
      <c r="C2754" s="1359" t="s">
        <v>7061</v>
      </c>
      <c r="D2754" s="1360">
        <v>12778</v>
      </c>
      <c r="E2754" s="1361" t="s">
        <v>4353</v>
      </c>
      <c r="F2754" s="1360" t="s">
        <v>13</v>
      </c>
      <c r="G2754" s="1362">
        <v>2048267</v>
      </c>
      <c r="H2754" s="1363" t="s">
        <v>3538</v>
      </c>
    </row>
    <row r="2755" spans="2:8" x14ac:dyDescent="0.25">
      <c r="B2755" s="1358" t="s">
        <v>6897</v>
      </c>
      <c r="C2755" s="1359" t="s">
        <v>7006</v>
      </c>
      <c r="D2755" s="1360">
        <v>12781</v>
      </c>
      <c r="E2755" s="1361" t="s">
        <v>4354</v>
      </c>
      <c r="F2755" s="1360" t="s">
        <v>1124</v>
      </c>
      <c r="G2755" s="1362">
        <v>208000</v>
      </c>
      <c r="H2755" s="1363" t="s">
        <v>3548</v>
      </c>
    </row>
    <row r="2756" spans="2:8" x14ac:dyDescent="0.25">
      <c r="B2756" s="1358" t="s">
        <v>6897</v>
      </c>
      <c r="C2756" s="1359" t="s">
        <v>7006</v>
      </c>
      <c r="D2756" s="1360">
        <v>12782</v>
      </c>
      <c r="E2756" s="1361" t="s">
        <v>4355</v>
      </c>
      <c r="F2756" s="1360" t="s">
        <v>677</v>
      </c>
      <c r="G2756" s="1362">
        <v>6328000</v>
      </c>
      <c r="H2756" s="1363" t="s">
        <v>3548</v>
      </c>
    </row>
    <row r="2757" spans="2:8" x14ac:dyDescent="0.25">
      <c r="B2757" s="1358" t="s">
        <v>6897</v>
      </c>
      <c r="C2757" s="1359" t="s">
        <v>7006</v>
      </c>
      <c r="D2757" s="1360">
        <v>12783</v>
      </c>
      <c r="E2757" s="1361" t="s">
        <v>4356</v>
      </c>
      <c r="F2757" s="1360" t="s">
        <v>1124</v>
      </c>
      <c r="G2757" s="1362">
        <v>299000</v>
      </c>
      <c r="H2757" s="1363" t="s">
        <v>3548</v>
      </c>
    </row>
    <row r="2758" spans="2:8" x14ac:dyDescent="0.25">
      <c r="B2758" s="1358" t="s">
        <v>6897</v>
      </c>
      <c r="C2758" s="1359" t="s">
        <v>7006</v>
      </c>
      <c r="D2758" s="1360">
        <v>12784</v>
      </c>
      <c r="E2758" s="1361" t="s">
        <v>4357</v>
      </c>
      <c r="F2758" s="1360" t="s">
        <v>677</v>
      </c>
      <c r="G2758" s="1362">
        <v>9077000</v>
      </c>
      <c r="H2758" s="1363" t="s">
        <v>3548</v>
      </c>
    </row>
    <row r="2759" spans="2:8" x14ac:dyDescent="0.25">
      <c r="B2759" s="1358" t="s">
        <v>6897</v>
      </c>
      <c r="C2759" s="1359" t="s">
        <v>7006</v>
      </c>
      <c r="D2759" s="1360">
        <v>12785</v>
      </c>
      <c r="E2759" s="1361" t="s">
        <v>4358</v>
      </c>
      <c r="F2759" s="1360" t="s">
        <v>1124</v>
      </c>
      <c r="G2759" s="1362">
        <v>285000</v>
      </c>
      <c r="H2759" s="1363" t="s">
        <v>3548</v>
      </c>
    </row>
    <row r="2760" spans="2:8" x14ac:dyDescent="0.25">
      <c r="B2760" s="1358" t="s">
        <v>6897</v>
      </c>
      <c r="C2760" s="1359" t="s">
        <v>7006</v>
      </c>
      <c r="D2760" s="1360">
        <v>12786</v>
      </c>
      <c r="E2760" s="1361" t="s">
        <v>4359</v>
      </c>
      <c r="F2760" s="1360" t="s">
        <v>677</v>
      </c>
      <c r="G2760" s="1362">
        <v>8507000</v>
      </c>
      <c r="H2760" s="1363" t="s">
        <v>3548</v>
      </c>
    </row>
    <row r="2761" spans="2:8" x14ac:dyDescent="0.25">
      <c r="B2761" s="1358" t="s">
        <v>6897</v>
      </c>
      <c r="C2761" s="1359" t="s">
        <v>7006</v>
      </c>
      <c r="D2761" s="1360">
        <v>12787</v>
      </c>
      <c r="E2761" s="1361" t="s">
        <v>4360</v>
      </c>
      <c r="F2761" s="1360" t="s">
        <v>1124</v>
      </c>
      <c r="G2761" s="1362">
        <v>412000</v>
      </c>
      <c r="H2761" s="1363" t="s">
        <v>3548</v>
      </c>
    </row>
    <row r="2762" spans="2:8" x14ac:dyDescent="0.25">
      <c r="B2762" s="1358" t="s">
        <v>6897</v>
      </c>
      <c r="C2762" s="1359" t="s">
        <v>7006</v>
      </c>
      <c r="D2762" s="1360">
        <v>12788</v>
      </c>
      <c r="E2762" s="1361" t="s">
        <v>4361</v>
      </c>
      <c r="F2762" s="1360" t="s">
        <v>677</v>
      </c>
      <c r="G2762" s="1362">
        <v>12345000</v>
      </c>
      <c r="H2762" s="1363" t="s">
        <v>3548</v>
      </c>
    </row>
    <row r="2763" spans="2:8" x14ac:dyDescent="0.25">
      <c r="B2763" s="1358" t="s">
        <v>6897</v>
      </c>
      <c r="C2763" s="1359" t="s">
        <v>6805</v>
      </c>
      <c r="D2763" s="1360">
        <v>12830</v>
      </c>
      <c r="E2763" s="1361" t="s">
        <v>4362</v>
      </c>
      <c r="F2763" s="1360" t="s">
        <v>266</v>
      </c>
      <c r="G2763" s="1362">
        <v>282</v>
      </c>
      <c r="H2763" s="1363" t="s">
        <v>6899</v>
      </c>
    </row>
    <row r="2764" spans="2:8" x14ac:dyDescent="0.25">
      <c r="B2764" s="1358" t="s">
        <v>6897</v>
      </c>
      <c r="C2764" s="1359" t="s">
        <v>6805</v>
      </c>
      <c r="D2764" s="1360">
        <v>12831</v>
      </c>
      <c r="E2764" s="1361" t="s">
        <v>4363</v>
      </c>
      <c r="F2764" s="1360" t="s">
        <v>266</v>
      </c>
      <c r="G2764" s="1362">
        <v>521</v>
      </c>
      <c r="H2764" s="1363" t="s">
        <v>6899</v>
      </c>
    </row>
    <row r="2765" spans="2:8" x14ac:dyDescent="0.25">
      <c r="B2765" s="1358" t="s">
        <v>6897</v>
      </c>
      <c r="C2765" s="1359" t="s">
        <v>6805</v>
      </c>
      <c r="D2765" s="1360">
        <v>12832</v>
      </c>
      <c r="E2765" s="1361" t="s">
        <v>4364</v>
      </c>
      <c r="F2765" s="1360" t="s">
        <v>1155</v>
      </c>
      <c r="G2765" s="1362">
        <v>21849</v>
      </c>
      <c r="H2765" s="1363" t="s">
        <v>6899</v>
      </c>
    </row>
    <row r="2766" spans="2:8" x14ac:dyDescent="0.25">
      <c r="B2766" s="1358" t="s">
        <v>6897</v>
      </c>
      <c r="C2766" s="1359" t="s">
        <v>6805</v>
      </c>
      <c r="D2766" s="1360">
        <v>12833</v>
      </c>
      <c r="E2766" s="1361" t="s">
        <v>4365</v>
      </c>
      <c r="F2766" s="1360" t="s">
        <v>563</v>
      </c>
      <c r="G2766" s="1362">
        <v>300000</v>
      </c>
      <c r="H2766" s="1363" t="s">
        <v>6899</v>
      </c>
    </row>
    <row r="2767" spans="2:8" x14ac:dyDescent="0.25">
      <c r="B2767" s="1358" t="s">
        <v>6897</v>
      </c>
      <c r="C2767" s="1359" t="s">
        <v>6805</v>
      </c>
      <c r="D2767" s="1360">
        <v>12834</v>
      </c>
      <c r="E2767" s="1361" t="s">
        <v>4366</v>
      </c>
      <c r="F2767" s="1360" t="s">
        <v>266</v>
      </c>
      <c r="G2767" s="1362">
        <v>6471</v>
      </c>
      <c r="H2767" s="1363" t="s">
        <v>6899</v>
      </c>
    </row>
    <row r="2768" spans="2:8" x14ac:dyDescent="0.25">
      <c r="B2768" s="1358" t="s">
        <v>6897</v>
      </c>
      <c r="C2768" s="1359" t="s">
        <v>6805</v>
      </c>
      <c r="D2768" s="1360">
        <v>12835</v>
      </c>
      <c r="E2768" s="1361" t="s">
        <v>4367</v>
      </c>
      <c r="F2768" s="1360" t="s">
        <v>266</v>
      </c>
      <c r="G2768" s="1362">
        <v>117563</v>
      </c>
      <c r="H2768" s="1363" t="s">
        <v>6899</v>
      </c>
    </row>
    <row r="2769" spans="2:8" x14ac:dyDescent="0.25">
      <c r="B2769" s="1358" t="s">
        <v>6897</v>
      </c>
      <c r="C2769" s="1359" t="s">
        <v>7122</v>
      </c>
      <c r="D2769" s="1360">
        <v>12836</v>
      </c>
      <c r="E2769" s="1361" t="s">
        <v>4368</v>
      </c>
      <c r="F2769" s="1360" t="s">
        <v>3</v>
      </c>
      <c r="G2769" s="1362">
        <v>311880</v>
      </c>
      <c r="H2769" s="1363" t="s">
        <v>6899</v>
      </c>
    </row>
    <row r="2770" spans="2:8" x14ac:dyDescent="0.25">
      <c r="B2770" s="1358" t="s">
        <v>6897</v>
      </c>
      <c r="C2770" s="1359" t="s">
        <v>6805</v>
      </c>
      <c r="D2770" s="1360">
        <v>12837</v>
      </c>
      <c r="E2770" s="1361" t="s">
        <v>4369</v>
      </c>
      <c r="F2770" s="1360" t="s">
        <v>266</v>
      </c>
      <c r="G2770" s="1362">
        <v>835743</v>
      </c>
      <c r="H2770" s="1363" t="s">
        <v>6899</v>
      </c>
    </row>
    <row r="2771" spans="2:8" x14ac:dyDescent="0.25">
      <c r="B2771" s="1358" t="s">
        <v>6897</v>
      </c>
      <c r="C2771" s="1359" t="s">
        <v>6805</v>
      </c>
      <c r="D2771" s="1360">
        <v>12838</v>
      </c>
      <c r="E2771" s="1361" t="s">
        <v>4370</v>
      </c>
      <c r="F2771" s="1360" t="s">
        <v>93</v>
      </c>
      <c r="G2771" s="1362">
        <v>8824</v>
      </c>
      <c r="H2771" s="1363" t="s">
        <v>6899</v>
      </c>
    </row>
    <row r="2772" spans="2:8" x14ac:dyDescent="0.25">
      <c r="B2772" s="1358" t="s">
        <v>6897</v>
      </c>
      <c r="C2772" s="1359" t="s">
        <v>6805</v>
      </c>
      <c r="D2772" s="1360">
        <v>12839</v>
      </c>
      <c r="E2772" s="1361" t="s">
        <v>4371</v>
      </c>
      <c r="F2772" s="1360" t="s">
        <v>266</v>
      </c>
      <c r="G2772" s="1362">
        <v>49777</v>
      </c>
      <c r="H2772" s="1363" t="s">
        <v>6899</v>
      </c>
    </row>
    <row r="2773" spans="2:8" x14ac:dyDescent="0.25">
      <c r="B2773" s="1358" t="s">
        <v>6897</v>
      </c>
      <c r="C2773" s="1359" t="s">
        <v>6910</v>
      </c>
      <c r="D2773" s="1360">
        <v>12895</v>
      </c>
      <c r="E2773" s="1361" t="s">
        <v>4372</v>
      </c>
      <c r="F2773" s="1360" t="s">
        <v>13</v>
      </c>
      <c r="G2773" s="1362">
        <v>566267</v>
      </c>
      <c r="H2773" s="1363" t="s">
        <v>6899</v>
      </c>
    </row>
    <row r="2774" spans="2:8" x14ac:dyDescent="0.25">
      <c r="B2774" s="1358" t="s">
        <v>6897</v>
      </c>
      <c r="C2774" s="1359" t="s">
        <v>7056</v>
      </c>
      <c r="D2774" s="1360">
        <v>12896</v>
      </c>
      <c r="E2774" s="1361" t="s">
        <v>7123</v>
      </c>
      <c r="F2774" s="1360" t="s">
        <v>13</v>
      </c>
      <c r="G2774" s="1362">
        <v>4957999</v>
      </c>
      <c r="H2774" s="1363" t="s">
        <v>3538</v>
      </c>
    </row>
    <row r="2775" spans="2:8" x14ac:dyDescent="0.25">
      <c r="B2775" s="1358" t="s">
        <v>6897</v>
      </c>
      <c r="C2775" s="1359" t="s">
        <v>6912</v>
      </c>
      <c r="D2775" s="1360">
        <v>12918</v>
      </c>
      <c r="E2775" s="1361" t="s">
        <v>4373</v>
      </c>
      <c r="F2775" s="1360" t="s">
        <v>202</v>
      </c>
      <c r="G2775" s="1362">
        <v>15105</v>
      </c>
      <c r="H2775" s="1363" t="s">
        <v>6899</v>
      </c>
    </row>
    <row r="2776" spans="2:8" x14ac:dyDescent="0.25">
      <c r="B2776" s="1358" t="s">
        <v>6897</v>
      </c>
      <c r="C2776" s="1359" t="s">
        <v>6902</v>
      </c>
      <c r="D2776" s="1360">
        <v>12919</v>
      </c>
      <c r="E2776" s="1361" t="s">
        <v>4374</v>
      </c>
      <c r="F2776" s="1360" t="s">
        <v>677</v>
      </c>
      <c r="G2776" s="1362">
        <v>3403</v>
      </c>
      <c r="H2776" s="1363" t="s">
        <v>3538</v>
      </c>
    </row>
    <row r="2777" spans="2:8" x14ac:dyDescent="0.25">
      <c r="B2777" s="1358" t="s">
        <v>6897</v>
      </c>
      <c r="C2777" s="1359" t="s">
        <v>6902</v>
      </c>
      <c r="D2777" s="1360">
        <v>12920</v>
      </c>
      <c r="E2777" s="1361" t="s">
        <v>4375</v>
      </c>
      <c r="F2777" s="1360" t="s">
        <v>1124</v>
      </c>
      <c r="G2777" s="1362">
        <v>67285</v>
      </c>
      <c r="H2777" s="1363" t="s">
        <v>3538</v>
      </c>
    </row>
    <row r="2778" spans="2:8" x14ac:dyDescent="0.25">
      <c r="B2778" s="1358" t="s">
        <v>6897</v>
      </c>
      <c r="C2778" s="1359" t="s">
        <v>6940</v>
      </c>
      <c r="D2778" s="1360">
        <v>12925</v>
      </c>
      <c r="E2778" s="1361" t="s">
        <v>4376</v>
      </c>
      <c r="F2778" s="1360" t="s">
        <v>266</v>
      </c>
      <c r="G2778" s="1362">
        <v>85680</v>
      </c>
      <c r="H2778" s="1363" t="s">
        <v>6899</v>
      </c>
    </row>
    <row r="2779" spans="2:8" x14ac:dyDescent="0.25">
      <c r="B2779" s="1358" t="s">
        <v>6897</v>
      </c>
      <c r="C2779" s="1359" t="s">
        <v>6943</v>
      </c>
      <c r="D2779" s="1360">
        <v>12926</v>
      </c>
      <c r="E2779" s="1361" t="s">
        <v>4377</v>
      </c>
      <c r="F2779" s="1360" t="s">
        <v>266</v>
      </c>
      <c r="G2779" s="1362">
        <v>18802</v>
      </c>
      <c r="H2779" s="1363" t="s">
        <v>6899</v>
      </c>
    </row>
    <row r="2780" spans="2:8" x14ac:dyDescent="0.25">
      <c r="B2780" s="1358" t="s">
        <v>6897</v>
      </c>
      <c r="C2780" s="1359" t="s">
        <v>6943</v>
      </c>
      <c r="D2780" s="1360">
        <v>12927</v>
      </c>
      <c r="E2780" s="1361" t="s">
        <v>4378</v>
      </c>
      <c r="F2780" s="1360" t="s">
        <v>1124</v>
      </c>
      <c r="G2780" s="1362">
        <v>595000</v>
      </c>
      <c r="H2780" s="1363" t="s">
        <v>6899</v>
      </c>
    </row>
    <row r="2781" spans="2:8" x14ac:dyDescent="0.25">
      <c r="B2781" s="1358" t="s">
        <v>6897</v>
      </c>
      <c r="C2781" s="1359" t="s">
        <v>7124</v>
      </c>
      <c r="D2781" s="1360">
        <v>13188</v>
      </c>
      <c r="E2781" s="1361" t="s">
        <v>4379</v>
      </c>
      <c r="F2781" s="1360" t="s">
        <v>2021</v>
      </c>
      <c r="G2781" s="1362">
        <v>368424</v>
      </c>
      <c r="H2781" s="1363" t="s">
        <v>6899</v>
      </c>
    </row>
    <row r="2782" spans="2:8" x14ac:dyDescent="0.25">
      <c r="B2782" s="1358" t="s">
        <v>6897</v>
      </c>
      <c r="C2782" s="1359" t="s">
        <v>7125</v>
      </c>
      <c r="D2782" s="1360">
        <v>13189</v>
      </c>
      <c r="E2782" s="1361" t="s">
        <v>4380</v>
      </c>
      <c r="F2782" s="1360" t="s">
        <v>4381</v>
      </c>
      <c r="G2782" s="1362">
        <v>34658750</v>
      </c>
      <c r="H2782" s="1363" t="s">
        <v>6899</v>
      </c>
    </row>
    <row r="2783" spans="2:8" x14ac:dyDescent="0.25">
      <c r="B2783" s="1358" t="s">
        <v>6897</v>
      </c>
      <c r="C2783" s="1359" t="s">
        <v>7112</v>
      </c>
      <c r="D2783" s="1360">
        <v>13190</v>
      </c>
      <c r="E2783" s="1361" t="s">
        <v>4382</v>
      </c>
      <c r="F2783" s="1360" t="s">
        <v>266</v>
      </c>
      <c r="G2783" s="1362">
        <v>10317300</v>
      </c>
      <c r="H2783" s="1363" t="s">
        <v>3538</v>
      </c>
    </row>
    <row r="2784" spans="2:8" x14ac:dyDescent="0.25">
      <c r="B2784" s="1358" t="s">
        <v>6897</v>
      </c>
      <c r="C2784" s="1359" t="s">
        <v>7125</v>
      </c>
      <c r="D2784" s="1360">
        <v>13191</v>
      </c>
      <c r="E2784" s="1361" t="s">
        <v>4383</v>
      </c>
      <c r="F2784" s="1360" t="s">
        <v>266</v>
      </c>
      <c r="G2784" s="1362">
        <v>11900000</v>
      </c>
      <c r="H2784" s="1363" t="s">
        <v>6899</v>
      </c>
    </row>
    <row r="2785" spans="2:8" x14ac:dyDescent="0.25">
      <c r="B2785" s="1358" t="s">
        <v>6897</v>
      </c>
      <c r="C2785" s="1359" t="s">
        <v>6915</v>
      </c>
      <c r="D2785" s="1360">
        <v>13221</v>
      </c>
      <c r="E2785" s="1361" t="s">
        <v>4384</v>
      </c>
      <c r="F2785" s="1360" t="s">
        <v>12</v>
      </c>
      <c r="G2785" s="1362">
        <v>136138</v>
      </c>
      <c r="H2785" s="1363" t="s">
        <v>6899</v>
      </c>
    </row>
    <row r="2786" spans="2:8" x14ac:dyDescent="0.25">
      <c r="B2786" s="1358" t="s">
        <v>6897</v>
      </c>
      <c r="C2786" s="1359" t="s">
        <v>7067</v>
      </c>
      <c r="D2786" s="1360">
        <v>13222</v>
      </c>
      <c r="E2786" s="1361" t="s">
        <v>4385</v>
      </c>
      <c r="F2786" s="1360" t="s">
        <v>490</v>
      </c>
      <c r="G2786" s="1362">
        <v>5355000</v>
      </c>
      <c r="H2786" s="1363" t="s">
        <v>6899</v>
      </c>
    </row>
    <row r="2787" spans="2:8" x14ac:dyDescent="0.25">
      <c r="B2787" s="1358" t="s">
        <v>6897</v>
      </c>
      <c r="C2787" s="1359" t="s">
        <v>6926</v>
      </c>
      <c r="D2787" s="1360">
        <v>13249</v>
      </c>
      <c r="E2787" s="1361" t="s">
        <v>4386</v>
      </c>
      <c r="F2787" s="1360" t="s">
        <v>3</v>
      </c>
      <c r="G2787" s="1362">
        <v>776266</v>
      </c>
      <c r="H2787" s="1363" t="s">
        <v>6899</v>
      </c>
    </row>
    <row r="2788" spans="2:8" x14ac:dyDescent="0.25">
      <c r="B2788" s="1358" t="s">
        <v>6897</v>
      </c>
      <c r="C2788" s="1359" t="s">
        <v>6926</v>
      </c>
      <c r="D2788" s="1360">
        <v>13250</v>
      </c>
      <c r="E2788" s="1361" t="s">
        <v>4387</v>
      </c>
      <c r="F2788" s="1360" t="s">
        <v>3</v>
      </c>
      <c r="G2788" s="1362">
        <v>758679</v>
      </c>
      <c r="H2788" s="1363" t="s">
        <v>6899</v>
      </c>
    </row>
    <row r="2789" spans="2:8" x14ac:dyDescent="0.25">
      <c r="B2789" s="1358" t="s">
        <v>6897</v>
      </c>
      <c r="C2789" s="1359" t="s">
        <v>6926</v>
      </c>
      <c r="D2789" s="1360">
        <v>13251</v>
      </c>
      <c r="E2789" s="1361" t="s">
        <v>4388</v>
      </c>
      <c r="F2789" s="1360" t="s">
        <v>3</v>
      </c>
      <c r="G2789" s="1362">
        <v>1142561</v>
      </c>
      <c r="H2789" s="1363" t="s">
        <v>6899</v>
      </c>
    </row>
    <row r="2790" spans="2:8" x14ac:dyDescent="0.25">
      <c r="B2790" s="1358" t="s">
        <v>6897</v>
      </c>
      <c r="C2790" s="1359" t="s">
        <v>6905</v>
      </c>
      <c r="D2790" s="1360">
        <v>13300</v>
      </c>
      <c r="E2790" s="1361" t="s">
        <v>4389</v>
      </c>
      <c r="F2790" s="1360" t="s">
        <v>3</v>
      </c>
      <c r="G2790" s="1362">
        <v>89726</v>
      </c>
      <c r="H2790" s="1363" t="s">
        <v>6899</v>
      </c>
    </row>
    <row r="2791" spans="2:8" x14ac:dyDescent="0.25">
      <c r="B2791" s="1358" t="s">
        <v>6897</v>
      </c>
      <c r="C2791" s="1359" t="s">
        <v>6994</v>
      </c>
      <c r="D2791" s="1360">
        <v>13302</v>
      </c>
      <c r="E2791" s="1361" t="s">
        <v>4390</v>
      </c>
      <c r="F2791" s="1360" t="s">
        <v>266</v>
      </c>
      <c r="G2791" s="1362">
        <v>6723500</v>
      </c>
      <c r="H2791" s="1363" t="s">
        <v>3538</v>
      </c>
    </row>
    <row r="2792" spans="2:8" x14ac:dyDescent="0.25">
      <c r="B2792" s="1358" t="s">
        <v>6897</v>
      </c>
      <c r="C2792" s="1359" t="s">
        <v>6994</v>
      </c>
      <c r="D2792" s="1360">
        <v>13303</v>
      </c>
      <c r="E2792" s="1361" t="s">
        <v>4391</v>
      </c>
      <c r="F2792" s="1360" t="s">
        <v>266</v>
      </c>
      <c r="G2792" s="1362">
        <v>9163000</v>
      </c>
      <c r="H2792" s="1363" t="s">
        <v>3538</v>
      </c>
    </row>
    <row r="2793" spans="2:8" x14ac:dyDescent="0.25">
      <c r="B2793" s="1358" t="s">
        <v>6897</v>
      </c>
      <c r="C2793" s="1359" t="s">
        <v>6900</v>
      </c>
      <c r="D2793" s="1360">
        <v>13318</v>
      </c>
      <c r="E2793" s="1361" t="s">
        <v>4392</v>
      </c>
      <c r="F2793" s="1360" t="s">
        <v>202</v>
      </c>
      <c r="G2793" s="1362">
        <v>232783</v>
      </c>
      <c r="H2793" s="1363" t="s">
        <v>6899</v>
      </c>
    </row>
    <row r="2794" spans="2:8" x14ac:dyDescent="0.25">
      <c r="B2794" s="1358" t="s">
        <v>6897</v>
      </c>
      <c r="C2794" s="1359" t="s">
        <v>7056</v>
      </c>
      <c r="D2794" s="1360">
        <v>13319</v>
      </c>
      <c r="E2794" s="1361" t="s">
        <v>7126</v>
      </c>
      <c r="F2794" s="1360" t="s">
        <v>266</v>
      </c>
      <c r="G2794" s="1362">
        <v>840307</v>
      </c>
      <c r="H2794" s="1363" t="s">
        <v>3548</v>
      </c>
    </row>
    <row r="2795" spans="2:8" x14ac:dyDescent="0.25">
      <c r="B2795" s="1358" t="s">
        <v>6897</v>
      </c>
      <c r="C2795" s="1359" t="s">
        <v>7056</v>
      </c>
      <c r="D2795" s="1360">
        <v>13320</v>
      </c>
      <c r="E2795" s="1361" t="s">
        <v>7127</v>
      </c>
      <c r="F2795" s="1360" t="s">
        <v>266</v>
      </c>
      <c r="G2795" s="1362">
        <v>333010</v>
      </c>
      <c r="H2795" s="1363" t="s">
        <v>3548</v>
      </c>
    </row>
    <row r="2796" spans="2:8" x14ac:dyDescent="0.25">
      <c r="B2796" s="1358" t="s">
        <v>6897</v>
      </c>
      <c r="C2796" s="1359" t="s">
        <v>7056</v>
      </c>
      <c r="D2796" s="1360">
        <v>13321</v>
      </c>
      <c r="E2796" s="1361" t="s">
        <v>7128</v>
      </c>
      <c r="F2796" s="1360" t="s">
        <v>266</v>
      </c>
      <c r="G2796" s="1362">
        <v>2184840</v>
      </c>
      <c r="H2796" s="1363" t="s">
        <v>3548</v>
      </c>
    </row>
    <row r="2797" spans="2:8" x14ac:dyDescent="0.25">
      <c r="B2797" s="1358" t="s">
        <v>6897</v>
      </c>
      <c r="C2797" s="1359" t="s">
        <v>7056</v>
      </c>
      <c r="D2797" s="1360">
        <v>13322</v>
      </c>
      <c r="E2797" s="1361" t="s">
        <v>7129</v>
      </c>
      <c r="F2797" s="1360" t="s">
        <v>266</v>
      </c>
      <c r="G2797" s="1362">
        <v>709216</v>
      </c>
      <c r="H2797" s="1363" t="s">
        <v>3548</v>
      </c>
    </row>
    <row r="2798" spans="2:8" x14ac:dyDescent="0.25">
      <c r="B2798" s="1358" t="s">
        <v>6897</v>
      </c>
      <c r="C2798" s="1359" t="s">
        <v>7056</v>
      </c>
      <c r="D2798" s="1360">
        <v>13323</v>
      </c>
      <c r="E2798" s="1361" t="s">
        <v>7130</v>
      </c>
      <c r="F2798" s="1360" t="s">
        <v>266</v>
      </c>
      <c r="G2798" s="1362">
        <v>419118</v>
      </c>
      <c r="H2798" s="1363" t="s">
        <v>3548</v>
      </c>
    </row>
    <row r="2799" spans="2:8" x14ac:dyDescent="0.25">
      <c r="B2799" s="1358" t="s">
        <v>6897</v>
      </c>
      <c r="C2799" s="1359" t="s">
        <v>7056</v>
      </c>
      <c r="D2799" s="1360">
        <v>13324</v>
      </c>
      <c r="E2799" s="1361" t="s">
        <v>7131</v>
      </c>
      <c r="F2799" s="1360" t="s">
        <v>266</v>
      </c>
      <c r="G2799" s="1362">
        <v>849541</v>
      </c>
      <c r="H2799" s="1363" t="s">
        <v>3548</v>
      </c>
    </row>
    <row r="2800" spans="2:8" x14ac:dyDescent="0.25">
      <c r="B2800" s="1358" t="s">
        <v>6897</v>
      </c>
      <c r="C2800" s="1359" t="s">
        <v>7056</v>
      </c>
      <c r="D2800" s="1360">
        <v>13325</v>
      </c>
      <c r="E2800" s="1361" t="s">
        <v>7132</v>
      </c>
      <c r="F2800" s="1360" t="s">
        <v>266</v>
      </c>
      <c r="G2800" s="1362">
        <v>352121</v>
      </c>
      <c r="H2800" s="1363" t="s">
        <v>3548</v>
      </c>
    </row>
    <row r="2801" spans="2:8" x14ac:dyDescent="0.25">
      <c r="B2801" s="1358" t="s">
        <v>6897</v>
      </c>
      <c r="C2801" s="1359" t="s">
        <v>7056</v>
      </c>
      <c r="D2801" s="1360">
        <v>13326</v>
      </c>
      <c r="E2801" s="1361" t="s">
        <v>7133</v>
      </c>
      <c r="F2801" s="1360" t="s">
        <v>266</v>
      </c>
      <c r="G2801" s="1362">
        <v>189139</v>
      </c>
      <c r="H2801" s="1363" t="s">
        <v>3548</v>
      </c>
    </row>
    <row r="2802" spans="2:8" x14ac:dyDescent="0.25">
      <c r="B2802" s="1358" t="s">
        <v>6897</v>
      </c>
      <c r="C2802" s="1359" t="s">
        <v>7056</v>
      </c>
      <c r="D2802" s="1360">
        <v>13327</v>
      </c>
      <c r="E2802" s="1361" t="s">
        <v>7134</v>
      </c>
      <c r="F2802" s="1360" t="s">
        <v>266</v>
      </c>
      <c r="G2802" s="1362">
        <v>34058</v>
      </c>
      <c r="H2802" s="1363" t="s">
        <v>3548</v>
      </c>
    </row>
    <row r="2803" spans="2:8" x14ac:dyDescent="0.25">
      <c r="B2803" s="1358" t="s">
        <v>6897</v>
      </c>
      <c r="C2803" s="1359" t="s">
        <v>7056</v>
      </c>
      <c r="D2803" s="1360">
        <v>13328</v>
      </c>
      <c r="E2803" s="1361" t="s">
        <v>7135</v>
      </c>
      <c r="F2803" s="1360" t="s">
        <v>266</v>
      </c>
      <c r="G2803" s="1362">
        <v>514508</v>
      </c>
      <c r="H2803" s="1363" t="s">
        <v>3548</v>
      </c>
    </row>
    <row r="2804" spans="2:8" x14ac:dyDescent="0.25">
      <c r="B2804" s="1358" t="s">
        <v>6897</v>
      </c>
      <c r="C2804" s="1359" t="s">
        <v>7056</v>
      </c>
      <c r="D2804" s="1360">
        <v>13329</v>
      </c>
      <c r="E2804" s="1361" t="s">
        <v>7136</v>
      </c>
      <c r="F2804" s="1360" t="s">
        <v>266</v>
      </c>
      <c r="G2804" s="1362">
        <v>1163344</v>
      </c>
      <c r="H2804" s="1363" t="s">
        <v>3548</v>
      </c>
    </row>
    <row r="2805" spans="2:8" x14ac:dyDescent="0.25">
      <c r="B2805" s="1358" t="s">
        <v>6897</v>
      </c>
      <c r="C2805" s="1359" t="s">
        <v>7056</v>
      </c>
      <c r="D2805" s="1360">
        <v>13330</v>
      </c>
      <c r="E2805" s="1361" t="s">
        <v>7137</v>
      </c>
      <c r="F2805" s="1360" t="s">
        <v>266</v>
      </c>
      <c r="G2805" s="1362">
        <v>1606714</v>
      </c>
      <c r="H2805" s="1363" t="s">
        <v>3548</v>
      </c>
    </row>
    <row r="2806" spans="2:8" x14ac:dyDescent="0.25">
      <c r="B2806" s="1358" t="s">
        <v>6897</v>
      </c>
      <c r="C2806" s="1359" t="s">
        <v>7056</v>
      </c>
      <c r="D2806" s="1360">
        <v>13331</v>
      </c>
      <c r="E2806" s="1361" t="s">
        <v>7138</v>
      </c>
      <c r="F2806" s="1360" t="s">
        <v>266</v>
      </c>
      <c r="G2806" s="1362">
        <v>2065745</v>
      </c>
      <c r="H2806" s="1363" t="s">
        <v>3548</v>
      </c>
    </row>
    <row r="2807" spans="2:8" x14ac:dyDescent="0.25">
      <c r="B2807" s="1358" t="s">
        <v>6897</v>
      </c>
      <c r="C2807" s="1359" t="s">
        <v>7056</v>
      </c>
      <c r="D2807" s="1360">
        <v>13332</v>
      </c>
      <c r="E2807" s="1361" t="s">
        <v>7139</v>
      </c>
      <c r="F2807" s="1360" t="s">
        <v>266</v>
      </c>
      <c r="G2807" s="1362">
        <v>665734</v>
      </c>
      <c r="H2807" s="1363" t="s">
        <v>3548</v>
      </c>
    </row>
    <row r="2808" spans="2:8" x14ac:dyDescent="0.25">
      <c r="B2808" s="1358" t="s">
        <v>6897</v>
      </c>
      <c r="C2808" s="1359" t="s">
        <v>7056</v>
      </c>
      <c r="D2808" s="1360">
        <v>13333</v>
      </c>
      <c r="E2808" s="1361" t="s">
        <v>7140</v>
      </c>
      <c r="F2808" s="1360" t="s">
        <v>266</v>
      </c>
      <c r="G2808" s="1362">
        <v>124450</v>
      </c>
      <c r="H2808" s="1363" t="s">
        <v>3548</v>
      </c>
    </row>
    <row r="2809" spans="2:8" x14ac:dyDescent="0.25">
      <c r="B2809" s="1358" t="s">
        <v>6897</v>
      </c>
      <c r="C2809" s="1359" t="s">
        <v>7056</v>
      </c>
      <c r="D2809" s="1360">
        <v>13334</v>
      </c>
      <c r="E2809" s="1361" t="s">
        <v>7141</v>
      </c>
      <c r="F2809" s="1360" t="s">
        <v>13</v>
      </c>
      <c r="G2809" s="1362">
        <v>631462</v>
      </c>
      <c r="H2809" s="1363" t="s">
        <v>3548</v>
      </c>
    </row>
    <row r="2810" spans="2:8" x14ac:dyDescent="0.25">
      <c r="B2810" s="1358" t="s">
        <v>6897</v>
      </c>
      <c r="C2810" s="1359" t="s">
        <v>6915</v>
      </c>
      <c r="D2810" s="1360">
        <v>13335</v>
      </c>
      <c r="E2810" s="1361" t="s">
        <v>7142</v>
      </c>
      <c r="F2810" s="1360" t="s">
        <v>266</v>
      </c>
      <c r="G2810" s="1362">
        <v>17500</v>
      </c>
      <c r="H2810" s="1363" t="s">
        <v>3548</v>
      </c>
    </row>
    <row r="2811" spans="2:8" x14ac:dyDescent="0.25">
      <c r="B2811" s="1358" t="s">
        <v>6897</v>
      </c>
      <c r="C2811" s="1359" t="s">
        <v>7056</v>
      </c>
      <c r="D2811" s="1360">
        <v>13336</v>
      </c>
      <c r="E2811" s="1361" t="s">
        <v>7143</v>
      </c>
      <c r="F2811" s="1360" t="s">
        <v>266</v>
      </c>
      <c r="G2811" s="1362">
        <v>246500</v>
      </c>
      <c r="H2811" s="1363" t="s">
        <v>3548</v>
      </c>
    </row>
    <row r="2812" spans="2:8" x14ac:dyDescent="0.25">
      <c r="B2812" s="1358" t="s">
        <v>6897</v>
      </c>
      <c r="C2812" s="1359" t="s">
        <v>6927</v>
      </c>
      <c r="D2812" s="1360">
        <v>13372</v>
      </c>
      <c r="E2812" s="1361" t="s">
        <v>7144</v>
      </c>
      <c r="F2812" s="1360" t="s">
        <v>12</v>
      </c>
      <c r="G2812" s="1362">
        <v>7705</v>
      </c>
      <c r="H2812" s="1363" t="s">
        <v>6899</v>
      </c>
    </row>
    <row r="2813" spans="2:8" x14ac:dyDescent="0.25">
      <c r="B2813" s="1358" t="s">
        <v>6897</v>
      </c>
      <c r="C2813" s="1359" t="s">
        <v>6927</v>
      </c>
      <c r="D2813" s="1360">
        <v>13373</v>
      </c>
      <c r="E2813" s="1361" t="s">
        <v>7145</v>
      </c>
      <c r="F2813" s="1360" t="s">
        <v>12</v>
      </c>
      <c r="G2813" s="1362">
        <v>13090</v>
      </c>
      <c r="H2813" s="1363" t="s">
        <v>6899</v>
      </c>
    </row>
    <row r="2814" spans="2:8" x14ac:dyDescent="0.25">
      <c r="B2814" s="1358" t="s">
        <v>6897</v>
      </c>
      <c r="C2814" s="1359" t="s">
        <v>6927</v>
      </c>
      <c r="D2814" s="1360">
        <v>13374</v>
      </c>
      <c r="E2814" s="1361" t="s">
        <v>7146</v>
      </c>
      <c r="F2814" s="1360" t="s">
        <v>12</v>
      </c>
      <c r="G2814" s="1362">
        <v>13690</v>
      </c>
      <c r="H2814" s="1363" t="s">
        <v>6899</v>
      </c>
    </row>
    <row r="2815" spans="2:8" x14ac:dyDescent="0.25">
      <c r="B2815" s="1358" t="s">
        <v>6897</v>
      </c>
      <c r="C2815" s="1359" t="s">
        <v>6927</v>
      </c>
      <c r="D2815" s="1360">
        <v>13375</v>
      </c>
      <c r="E2815" s="1361" t="s">
        <v>7147</v>
      </c>
      <c r="F2815" s="1360" t="s">
        <v>12</v>
      </c>
      <c r="G2815" s="1362">
        <v>12200</v>
      </c>
      <c r="H2815" s="1363" t="s">
        <v>6899</v>
      </c>
    </row>
    <row r="2816" spans="2:8" x14ac:dyDescent="0.25">
      <c r="B2816" s="1358" t="s">
        <v>6897</v>
      </c>
      <c r="C2816" s="1359" t="s">
        <v>7009</v>
      </c>
      <c r="D2816" s="1360">
        <v>13376</v>
      </c>
      <c r="E2816" s="1361" t="s">
        <v>7148</v>
      </c>
      <c r="F2816" s="1360" t="s">
        <v>266</v>
      </c>
      <c r="G2816" s="1362">
        <v>129696154</v>
      </c>
      <c r="H2816" s="1363" t="s">
        <v>6899</v>
      </c>
    </row>
    <row r="2817" spans="2:8" x14ac:dyDescent="0.25">
      <c r="B2817" s="1358" t="s">
        <v>6897</v>
      </c>
      <c r="C2817" s="1359" t="s">
        <v>7009</v>
      </c>
      <c r="D2817" s="1360">
        <v>13377</v>
      </c>
      <c r="E2817" s="1361" t="s">
        <v>7149</v>
      </c>
      <c r="F2817" s="1360" t="s">
        <v>266</v>
      </c>
      <c r="G2817" s="1362">
        <v>147316390</v>
      </c>
      <c r="H2817" s="1363" t="s">
        <v>6899</v>
      </c>
    </row>
    <row r="2818" spans="2:8" x14ac:dyDescent="0.25">
      <c r="B2818" s="1358" t="s">
        <v>6897</v>
      </c>
      <c r="C2818" s="1359" t="s">
        <v>7009</v>
      </c>
      <c r="D2818" s="1360">
        <v>13378</v>
      </c>
      <c r="E2818" s="1361" t="s">
        <v>7150</v>
      </c>
      <c r="F2818" s="1360" t="s">
        <v>266</v>
      </c>
      <c r="G2818" s="1362">
        <v>163891141</v>
      </c>
      <c r="H2818" s="1363" t="s">
        <v>6899</v>
      </c>
    </row>
    <row r="2819" spans="2:8" x14ac:dyDescent="0.25">
      <c r="B2819" s="1358" t="s">
        <v>6897</v>
      </c>
      <c r="C2819" s="1359" t="s">
        <v>7009</v>
      </c>
      <c r="D2819" s="1360">
        <v>13379</v>
      </c>
      <c r="E2819" s="1361" t="s">
        <v>7151</v>
      </c>
      <c r="F2819" s="1360" t="s">
        <v>266</v>
      </c>
      <c r="G2819" s="1362">
        <v>1671653</v>
      </c>
      <c r="H2819" s="1363" t="s">
        <v>6899</v>
      </c>
    </row>
    <row r="2820" spans="2:8" x14ac:dyDescent="0.25">
      <c r="B2820" s="1358" t="s">
        <v>6897</v>
      </c>
      <c r="C2820" s="1359" t="s">
        <v>7152</v>
      </c>
      <c r="D2820" s="1360">
        <v>13400</v>
      </c>
      <c r="E2820" s="1361" t="s">
        <v>7153</v>
      </c>
      <c r="F2820" s="1360" t="s">
        <v>266</v>
      </c>
      <c r="G2820" s="1362">
        <v>28755</v>
      </c>
      <c r="H2820" s="1363" t="s">
        <v>6899</v>
      </c>
    </row>
    <row r="2821" spans="2:8" x14ac:dyDescent="0.25">
      <c r="B2821" s="1358" t="s">
        <v>6897</v>
      </c>
      <c r="C2821" s="1359" t="s">
        <v>7152</v>
      </c>
      <c r="D2821" s="1360">
        <v>13401</v>
      </c>
      <c r="E2821" s="1361" t="s">
        <v>7154</v>
      </c>
      <c r="F2821" s="1360" t="s">
        <v>266</v>
      </c>
      <c r="G2821" s="1362">
        <v>50516</v>
      </c>
      <c r="H2821" s="1363" t="s">
        <v>6899</v>
      </c>
    </row>
    <row r="2822" spans="2:8" x14ac:dyDescent="0.25">
      <c r="B2822" s="1358" t="s">
        <v>6897</v>
      </c>
      <c r="C2822" s="1359" t="s">
        <v>7152</v>
      </c>
      <c r="D2822" s="1360">
        <v>13402</v>
      </c>
      <c r="E2822" s="1361" t="s">
        <v>7155</v>
      </c>
      <c r="F2822" s="1360" t="s">
        <v>266</v>
      </c>
      <c r="G2822" s="1362">
        <v>43522</v>
      </c>
      <c r="H2822" s="1363" t="s">
        <v>6899</v>
      </c>
    </row>
    <row r="2823" spans="2:8" x14ac:dyDescent="0.25">
      <c r="B2823" s="1358" t="s">
        <v>6897</v>
      </c>
      <c r="C2823" s="1359" t="s">
        <v>7152</v>
      </c>
      <c r="D2823" s="1360">
        <v>13403</v>
      </c>
      <c r="E2823" s="1361" t="s">
        <v>7156</v>
      </c>
      <c r="F2823" s="1360" t="s">
        <v>266</v>
      </c>
      <c r="G2823" s="1362">
        <v>189629</v>
      </c>
      <c r="H2823" s="1363" t="s">
        <v>6899</v>
      </c>
    </row>
    <row r="2824" spans="2:8" x14ac:dyDescent="0.25">
      <c r="B2824" s="1358" t="s">
        <v>6897</v>
      </c>
      <c r="C2824" s="1359" t="s">
        <v>7152</v>
      </c>
      <c r="D2824" s="1360">
        <v>13404</v>
      </c>
      <c r="E2824" s="1361" t="s">
        <v>7157</v>
      </c>
      <c r="F2824" s="1360" t="s">
        <v>13</v>
      </c>
      <c r="G2824" s="1362">
        <v>132119</v>
      </c>
      <c r="H2824" s="1363" t="s">
        <v>6899</v>
      </c>
    </row>
    <row r="2825" spans="2:8" x14ac:dyDescent="0.25">
      <c r="B2825" s="1358" t="s">
        <v>6897</v>
      </c>
      <c r="C2825" s="1359" t="s">
        <v>7152</v>
      </c>
      <c r="D2825" s="1360">
        <v>13405</v>
      </c>
      <c r="E2825" s="1361" t="s">
        <v>7158</v>
      </c>
      <c r="F2825" s="1360" t="s">
        <v>266</v>
      </c>
      <c r="G2825" s="1362">
        <v>1002546</v>
      </c>
      <c r="H2825" s="1363" t="s">
        <v>6899</v>
      </c>
    </row>
    <row r="2826" spans="2:8" x14ac:dyDescent="0.25">
      <c r="B2826" s="1358" t="s">
        <v>6897</v>
      </c>
      <c r="C2826" s="1359" t="s">
        <v>7152</v>
      </c>
      <c r="D2826" s="1360">
        <v>13406</v>
      </c>
      <c r="E2826" s="1361" t="s">
        <v>7159</v>
      </c>
      <c r="F2826" s="1360" t="s">
        <v>266</v>
      </c>
      <c r="G2826" s="1362">
        <v>1002546</v>
      </c>
      <c r="H2826" s="1363" t="s">
        <v>6899</v>
      </c>
    </row>
    <row r="2827" spans="2:8" x14ac:dyDescent="0.25">
      <c r="B2827" s="1358" t="s">
        <v>6897</v>
      </c>
      <c r="C2827" s="1359" t="s">
        <v>7152</v>
      </c>
      <c r="D2827" s="1360">
        <v>13407</v>
      </c>
      <c r="E2827" s="1361" t="s">
        <v>7160</v>
      </c>
      <c r="F2827" s="1360" t="s">
        <v>266</v>
      </c>
      <c r="G2827" s="1362">
        <v>1002546</v>
      </c>
      <c r="H2827" s="1363" t="s">
        <v>6899</v>
      </c>
    </row>
    <row r="2828" spans="2:8" x14ac:dyDescent="0.25">
      <c r="B2828" s="1358" t="s">
        <v>6897</v>
      </c>
      <c r="C2828" s="1359" t="s">
        <v>7042</v>
      </c>
      <c r="D2828" s="1360">
        <v>13408</v>
      </c>
      <c r="E2828" s="1361" t="s">
        <v>7161</v>
      </c>
      <c r="F2828" s="1360" t="s">
        <v>266</v>
      </c>
      <c r="G2828" s="1362">
        <v>1381404</v>
      </c>
      <c r="H2828" s="1363" t="s">
        <v>6899</v>
      </c>
    </row>
    <row r="2829" spans="2:8" x14ac:dyDescent="0.25">
      <c r="B2829" s="1358" t="s">
        <v>6897</v>
      </c>
      <c r="C2829" s="1359" t="s">
        <v>7152</v>
      </c>
      <c r="D2829" s="1360">
        <v>13409</v>
      </c>
      <c r="E2829" s="1361" t="s">
        <v>7162</v>
      </c>
      <c r="F2829" s="1360" t="s">
        <v>266</v>
      </c>
      <c r="G2829" s="1362">
        <v>1002546</v>
      </c>
      <c r="H2829" s="1363" t="s">
        <v>6899</v>
      </c>
    </row>
    <row r="2830" spans="2:8" x14ac:dyDescent="0.25">
      <c r="B2830" s="1358" t="s">
        <v>6897</v>
      </c>
      <c r="C2830" s="1359" t="s">
        <v>7152</v>
      </c>
      <c r="D2830" s="1360">
        <v>13410</v>
      </c>
      <c r="E2830" s="1361" t="s">
        <v>7163</v>
      </c>
      <c r="F2830" s="1360" t="s">
        <v>266</v>
      </c>
      <c r="G2830" s="1362">
        <v>2609649</v>
      </c>
      <c r="H2830" s="1363" t="s">
        <v>6899</v>
      </c>
    </row>
    <row r="2831" spans="2:8" x14ac:dyDescent="0.25">
      <c r="B2831" s="1358" t="s">
        <v>6897</v>
      </c>
      <c r="C2831" s="1359" t="s">
        <v>7152</v>
      </c>
      <c r="D2831" s="1360">
        <v>13411</v>
      </c>
      <c r="E2831" s="1361" t="s">
        <v>7164</v>
      </c>
      <c r="F2831" s="1360" t="s">
        <v>266</v>
      </c>
      <c r="G2831" s="1362">
        <v>2969601</v>
      </c>
      <c r="H2831" s="1363" t="s">
        <v>6899</v>
      </c>
    </row>
    <row r="2832" spans="2:8" x14ac:dyDescent="0.25">
      <c r="B2832" s="1358" t="s">
        <v>6897</v>
      </c>
      <c r="C2832" s="1359" t="s">
        <v>7152</v>
      </c>
      <c r="D2832" s="1360">
        <v>13412</v>
      </c>
      <c r="E2832" s="1361" t="s">
        <v>7165</v>
      </c>
      <c r="F2832" s="1360" t="s">
        <v>266</v>
      </c>
      <c r="G2832" s="1362">
        <v>2875522</v>
      </c>
      <c r="H2832" s="1363" t="s">
        <v>6899</v>
      </c>
    </row>
    <row r="2833" spans="2:8" x14ac:dyDescent="0.25">
      <c r="B2833" s="1358" t="s">
        <v>6897</v>
      </c>
      <c r="C2833" s="1359" t="s">
        <v>7152</v>
      </c>
      <c r="D2833" s="1360">
        <v>13413</v>
      </c>
      <c r="E2833" s="1361" t="s">
        <v>7166</v>
      </c>
      <c r="F2833" s="1360" t="s">
        <v>266</v>
      </c>
      <c r="G2833" s="1362">
        <v>3509528</v>
      </c>
      <c r="H2833" s="1363" t="s">
        <v>6899</v>
      </c>
    </row>
    <row r="2834" spans="2:8" x14ac:dyDescent="0.25">
      <c r="B2834" s="1358" t="s">
        <v>6897</v>
      </c>
      <c r="C2834" s="1359" t="s">
        <v>7152</v>
      </c>
      <c r="D2834" s="1360">
        <v>13414</v>
      </c>
      <c r="E2834" s="1361" t="s">
        <v>7167</v>
      </c>
      <c r="F2834" s="1360" t="s">
        <v>266</v>
      </c>
      <c r="G2834" s="1362">
        <v>10414054</v>
      </c>
      <c r="H2834" s="1363" t="s">
        <v>6899</v>
      </c>
    </row>
    <row r="2835" spans="2:8" x14ac:dyDescent="0.25">
      <c r="B2835" s="1358" t="s">
        <v>6897</v>
      </c>
      <c r="C2835" s="1359" t="s">
        <v>7152</v>
      </c>
      <c r="D2835" s="1360">
        <v>13415</v>
      </c>
      <c r="E2835" s="1361" t="s">
        <v>7168</v>
      </c>
      <c r="F2835" s="1360" t="s">
        <v>266</v>
      </c>
      <c r="G2835" s="1362">
        <v>13289577</v>
      </c>
      <c r="H2835" s="1363" t="s">
        <v>6899</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8">
    <tabColor rgb="FFFF0000"/>
  </sheetPr>
  <dimension ref="B1:I3249"/>
  <sheetViews>
    <sheetView topLeftCell="D3082" workbookViewId="0">
      <selection activeCell="I79" sqref="I79"/>
    </sheetView>
  </sheetViews>
  <sheetFormatPr baseColWidth="10" defaultColWidth="11.5703125" defaultRowHeight="15" x14ac:dyDescent="0.25"/>
  <cols>
    <col min="2" max="2" width="29.140625" customWidth="1"/>
    <col min="3" max="3" width="45.7109375" customWidth="1"/>
    <col min="4" max="4" width="14.28515625" customWidth="1"/>
    <col min="5" max="5" width="79.28515625" customWidth="1"/>
    <col min="6" max="6" width="11.28515625" customWidth="1"/>
    <col min="7" max="7" width="26.7109375" customWidth="1"/>
    <col min="8" max="8" width="28.28515625" customWidth="1"/>
    <col min="9" max="9" width="45" bestFit="1" customWidth="1"/>
  </cols>
  <sheetData>
    <row r="1" spans="2:9" ht="37.5" x14ac:dyDescent="0.25">
      <c r="B1" s="1364" t="s">
        <v>6895</v>
      </c>
      <c r="C1" s="1008" t="s">
        <v>4393</v>
      </c>
      <c r="D1" s="1008" t="s">
        <v>4394</v>
      </c>
      <c r="E1" s="1009" t="s">
        <v>335</v>
      </c>
      <c r="F1" s="1009" t="s">
        <v>336</v>
      </c>
      <c r="G1" s="1010" t="s">
        <v>337</v>
      </c>
      <c r="H1" s="1011" t="s">
        <v>338</v>
      </c>
      <c r="I1" s="1012" t="s">
        <v>4395</v>
      </c>
    </row>
    <row r="2" spans="2:9" ht="15.75" x14ac:dyDescent="0.25">
      <c r="B2" s="1365" t="s">
        <v>7169</v>
      </c>
      <c r="C2" s="1013" t="s">
        <v>4396</v>
      </c>
      <c r="D2" s="1013" t="s">
        <v>4397</v>
      </c>
      <c r="E2" s="1014">
        <v>3007</v>
      </c>
      <c r="F2" s="1013" t="s">
        <v>339</v>
      </c>
      <c r="G2" s="1014" t="s">
        <v>12</v>
      </c>
      <c r="H2" s="1015">
        <v>874</v>
      </c>
      <c r="I2" s="1016" t="s">
        <v>6899</v>
      </c>
    </row>
    <row r="3" spans="2:9" ht="15.75" x14ac:dyDescent="0.25">
      <c r="B3" s="1365" t="s">
        <v>7169</v>
      </c>
      <c r="C3" s="1013" t="s">
        <v>4396</v>
      </c>
      <c r="D3" s="1013" t="s">
        <v>4399</v>
      </c>
      <c r="E3" s="1014">
        <v>3009</v>
      </c>
      <c r="F3" s="1013" t="s">
        <v>4400</v>
      </c>
      <c r="G3" s="1014" t="s">
        <v>3</v>
      </c>
      <c r="H3" s="1015">
        <v>41998</v>
      </c>
      <c r="I3" s="1016" t="s">
        <v>4398</v>
      </c>
    </row>
    <row r="4" spans="2:9" ht="15.75" x14ac:dyDescent="0.25">
      <c r="B4" s="1365" t="s">
        <v>7169</v>
      </c>
      <c r="C4" s="1013" t="s">
        <v>4401</v>
      </c>
      <c r="D4" s="1013" t="s">
        <v>4401</v>
      </c>
      <c r="E4" s="1014">
        <v>3010</v>
      </c>
      <c r="F4" s="1013" t="s">
        <v>4402</v>
      </c>
      <c r="G4" s="1014" t="s">
        <v>3</v>
      </c>
      <c r="H4" s="1015">
        <v>37090</v>
      </c>
      <c r="I4" s="1016" t="s">
        <v>6899</v>
      </c>
    </row>
    <row r="5" spans="2:9" ht="15.75" x14ac:dyDescent="0.25">
      <c r="B5" s="1365" t="s">
        <v>7169</v>
      </c>
      <c r="C5" s="1013" t="s">
        <v>4401</v>
      </c>
      <c r="D5" s="1013" t="s">
        <v>4401</v>
      </c>
      <c r="E5" s="1014">
        <v>3011</v>
      </c>
      <c r="F5" s="1013" t="s">
        <v>4403</v>
      </c>
      <c r="G5" s="1014" t="s">
        <v>13</v>
      </c>
      <c r="H5" s="1015">
        <v>5842</v>
      </c>
      <c r="I5" s="1016" t="s">
        <v>4398</v>
      </c>
    </row>
    <row r="6" spans="2:9" ht="15.75" x14ac:dyDescent="0.25">
      <c r="B6" s="1365" t="s">
        <v>7169</v>
      </c>
      <c r="C6" s="1013" t="s">
        <v>4401</v>
      </c>
      <c r="D6" s="1013" t="s">
        <v>4401</v>
      </c>
      <c r="E6" s="1014">
        <v>3012</v>
      </c>
      <c r="F6" s="1013" t="s">
        <v>4404</v>
      </c>
      <c r="G6" s="1014" t="s">
        <v>12</v>
      </c>
      <c r="H6" s="1015">
        <v>7809</v>
      </c>
      <c r="I6" s="1016" t="s">
        <v>6899</v>
      </c>
    </row>
    <row r="7" spans="2:9" ht="15.75" x14ac:dyDescent="0.25">
      <c r="B7" s="1365" t="s">
        <v>7169</v>
      </c>
      <c r="C7" s="1013" t="s">
        <v>4405</v>
      </c>
      <c r="D7" s="1013" t="s">
        <v>4406</v>
      </c>
      <c r="E7" s="1014">
        <v>3015</v>
      </c>
      <c r="F7" s="1013" t="s">
        <v>4407</v>
      </c>
      <c r="G7" s="1014" t="s">
        <v>266</v>
      </c>
      <c r="H7" s="1015">
        <v>242945</v>
      </c>
      <c r="I7" s="1016" t="s">
        <v>6899</v>
      </c>
    </row>
    <row r="8" spans="2:9" ht="15.75" x14ac:dyDescent="0.25">
      <c r="B8" s="1365" t="s">
        <v>7169</v>
      </c>
      <c r="C8" s="1013" t="s">
        <v>4408</v>
      </c>
      <c r="D8" s="1013" t="s">
        <v>4408</v>
      </c>
      <c r="E8" s="1014">
        <v>3017</v>
      </c>
      <c r="F8" s="1013" t="s">
        <v>4409</v>
      </c>
      <c r="G8" s="1014" t="s">
        <v>3</v>
      </c>
      <c r="H8" s="1015">
        <v>43960</v>
      </c>
      <c r="I8" s="1016" t="s">
        <v>6899</v>
      </c>
    </row>
    <row r="9" spans="2:9" ht="15.75" x14ac:dyDescent="0.25">
      <c r="B9" s="1365" t="s">
        <v>7169</v>
      </c>
      <c r="C9" s="1013" t="s">
        <v>4410</v>
      </c>
      <c r="D9" s="1013" t="s">
        <v>4411</v>
      </c>
      <c r="E9" s="1014">
        <v>3018</v>
      </c>
      <c r="F9" s="1013" t="s">
        <v>4412</v>
      </c>
      <c r="G9" s="1014" t="s">
        <v>3</v>
      </c>
      <c r="H9" s="1015">
        <v>81363</v>
      </c>
      <c r="I9" s="1016" t="s">
        <v>4398</v>
      </c>
    </row>
    <row r="10" spans="2:9" ht="15.75" x14ac:dyDescent="0.25">
      <c r="B10" s="1365" t="s">
        <v>7169</v>
      </c>
      <c r="C10" s="1013" t="s">
        <v>4401</v>
      </c>
      <c r="D10" s="1013" t="s">
        <v>4401</v>
      </c>
      <c r="E10" s="1014">
        <v>3021</v>
      </c>
      <c r="F10" s="1013" t="s">
        <v>4413</v>
      </c>
      <c r="G10" s="1014" t="s">
        <v>12</v>
      </c>
      <c r="H10" s="1015">
        <v>7015</v>
      </c>
      <c r="I10" s="1016" t="s">
        <v>6899</v>
      </c>
    </row>
    <row r="11" spans="2:9" ht="15.75" x14ac:dyDescent="0.25">
      <c r="B11" s="1365" t="s">
        <v>7169</v>
      </c>
      <c r="C11" s="1013" t="s">
        <v>4401</v>
      </c>
      <c r="D11" s="1013" t="s">
        <v>4401</v>
      </c>
      <c r="E11" s="1014">
        <v>3022</v>
      </c>
      <c r="F11" s="1013" t="s">
        <v>4414</v>
      </c>
      <c r="G11" s="1014" t="s">
        <v>3</v>
      </c>
      <c r="H11" s="1015">
        <v>56015</v>
      </c>
      <c r="I11" s="1016" t="s">
        <v>6899</v>
      </c>
    </row>
    <row r="12" spans="2:9" ht="15.75" x14ac:dyDescent="0.25">
      <c r="B12" s="1365" t="s">
        <v>7169</v>
      </c>
      <c r="C12" s="1013" t="s">
        <v>4410</v>
      </c>
      <c r="D12" s="1013" t="s">
        <v>4415</v>
      </c>
      <c r="E12" s="1014">
        <v>3024</v>
      </c>
      <c r="F12" s="1013" t="s">
        <v>4416</v>
      </c>
      <c r="G12" s="1014" t="s">
        <v>3</v>
      </c>
      <c r="H12" s="1015">
        <v>151748</v>
      </c>
      <c r="I12" s="1016" t="s">
        <v>6899</v>
      </c>
    </row>
    <row r="13" spans="2:9" ht="15.75" x14ac:dyDescent="0.25">
      <c r="B13" s="1365" t="s">
        <v>7169</v>
      </c>
      <c r="C13" s="1013" t="s">
        <v>4417</v>
      </c>
      <c r="D13" s="1013" t="s">
        <v>4418</v>
      </c>
      <c r="E13" s="1014">
        <v>3027</v>
      </c>
      <c r="F13" s="1013" t="s">
        <v>4419</v>
      </c>
      <c r="G13" s="1014" t="s">
        <v>13</v>
      </c>
      <c r="H13" s="1015">
        <v>78707</v>
      </c>
      <c r="I13" s="1016" t="s">
        <v>6899</v>
      </c>
    </row>
    <row r="14" spans="2:9" ht="15.75" x14ac:dyDescent="0.25">
      <c r="B14" s="1365" t="s">
        <v>7169</v>
      </c>
      <c r="C14" s="1013" t="s">
        <v>4420</v>
      </c>
      <c r="D14" s="1013" t="s">
        <v>4420</v>
      </c>
      <c r="E14" s="1014">
        <v>3041</v>
      </c>
      <c r="F14" s="1013" t="s">
        <v>4421</v>
      </c>
      <c r="G14" s="1014" t="s">
        <v>13</v>
      </c>
      <c r="H14" s="1015">
        <v>30794</v>
      </c>
      <c r="I14" s="1016" t="s">
        <v>4398</v>
      </c>
    </row>
    <row r="15" spans="2:9" ht="15.75" x14ac:dyDescent="0.25">
      <c r="B15" s="1365" t="s">
        <v>7169</v>
      </c>
      <c r="C15" s="1013" t="s">
        <v>4420</v>
      </c>
      <c r="D15" s="1013" t="s">
        <v>4420</v>
      </c>
      <c r="E15" s="1014">
        <v>3042</v>
      </c>
      <c r="F15" s="1013" t="s">
        <v>4422</v>
      </c>
      <c r="G15" s="1014" t="s">
        <v>13</v>
      </c>
      <c r="H15" s="1015">
        <v>52854</v>
      </c>
      <c r="I15" s="1016" t="s">
        <v>4398</v>
      </c>
    </row>
    <row r="16" spans="2:9" ht="15.75" x14ac:dyDescent="0.25">
      <c r="B16" s="1365" t="s">
        <v>7169</v>
      </c>
      <c r="C16" s="1013" t="s">
        <v>4420</v>
      </c>
      <c r="D16" s="1013" t="s">
        <v>4420</v>
      </c>
      <c r="E16" s="1014">
        <v>3043</v>
      </c>
      <c r="F16" s="1013" t="s">
        <v>4423</v>
      </c>
      <c r="G16" s="1014" t="s">
        <v>13</v>
      </c>
      <c r="H16" s="1015">
        <v>73261</v>
      </c>
      <c r="I16" s="1016" t="s">
        <v>4398</v>
      </c>
    </row>
    <row r="17" spans="2:9" ht="15.75" x14ac:dyDescent="0.25">
      <c r="B17" s="1365" t="s">
        <v>7169</v>
      </c>
      <c r="C17" s="1013" t="s">
        <v>4420</v>
      </c>
      <c r="D17" s="1013" t="s">
        <v>4420</v>
      </c>
      <c r="E17" s="1014">
        <v>3044</v>
      </c>
      <c r="F17" s="1013" t="s">
        <v>4424</v>
      </c>
      <c r="G17" s="1014" t="s">
        <v>13</v>
      </c>
      <c r="H17" s="1015">
        <v>103393</v>
      </c>
      <c r="I17" s="1016" t="s">
        <v>4398</v>
      </c>
    </row>
    <row r="18" spans="2:9" ht="15.75" x14ac:dyDescent="0.25">
      <c r="B18" s="1365" t="s">
        <v>7169</v>
      </c>
      <c r="C18" s="1013" t="s">
        <v>4420</v>
      </c>
      <c r="D18" s="1013" t="s">
        <v>4420</v>
      </c>
      <c r="E18" s="1014">
        <v>3045</v>
      </c>
      <c r="F18" s="1013" t="s">
        <v>4425</v>
      </c>
      <c r="G18" s="1014" t="s">
        <v>13</v>
      </c>
      <c r="H18" s="1015">
        <v>144626</v>
      </c>
      <c r="I18" s="1016" t="s">
        <v>4398</v>
      </c>
    </row>
    <row r="19" spans="2:9" ht="15.75" x14ac:dyDescent="0.25">
      <c r="B19" s="1365" t="s">
        <v>7169</v>
      </c>
      <c r="C19" s="1013" t="s">
        <v>4420</v>
      </c>
      <c r="D19" s="1013" t="s">
        <v>4420</v>
      </c>
      <c r="E19" s="1014">
        <v>3046</v>
      </c>
      <c r="F19" s="1013" t="s">
        <v>4426</v>
      </c>
      <c r="G19" s="1014" t="s">
        <v>13</v>
      </c>
      <c r="H19" s="1015">
        <v>256275</v>
      </c>
      <c r="I19" s="1016" t="s">
        <v>4398</v>
      </c>
    </row>
    <row r="20" spans="2:9" ht="15.75" x14ac:dyDescent="0.25">
      <c r="B20" s="1365" t="s">
        <v>7169</v>
      </c>
      <c r="C20" s="1013" t="s">
        <v>4420</v>
      </c>
      <c r="D20" s="1013" t="s">
        <v>4420</v>
      </c>
      <c r="E20" s="1014">
        <v>3047</v>
      </c>
      <c r="F20" s="1013" t="s">
        <v>4427</v>
      </c>
      <c r="G20" s="1014" t="s">
        <v>13</v>
      </c>
      <c r="H20" s="1015">
        <v>328011</v>
      </c>
      <c r="I20" s="1016" t="s">
        <v>4398</v>
      </c>
    </row>
    <row r="21" spans="2:9" ht="15.75" x14ac:dyDescent="0.25">
      <c r="B21" s="1365" t="s">
        <v>7169</v>
      </c>
      <c r="C21" s="1013" t="s">
        <v>4420</v>
      </c>
      <c r="D21" s="1013" t="s">
        <v>4420</v>
      </c>
      <c r="E21" s="1014">
        <v>3048</v>
      </c>
      <c r="F21" s="1013" t="s">
        <v>4428</v>
      </c>
      <c r="G21" s="1014" t="s">
        <v>13</v>
      </c>
      <c r="H21" s="1015">
        <v>424113</v>
      </c>
      <c r="I21" s="1016" t="s">
        <v>4398</v>
      </c>
    </row>
    <row r="22" spans="2:9" ht="15.75" x14ac:dyDescent="0.25">
      <c r="B22" s="1365" t="s">
        <v>7169</v>
      </c>
      <c r="C22" s="1013" t="s">
        <v>4410</v>
      </c>
      <c r="D22" s="1013" t="s">
        <v>4415</v>
      </c>
      <c r="E22" s="1014">
        <v>3050</v>
      </c>
      <c r="F22" s="1013" t="s">
        <v>4429</v>
      </c>
      <c r="G22" s="1014" t="s">
        <v>3</v>
      </c>
      <c r="H22" s="1015">
        <v>35586</v>
      </c>
      <c r="I22" s="1016" t="s">
        <v>6899</v>
      </c>
    </row>
    <row r="23" spans="2:9" ht="15.75" x14ac:dyDescent="0.25">
      <c r="B23" s="1365" t="s">
        <v>7169</v>
      </c>
      <c r="C23" s="1013" t="s">
        <v>4410</v>
      </c>
      <c r="D23" s="1013" t="s">
        <v>4415</v>
      </c>
      <c r="E23" s="1014">
        <v>3052</v>
      </c>
      <c r="F23" s="1013" t="s">
        <v>4430</v>
      </c>
      <c r="G23" s="1014" t="s">
        <v>3</v>
      </c>
      <c r="H23" s="1015">
        <v>106538</v>
      </c>
      <c r="I23" s="1016" t="s">
        <v>6899</v>
      </c>
    </row>
    <row r="24" spans="2:9" ht="15.75" x14ac:dyDescent="0.25">
      <c r="B24" s="1365" t="s">
        <v>7169</v>
      </c>
      <c r="C24" s="1013" t="s">
        <v>4431</v>
      </c>
      <c r="D24" s="1013" t="s">
        <v>4432</v>
      </c>
      <c r="E24" s="1014">
        <v>3055</v>
      </c>
      <c r="F24" s="1013" t="s">
        <v>4433</v>
      </c>
      <c r="G24" s="1014" t="s">
        <v>13</v>
      </c>
      <c r="H24" s="1015">
        <v>291847</v>
      </c>
      <c r="I24" s="1016" t="s">
        <v>4398</v>
      </c>
    </row>
    <row r="25" spans="2:9" ht="15.75" x14ac:dyDescent="0.25">
      <c r="B25" s="1365" t="s">
        <v>7169</v>
      </c>
      <c r="C25" s="1013" t="s">
        <v>4431</v>
      </c>
      <c r="D25" s="1013" t="s">
        <v>4432</v>
      </c>
      <c r="E25" s="1014">
        <v>3056</v>
      </c>
      <c r="F25" s="1013" t="s">
        <v>4434</v>
      </c>
      <c r="G25" s="1014" t="s">
        <v>13</v>
      </c>
      <c r="H25" s="1015">
        <v>387225</v>
      </c>
      <c r="I25" s="1016" t="s">
        <v>4398</v>
      </c>
    </row>
    <row r="26" spans="2:9" ht="15.75" x14ac:dyDescent="0.25">
      <c r="B26" s="1365" t="s">
        <v>7169</v>
      </c>
      <c r="C26" s="1013" t="s">
        <v>4431</v>
      </c>
      <c r="D26" s="1013" t="s">
        <v>4432</v>
      </c>
      <c r="E26" s="1014">
        <v>3057</v>
      </c>
      <c r="F26" s="1013" t="s">
        <v>4435</v>
      </c>
      <c r="G26" s="1014" t="s">
        <v>266</v>
      </c>
      <c r="H26" s="1015">
        <v>4985521</v>
      </c>
      <c r="I26" s="1016" t="s">
        <v>6899</v>
      </c>
    </row>
    <row r="27" spans="2:9" ht="15.75" x14ac:dyDescent="0.25">
      <c r="B27" s="1365" t="s">
        <v>7169</v>
      </c>
      <c r="C27" s="1013" t="s">
        <v>4431</v>
      </c>
      <c r="D27" s="1013" t="s">
        <v>4432</v>
      </c>
      <c r="E27" s="1014">
        <v>3058</v>
      </c>
      <c r="F27" s="1013" t="s">
        <v>4436</v>
      </c>
      <c r="G27" s="1014" t="s">
        <v>266</v>
      </c>
      <c r="H27" s="1015">
        <v>8303865</v>
      </c>
      <c r="I27" s="1016" t="s">
        <v>6899</v>
      </c>
    </row>
    <row r="28" spans="2:9" ht="15.75" x14ac:dyDescent="0.25">
      <c r="B28" s="1365" t="s">
        <v>7169</v>
      </c>
      <c r="C28" s="1013" t="s">
        <v>4431</v>
      </c>
      <c r="D28" s="1013" t="s">
        <v>4432</v>
      </c>
      <c r="E28" s="1014">
        <v>3059</v>
      </c>
      <c r="F28" s="1013" t="s">
        <v>4437</v>
      </c>
      <c r="G28" s="1014" t="s">
        <v>266</v>
      </c>
      <c r="H28" s="1015">
        <v>4938214</v>
      </c>
      <c r="I28" s="1016" t="s">
        <v>6899</v>
      </c>
    </row>
    <row r="29" spans="2:9" ht="15.75" x14ac:dyDescent="0.25">
      <c r="B29" s="1365" t="s">
        <v>7169</v>
      </c>
      <c r="C29" s="1013" t="s">
        <v>4420</v>
      </c>
      <c r="D29" s="1013" t="s">
        <v>4420</v>
      </c>
      <c r="E29" s="1014">
        <v>3064</v>
      </c>
      <c r="F29" s="1013" t="s">
        <v>4439</v>
      </c>
      <c r="G29" s="1014" t="s">
        <v>13</v>
      </c>
      <c r="H29" s="1015">
        <v>88526</v>
      </c>
      <c r="I29" s="1016" t="s">
        <v>6899</v>
      </c>
    </row>
    <row r="30" spans="2:9" ht="15.75" x14ac:dyDescent="0.25">
      <c r="B30" s="1365" t="s">
        <v>7169</v>
      </c>
      <c r="C30" s="1013" t="s">
        <v>4420</v>
      </c>
      <c r="D30" s="1013" t="s">
        <v>4420</v>
      </c>
      <c r="E30" s="1014">
        <v>3065</v>
      </c>
      <c r="F30" s="1013" t="s">
        <v>4440</v>
      </c>
      <c r="G30" s="1014" t="s">
        <v>13</v>
      </c>
      <c r="H30" s="1015">
        <v>106626</v>
      </c>
      <c r="I30" s="1016" t="s">
        <v>6899</v>
      </c>
    </row>
    <row r="31" spans="2:9" ht="15.75" x14ac:dyDescent="0.25">
      <c r="B31" s="1365" t="s">
        <v>7169</v>
      </c>
      <c r="C31" s="1013" t="s">
        <v>4420</v>
      </c>
      <c r="D31" s="1013" t="s">
        <v>4420</v>
      </c>
      <c r="E31" s="1014">
        <v>3066</v>
      </c>
      <c r="F31" s="1013" t="s">
        <v>4441</v>
      </c>
      <c r="G31" s="1014" t="s">
        <v>13</v>
      </c>
      <c r="H31" s="1015">
        <v>143070</v>
      </c>
      <c r="I31" s="1016" t="s">
        <v>6899</v>
      </c>
    </row>
    <row r="32" spans="2:9" ht="15.75" x14ac:dyDescent="0.25">
      <c r="B32" s="1365" t="s">
        <v>7169</v>
      </c>
      <c r="C32" s="1013" t="s">
        <v>4420</v>
      </c>
      <c r="D32" s="1013" t="s">
        <v>4420</v>
      </c>
      <c r="E32" s="1014">
        <v>3067</v>
      </c>
      <c r="F32" s="1013" t="s">
        <v>4442</v>
      </c>
      <c r="G32" s="1014" t="s">
        <v>13</v>
      </c>
      <c r="H32" s="1015">
        <v>170893</v>
      </c>
      <c r="I32" s="1016" t="s">
        <v>6899</v>
      </c>
    </row>
    <row r="33" spans="2:9" ht="15.75" x14ac:dyDescent="0.25">
      <c r="B33" s="1365" t="s">
        <v>7169</v>
      </c>
      <c r="C33" s="1013" t="s">
        <v>4420</v>
      </c>
      <c r="D33" s="1013" t="s">
        <v>4420</v>
      </c>
      <c r="E33" s="1014">
        <v>3068</v>
      </c>
      <c r="F33" s="1013" t="s">
        <v>4443</v>
      </c>
      <c r="G33" s="1014" t="s">
        <v>13</v>
      </c>
      <c r="H33" s="1015">
        <v>219659</v>
      </c>
      <c r="I33" s="1016" t="s">
        <v>6899</v>
      </c>
    </row>
    <row r="34" spans="2:9" ht="15.75" x14ac:dyDescent="0.25">
      <c r="B34" s="1365" t="s">
        <v>7169</v>
      </c>
      <c r="C34" s="1013" t="s">
        <v>4420</v>
      </c>
      <c r="D34" s="1013" t="s">
        <v>4420</v>
      </c>
      <c r="E34" s="1014">
        <v>3069</v>
      </c>
      <c r="F34" s="1013" t="s">
        <v>4444</v>
      </c>
      <c r="G34" s="1014" t="s">
        <v>13</v>
      </c>
      <c r="H34" s="1015">
        <v>276715</v>
      </c>
      <c r="I34" s="1016" t="s">
        <v>6899</v>
      </c>
    </row>
    <row r="35" spans="2:9" ht="15.75" x14ac:dyDescent="0.25">
      <c r="B35" s="1365" t="s">
        <v>7169</v>
      </c>
      <c r="C35" s="1013" t="s">
        <v>4420</v>
      </c>
      <c r="D35" s="1013" t="s">
        <v>4420</v>
      </c>
      <c r="E35" s="1014">
        <v>3070</v>
      </c>
      <c r="F35" s="1013" t="s">
        <v>4445</v>
      </c>
      <c r="G35" s="1014" t="s">
        <v>13</v>
      </c>
      <c r="H35" s="1015">
        <v>354505</v>
      </c>
      <c r="I35" s="1016" t="s">
        <v>6899</v>
      </c>
    </row>
    <row r="36" spans="2:9" ht="15.75" x14ac:dyDescent="0.25">
      <c r="B36" s="1365" t="s">
        <v>7169</v>
      </c>
      <c r="C36" s="1013" t="s">
        <v>4420</v>
      </c>
      <c r="D36" s="1013" t="s">
        <v>4420</v>
      </c>
      <c r="E36" s="1014">
        <v>3071</v>
      </c>
      <c r="F36" s="1013" t="s">
        <v>4446</v>
      </c>
      <c r="G36" s="1014" t="s">
        <v>13</v>
      </c>
      <c r="H36" s="1015">
        <v>511870</v>
      </c>
      <c r="I36" s="1016" t="s">
        <v>6899</v>
      </c>
    </row>
    <row r="37" spans="2:9" ht="15.75" x14ac:dyDescent="0.25">
      <c r="B37" s="1365" t="s">
        <v>7169</v>
      </c>
      <c r="C37" s="1013" t="s">
        <v>4420</v>
      </c>
      <c r="D37" s="1013" t="s">
        <v>4420</v>
      </c>
      <c r="E37" s="1014">
        <v>3151</v>
      </c>
      <c r="F37" s="1013" t="s">
        <v>4447</v>
      </c>
      <c r="G37" s="1014" t="s">
        <v>266</v>
      </c>
      <c r="H37" s="1015">
        <v>3009594</v>
      </c>
      <c r="I37" s="1016" t="s">
        <v>6899</v>
      </c>
    </row>
    <row r="38" spans="2:9" ht="15.75" x14ac:dyDescent="0.25">
      <c r="B38" s="1365" t="s">
        <v>7169</v>
      </c>
      <c r="C38" s="1013" t="s">
        <v>4420</v>
      </c>
      <c r="D38" s="1013" t="s">
        <v>4420</v>
      </c>
      <c r="E38" s="1014">
        <v>3155</v>
      </c>
      <c r="F38" s="1013" t="s">
        <v>4448</v>
      </c>
      <c r="G38" s="1014" t="s">
        <v>266</v>
      </c>
      <c r="H38" s="1015">
        <v>183981</v>
      </c>
      <c r="I38" s="1016" t="s">
        <v>6899</v>
      </c>
    </row>
    <row r="39" spans="2:9" ht="15.75" x14ac:dyDescent="0.25">
      <c r="B39" s="1365" t="s">
        <v>7169</v>
      </c>
      <c r="C39" s="1013" t="s">
        <v>4405</v>
      </c>
      <c r="D39" s="1013" t="s">
        <v>4406</v>
      </c>
      <c r="E39" s="1014">
        <v>3159</v>
      </c>
      <c r="F39" s="1013" t="s">
        <v>4449</v>
      </c>
      <c r="G39" s="1014" t="s">
        <v>13</v>
      </c>
      <c r="H39" s="1015">
        <v>34682</v>
      </c>
      <c r="I39" s="1016" t="s">
        <v>6899</v>
      </c>
    </row>
    <row r="40" spans="2:9" ht="15.75" x14ac:dyDescent="0.25">
      <c r="B40" s="1365" t="s">
        <v>7169</v>
      </c>
      <c r="C40" s="1013" t="s">
        <v>4417</v>
      </c>
      <c r="D40" s="1013" t="s">
        <v>4418</v>
      </c>
      <c r="E40" s="1014">
        <v>3163</v>
      </c>
      <c r="F40" s="1013" t="s">
        <v>4450</v>
      </c>
      <c r="G40" s="1014" t="s">
        <v>13</v>
      </c>
      <c r="H40" s="1015">
        <v>342369</v>
      </c>
      <c r="I40" s="1016" t="s">
        <v>4398</v>
      </c>
    </row>
    <row r="41" spans="2:9" ht="15.75" x14ac:dyDescent="0.25">
      <c r="B41" s="1365" t="s">
        <v>7169</v>
      </c>
      <c r="C41" s="1013" t="s">
        <v>4451</v>
      </c>
      <c r="D41" s="1013" t="s">
        <v>4452</v>
      </c>
      <c r="E41" s="1014">
        <v>3172</v>
      </c>
      <c r="F41" s="1013" t="s">
        <v>4453</v>
      </c>
      <c r="G41" s="1014" t="s">
        <v>12</v>
      </c>
      <c r="H41" s="1015">
        <v>12181</v>
      </c>
      <c r="I41" s="1016" t="s">
        <v>4398</v>
      </c>
    </row>
    <row r="42" spans="2:9" ht="15.75" x14ac:dyDescent="0.25">
      <c r="B42" s="1365" t="s">
        <v>7169</v>
      </c>
      <c r="C42" s="1013" t="s">
        <v>4454</v>
      </c>
      <c r="D42" s="1013" t="s">
        <v>4455</v>
      </c>
      <c r="E42" s="1014">
        <v>3178</v>
      </c>
      <c r="F42" s="1013" t="s">
        <v>4456</v>
      </c>
      <c r="G42" s="1014" t="s">
        <v>12</v>
      </c>
      <c r="H42" s="1015">
        <v>39640</v>
      </c>
      <c r="I42" s="1016" t="s">
        <v>3538</v>
      </c>
    </row>
    <row r="43" spans="2:9" ht="15.75" x14ac:dyDescent="0.25">
      <c r="B43" s="1365" t="s">
        <v>7169</v>
      </c>
      <c r="C43" s="1013" t="s">
        <v>4454</v>
      </c>
      <c r="D43" s="1013" t="s">
        <v>4455</v>
      </c>
      <c r="E43" s="1014">
        <v>3180</v>
      </c>
      <c r="F43" s="1013" t="s">
        <v>4457</v>
      </c>
      <c r="G43" s="1014" t="s">
        <v>13</v>
      </c>
      <c r="H43" s="1015">
        <v>6900</v>
      </c>
      <c r="I43" s="1016" t="s">
        <v>3538</v>
      </c>
    </row>
    <row r="44" spans="2:9" ht="15.75" x14ac:dyDescent="0.25">
      <c r="B44" s="1365" t="s">
        <v>7169</v>
      </c>
      <c r="C44" s="1013" t="s">
        <v>4405</v>
      </c>
      <c r="D44" s="1013" t="s">
        <v>4406</v>
      </c>
      <c r="E44" s="1014">
        <v>3189</v>
      </c>
      <c r="F44" s="1013" t="s">
        <v>4458</v>
      </c>
      <c r="G44" s="1014" t="s">
        <v>13</v>
      </c>
      <c r="H44" s="1015">
        <v>308036</v>
      </c>
      <c r="I44" s="1016" t="s">
        <v>4398</v>
      </c>
    </row>
    <row r="45" spans="2:9" ht="15.75" x14ac:dyDescent="0.25">
      <c r="B45" s="1365" t="s">
        <v>7169</v>
      </c>
      <c r="C45" s="1013" t="s">
        <v>4431</v>
      </c>
      <c r="D45" s="1013" t="s">
        <v>4432</v>
      </c>
      <c r="E45" s="1014">
        <v>3194</v>
      </c>
      <c r="F45" s="1013" t="s">
        <v>4459</v>
      </c>
      <c r="G45" s="1014" t="s">
        <v>13</v>
      </c>
      <c r="H45" s="1015">
        <v>119173</v>
      </c>
      <c r="I45" s="1016" t="s">
        <v>4398</v>
      </c>
    </row>
    <row r="46" spans="2:9" ht="15.75" x14ac:dyDescent="0.25">
      <c r="B46" s="1365" t="s">
        <v>7169</v>
      </c>
      <c r="C46" s="1013" t="s">
        <v>4431</v>
      </c>
      <c r="D46" s="1013" t="s">
        <v>4432</v>
      </c>
      <c r="E46" s="1014">
        <v>3195</v>
      </c>
      <c r="F46" s="1013" t="s">
        <v>4460</v>
      </c>
      <c r="G46" s="1014" t="s">
        <v>13</v>
      </c>
      <c r="H46" s="1015">
        <v>51363</v>
      </c>
      <c r="I46" s="1016" t="s">
        <v>4398</v>
      </c>
    </row>
    <row r="47" spans="2:9" ht="15.75" x14ac:dyDescent="0.25">
      <c r="B47" s="1365" t="s">
        <v>7169</v>
      </c>
      <c r="C47" s="1013" t="s">
        <v>4461</v>
      </c>
      <c r="D47" s="1013" t="s">
        <v>4461</v>
      </c>
      <c r="E47" s="1014">
        <v>3196</v>
      </c>
      <c r="F47" s="1013" t="s">
        <v>4462</v>
      </c>
      <c r="G47" s="1014" t="s">
        <v>266</v>
      </c>
      <c r="H47" s="1015">
        <v>179984</v>
      </c>
      <c r="I47" s="1016" t="s">
        <v>4398</v>
      </c>
    </row>
    <row r="48" spans="2:9" ht="15.75" x14ac:dyDescent="0.25">
      <c r="B48" s="1365" t="s">
        <v>7169</v>
      </c>
      <c r="C48" s="1013" t="s">
        <v>4461</v>
      </c>
      <c r="D48" s="1013" t="s">
        <v>4461</v>
      </c>
      <c r="E48" s="1014">
        <v>3197</v>
      </c>
      <c r="F48" s="1013" t="s">
        <v>4463</v>
      </c>
      <c r="G48" s="1014" t="s">
        <v>266</v>
      </c>
      <c r="H48" s="1015">
        <v>223860</v>
      </c>
      <c r="I48" s="1016" t="s">
        <v>4398</v>
      </c>
    </row>
    <row r="49" spans="2:9" ht="15.75" x14ac:dyDescent="0.25">
      <c r="B49" s="1365" t="s">
        <v>7169</v>
      </c>
      <c r="C49" s="1013" t="s">
        <v>4461</v>
      </c>
      <c r="D49" s="1013" t="s">
        <v>4461</v>
      </c>
      <c r="E49" s="1014">
        <v>3198</v>
      </c>
      <c r="F49" s="1013" t="s">
        <v>4464</v>
      </c>
      <c r="G49" s="1014" t="s">
        <v>266</v>
      </c>
      <c r="H49" s="1015">
        <v>305838</v>
      </c>
      <c r="I49" s="1016" t="s">
        <v>4398</v>
      </c>
    </row>
    <row r="50" spans="2:9" ht="15.75" x14ac:dyDescent="0.25">
      <c r="B50" s="1365" t="s">
        <v>7169</v>
      </c>
      <c r="C50" s="1013" t="s">
        <v>4461</v>
      </c>
      <c r="D50" s="1013" t="s">
        <v>4461</v>
      </c>
      <c r="E50" s="1014">
        <v>3199</v>
      </c>
      <c r="F50" s="1013" t="s">
        <v>4465</v>
      </c>
      <c r="G50" s="1014" t="s">
        <v>266</v>
      </c>
      <c r="H50" s="1015">
        <v>324874</v>
      </c>
      <c r="I50" s="1016" t="s">
        <v>4398</v>
      </c>
    </row>
    <row r="51" spans="2:9" ht="15.75" x14ac:dyDescent="0.25">
      <c r="B51" s="1365" t="s">
        <v>7169</v>
      </c>
      <c r="C51" s="1013" t="s">
        <v>4461</v>
      </c>
      <c r="D51" s="1013" t="s">
        <v>4461</v>
      </c>
      <c r="E51" s="1014">
        <v>3200</v>
      </c>
      <c r="F51" s="1013" t="s">
        <v>4466</v>
      </c>
      <c r="G51" s="1014" t="s">
        <v>266</v>
      </c>
      <c r="H51" s="1015">
        <v>611174</v>
      </c>
      <c r="I51" s="1016" t="s">
        <v>4398</v>
      </c>
    </row>
    <row r="52" spans="2:9" ht="15.75" x14ac:dyDescent="0.25">
      <c r="B52" s="1365" t="s">
        <v>7169</v>
      </c>
      <c r="C52" s="1013" t="s">
        <v>4461</v>
      </c>
      <c r="D52" s="1013" t="s">
        <v>4461</v>
      </c>
      <c r="E52" s="1014">
        <v>3201</v>
      </c>
      <c r="F52" s="1013" t="s">
        <v>4467</v>
      </c>
      <c r="G52" s="1014" t="s">
        <v>266</v>
      </c>
      <c r="H52" s="1015">
        <v>922842</v>
      </c>
      <c r="I52" s="1016" t="s">
        <v>4398</v>
      </c>
    </row>
    <row r="53" spans="2:9" ht="15.75" x14ac:dyDescent="0.25">
      <c r="B53" s="1365" t="s">
        <v>7169</v>
      </c>
      <c r="C53" s="1013" t="s">
        <v>4468</v>
      </c>
      <c r="D53" s="1013" t="s">
        <v>4469</v>
      </c>
      <c r="E53" s="1014">
        <v>3202</v>
      </c>
      <c r="F53" s="1013" t="s">
        <v>4470</v>
      </c>
      <c r="G53" s="1014" t="s">
        <v>3</v>
      </c>
      <c r="H53" s="1015">
        <v>655615</v>
      </c>
      <c r="I53" s="1016" t="s">
        <v>6899</v>
      </c>
    </row>
    <row r="54" spans="2:9" ht="15.75" x14ac:dyDescent="0.25">
      <c r="B54" s="1365" t="s">
        <v>7169</v>
      </c>
      <c r="C54" s="1013" t="s">
        <v>4468</v>
      </c>
      <c r="D54" s="1013" t="s">
        <v>4469</v>
      </c>
      <c r="E54" s="1014">
        <v>3203</v>
      </c>
      <c r="F54" s="1013" t="s">
        <v>4471</v>
      </c>
      <c r="G54" s="1014" t="s">
        <v>3</v>
      </c>
      <c r="H54" s="1015">
        <v>573931</v>
      </c>
      <c r="I54" s="1016" t="s">
        <v>6899</v>
      </c>
    </row>
    <row r="55" spans="2:9" ht="15.75" x14ac:dyDescent="0.25">
      <c r="B55" s="1365" t="s">
        <v>7169</v>
      </c>
      <c r="C55" s="1013" t="s">
        <v>4472</v>
      </c>
      <c r="D55" s="1013" t="s">
        <v>4473</v>
      </c>
      <c r="E55" s="1014">
        <v>3204</v>
      </c>
      <c r="F55" s="1013" t="s">
        <v>4474</v>
      </c>
      <c r="G55" s="1014" t="s">
        <v>3</v>
      </c>
      <c r="H55" s="1015">
        <v>802622</v>
      </c>
      <c r="I55" s="1016" t="s">
        <v>6899</v>
      </c>
    </row>
    <row r="56" spans="2:9" ht="15.75" x14ac:dyDescent="0.25">
      <c r="B56" s="1365" t="s">
        <v>7169</v>
      </c>
      <c r="C56" s="1013" t="s">
        <v>4417</v>
      </c>
      <c r="D56" s="1013" t="s">
        <v>4418</v>
      </c>
      <c r="E56" s="1014">
        <v>3207</v>
      </c>
      <c r="F56" s="1013" t="s">
        <v>4475</v>
      </c>
      <c r="G56" s="1014" t="s">
        <v>266</v>
      </c>
      <c r="H56" s="1015">
        <v>57260</v>
      </c>
      <c r="I56" s="1016" t="s">
        <v>6899</v>
      </c>
    </row>
    <row r="57" spans="2:9" ht="15.75" x14ac:dyDescent="0.25">
      <c r="B57" s="1365" t="s">
        <v>7169</v>
      </c>
      <c r="C57" s="1013" t="s">
        <v>4417</v>
      </c>
      <c r="D57" s="1013" t="s">
        <v>4418</v>
      </c>
      <c r="E57" s="1014">
        <v>3209</v>
      </c>
      <c r="F57" s="1013" t="s">
        <v>4476</v>
      </c>
      <c r="G57" s="1014" t="s">
        <v>13</v>
      </c>
      <c r="H57" s="1015">
        <v>461537</v>
      </c>
      <c r="I57" s="1016" t="s">
        <v>6899</v>
      </c>
    </row>
    <row r="58" spans="2:9" ht="15.75" x14ac:dyDescent="0.25">
      <c r="B58" s="1365" t="s">
        <v>7169</v>
      </c>
      <c r="C58" s="1013" t="s">
        <v>4417</v>
      </c>
      <c r="D58" s="1013" t="s">
        <v>4418</v>
      </c>
      <c r="E58" s="1014">
        <v>3210</v>
      </c>
      <c r="F58" s="1013" t="s">
        <v>4477</v>
      </c>
      <c r="G58" s="1014" t="s">
        <v>13</v>
      </c>
      <c r="H58" s="1015">
        <v>67242</v>
      </c>
      <c r="I58" s="1016" t="s">
        <v>6899</v>
      </c>
    </row>
    <row r="59" spans="2:9" ht="15.75" x14ac:dyDescent="0.25">
      <c r="B59" s="1365" t="s">
        <v>7169</v>
      </c>
      <c r="C59" s="1013" t="s">
        <v>4405</v>
      </c>
      <c r="D59" s="1013" t="s">
        <v>4406</v>
      </c>
      <c r="E59" s="1014">
        <v>3221</v>
      </c>
      <c r="F59" s="1013" t="s">
        <v>4478</v>
      </c>
      <c r="G59" s="1014" t="s">
        <v>266</v>
      </c>
      <c r="H59" s="1015">
        <v>692198</v>
      </c>
      <c r="I59" s="1016" t="s">
        <v>6899</v>
      </c>
    </row>
    <row r="60" spans="2:9" ht="15.75" x14ac:dyDescent="0.25">
      <c r="B60" s="1365" t="s">
        <v>7169</v>
      </c>
      <c r="C60" s="1013" t="s">
        <v>4461</v>
      </c>
      <c r="D60" s="1013" t="s">
        <v>4461</v>
      </c>
      <c r="E60" s="1014">
        <v>3223</v>
      </c>
      <c r="F60" s="1013" t="s">
        <v>4479</v>
      </c>
      <c r="G60" s="1014" t="s">
        <v>13</v>
      </c>
      <c r="H60" s="1015">
        <v>21586</v>
      </c>
      <c r="I60" s="1016" t="s">
        <v>4398</v>
      </c>
    </row>
    <row r="61" spans="2:9" ht="15.75" x14ac:dyDescent="0.25">
      <c r="B61" s="1365" t="s">
        <v>7169</v>
      </c>
      <c r="C61" s="1013" t="s">
        <v>4461</v>
      </c>
      <c r="D61" s="1013" t="s">
        <v>4461</v>
      </c>
      <c r="E61" s="1014">
        <v>3224</v>
      </c>
      <c r="F61" s="1013" t="s">
        <v>4480</v>
      </c>
      <c r="G61" s="1014" t="s">
        <v>13</v>
      </c>
      <c r="H61" s="1015">
        <v>29414</v>
      </c>
      <c r="I61" s="1016" t="s">
        <v>4398</v>
      </c>
    </row>
    <row r="62" spans="2:9" ht="15.75" x14ac:dyDescent="0.25">
      <c r="B62" s="1365" t="s">
        <v>7169</v>
      </c>
      <c r="C62" s="1013" t="s">
        <v>4461</v>
      </c>
      <c r="D62" s="1013" t="s">
        <v>4461</v>
      </c>
      <c r="E62" s="1014">
        <v>3225</v>
      </c>
      <c r="F62" s="1013" t="s">
        <v>4481</v>
      </c>
      <c r="G62" s="1014" t="s">
        <v>13</v>
      </c>
      <c r="H62" s="1015">
        <v>47107</v>
      </c>
      <c r="I62" s="1016" t="s">
        <v>4398</v>
      </c>
    </row>
    <row r="63" spans="2:9" ht="15.75" x14ac:dyDescent="0.25">
      <c r="B63" s="1365" t="s">
        <v>7169</v>
      </c>
      <c r="C63" s="1013" t="s">
        <v>4461</v>
      </c>
      <c r="D63" s="1013" t="s">
        <v>4461</v>
      </c>
      <c r="E63" s="1014">
        <v>3226</v>
      </c>
      <c r="F63" s="1013" t="s">
        <v>4482</v>
      </c>
      <c r="G63" s="1014" t="s">
        <v>13</v>
      </c>
      <c r="H63" s="1015">
        <v>62168</v>
      </c>
      <c r="I63" s="1016" t="s">
        <v>4398</v>
      </c>
    </row>
    <row r="64" spans="2:9" ht="15.75" x14ac:dyDescent="0.25">
      <c r="B64" s="1365" t="s">
        <v>7169</v>
      </c>
      <c r="C64" s="1013" t="s">
        <v>4461</v>
      </c>
      <c r="D64" s="1013" t="s">
        <v>4461</v>
      </c>
      <c r="E64" s="1014">
        <v>3227</v>
      </c>
      <c r="F64" s="1013" t="s">
        <v>4483</v>
      </c>
      <c r="G64" s="1014" t="s">
        <v>13</v>
      </c>
      <c r="H64" s="1015">
        <v>124182</v>
      </c>
      <c r="I64" s="1016" t="s">
        <v>4398</v>
      </c>
    </row>
    <row r="65" spans="2:9" ht="15.75" x14ac:dyDescent="0.25">
      <c r="B65" s="1365" t="s">
        <v>7169</v>
      </c>
      <c r="C65" s="1013" t="s">
        <v>4461</v>
      </c>
      <c r="D65" s="1013" t="s">
        <v>4461</v>
      </c>
      <c r="E65" s="1014">
        <v>3228</v>
      </c>
      <c r="F65" s="1013" t="s">
        <v>4484</v>
      </c>
      <c r="G65" s="1014" t="s">
        <v>13</v>
      </c>
      <c r="H65" s="1015">
        <v>205577</v>
      </c>
      <c r="I65" s="1016" t="s">
        <v>4398</v>
      </c>
    </row>
    <row r="66" spans="2:9" ht="15.75" x14ac:dyDescent="0.25">
      <c r="B66" s="1365" t="s">
        <v>7169</v>
      </c>
      <c r="C66" s="1013" t="s">
        <v>4461</v>
      </c>
      <c r="D66" s="1013" t="s">
        <v>4461</v>
      </c>
      <c r="E66" s="1014">
        <v>3229</v>
      </c>
      <c r="F66" s="1013" t="s">
        <v>4485</v>
      </c>
      <c r="G66" s="1014" t="s">
        <v>13</v>
      </c>
      <c r="H66" s="1015">
        <v>320296</v>
      </c>
      <c r="I66" s="1016" t="s">
        <v>4398</v>
      </c>
    </row>
    <row r="67" spans="2:9" ht="15.75" x14ac:dyDescent="0.25">
      <c r="B67" s="1365" t="s">
        <v>7169</v>
      </c>
      <c r="C67" s="1013" t="s">
        <v>4461</v>
      </c>
      <c r="D67" s="1013" t="s">
        <v>4461</v>
      </c>
      <c r="E67" s="1014">
        <v>3230</v>
      </c>
      <c r="F67" s="1013" t="s">
        <v>4486</v>
      </c>
      <c r="G67" s="1014" t="s">
        <v>13</v>
      </c>
      <c r="H67" s="1015">
        <v>439258</v>
      </c>
      <c r="I67" s="1016" t="s">
        <v>4398</v>
      </c>
    </row>
    <row r="68" spans="2:9" ht="15.75" x14ac:dyDescent="0.25">
      <c r="B68" s="1365" t="s">
        <v>7169</v>
      </c>
      <c r="C68" s="1013" t="s">
        <v>4461</v>
      </c>
      <c r="D68" s="1013" t="s">
        <v>4461</v>
      </c>
      <c r="E68" s="1014">
        <v>3231</v>
      </c>
      <c r="F68" s="1013" t="s">
        <v>4487</v>
      </c>
      <c r="G68" s="1014" t="s">
        <v>13</v>
      </c>
      <c r="H68" s="1015">
        <v>18737</v>
      </c>
      <c r="I68" s="1016" t="s">
        <v>4398</v>
      </c>
    </row>
    <row r="69" spans="2:9" ht="15.75" x14ac:dyDescent="0.25">
      <c r="B69" s="1365" t="s">
        <v>7169</v>
      </c>
      <c r="C69" s="1013" t="s">
        <v>4461</v>
      </c>
      <c r="D69" s="1013" t="s">
        <v>4461</v>
      </c>
      <c r="E69" s="1014">
        <v>3232</v>
      </c>
      <c r="F69" s="1013" t="s">
        <v>4488</v>
      </c>
      <c r="G69" s="1014" t="s">
        <v>13</v>
      </c>
      <c r="H69" s="1015">
        <v>25368</v>
      </c>
      <c r="I69" s="1016" t="s">
        <v>4398</v>
      </c>
    </row>
    <row r="70" spans="2:9" ht="15.75" x14ac:dyDescent="0.25">
      <c r="B70" s="1365" t="s">
        <v>7169</v>
      </c>
      <c r="C70" s="1013" t="s">
        <v>4461</v>
      </c>
      <c r="D70" s="1013" t="s">
        <v>4461</v>
      </c>
      <c r="E70" s="1014">
        <v>3233</v>
      </c>
      <c r="F70" s="1013" t="s">
        <v>4489</v>
      </c>
      <c r="G70" s="1014" t="s">
        <v>13</v>
      </c>
      <c r="H70" s="1015">
        <v>39958</v>
      </c>
      <c r="I70" s="1016" t="s">
        <v>4398</v>
      </c>
    </row>
    <row r="71" spans="2:9" ht="15.75" x14ac:dyDescent="0.25">
      <c r="B71" s="1365" t="s">
        <v>7169</v>
      </c>
      <c r="C71" s="1013" t="s">
        <v>4461</v>
      </c>
      <c r="D71" s="1013" t="s">
        <v>4461</v>
      </c>
      <c r="E71" s="1014">
        <v>3234</v>
      </c>
      <c r="F71" s="1013" t="s">
        <v>4490</v>
      </c>
      <c r="G71" s="1014" t="s">
        <v>13</v>
      </c>
      <c r="H71" s="1015">
        <v>53430</v>
      </c>
      <c r="I71" s="1016" t="s">
        <v>4398</v>
      </c>
    </row>
    <row r="72" spans="2:9" ht="15.75" x14ac:dyDescent="0.25">
      <c r="B72" s="1365" t="s">
        <v>7169</v>
      </c>
      <c r="C72" s="1013" t="s">
        <v>4461</v>
      </c>
      <c r="D72" s="1013" t="s">
        <v>4461</v>
      </c>
      <c r="E72" s="1014">
        <v>3235</v>
      </c>
      <c r="F72" s="1013" t="s">
        <v>4491</v>
      </c>
      <c r="G72" s="1014" t="s">
        <v>13</v>
      </c>
      <c r="H72" s="1015">
        <v>103619</v>
      </c>
      <c r="I72" s="1016" t="s">
        <v>4398</v>
      </c>
    </row>
    <row r="73" spans="2:9" ht="15.75" x14ac:dyDescent="0.25">
      <c r="B73" s="1365" t="s">
        <v>7169</v>
      </c>
      <c r="C73" s="1013" t="s">
        <v>4461</v>
      </c>
      <c r="D73" s="1013" t="s">
        <v>4461</v>
      </c>
      <c r="E73" s="1014">
        <v>3236</v>
      </c>
      <c r="F73" s="1013" t="s">
        <v>4492</v>
      </c>
      <c r="G73" s="1014" t="s">
        <v>13</v>
      </c>
      <c r="H73" s="1015">
        <v>171427</v>
      </c>
      <c r="I73" s="1016" t="s">
        <v>4398</v>
      </c>
    </row>
    <row r="74" spans="2:9" ht="15.75" x14ac:dyDescent="0.25">
      <c r="B74" s="1365" t="s">
        <v>7169</v>
      </c>
      <c r="C74" s="1013" t="s">
        <v>4461</v>
      </c>
      <c r="D74" s="1013" t="s">
        <v>4461</v>
      </c>
      <c r="E74" s="1014">
        <v>3237</v>
      </c>
      <c r="F74" s="1013" t="s">
        <v>4493</v>
      </c>
      <c r="G74" s="1014" t="s">
        <v>13</v>
      </c>
      <c r="H74" s="1015">
        <v>263734</v>
      </c>
      <c r="I74" s="1016" t="s">
        <v>4398</v>
      </c>
    </row>
    <row r="75" spans="2:9" ht="15.75" x14ac:dyDescent="0.25">
      <c r="B75" s="1365" t="s">
        <v>7169</v>
      </c>
      <c r="C75" s="1013" t="s">
        <v>4461</v>
      </c>
      <c r="D75" s="1013" t="s">
        <v>4461</v>
      </c>
      <c r="E75" s="1014">
        <v>3238</v>
      </c>
      <c r="F75" s="1013" t="s">
        <v>4494</v>
      </c>
      <c r="G75" s="1014" t="s">
        <v>13</v>
      </c>
      <c r="H75" s="1015">
        <v>362697</v>
      </c>
      <c r="I75" s="1016" t="s">
        <v>4398</v>
      </c>
    </row>
    <row r="76" spans="2:9" ht="15.75" x14ac:dyDescent="0.25">
      <c r="B76" s="1365" t="s">
        <v>7169</v>
      </c>
      <c r="C76" s="1013" t="s">
        <v>4461</v>
      </c>
      <c r="D76" s="1013" t="s">
        <v>4461</v>
      </c>
      <c r="E76" s="1014">
        <v>3239</v>
      </c>
      <c r="F76" s="1013" t="s">
        <v>4495</v>
      </c>
      <c r="G76" s="1014" t="s">
        <v>13</v>
      </c>
      <c r="H76" s="1015">
        <v>33217</v>
      </c>
      <c r="I76" s="1016" t="s">
        <v>4398</v>
      </c>
    </row>
    <row r="77" spans="2:9" ht="15.75" x14ac:dyDescent="0.25">
      <c r="B77" s="1365" t="s">
        <v>7169</v>
      </c>
      <c r="C77" s="1013" t="s">
        <v>4461</v>
      </c>
      <c r="D77" s="1013" t="s">
        <v>4461</v>
      </c>
      <c r="E77" s="1014">
        <v>3240</v>
      </c>
      <c r="F77" s="1013" t="s">
        <v>4496</v>
      </c>
      <c r="G77" s="1014" t="s">
        <v>13</v>
      </c>
      <c r="H77" s="1015">
        <v>44019</v>
      </c>
      <c r="I77" s="1016" t="s">
        <v>4398</v>
      </c>
    </row>
    <row r="78" spans="2:9" ht="15.75" x14ac:dyDescent="0.25">
      <c r="B78" s="1365" t="s">
        <v>7169</v>
      </c>
      <c r="C78" s="1013" t="s">
        <v>4461</v>
      </c>
      <c r="D78" s="1013" t="s">
        <v>4461</v>
      </c>
      <c r="E78" s="1014">
        <v>3241</v>
      </c>
      <c r="F78" s="1013" t="s">
        <v>4497</v>
      </c>
      <c r="G78" s="1014" t="s">
        <v>13</v>
      </c>
      <c r="H78" s="1015">
        <v>86468</v>
      </c>
      <c r="I78" s="1016" t="s">
        <v>4398</v>
      </c>
    </row>
    <row r="79" spans="2:9" ht="15.75" x14ac:dyDescent="0.25">
      <c r="B79" s="1365" t="s">
        <v>7169</v>
      </c>
      <c r="C79" s="1013" t="s">
        <v>4461</v>
      </c>
      <c r="D79" s="1013" t="s">
        <v>4461</v>
      </c>
      <c r="E79" s="1014">
        <v>3242</v>
      </c>
      <c r="F79" s="1013" t="s">
        <v>4498</v>
      </c>
      <c r="G79" s="1014" t="s">
        <v>13</v>
      </c>
      <c r="H79" s="1015">
        <v>142259</v>
      </c>
      <c r="I79" s="1016" t="s">
        <v>4398</v>
      </c>
    </row>
    <row r="80" spans="2:9" ht="15.75" x14ac:dyDescent="0.25">
      <c r="B80" s="1365" t="s">
        <v>7169</v>
      </c>
      <c r="C80" s="1013" t="s">
        <v>4461</v>
      </c>
      <c r="D80" s="1013" t="s">
        <v>4461</v>
      </c>
      <c r="E80" s="1014">
        <v>3243</v>
      </c>
      <c r="F80" s="1013" t="s">
        <v>4499</v>
      </c>
      <c r="G80" s="1014" t="s">
        <v>13</v>
      </c>
      <c r="H80" s="1015">
        <v>219144</v>
      </c>
      <c r="I80" s="1016" t="s">
        <v>4398</v>
      </c>
    </row>
    <row r="81" spans="2:9" ht="15.75" x14ac:dyDescent="0.25">
      <c r="B81" s="1365" t="s">
        <v>7169</v>
      </c>
      <c r="C81" s="1013" t="s">
        <v>4461</v>
      </c>
      <c r="D81" s="1013" t="s">
        <v>4461</v>
      </c>
      <c r="E81" s="1014">
        <v>3245</v>
      </c>
      <c r="F81" s="1013" t="s">
        <v>4500</v>
      </c>
      <c r="G81" s="1014" t="s">
        <v>13</v>
      </c>
      <c r="H81" s="1015">
        <v>299808</v>
      </c>
      <c r="I81" s="1016" t="s">
        <v>4398</v>
      </c>
    </row>
    <row r="82" spans="2:9" ht="15.75" x14ac:dyDescent="0.25">
      <c r="B82" s="1365" t="s">
        <v>7169</v>
      </c>
      <c r="C82" s="1013" t="s">
        <v>4461</v>
      </c>
      <c r="D82" s="1013" t="s">
        <v>4461</v>
      </c>
      <c r="E82" s="1014">
        <v>3246</v>
      </c>
      <c r="F82" s="1013" t="s">
        <v>4501</v>
      </c>
      <c r="G82" s="1014" t="s">
        <v>13</v>
      </c>
      <c r="H82" s="1015">
        <v>35729</v>
      </c>
      <c r="I82" s="1016" t="s">
        <v>4398</v>
      </c>
    </row>
    <row r="83" spans="2:9" ht="15.75" x14ac:dyDescent="0.25">
      <c r="B83" s="1365" t="s">
        <v>7169</v>
      </c>
      <c r="C83" s="1013" t="s">
        <v>4461</v>
      </c>
      <c r="D83" s="1013" t="s">
        <v>4461</v>
      </c>
      <c r="E83" s="1014">
        <v>3247</v>
      </c>
      <c r="F83" s="1013" t="s">
        <v>4502</v>
      </c>
      <c r="G83" s="1014" t="s">
        <v>13</v>
      </c>
      <c r="H83" s="1015">
        <v>71752</v>
      </c>
      <c r="I83" s="1016" t="s">
        <v>4398</v>
      </c>
    </row>
    <row r="84" spans="2:9" ht="15.75" x14ac:dyDescent="0.25">
      <c r="B84" s="1365" t="s">
        <v>7169</v>
      </c>
      <c r="C84" s="1013" t="s">
        <v>4461</v>
      </c>
      <c r="D84" s="1013" t="s">
        <v>4461</v>
      </c>
      <c r="E84" s="1014">
        <v>3248</v>
      </c>
      <c r="F84" s="1013" t="s">
        <v>4503</v>
      </c>
      <c r="G84" s="1014" t="s">
        <v>13</v>
      </c>
      <c r="H84" s="1015">
        <v>116472</v>
      </c>
      <c r="I84" s="1016" t="s">
        <v>4398</v>
      </c>
    </row>
    <row r="85" spans="2:9" ht="15.75" x14ac:dyDescent="0.25">
      <c r="B85" s="1365" t="s">
        <v>7169</v>
      </c>
      <c r="C85" s="1013" t="s">
        <v>4461</v>
      </c>
      <c r="D85" s="1013" t="s">
        <v>4461</v>
      </c>
      <c r="E85" s="1014">
        <v>3249</v>
      </c>
      <c r="F85" s="1013" t="s">
        <v>4504</v>
      </c>
      <c r="G85" s="1014" t="s">
        <v>13</v>
      </c>
      <c r="H85" s="1015">
        <v>178944</v>
      </c>
      <c r="I85" s="1016" t="s">
        <v>4398</v>
      </c>
    </row>
    <row r="86" spans="2:9" ht="15.75" x14ac:dyDescent="0.25">
      <c r="B86" s="1365" t="s">
        <v>7169</v>
      </c>
      <c r="C86" s="1013" t="s">
        <v>4461</v>
      </c>
      <c r="D86" s="1013" t="s">
        <v>4461</v>
      </c>
      <c r="E86" s="1014">
        <v>3250</v>
      </c>
      <c r="F86" s="1013" t="s">
        <v>4505</v>
      </c>
      <c r="G86" s="1014" t="s">
        <v>13</v>
      </c>
      <c r="H86" s="1015">
        <v>240149</v>
      </c>
      <c r="I86" s="1016" t="s">
        <v>4398</v>
      </c>
    </row>
    <row r="87" spans="2:9" ht="15.75" x14ac:dyDescent="0.25">
      <c r="B87" s="1365" t="s">
        <v>7169</v>
      </c>
      <c r="C87" s="1013" t="s">
        <v>4461</v>
      </c>
      <c r="D87" s="1013" t="s">
        <v>4461</v>
      </c>
      <c r="E87" s="1014">
        <v>3251</v>
      </c>
      <c r="F87" s="1013" t="s">
        <v>4506</v>
      </c>
      <c r="G87" s="1014" t="s">
        <v>266</v>
      </c>
      <c r="H87" s="1015">
        <v>550858</v>
      </c>
      <c r="I87" s="1016" t="s">
        <v>4398</v>
      </c>
    </row>
    <row r="88" spans="2:9" ht="15.75" x14ac:dyDescent="0.25">
      <c r="B88" s="1365" t="s">
        <v>7169</v>
      </c>
      <c r="C88" s="1013" t="s">
        <v>4461</v>
      </c>
      <c r="D88" s="1013" t="s">
        <v>4461</v>
      </c>
      <c r="E88" s="1014">
        <v>3252</v>
      </c>
      <c r="F88" s="1013" t="s">
        <v>4507</v>
      </c>
      <c r="G88" s="1014" t="s">
        <v>266</v>
      </c>
      <c r="H88" s="1015">
        <v>517438</v>
      </c>
      <c r="I88" s="1016" t="s">
        <v>4398</v>
      </c>
    </row>
    <row r="89" spans="2:9" ht="15.75" x14ac:dyDescent="0.25">
      <c r="B89" s="1365" t="s">
        <v>7169</v>
      </c>
      <c r="C89" s="1013" t="s">
        <v>4461</v>
      </c>
      <c r="D89" s="1013" t="s">
        <v>4461</v>
      </c>
      <c r="E89" s="1014">
        <v>3253</v>
      </c>
      <c r="F89" s="1013" t="s">
        <v>4508</v>
      </c>
      <c r="G89" s="1014" t="s">
        <v>266</v>
      </c>
      <c r="H89" s="1015">
        <v>547507</v>
      </c>
      <c r="I89" s="1016" t="s">
        <v>4398</v>
      </c>
    </row>
    <row r="90" spans="2:9" ht="15.75" x14ac:dyDescent="0.25">
      <c r="B90" s="1365" t="s">
        <v>7169</v>
      </c>
      <c r="C90" s="1013" t="s">
        <v>4461</v>
      </c>
      <c r="D90" s="1013" t="s">
        <v>4461</v>
      </c>
      <c r="E90" s="1014">
        <v>3254</v>
      </c>
      <c r="F90" s="1013" t="s">
        <v>4509</v>
      </c>
      <c r="G90" s="1014" t="s">
        <v>266</v>
      </c>
      <c r="H90" s="1015">
        <v>577257</v>
      </c>
      <c r="I90" s="1016" t="s">
        <v>4398</v>
      </c>
    </row>
    <row r="91" spans="2:9" ht="15.75" x14ac:dyDescent="0.25">
      <c r="B91" s="1365" t="s">
        <v>7169</v>
      </c>
      <c r="C91" s="1013" t="s">
        <v>4461</v>
      </c>
      <c r="D91" s="1013" t="s">
        <v>4461</v>
      </c>
      <c r="E91" s="1014">
        <v>3255</v>
      </c>
      <c r="F91" s="1013" t="s">
        <v>4510</v>
      </c>
      <c r="G91" s="1014" t="s">
        <v>266</v>
      </c>
      <c r="H91" s="1015">
        <v>762399</v>
      </c>
      <c r="I91" s="1016" t="s">
        <v>4398</v>
      </c>
    </row>
    <row r="92" spans="2:9" ht="15.75" x14ac:dyDescent="0.25">
      <c r="B92" s="1365" t="s">
        <v>7169</v>
      </c>
      <c r="C92" s="1013" t="s">
        <v>4461</v>
      </c>
      <c r="D92" s="1013" t="s">
        <v>4461</v>
      </c>
      <c r="E92" s="1014">
        <v>3256</v>
      </c>
      <c r="F92" s="1013" t="s">
        <v>4511</v>
      </c>
      <c r="G92" s="1014" t="s">
        <v>266</v>
      </c>
      <c r="H92" s="1015">
        <v>845699</v>
      </c>
      <c r="I92" s="1016" t="s">
        <v>4398</v>
      </c>
    </row>
    <row r="93" spans="2:9" ht="15.75" x14ac:dyDescent="0.25">
      <c r="B93" s="1365" t="s">
        <v>7169</v>
      </c>
      <c r="C93" s="1013" t="s">
        <v>4461</v>
      </c>
      <c r="D93" s="1013" t="s">
        <v>4461</v>
      </c>
      <c r="E93" s="1014">
        <v>3257</v>
      </c>
      <c r="F93" s="1013" t="s">
        <v>4512</v>
      </c>
      <c r="G93" s="1014" t="s">
        <v>266</v>
      </c>
      <c r="H93" s="1015">
        <v>865366</v>
      </c>
      <c r="I93" s="1016" t="s">
        <v>4398</v>
      </c>
    </row>
    <row r="94" spans="2:9" ht="15.75" x14ac:dyDescent="0.25">
      <c r="B94" s="1365" t="s">
        <v>7169</v>
      </c>
      <c r="C94" s="1013" t="s">
        <v>4461</v>
      </c>
      <c r="D94" s="1013" t="s">
        <v>4461</v>
      </c>
      <c r="E94" s="1014">
        <v>3258</v>
      </c>
      <c r="F94" s="1013" t="s">
        <v>4513</v>
      </c>
      <c r="G94" s="1014" t="s">
        <v>266</v>
      </c>
      <c r="H94" s="1015">
        <v>899249</v>
      </c>
      <c r="I94" s="1016" t="s">
        <v>4398</v>
      </c>
    </row>
    <row r="95" spans="2:9" ht="15.75" x14ac:dyDescent="0.25">
      <c r="B95" s="1365" t="s">
        <v>7169</v>
      </c>
      <c r="C95" s="1013" t="s">
        <v>4461</v>
      </c>
      <c r="D95" s="1013" t="s">
        <v>4461</v>
      </c>
      <c r="E95" s="1014">
        <v>3259</v>
      </c>
      <c r="F95" s="1013" t="s">
        <v>4514</v>
      </c>
      <c r="G95" s="1014" t="s">
        <v>266</v>
      </c>
      <c r="H95" s="1015">
        <v>943676</v>
      </c>
      <c r="I95" s="1016" t="s">
        <v>4398</v>
      </c>
    </row>
    <row r="96" spans="2:9" ht="15.75" x14ac:dyDescent="0.25">
      <c r="B96" s="1365" t="s">
        <v>7169</v>
      </c>
      <c r="C96" s="1013" t="s">
        <v>4461</v>
      </c>
      <c r="D96" s="1013" t="s">
        <v>4461</v>
      </c>
      <c r="E96" s="1014">
        <v>3260</v>
      </c>
      <c r="F96" s="1013" t="s">
        <v>4515</v>
      </c>
      <c r="G96" s="1014" t="s">
        <v>266</v>
      </c>
      <c r="H96" s="1015">
        <v>1325198</v>
      </c>
      <c r="I96" s="1016" t="s">
        <v>4398</v>
      </c>
    </row>
    <row r="97" spans="2:9" ht="15.75" x14ac:dyDescent="0.25">
      <c r="B97" s="1365" t="s">
        <v>7169</v>
      </c>
      <c r="C97" s="1013" t="s">
        <v>4461</v>
      </c>
      <c r="D97" s="1013" t="s">
        <v>4461</v>
      </c>
      <c r="E97" s="1014">
        <v>3261</v>
      </c>
      <c r="F97" s="1013" t="s">
        <v>4516</v>
      </c>
      <c r="G97" s="1014" t="s">
        <v>266</v>
      </c>
      <c r="H97" s="1015">
        <v>1417217</v>
      </c>
      <c r="I97" s="1016" t="s">
        <v>4398</v>
      </c>
    </row>
    <row r="98" spans="2:9" ht="15.75" x14ac:dyDescent="0.25">
      <c r="B98" s="1365" t="s">
        <v>7169</v>
      </c>
      <c r="C98" s="1013" t="s">
        <v>4461</v>
      </c>
      <c r="D98" s="1013" t="s">
        <v>4461</v>
      </c>
      <c r="E98" s="1014">
        <v>3262</v>
      </c>
      <c r="F98" s="1013" t="s">
        <v>4517</v>
      </c>
      <c r="G98" s="1014" t="s">
        <v>266</v>
      </c>
      <c r="H98" s="1015">
        <v>1456885</v>
      </c>
      <c r="I98" s="1016" t="s">
        <v>4398</v>
      </c>
    </row>
    <row r="99" spans="2:9" ht="15.75" x14ac:dyDescent="0.25">
      <c r="B99" s="1365" t="s">
        <v>7169</v>
      </c>
      <c r="C99" s="1013" t="s">
        <v>4461</v>
      </c>
      <c r="D99" s="1013" t="s">
        <v>4461</v>
      </c>
      <c r="E99" s="1014">
        <v>3263</v>
      </c>
      <c r="F99" s="1013" t="s">
        <v>4518</v>
      </c>
      <c r="G99" s="1014" t="s">
        <v>266</v>
      </c>
      <c r="H99" s="1015">
        <v>1626261</v>
      </c>
      <c r="I99" s="1016" t="s">
        <v>4398</v>
      </c>
    </row>
    <row r="100" spans="2:9" ht="15.75" x14ac:dyDescent="0.25">
      <c r="B100" s="1365" t="s">
        <v>7169</v>
      </c>
      <c r="C100" s="1013" t="s">
        <v>4461</v>
      </c>
      <c r="D100" s="1013" t="s">
        <v>4461</v>
      </c>
      <c r="E100" s="1014">
        <v>3264</v>
      </c>
      <c r="F100" s="1013" t="s">
        <v>4519</v>
      </c>
      <c r="G100" s="1014" t="s">
        <v>266</v>
      </c>
      <c r="H100" s="1015">
        <v>1872591</v>
      </c>
      <c r="I100" s="1016" t="s">
        <v>4398</v>
      </c>
    </row>
    <row r="101" spans="2:9" ht="15.75" x14ac:dyDescent="0.25">
      <c r="B101" s="1365" t="s">
        <v>7169</v>
      </c>
      <c r="C101" s="1013" t="s">
        <v>4461</v>
      </c>
      <c r="D101" s="1013" t="s">
        <v>4461</v>
      </c>
      <c r="E101" s="1014">
        <v>3265</v>
      </c>
      <c r="F101" s="1013" t="s">
        <v>4520</v>
      </c>
      <c r="G101" s="1014" t="s">
        <v>266</v>
      </c>
      <c r="H101" s="1015">
        <v>2066648</v>
      </c>
      <c r="I101" s="1016" t="s">
        <v>4398</v>
      </c>
    </row>
    <row r="102" spans="2:9" ht="15.75" x14ac:dyDescent="0.25">
      <c r="B102" s="1365" t="s">
        <v>7169</v>
      </c>
      <c r="C102" s="1013" t="s">
        <v>4461</v>
      </c>
      <c r="D102" s="1013" t="s">
        <v>4461</v>
      </c>
      <c r="E102" s="1014">
        <v>3267</v>
      </c>
      <c r="F102" s="1013" t="s">
        <v>4521</v>
      </c>
      <c r="G102" s="1014" t="s">
        <v>266</v>
      </c>
      <c r="H102" s="1015">
        <v>1935742</v>
      </c>
      <c r="I102" s="1016" t="s">
        <v>4398</v>
      </c>
    </row>
    <row r="103" spans="2:9" ht="15.75" x14ac:dyDescent="0.25">
      <c r="B103" s="1365" t="s">
        <v>7169</v>
      </c>
      <c r="C103" s="1013" t="s">
        <v>4461</v>
      </c>
      <c r="D103" s="1013" t="s">
        <v>4461</v>
      </c>
      <c r="E103" s="1014">
        <v>3268</v>
      </c>
      <c r="F103" s="1013" t="s">
        <v>4522</v>
      </c>
      <c r="G103" s="1014" t="s">
        <v>266</v>
      </c>
      <c r="H103" s="1015">
        <v>2036990</v>
      </c>
      <c r="I103" s="1016" t="s">
        <v>4398</v>
      </c>
    </row>
    <row r="104" spans="2:9" ht="15.75" x14ac:dyDescent="0.25">
      <c r="B104" s="1365" t="s">
        <v>7169</v>
      </c>
      <c r="C104" s="1013" t="s">
        <v>4461</v>
      </c>
      <c r="D104" s="1013" t="s">
        <v>4461</v>
      </c>
      <c r="E104" s="1014">
        <v>3269</v>
      </c>
      <c r="F104" s="1013" t="s">
        <v>4523</v>
      </c>
      <c r="G104" s="1014" t="s">
        <v>266</v>
      </c>
      <c r="H104" s="1015">
        <v>2245439</v>
      </c>
      <c r="I104" s="1016" t="s">
        <v>4398</v>
      </c>
    </row>
    <row r="105" spans="2:9" ht="15.75" x14ac:dyDescent="0.25">
      <c r="B105" s="1365" t="s">
        <v>7169</v>
      </c>
      <c r="C105" s="1013" t="s">
        <v>4461</v>
      </c>
      <c r="D105" s="1013" t="s">
        <v>4461</v>
      </c>
      <c r="E105" s="1014">
        <v>3270</v>
      </c>
      <c r="F105" s="1013" t="s">
        <v>4524</v>
      </c>
      <c r="G105" s="1014" t="s">
        <v>266</v>
      </c>
      <c r="H105" s="1015">
        <v>2444933</v>
      </c>
      <c r="I105" s="1016" t="s">
        <v>4398</v>
      </c>
    </row>
    <row r="106" spans="2:9" ht="15.75" x14ac:dyDescent="0.25">
      <c r="B106" s="1365" t="s">
        <v>7169</v>
      </c>
      <c r="C106" s="1013" t="s">
        <v>4461</v>
      </c>
      <c r="D106" s="1013" t="s">
        <v>4461</v>
      </c>
      <c r="E106" s="1014">
        <v>3271</v>
      </c>
      <c r="F106" s="1013" t="s">
        <v>4525</v>
      </c>
      <c r="G106" s="1014" t="s">
        <v>266</v>
      </c>
      <c r="H106" s="1015">
        <v>2727816</v>
      </c>
      <c r="I106" s="1016" t="s">
        <v>4398</v>
      </c>
    </row>
    <row r="107" spans="2:9" ht="15.75" x14ac:dyDescent="0.25">
      <c r="B107" s="1365" t="s">
        <v>7169</v>
      </c>
      <c r="C107" s="1013" t="s">
        <v>4461</v>
      </c>
      <c r="D107" s="1013" t="s">
        <v>4461</v>
      </c>
      <c r="E107" s="1014">
        <v>3272</v>
      </c>
      <c r="F107" s="1013" t="s">
        <v>4526</v>
      </c>
      <c r="G107" s="1014" t="s">
        <v>266</v>
      </c>
      <c r="H107" s="1015">
        <v>3055371</v>
      </c>
      <c r="I107" s="1016" t="s">
        <v>4398</v>
      </c>
    </row>
    <row r="108" spans="2:9" ht="15.75" x14ac:dyDescent="0.25">
      <c r="B108" s="1365" t="s">
        <v>7169</v>
      </c>
      <c r="C108" s="1013" t="s">
        <v>4461</v>
      </c>
      <c r="D108" s="1013" t="s">
        <v>4461</v>
      </c>
      <c r="E108" s="1014">
        <v>3273</v>
      </c>
      <c r="F108" s="1013" t="s">
        <v>4527</v>
      </c>
      <c r="G108" s="1014" t="s">
        <v>266</v>
      </c>
      <c r="H108" s="1015">
        <v>7336546</v>
      </c>
      <c r="I108" s="1016" t="s">
        <v>4398</v>
      </c>
    </row>
    <row r="109" spans="2:9" ht="15.75" x14ac:dyDescent="0.25">
      <c r="B109" s="1365" t="s">
        <v>7169</v>
      </c>
      <c r="C109" s="1013" t="s">
        <v>4461</v>
      </c>
      <c r="D109" s="1013" t="s">
        <v>4461</v>
      </c>
      <c r="E109" s="1014">
        <v>3274</v>
      </c>
      <c r="F109" s="1013" t="s">
        <v>4528</v>
      </c>
      <c r="G109" s="1014" t="s">
        <v>266</v>
      </c>
      <c r="H109" s="1015">
        <v>8327353</v>
      </c>
      <c r="I109" s="1016" t="s">
        <v>4398</v>
      </c>
    </row>
    <row r="110" spans="2:9" ht="15.75" x14ac:dyDescent="0.25">
      <c r="B110" s="1365" t="s">
        <v>7169</v>
      </c>
      <c r="C110" s="1013" t="s">
        <v>4461</v>
      </c>
      <c r="D110" s="1013" t="s">
        <v>4461</v>
      </c>
      <c r="E110" s="1014">
        <v>3275</v>
      </c>
      <c r="F110" s="1013" t="s">
        <v>4529</v>
      </c>
      <c r="G110" s="1014" t="s">
        <v>266</v>
      </c>
      <c r="H110" s="1015">
        <v>9089513</v>
      </c>
      <c r="I110" s="1016" t="s">
        <v>4398</v>
      </c>
    </row>
    <row r="111" spans="2:9" ht="15.75" x14ac:dyDescent="0.25">
      <c r="B111" s="1365" t="s">
        <v>7169</v>
      </c>
      <c r="C111" s="1013" t="s">
        <v>4461</v>
      </c>
      <c r="D111" s="1013" t="s">
        <v>4461</v>
      </c>
      <c r="E111" s="1014">
        <v>3276</v>
      </c>
      <c r="F111" s="1013" t="s">
        <v>4530</v>
      </c>
      <c r="G111" s="1014" t="s">
        <v>266</v>
      </c>
      <c r="H111" s="1015">
        <v>9661132</v>
      </c>
      <c r="I111" s="1016" t="s">
        <v>4398</v>
      </c>
    </row>
    <row r="112" spans="2:9" ht="15.75" x14ac:dyDescent="0.25">
      <c r="B112" s="1365" t="s">
        <v>7169</v>
      </c>
      <c r="C112" s="1013" t="s">
        <v>4461</v>
      </c>
      <c r="D112" s="1013" t="s">
        <v>4461</v>
      </c>
      <c r="E112" s="1014">
        <v>3277</v>
      </c>
      <c r="F112" s="1013" t="s">
        <v>4531</v>
      </c>
      <c r="G112" s="1014" t="s">
        <v>266</v>
      </c>
      <c r="H112" s="1015">
        <v>10118428</v>
      </c>
      <c r="I112" s="1016" t="s">
        <v>4398</v>
      </c>
    </row>
    <row r="113" spans="2:9" ht="15.75" x14ac:dyDescent="0.25">
      <c r="B113" s="1365" t="s">
        <v>7169</v>
      </c>
      <c r="C113" s="1013" t="s">
        <v>4461</v>
      </c>
      <c r="D113" s="1013" t="s">
        <v>4461</v>
      </c>
      <c r="E113" s="1014">
        <v>3278</v>
      </c>
      <c r="F113" s="1013" t="s">
        <v>4532</v>
      </c>
      <c r="G113" s="1014" t="s">
        <v>266</v>
      </c>
      <c r="H113" s="1015">
        <v>10918695</v>
      </c>
      <c r="I113" s="1016" t="s">
        <v>4398</v>
      </c>
    </row>
    <row r="114" spans="2:9" ht="15.75" x14ac:dyDescent="0.25">
      <c r="B114" s="1365" t="s">
        <v>7169</v>
      </c>
      <c r="C114" s="1013" t="s">
        <v>4461</v>
      </c>
      <c r="D114" s="1013" t="s">
        <v>4461</v>
      </c>
      <c r="E114" s="1014">
        <v>3279</v>
      </c>
      <c r="F114" s="1013" t="s">
        <v>4533</v>
      </c>
      <c r="G114" s="1014" t="s">
        <v>266</v>
      </c>
      <c r="H114" s="1015">
        <v>11490315</v>
      </c>
      <c r="I114" s="1016" t="s">
        <v>4398</v>
      </c>
    </row>
    <row r="115" spans="2:9" ht="15.75" x14ac:dyDescent="0.25">
      <c r="B115" s="1365" t="s">
        <v>7169</v>
      </c>
      <c r="C115" s="1013" t="s">
        <v>4461</v>
      </c>
      <c r="D115" s="1013" t="s">
        <v>4461</v>
      </c>
      <c r="E115" s="1014">
        <v>3280</v>
      </c>
      <c r="F115" s="1013" t="s">
        <v>4534</v>
      </c>
      <c r="G115" s="1014" t="s">
        <v>266</v>
      </c>
      <c r="H115" s="1015">
        <v>13090850</v>
      </c>
      <c r="I115" s="1016" t="s">
        <v>4398</v>
      </c>
    </row>
    <row r="116" spans="2:9" ht="15.75" x14ac:dyDescent="0.25">
      <c r="B116" s="1365" t="s">
        <v>7169</v>
      </c>
      <c r="C116" s="1013" t="s">
        <v>4461</v>
      </c>
      <c r="D116" s="1013" t="s">
        <v>4461</v>
      </c>
      <c r="E116" s="1014">
        <v>3281</v>
      </c>
      <c r="F116" s="1013" t="s">
        <v>4535</v>
      </c>
      <c r="G116" s="1014" t="s">
        <v>266</v>
      </c>
      <c r="H116" s="1015">
        <v>316559</v>
      </c>
      <c r="I116" s="1016" t="s">
        <v>4398</v>
      </c>
    </row>
    <row r="117" spans="2:9" ht="15.75" x14ac:dyDescent="0.25">
      <c r="B117" s="1365" t="s">
        <v>7169</v>
      </c>
      <c r="C117" s="1013" t="s">
        <v>4461</v>
      </c>
      <c r="D117" s="1013" t="s">
        <v>4461</v>
      </c>
      <c r="E117" s="1014">
        <v>3282</v>
      </c>
      <c r="F117" s="1013" t="s">
        <v>4536</v>
      </c>
      <c r="G117" s="1014" t="s">
        <v>266</v>
      </c>
      <c r="H117" s="1015">
        <v>349874</v>
      </c>
      <c r="I117" s="1016" t="s">
        <v>4398</v>
      </c>
    </row>
    <row r="118" spans="2:9" ht="15.75" x14ac:dyDescent="0.25">
      <c r="B118" s="1365" t="s">
        <v>7169</v>
      </c>
      <c r="C118" s="1013" t="s">
        <v>4405</v>
      </c>
      <c r="D118" s="1013" t="s">
        <v>4406</v>
      </c>
      <c r="E118" s="1014">
        <v>3283</v>
      </c>
      <c r="F118" s="1013" t="s">
        <v>4537</v>
      </c>
      <c r="G118" s="1014" t="s">
        <v>13</v>
      </c>
      <c r="H118" s="1015">
        <v>7679</v>
      </c>
      <c r="I118" s="1016" t="s">
        <v>4398</v>
      </c>
    </row>
    <row r="119" spans="2:9" ht="15.75" x14ac:dyDescent="0.25">
      <c r="B119" s="1365" t="s">
        <v>7169</v>
      </c>
      <c r="C119" s="1013" t="s">
        <v>4405</v>
      </c>
      <c r="D119" s="1013" t="s">
        <v>4406</v>
      </c>
      <c r="E119" s="1014">
        <v>3284</v>
      </c>
      <c r="F119" s="1013" t="s">
        <v>4538</v>
      </c>
      <c r="G119" s="1014" t="s">
        <v>13</v>
      </c>
      <c r="H119" s="1015">
        <v>12283</v>
      </c>
      <c r="I119" s="1016" t="s">
        <v>4398</v>
      </c>
    </row>
    <row r="120" spans="2:9" ht="15.75" x14ac:dyDescent="0.25">
      <c r="B120" s="1365" t="s">
        <v>7169</v>
      </c>
      <c r="C120" s="1013" t="s">
        <v>4405</v>
      </c>
      <c r="D120" s="1013" t="s">
        <v>4406</v>
      </c>
      <c r="E120" s="1014">
        <v>3285</v>
      </c>
      <c r="F120" s="1013" t="s">
        <v>4539</v>
      </c>
      <c r="G120" s="1014" t="s">
        <v>13</v>
      </c>
      <c r="H120" s="1015">
        <v>10266</v>
      </c>
      <c r="I120" s="1016" t="s">
        <v>4398</v>
      </c>
    </row>
    <row r="121" spans="2:9" ht="15.75" x14ac:dyDescent="0.25">
      <c r="B121" s="1365" t="s">
        <v>7169</v>
      </c>
      <c r="C121" s="1013" t="s">
        <v>4405</v>
      </c>
      <c r="D121" s="1013" t="s">
        <v>4406</v>
      </c>
      <c r="E121" s="1014">
        <v>3286</v>
      </c>
      <c r="F121" s="1013" t="s">
        <v>4540</v>
      </c>
      <c r="G121" s="1014" t="s">
        <v>13</v>
      </c>
      <c r="H121" s="1015">
        <v>17316</v>
      </c>
      <c r="I121" s="1016" t="s">
        <v>4398</v>
      </c>
    </row>
    <row r="122" spans="2:9" ht="15.75" x14ac:dyDescent="0.25">
      <c r="B122" s="1365" t="s">
        <v>7169</v>
      </c>
      <c r="C122" s="1013" t="s">
        <v>4405</v>
      </c>
      <c r="D122" s="1013" t="s">
        <v>4406</v>
      </c>
      <c r="E122" s="1014">
        <v>3287</v>
      </c>
      <c r="F122" s="1013" t="s">
        <v>4541</v>
      </c>
      <c r="G122" s="1014" t="s">
        <v>13</v>
      </c>
      <c r="H122" s="1015">
        <v>48739</v>
      </c>
      <c r="I122" s="1016" t="s">
        <v>4398</v>
      </c>
    </row>
    <row r="123" spans="2:9" ht="15.75" x14ac:dyDescent="0.25">
      <c r="B123" s="1365" t="s">
        <v>7169</v>
      </c>
      <c r="C123" s="1013" t="s">
        <v>4405</v>
      </c>
      <c r="D123" s="1013" t="s">
        <v>4406</v>
      </c>
      <c r="E123" s="1014">
        <v>3288</v>
      </c>
      <c r="F123" s="1013" t="s">
        <v>4542</v>
      </c>
      <c r="G123" s="1014" t="s">
        <v>13</v>
      </c>
      <c r="H123" s="1015">
        <v>41754</v>
      </c>
      <c r="I123" s="1016" t="s">
        <v>4398</v>
      </c>
    </row>
    <row r="124" spans="2:9" ht="15.75" x14ac:dyDescent="0.25">
      <c r="B124" s="1365" t="s">
        <v>7169</v>
      </c>
      <c r="C124" s="1013" t="s">
        <v>4461</v>
      </c>
      <c r="D124" s="1013" t="s">
        <v>4461</v>
      </c>
      <c r="E124" s="1014">
        <v>3291</v>
      </c>
      <c r="F124" s="1013" t="s">
        <v>4543</v>
      </c>
      <c r="G124" s="1014" t="s">
        <v>266</v>
      </c>
      <c r="H124" s="1015">
        <v>140056</v>
      </c>
      <c r="I124" s="1016" t="s">
        <v>4398</v>
      </c>
    </row>
    <row r="125" spans="2:9" ht="15.75" x14ac:dyDescent="0.25">
      <c r="B125" s="1365" t="s">
        <v>7169</v>
      </c>
      <c r="C125" s="1013" t="s">
        <v>4461</v>
      </c>
      <c r="D125" s="1013" t="s">
        <v>4461</v>
      </c>
      <c r="E125" s="1014">
        <v>3292</v>
      </c>
      <c r="F125" s="1013" t="s">
        <v>4544</v>
      </c>
      <c r="G125" s="1014" t="s">
        <v>266</v>
      </c>
      <c r="H125" s="1015">
        <v>185313</v>
      </c>
      <c r="I125" s="1016" t="s">
        <v>4398</v>
      </c>
    </row>
    <row r="126" spans="2:9" ht="15.75" x14ac:dyDescent="0.25">
      <c r="B126" s="1365" t="s">
        <v>7169</v>
      </c>
      <c r="C126" s="1013" t="s">
        <v>4461</v>
      </c>
      <c r="D126" s="1013" t="s">
        <v>4461</v>
      </c>
      <c r="E126" s="1014">
        <v>3293</v>
      </c>
      <c r="F126" s="1013" t="s">
        <v>4545</v>
      </c>
      <c r="G126" s="1014" t="s">
        <v>266</v>
      </c>
      <c r="H126" s="1015">
        <v>286809</v>
      </c>
      <c r="I126" s="1016" t="s">
        <v>4398</v>
      </c>
    </row>
    <row r="127" spans="2:9" ht="15.75" x14ac:dyDescent="0.25">
      <c r="B127" s="1365" t="s">
        <v>7169</v>
      </c>
      <c r="C127" s="1013" t="s">
        <v>4461</v>
      </c>
      <c r="D127" s="1013" t="s">
        <v>4461</v>
      </c>
      <c r="E127" s="1014">
        <v>3294</v>
      </c>
      <c r="F127" s="1013" t="s">
        <v>4546</v>
      </c>
      <c r="G127" s="1014" t="s">
        <v>266</v>
      </c>
      <c r="H127" s="1015">
        <v>566803</v>
      </c>
      <c r="I127" s="1016" t="s">
        <v>4398</v>
      </c>
    </row>
    <row r="128" spans="2:9" ht="15.75" x14ac:dyDescent="0.25">
      <c r="B128" s="1365" t="s">
        <v>7169</v>
      </c>
      <c r="C128" s="1013" t="s">
        <v>4461</v>
      </c>
      <c r="D128" s="1013" t="s">
        <v>4461</v>
      </c>
      <c r="E128" s="1014">
        <v>3295</v>
      </c>
      <c r="F128" s="1013" t="s">
        <v>4547</v>
      </c>
      <c r="G128" s="1014" t="s">
        <v>266</v>
      </c>
      <c r="H128" s="1015">
        <v>991616</v>
      </c>
      <c r="I128" s="1016" t="s">
        <v>4398</v>
      </c>
    </row>
    <row r="129" spans="2:9" ht="15.75" x14ac:dyDescent="0.25">
      <c r="B129" s="1365" t="s">
        <v>7169</v>
      </c>
      <c r="C129" s="1013" t="s">
        <v>4461</v>
      </c>
      <c r="D129" s="1013" t="s">
        <v>4461</v>
      </c>
      <c r="E129" s="1014">
        <v>3296</v>
      </c>
      <c r="F129" s="1013" t="s">
        <v>4548</v>
      </c>
      <c r="G129" s="1014" t="s">
        <v>266</v>
      </c>
      <c r="H129" s="1015">
        <v>1491500</v>
      </c>
      <c r="I129" s="1016" t="s">
        <v>4398</v>
      </c>
    </row>
    <row r="130" spans="2:9" ht="15.75" x14ac:dyDescent="0.25">
      <c r="B130" s="1365" t="s">
        <v>7169</v>
      </c>
      <c r="C130" s="1013" t="s">
        <v>4461</v>
      </c>
      <c r="D130" s="1013" t="s">
        <v>4461</v>
      </c>
      <c r="E130" s="1014">
        <v>3297</v>
      </c>
      <c r="F130" s="1013" t="s">
        <v>4549</v>
      </c>
      <c r="G130" s="1014" t="s">
        <v>266</v>
      </c>
      <c r="H130" s="1015">
        <v>2043168</v>
      </c>
      <c r="I130" s="1016" t="s">
        <v>4398</v>
      </c>
    </row>
    <row r="131" spans="2:9" ht="15.75" x14ac:dyDescent="0.25">
      <c r="B131" s="1365" t="s">
        <v>7169</v>
      </c>
      <c r="C131" s="1013" t="s">
        <v>4461</v>
      </c>
      <c r="D131" s="1013" t="s">
        <v>4461</v>
      </c>
      <c r="E131" s="1014">
        <v>3298</v>
      </c>
      <c r="F131" s="1013" t="s">
        <v>4550</v>
      </c>
      <c r="G131" s="1014" t="s">
        <v>266</v>
      </c>
      <c r="H131" s="1015">
        <v>2911271</v>
      </c>
      <c r="I131" s="1016" t="s">
        <v>4398</v>
      </c>
    </row>
    <row r="132" spans="2:9" ht="15.75" x14ac:dyDescent="0.25">
      <c r="B132" s="1365" t="s">
        <v>7169</v>
      </c>
      <c r="C132" s="1013" t="s">
        <v>4461</v>
      </c>
      <c r="D132" s="1013" t="s">
        <v>4461</v>
      </c>
      <c r="E132" s="1014">
        <v>3299</v>
      </c>
      <c r="F132" s="1013" t="s">
        <v>4551</v>
      </c>
      <c r="G132" s="1014" t="s">
        <v>266</v>
      </c>
      <c r="H132" s="1015">
        <v>3810537</v>
      </c>
      <c r="I132" s="1016" t="s">
        <v>4398</v>
      </c>
    </row>
    <row r="133" spans="2:9" ht="15.75" x14ac:dyDescent="0.25">
      <c r="B133" s="1365" t="s">
        <v>7169</v>
      </c>
      <c r="C133" s="1013" t="s">
        <v>4461</v>
      </c>
      <c r="D133" s="1013" t="s">
        <v>4461</v>
      </c>
      <c r="E133" s="1014">
        <v>3300</v>
      </c>
      <c r="F133" s="1013" t="s">
        <v>4552</v>
      </c>
      <c r="G133" s="1014" t="s">
        <v>266</v>
      </c>
      <c r="H133" s="1015">
        <v>4781626</v>
      </c>
      <c r="I133" s="1016" t="s">
        <v>4398</v>
      </c>
    </row>
    <row r="134" spans="2:9" ht="15.75" x14ac:dyDescent="0.25">
      <c r="B134" s="1365" t="s">
        <v>7169</v>
      </c>
      <c r="C134" s="1013" t="s">
        <v>4461</v>
      </c>
      <c r="D134" s="1013" t="s">
        <v>4461</v>
      </c>
      <c r="E134" s="1014">
        <v>3301</v>
      </c>
      <c r="F134" s="1013" t="s">
        <v>4553</v>
      </c>
      <c r="G134" s="1014" t="s">
        <v>266</v>
      </c>
      <c r="H134" s="1015">
        <v>5991469</v>
      </c>
      <c r="I134" s="1016" t="s">
        <v>4398</v>
      </c>
    </row>
    <row r="135" spans="2:9" ht="15.75" x14ac:dyDescent="0.25">
      <c r="B135" s="1365" t="s">
        <v>7169</v>
      </c>
      <c r="C135" s="1013" t="s">
        <v>4461</v>
      </c>
      <c r="D135" s="1013" t="s">
        <v>4461</v>
      </c>
      <c r="E135" s="1014">
        <v>3303</v>
      </c>
      <c r="F135" s="1013" t="s">
        <v>4554</v>
      </c>
      <c r="G135" s="1014" t="s">
        <v>266</v>
      </c>
      <c r="H135" s="1015">
        <v>159096</v>
      </c>
      <c r="I135" s="1016" t="s">
        <v>4398</v>
      </c>
    </row>
    <row r="136" spans="2:9" ht="15.75" x14ac:dyDescent="0.25">
      <c r="B136" s="1365" t="s">
        <v>7169</v>
      </c>
      <c r="C136" s="1013" t="s">
        <v>4461</v>
      </c>
      <c r="D136" s="1013" t="s">
        <v>4461</v>
      </c>
      <c r="E136" s="1014">
        <v>3304</v>
      </c>
      <c r="F136" s="1013" t="s">
        <v>4555</v>
      </c>
      <c r="G136" s="1014" t="s">
        <v>266</v>
      </c>
      <c r="H136" s="1015">
        <v>185313</v>
      </c>
      <c r="I136" s="1016" t="s">
        <v>4398</v>
      </c>
    </row>
    <row r="137" spans="2:9" ht="15.75" x14ac:dyDescent="0.25">
      <c r="B137" s="1365" t="s">
        <v>7169</v>
      </c>
      <c r="C137" s="1013" t="s">
        <v>4461</v>
      </c>
      <c r="D137" s="1013" t="s">
        <v>4461</v>
      </c>
      <c r="E137" s="1014">
        <v>3305</v>
      </c>
      <c r="F137" s="1013" t="s">
        <v>4556</v>
      </c>
      <c r="G137" s="1014" t="s">
        <v>266</v>
      </c>
      <c r="H137" s="1015">
        <v>239209</v>
      </c>
      <c r="I137" s="1016" t="s">
        <v>4398</v>
      </c>
    </row>
    <row r="138" spans="2:9" ht="15.75" x14ac:dyDescent="0.25">
      <c r="B138" s="1365" t="s">
        <v>7169</v>
      </c>
      <c r="C138" s="1013" t="s">
        <v>4461</v>
      </c>
      <c r="D138" s="1013" t="s">
        <v>4461</v>
      </c>
      <c r="E138" s="1014">
        <v>3306</v>
      </c>
      <c r="F138" s="1013" t="s">
        <v>4557</v>
      </c>
      <c r="G138" s="1014" t="s">
        <v>266</v>
      </c>
      <c r="H138" s="1015">
        <v>483503</v>
      </c>
      <c r="I138" s="1016" t="s">
        <v>4398</v>
      </c>
    </row>
    <row r="139" spans="2:9" ht="15.75" x14ac:dyDescent="0.25">
      <c r="B139" s="1365" t="s">
        <v>7169</v>
      </c>
      <c r="C139" s="1013" t="s">
        <v>4461</v>
      </c>
      <c r="D139" s="1013" t="s">
        <v>4461</v>
      </c>
      <c r="E139" s="1014">
        <v>3307</v>
      </c>
      <c r="F139" s="1013" t="s">
        <v>4558</v>
      </c>
      <c r="G139" s="1014" t="s">
        <v>266</v>
      </c>
      <c r="H139" s="1015">
        <v>820330</v>
      </c>
      <c r="I139" s="1016" t="s">
        <v>4398</v>
      </c>
    </row>
    <row r="140" spans="2:9" ht="15.75" x14ac:dyDescent="0.25">
      <c r="B140" s="1365" t="s">
        <v>7169</v>
      </c>
      <c r="C140" s="1013" t="s">
        <v>4461</v>
      </c>
      <c r="D140" s="1013" t="s">
        <v>4461</v>
      </c>
      <c r="E140" s="1014">
        <v>3308</v>
      </c>
      <c r="F140" s="1013" t="s">
        <v>4559</v>
      </c>
      <c r="G140" s="1014" t="s">
        <v>266</v>
      </c>
      <c r="H140" s="1015">
        <v>1273234</v>
      </c>
      <c r="I140" s="1016" t="s">
        <v>4398</v>
      </c>
    </row>
    <row r="141" spans="2:9" ht="15.75" x14ac:dyDescent="0.25">
      <c r="B141" s="1365" t="s">
        <v>7169</v>
      </c>
      <c r="C141" s="1013" t="s">
        <v>4461</v>
      </c>
      <c r="D141" s="1013" t="s">
        <v>4461</v>
      </c>
      <c r="E141" s="1014">
        <v>3309</v>
      </c>
      <c r="F141" s="1013" t="s">
        <v>4560</v>
      </c>
      <c r="G141" s="1014" t="s">
        <v>266</v>
      </c>
      <c r="H141" s="1015">
        <v>1777547</v>
      </c>
      <c r="I141" s="1016" t="s">
        <v>4398</v>
      </c>
    </row>
    <row r="142" spans="2:9" ht="15.75" x14ac:dyDescent="0.25">
      <c r="B142" s="1365" t="s">
        <v>7169</v>
      </c>
      <c r="C142" s="1013" t="s">
        <v>4461</v>
      </c>
      <c r="D142" s="1013" t="s">
        <v>4461</v>
      </c>
      <c r="E142" s="1014">
        <v>3310</v>
      </c>
      <c r="F142" s="1013" t="s">
        <v>4561</v>
      </c>
      <c r="G142" s="1014" t="s">
        <v>266</v>
      </c>
      <c r="H142" s="1015">
        <v>2112837</v>
      </c>
      <c r="I142" s="1016" t="s">
        <v>4398</v>
      </c>
    </row>
    <row r="143" spans="2:9" ht="15.75" x14ac:dyDescent="0.25">
      <c r="B143" s="1365" t="s">
        <v>7169</v>
      </c>
      <c r="C143" s="1013" t="s">
        <v>4461</v>
      </c>
      <c r="D143" s="1013" t="s">
        <v>4461</v>
      </c>
      <c r="E143" s="1014">
        <v>3311</v>
      </c>
      <c r="F143" s="1013" t="s">
        <v>4562</v>
      </c>
      <c r="G143" s="1014" t="s">
        <v>266</v>
      </c>
      <c r="H143" s="1015">
        <v>2712800</v>
      </c>
      <c r="I143" s="1016" t="s">
        <v>4398</v>
      </c>
    </row>
    <row r="144" spans="2:9" ht="15.75" x14ac:dyDescent="0.25">
      <c r="B144" s="1365" t="s">
        <v>7169</v>
      </c>
      <c r="C144" s="1013" t="s">
        <v>4461</v>
      </c>
      <c r="D144" s="1013" t="s">
        <v>4461</v>
      </c>
      <c r="E144" s="1014">
        <v>3312</v>
      </c>
      <c r="F144" s="1013" t="s">
        <v>4563</v>
      </c>
      <c r="G144" s="1014" t="s">
        <v>266</v>
      </c>
      <c r="H144" s="1015">
        <v>3639956</v>
      </c>
      <c r="I144" s="1016" t="s">
        <v>4398</v>
      </c>
    </row>
    <row r="145" spans="2:9" ht="15.75" x14ac:dyDescent="0.25">
      <c r="B145" s="1365" t="s">
        <v>7169</v>
      </c>
      <c r="C145" s="1013" t="s">
        <v>4461</v>
      </c>
      <c r="D145" s="1013" t="s">
        <v>4461</v>
      </c>
      <c r="E145" s="1014">
        <v>3313</v>
      </c>
      <c r="F145" s="1013" t="s">
        <v>4564</v>
      </c>
      <c r="G145" s="1014" t="s">
        <v>266</v>
      </c>
      <c r="H145" s="1015">
        <v>5224594</v>
      </c>
      <c r="I145" s="1016" t="s">
        <v>4398</v>
      </c>
    </row>
    <row r="146" spans="2:9" ht="15.75" x14ac:dyDescent="0.25">
      <c r="B146" s="1365" t="s">
        <v>7169</v>
      </c>
      <c r="C146" s="1013" t="s">
        <v>4461</v>
      </c>
      <c r="D146" s="1013" t="s">
        <v>4461</v>
      </c>
      <c r="E146" s="1014">
        <v>3315</v>
      </c>
      <c r="F146" s="1013" t="s">
        <v>4565</v>
      </c>
      <c r="G146" s="1014" t="s">
        <v>266</v>
      </c>
      <c r="H146" s="1015">
        <v>406153</v>
      </c>
      <c r="I146" s="1016" t="s">
        <v>4398</v>
      </c>
    </row>
    <row r="147" spans="2:9" ht="15.75" x14ac:dyDescent="0.25">
      <c r="B147" s="1365" t="s">
        <v>7169</v>
      </c>
      <c r="C147" s="1013" t="s">
        <v>4461</v>
      </c>
      <c r="D147" s="1013" t="s">
        <v>4461</v>
      </c>
      <c r="E147" s="1014">
        <v>3316</v>
      </c>
      <c r="F147" s="1013" t="s">
        <v>4566</v>
      </c>
      <c r="G147" s="1014" t="s">
        <v>266</v>
      </c>
      <c r="H147" s="1015">
        <v>1556735</v>
      </c>
      <c r="I147" s="1016" t="s">
        <v>4398</v>
      </c>
    </row>
    <row r="148" spans="2:9" ht="15.75" x14ac:dyDescent="0.25">
      <c r="B148" s="1365" t="s">
        <v>7169</v>
      </c>
      <c r="C148" s="1013" t="s">
        <v>4461</v>
      </c>
      <c r="D148" s="1013" t="s">
        <v>4461</v>
      </c>
      <c r="E148" s="1014">
        <v>3317</v>
      </c>
      <c r="F148" s="1013" t="s">
        <v>4567</v>
      </c>
      <c r="G148" s="1014" t="s">
        <v>266</v>
      </c>
      <c r="H148" s="1015">
        <v>394253</v>
      </c>
      <c r="I148" s="1016" t="s">
        <v>4398</v>
      </c>
    </row>
    <row r="149" spans="2:9" ht="15.75" x14ac:dyDescent="0.25">
      <c r="B149" s="1365" t="s">
        <v>7169</v>
      </c>
      <c r="C149" s="1013" t="s">
        <v>4461</v>
      </c>
      <c r="D149" s="1013" t="s">
        <v>4461</v>
      </c>
      <c r="E149" s="1014">
        <v>3318</v>
      </c>
      <c r="F149" s="1013" t="s">
        <v>4568</v>
      </c>
      <c r="G149" s="1014" t="s">
        <v>266</v>
      </c>
      <c r="H149" s="1015">
        <v>1354435</v>
      </c>
      <c r="I149" s="1016" t="s">
        <v>4398</v>
      </c>
    </row>
    <row r="150" spans="2:9" ht="15.75" x14ac:dyDescent="0.25">
      <c r="B150" s="1365" t="s">
        <v>7169</v>
      </c>
      <c r="C150" s="1013" t="s">
        <v>4461</v>
      </c>
      <c r="D150" s="1013" t="s">
        <v>4461</v>
      </c>
      <c r="E150" s="1014">
        <v>3320</v>
      </c>
      <c r="F150" s="1013" t="s">
        <v>4569</v>
      </c>
      <c r="G150" s="1014" t="s">
        <v>266</v>
      </c>
      <c r="H150" s="1015">
        <v>316758</v>
      </c>
      <c r="I150" s="1016" t="s">
        <v>4398</v>
      </c>
    </row>
    <row r="151" spans="2:9" ht="15.75" x14ac:dyDescent="0.25">
      <c r="B151" s="1365" t="s">
        <v>7169</v>
      </c>
      <c r="C151" s="1013" t="s">
        <v>4461</v>
      </c>
      <c r="D151" s="1013" t="s">
        <v>4461</v>
      </c>
      <c r="E151" s="1014">
        <v>3322</v>
      </c>
      <c r="F151" s="1013" t="s">
        <v>4570</v>
      </c>
      <c r="G151" s="1014" t="s">
        <v>266</v>
      </c>
      <c r="H151" s="1015">
        <v>555695</v>
      </c>
      <c r="I151" s="1016" t="s">
        <v>4398</v>
      </c>
    </row>
    <row r="152" spans="2:9" ht="15.75" x14ac:dyDescent="0.25">
      <c r="B152" s="1365" t="s">
        <v>7169</v>
      </c>
      <c r="C152" s="1013" t="s">
        <v>4461</v>
      </c>
      <c r="D152" s="1013" t="s">
        <v>4461</v>
      </c>
      <c r="E152" s="1014">
        <v>3323</v>
      </c>
      <c r="F152" s="1013" t="s">
        <v>4571</v>
      </c>
      <c r="G152" s="1014" t="s">
        <v>266</v>
      </c>
      <c r="H152" s="1015">
        <v>796462</v>
      </c>
      <c r="I152" s="1016" t="s">
        <v>4398</v>
      </c>
    </row>
    <row r="153" spans="2:9" ht="15.75" x14ac:dyDescent="0.25">
      <c r="B153" s="1365" t="s">
        <v>7169</v>
      </c>
      <c r="C153" s="1013" t="s">
        <v>4461</v>
      </c>
      <c r="D153" s="1013" t="s">
        <v>4461</v>
      </c>
      <c r="E153" s="1014">
        <v>3324</v>
      </c>
      <c r="F153" s="1013" t="s">
        <v>4572</v>
      </c>
      <c r="G153" s="1014" t="s">
        <v>266</v>
      </c>
      <c r="H153" s="1015">
        <v>2041308</v>
      </c>
      <c r="I153" s="1016" t="s">
        <v>4398</v>
      </c>
    </row>
    <row r="154" spans="2:9" ht="15.75" x14ac:dyDescent="0.25">
      <c r="B154" s="1365" t="s">
        <v>7169</v>
      </c>
      <c r="C154" s="1013" t="s">
        <v>4461</v>
      </c>
      <c r="D154" s="1013" t="s">
        <v>4461</v>
      </c>
      <c r="E154" s="1014">
        <v>3325</v>
      </c>
      <c r="F154" s="1013" t="s">
        <v>4573</v>
      </c>
      <c r="G154" s="1014" t="s">
        <v>266</v>
      </c>
      <c r="H154" s="1015">
        <v>3776870</v>
      </c>
      <c r="I154" s="1016" t="s">
        <v>4398</v>
      </c>
    </row>
    <row r="155" spans="2:9" ht="15.75" x14ac:dyDescent="0.25">
      <c r="B155" s="1365" t="s">
        <v>7169</v>
      </c>
      <c r="C155" s="1013" t="s">
        <v>4461</v>
      </c>
      <c r="D155" s="1013" t="s">
        <v>4461</v>
      </c>
      <c r="E155" s="1014">
        <v>3327</v>
      </c>
      <c r="F155" s="1013" t="s">
        <v>4574</v>
      </c>
      <c r="G155" s="1014" t="s">
        <v>266</v>
      </c>
      <c r="H155" s="1015">
        <v>3498618</v>
      </c>
      <c r="I155" s="1016" t="s">
        <v>4398</v>
      </c>
    </row>
    <row r="156" spans="2:9" ht="15.75" x14ac:dyDescent="0.25">
      <c r="B156" s="1365" t="s">
        <v>7169</v>
      </c>
      <c r="C156" s="1013" t="s">
        <v>4461</v>
      </c>
      <c r="D156" s="1013" t="s">
        <v>4461</v>
      </c>
      <c r="E156" s="1014">
        <v>3328</v>
      </c>
      <c r="F156" s="1013" t="s">
        <v>4575</v>
      </c>
      <c r="G156" s="1014" t="s">
        <v>266</v>
      </c>
      <c r="H156" s="1015">
        <v>2816202</v>
      </c>
      <c r="I156" s="1016" t="s">
        <v>4398</v>
      </c>
    </row>
    <row r="157" spans="2:9" ht="15.75" x14ac:dyDescent="0.25">
      <c r="B157" s="1365" t="s">
        <v>7169</v>
      </c>
      <c r="C157" s="1013" t="s">
        <v>4461</v>
      </c>
      <c r="D157" s="1013" t="s">
        <v>4461</v>
      </c>
      <c r="E157" s="1014">
        <v>3329</v>
      </c>
      <c r="F157" s="1013" t="s">
        <v>4576</v>
      </c>
      <c r="G157" s="1014" t="s">
        <v>266</v>
      </c>
      <c r="H157" s="1015">
        <v>3150642</v>
      </c>
      <c r="I157" s="1016" t="s">
        <v>4398</v>
      </c>
    </row>
    <row r="158" spans="2:9" ht="15.75" x14ac:dyDescent="0.25">
      <c r="B158" s="1365" t="s">
        <v>7169</v>
      </c>
      <c r="C158" s="1013" t="s">
        <v>4461</v>
      </c>
      <c r="D158" s="1013" t="s">
        <v>4461</v>
      </c>
      <c r="E158" s="1014">
        <v>3330</v>
      </c>
      <c r="F158" s="1013" t="s">
        <v>4577</v>
      </c>
      <c r="G158" s="1014" t="s">
        <v>266</v>
      </c>
      <c r="H158" s="1015">
        <v>4735348</v>
      </c>
      <c r="I158" s="1016" t="s">
        <v>4398</v>
      </c>
    </row>
    <row r="159" spans="2:9" ht="15.75" x14ac:dyDescent="0.25">
      <c r="B159" s="1365" t="s">
        <v>7169</v>
      </c>
      <c r="C159" s="1013" t="s">
        <v>4461</v>
      </c>
      <c r="D159" s="1013" t="s">
        <v>4461</v>
      </c>
      <c r="E159" s="1014">
        <v>3331</v>
      </c>
      <c r="F159" s="1013" t="s">
        <v>4578</v>
      </c>
      <c r="G159" s="1014" t="s">
        <v>266</v>
      </c>
      <c r="H159" s="1015">
        <v>6327089</v>
      </c>
      <c r="I159" s="1016" t="s">
        <v>4398</v>
      </c>
    </row>
    <row r="160" spans="2:9" ht="15.75" x14ac:dyDescent="0.25">
      <c r="B160" s="1365" t="s">
        <v>7169</v>
      </c>
      <c r="C160" s="1013" t="s">
        <v>4405</v>
      </c>
      <c r="D160" s="1013" t="s">
        <v>4579</v>
      </c>
      <c r="E160" s="1014">
        <v>3347</v>
      </c>
      <c r="F160" s="1013" t="s">
        <v>4580</v>
      </c>
      <c r="G160" s="1014" t="s">
        <v>266</v>
      </c>
      <c r="H160" s="1015">
        <v>980756</v>
      </c>
      <c r="I160" s="1016" t="s">
        <v>6899</v>
      </c>
    </row>
    <row r="161" spans="2:9" ht="15.75" x14ac:dyDescent="0.25">
      <c r="B161" s="1365" t="s">
        <v>7169</v>
      </c>
      <c r="C161" s="1013" t="s">
        <v>4405</v>
      </c>
      <c r="D161" s="1013" t="s">
        <v>4579</v>
      </c>
      <c r="E161" s="1014">
        <v>3348</v>
      </c>
      <c r="F161" s="1013" t="s">
        <v>4581</v>
      </c>
      <c r="G161" s="1014" t="s">
        <v>266</v>
      </c>
      <c r="H161" s="1015">
        <v>1022196</v>
      </c>
      <c r="I161" s="1016" t="s">
        <v>6899</v>
      </c>
    </row>
    <row r="162" spans="2:9" ht="15.75" x14ac:dyDescent="0.25">
      <c r="B162" s="1365" t="s">
        <v>7169</v>
      </c>
      <c r="C162" s="1013" t="s">
        <v>4405</v>
      </c>
      <c r="D162" s="1013" t="s">
        <v>4579</v>
      </c>
      <c r="E162" s="1014">
        <v>3350</v>
      </c>
      <c r="F162" s="1013" t="s">
        <v>4582</v>
      </c>
      <c r="G162" s="1014" t="s">
        <v>266</v>
      </c>
      <c r="H162" s="1015">
        <v>1158206</v>
      </c>
      <c r="I162" s="1016" t="s">
        <v>6899</v>
      </c>
    </row>
    <row r="163" spans="2:9" ht="15.75" x14ac:dyDescent="0.25">
      <c r="B163" s="1365" t="s">
        <v>7169</v>
      </c>
      <c r="C163" s="1013" t="s">
        <v>4405</v>
      </c>
      <c r="D163" s="1013" t="s">
        <v>4579</v>
      </c>
      <c r="E163" s="1014">
        <v>3351</v>
      </c>
      <c r="F163" s="1013" t="s">
        <v>4583</v>
      </c>
      <c r="G163" s="1014" t="s">
        <v>266</v>
      </c>
      <c r="H163" s="1015">
        <v>1427918</v>
      </c>
      <c r="I163" s="1016" t="s">
        <v>6899</v>
      </c>
    </row>
    <row r="164" spans="2:9" ht="15.75" x14ac:dyDescent="0.25">
      <c r="B164" s="1365" t="s">
        <v>7169</v>
      </c>
      <c r="C164" s="1013" t="s">
        <v>4405</v>
      </c>
      <c r="D164" s="1013" t="s">
        <v>4579</v>
      </c>
      <c r="E164" s="1014">
        <v>3352</v>
      </c>
      <c r="F164" s="1013" t="s">
        <v>4584</v>
      </c>
      <c r="G164" s="1014" t="s">
        <v>266</v>
      </c>
      <c r="H164" s="1015">
        <v>1627655</v>
      </c>
      <c r="I164" s="1016" t="s">
        <v>6899</v>
      </c>
    </row>
    <row r="165" spans="2:9" ht="15.75" x14ac:dyDescent="0.25">
      <c r="B165" s="1365" t="s">
        <v>7169</v>
      </c>
      <c r="C165" s="1013" t="s">
        <v>4405</v>
      </c>
      <c r="D165" s="1013" t="s">
        <v>4579</v>
      </c>
      <c r="E165" s="1014">
        <v>3353</v>
      </c>
      <c r="F165" s="1013" t="s">
        <v>4585</v>
      </c>
      <c r="G165" s="1014" t="s">
        <v>266</v>
      </c>
      <c r="H165" s="1015">
        <v>1475516</v>
      </c>
      <c r="I165" s="1016" t="s">
        <v>6899</v>
      </c>
    </row>
    <row r="166" spans="2:9" ht="15.75" x14ac:dyDescent="0.25">
      <c r="B166" s="1365" t="s">
        <v>7169</v>
      </c>
      <c r="C166" s="1013" t="s">
        <v>4405</v>
      </c>
      <c r="D166" s="1013" t="s">
        <v>4579</v>
      </c>
      <c r="E166" s="1014">
        <v>3354</v>
      </c>
      <c r="F166" s="1013" t="s">
        <v>4586</v>
      </c>
      <c r="G166" s="1014" t="s">
        <v>266</v>
      </c>
      <c r="H166" s="1015">
        <v>2200586</v>
      </c>
      <c r="I166" s="1016" t="s">
        <v>6899</v>
      </c>
    </row>
    <row r="167" spans="2:9" ht="15.75" x14ac:dyDescent="0.25">
      <c r="B167" s="1365" t="s">
        <v>7169</v>
      </c>
      <c r="C167" s="1013" t="s">
        <v>4405</v>
      </c>
      <c r="D167" s="1013" t="s">
        <v>4579</v>
      </c>
      <c r="E167" s="1014">
        <v>3355</v>
      </c>
      <c r="F167" s="1013" t="s">
        <v>4587</v>
      </c>
      <c r="G167" s="1014" t="s">
        <v>266</v>
      </c>
      <c r="H167" s="1015">
        <v>2288425</v>
      </c>
      <c r="I167" s="1016" t="s">
        <v>6899</v>
      </c>
    </row>
    <row r="168" spans="2:9" ht="15.75" x14ac:dyDescent="0.25">
      <c r="B168" s="1365" t="s">
        <v>7169</v>
      </c>
      <c r="C168" s="1013" t="s">
        <v>4405</v>
      </c>
      <c r="D168" s="1013" t="s">
        <v>4579</v>
      </c>
      <c r="E168" s="1014">
        <v>3356</v>
      </c>
      <c r="F168" s="1013" t="s">
        <v>4588</v>
      </c>
      <c r="G168" s="1014" t="s">
        <v>266</v>
      </c>
      <c r="H168" s="1015">
        <v>2678732</v>
      </c>
      <c r="I168" s="1016" t="s">
        <v>6899</v>
      </c>
    </row>
    <row r="169" spans="2:9" ht="15.75" x14ac:dyDescent="0.25">
      <c r="B169" s="1365" t="s">
        <v>7169</v>
      </c>
      <c r="C169" s="1013" t="s">
        <v>4405</v>
      </c>
      <c r="D169" s="1013" t="s">
        <v>4579</v>
      </c>
      <c r="E169" s="1014">
        <v>3357</v>
      </c>
      <c r="F169" s="1013" t="s">
        <v>4589</v>
      </c>
      <c r="G169" s="1014" t="s">
        <v>266</v>
      </c>
      <c r="H169" s="1015">
        <v>3277546</v>
      </c>
      <c r="I169" s="1016" t="s">
        <v>6899</v>
      </c>
    </row>
    <row r="170" spans="2:9" ht="15.75" x14ac:dyDescent="0.25">
      <c r="B170" s="1365" t="s">
        <v>7169</v>
      </c>
      <c r="C170" s="1013" t="s">
        <v>4405</v>
      </c>
      <c r="D170" s="1013" t="s">
        <v>4579</v>
      </c>
      <c r="E170" s="1014">
        <v>3358</v>
      </c>
      <c r="F170" s="1013" t="s">
        <v>4590</v>
      </c>
      <c r="G170" s="1014" t="s">
        <v>266</v>
      </c>
      <c r="H170" s="1015">
        <v>1941209</v>
      </c>
      <c r="I170" s="1016" t="s">
        <v>6899</v>
      </c>
    </row>
    <row r="171" spans="2:9" ht="15.75" x14ac:dyDescent="0.25">
      <c r="B171" s="1365" t="s">
        <v>7169</v>
      </c>
      <c r="C171" s="1013" t="s">
        <v>4405</v>
      </c>
      <c r="D171" s="1013" t="s">
        <v>4579</v>
      </c>
      <c r="E171" s="1014">
        <v>3359</v>
      </c>
      <c r="F171" s="1013" t="s">
        <v>4591</v>
      </c>
      <c r="G171" s="1014" t="s">
        <v>266</v>
      </c>
      <c r="H171" s="1015">
        <v>2446255</v>
      </c>
      <c r="I171" s="1016" t="s">
        <v>6899</v>
      </c>
    </row>
    <row r="172" spans="2:9" ht="15.75" x14ac:dyDescent="0.25">
      <c r="B172" s="1365" t="s">
        <v>7169</v>
      </c>
      <c r="C172" s="1013" t="s">
        <v>4405</v>
      </c>
      <c r="D172" s="1013" t="s">
        <v>4579</v>
      </c>
      <c r="E172" s="1014">
        <v>3360</v>
      </c>
      <c r="F172" s="1013" t="s">
        <v>4592</v>
      </c>
      <c r="G172" s="1014" t="s">
        <v>266</v>
      </c>
      <c r="H172" s="1015">
        <v>3615742</v>
      </c>
      <c r="I172" s="1016" t="s">
        <v>6899</v>
      </c>
    </row>
    <row r="173" spans="2:9" ht="15.75" x14ac:dyDescent="0.25">
      <c r="B173" s="1365" t="s">
        <v>7169</v>
      </c>
      <c r="C173" s="1013" t="s">
        <v>4405</v>
      </c>
      <c r="D173" s="1013" t="s">
        <v>4579</v>
      </c>
      <c r="E173" s="1014">
        <v>3361</v>
      </c>
      <c r="F173" s="1013" t="s">
        <v>4593</v>
      </c>
      <c r="G173" s="1014" t="s">
        <v>266</v>
      </c>
      <c r="H173" s="1015">
        <v>3960439</v>
      </c>
      <c r="I173" s="1016" t="s">
        <v>6899</v>
      </c>
    </row>
    <row r="174" spans="2:9" ht="15.75" x14ac:dyDescent="0.25">
      <c r="B174" s="1365" t="s">
        <v>7169</v>
      </c>
      <c r="C174" s="1013" t="s">
        <v>4405</v>
      </c>
      <c r="D174" s="1013" t="s">
        <v>4579</v>
      </c>
      <c r="E174" s="1014">
        <v>3363</v>
      </c>
      <c r="F174" s="1013" t="s">
        <v>4594</v>
      </c>
      <c r="G174" s="1014" t="s">
        <v>266</v>
      </c>
      <c r="H174" s="1015">
        <v>4620385</v>
      </c>
      <c r="I174" s="1016" t="s">
        <v>6899</v>
      </c>
    </row>
    <row r="175" spans="2:9" ht="15.75" x14ac:dyDescent="0.25">
      <c r="B175" s="1365" t="s">
        <v>7169</v>
      </c>
      <c r="C175" s="1013" t="s">
        <v>4405</v>
      </c>
      <c r="D175" s="1013" t="s">
        <v>4579</v>
      </c>
      <c r="E175" s="1014">
        <v>3364</v>
      </c>
      <c r="F175" s="1013" t="s">
        <v>4595</v>
      </c>
      <c r="G175" s="1014" t="s">
        <v>266</v>
      </c>
      <c r="H175" s="1015">
        <v>966616</v>
      </c>
      <c r="I175" s="1016" t="s">
        <v>6899</v>
      </c>
    </row>
    <row r="176" spans="2:9" ht="15.75" x14ac:dyDescent="0.25">
      <c r="B176" s="1365" t="s">
        <v>7169</v>
      </c>
      <c r="C176" s="1013" t="s">
        <v>4405</v>
      </c>
      <c r="D176" s="1013" t="s">
        <v>4579</v>
      </c>
      <c r="E176" s="1014">
        <v>3365</v>
      </c>
      <c r="F176" s="1013" t="s">
        <v>4596</v>
      </c>
      <c r="G176" s="1014" t="s">
        <v>266</v>
      </c>
      <c r="H176" s="1015">
        <v>1149390</v>
      </c>
      <c r="I176" s="1016" t="s">
        <v>6899</v>
      </c>
    </row>
    <row r="177" spans="2:9" ht="15.75" x14ac:dyDescent="0.25">
      <c r="B177" s="1365" t="s">
        <v>7169</v>
      </c>
      <c r="C177" s="1013" t="s">
        <v>4405</v>
      </c>
      <c r="D177" s="1013" t="s">
        <v>4579</v>
      </c>
      <c r="E177" s="1014">
        <v>3366</v>
      </c>
      <c r="F177" s="1013" t="s">
        <v>4597</v>
      </c>
      <c r="G177" s="1014" t="s">
        <v>266</v>
      </c>
      <c r="H177" s="1015">
        <v>1451119</v>
      </c>
      <c r="I177" s="1016" t="s">
        <v>6899</v>
      </c>
    </row>
    <row r="178" spans="2:9" ht="15.75" x14ac:dyDescent="0.25">
      <c r="B178" s="1365" t="s">
        <v>7169</v>
      </c>
      <c r="C178" s="1013" t="s">
        <v>4405</v>
      </c>
      <c r="D178" s="1013" t="s">
        <v>4579</v>
      </c>
      <c r="E178" s="1014">
        <v>3368</v>
      </c>
      <c r="F178" s="1013" t="s">
        <v>4598</v>
      </c>
      <c r="G178" s="1014" t="s">
        <v>266</v>
      </c>
      <c r="H178" s="1015">
        <v>1156268</v>
      </c>
      <c r="I178" s="1016" t="s">
        <v>6899</v>
      </c>
    </row>
    <row r="179" spans="2:9" ht="15.75" x14ac:dyDescent="0.25">
      <c r="B179" s="1365" t="s">
        <v>7169</v>
      </c>
      <c r="C179" s="1013" t="s">
        <v>4405</v>
      </c>
      <c r="D179" s="1013" t="s">
        <v>4579</v>
      </c>
      <c r="E179" s="1014">
        <v>3369</v>
      </c>
      <c r="F179" s="1013" t="s">
        <v>4599</v>
      </c>
      <c r="G179" s="1014" t="s">
        <v>266</v>
      </c>
      <c r="H179" s="1015">
        <v>1329148</v>
      </c>
      <c r="I179" s="1016" t="s">
        <v>6899</v>
      </c>
    </row>
    <row r="180" spans="2:9" ht="15.75" x14ac:dyDescent="0.25">
      <c r="B180" s="1365" t="s">
        <v>7169</v>
      </c>
      <c r="C180" s="1013" t="s">
        <v>4405</v>
      </c>
      <c r="D180" s="1013" t="s">
        <v>4579</v>
      </c>
      <c r="E180" s="1014">
        <v>3370</v>
      </c>
      <c r="F180" s="1013" t="s">
        <v>4600</v>
      </c>
      <c r="G180" s="1014" t="s">
        <v>266</v>
      </c>
      <c r="H180" s="1015">
        <v>1728775</v>
      </c>
      <c r="I180" s="1016" t="s">
        <v>6899</v>
      </c>
    </row>
    <row r="181" spans="2:9" ht="15.75" x14ac:dyDescent="0.25">
      <c r="B181" s="1365" t="s">
        <v>7169</v>
      </c>
      <c r="C181" s="1013" t="s">
        <v>4405</v>
      </c>
      <c r="D181" s="1013" t="s">
        <v>4579</v>
      </c>
      <c r="E181" s="1014">
        <v>3371</v>
      </c>
      <c r="F181" s="1013" t="s">
        <v>4601</v>
      </c>
      <c r="G181" s="1014" t="s">
        <v>266</v>
      </c>
      <c r="H181" s="1015">
        <v>1343664</v>
      </c>
      <c r="I181" s="1016" t="s">
        <v>6899</v>
      </c>
    </row>
    <row r="182" spans="2:9" ht="15.75" x14ac:dyDescent="0.25">
      <c r="B182" s="1365" t="s">
        <v>7169</v>
      </c>
      <c r="C182" s="1013" t="s">
        <v>4405</v>
      </c>
      <c r="D182" s="1013" t="s">
        <v>4579</v>
      </c>
      <c r="E182" s="1014">
        <v>3372</v>
      </c>
      <c r="F182" s="1013" t="s">
        <v>4602</v>
      </c>
      <c r="G182" s="1014" t="s">
        <v>266</v>
      </c>
      <c r="H182" s="1015">
        <v>1642062</v>
      </c>
      <c r="I182" s="1016" t="s">
        <v>6899</v>
      </c>
    </row>
    <row r="183" spans="2:9" ht="15.75" x14ac:dyDescent="0.25">
      <c r="B183" s="1365" t="s">
        <v>7169</v>
      </c>
      <c r="C183" s="1013" t="s">
        <v>4405</v>
      </c>
      <c r="D183" s="1013" t="s">
        <v>4579</v>
      </c>
      <c r="E183" s="1014">
        <v>3373</v>
      </c>
      <c r="F183" s="1013" t="s">
        <v>4603</v>
      </c>
      <c r="G183" s="1014" t="s">
        <v>266</v>
      </c>
      <c r="H183" s="1015">
        <v>2521436</v>
      </c>
      <c r="I183" s="1016" t="s">
        <v>6899</v>
      </c>
    </row>
    <row r="184" spans="2:9" ht="15.75" x14ac:dyDescent="0.25">
      <c r="B184" s="1365" t="s">
        <v>7169</v>
      </c>
      <c r="C184" s="1013" t="s">
        <v>4405</v>
      </c>
      <c r="D184" s="1013" t="s">
        <v>4579</v>
      </c>
      <c r="E184" s="1014">
        <v>3374</v>
      </c>
      <c r="F184" s="1013" t="s">
        <v>4604</v>
      </c>
      <c r="G184" s="1014" t="s">
        <v>266</v>
      </c>
      <c r="H184" s="1015">
        <v>2200365</v>
      </c>
      <c r="I184" s="1016" t="s">
        <v>6899</v>
      </c>
    </row>
    <row r="185" spans="2:9" ht="15.75" x14ac:dyDescent="0.25">
      <c r="B185" s="1365" t="s">
        <v>7169</v>
      </c>
      <c r="C185" s="1013" t="s">
        <v>4405</v>
      </c>
      <c r="D185" s="1013" t="s">
        <v>4579</v>
      </c>
      <c r="E185" s="1014">
        <v>3375</v>
      </c>
      <c r="F185" s="1013" t="s">
        <v>4605</v>
      </c>
      <c r="G185" s="1014" t="s">
        <v>266</v>
      </c>
      <c r="H185" s="1015">
        <v>2606702</v>
      </c>
      <c r="I185" s="1016" t="s">
        <v>6899</v>
      </c>
    </row>
    <row r="186" spans="2:9" ht="15.75" x14ac:dyDescent="0.25">
      <c r="B186" s="1365" t="s">
        <v>7169</v>
      </c>
      <c r="C186" s="1013" t="s">
        <v>4405</v>
      </c>
      <c r="D186" s="1013" t="s">
        <v>4579</v>
      </c>
      <c r="E186" s="1014">
        <v>3376</v>
      </c>
      <c r="F186" s="1013" t="s">
        <v>4606</v>
      </c>
      <c r="G186" s="1014" t="s">
        <v>266</v>
      </c>
      <c r="H186" s="1015">
        <v>2996230</v>
      </c>
      <c r="I186" s="1016" t="s">
        <v>6899</v>
      </c>
    </row>
    <row r="187" spans="2:9" ht="15.75" x14ac:dyDescent="0.25">
      <c r="B187" s="1365" t="s">
        <v>7169</v>
      </c>
      <c r="C187" s="1013" t="s">
        <v>4396</v>
      </c>
      <c r="D187" s="1013" t="s">
        <v>4397</v>
      </c>
      <c r="E187" s="1014">
        <v>3378</v>
      </c>
      <c r="F187" s="1013" t="s">
        <v>4607</v>
      </c>
      <c r="G187" s="1014" t="s">
        <v>12</v>
      </c>
      <c r="H187" s="1015">
        <v>3666</v>
      </c>
      <c r="I187" s="1016" t="s">
        <v>4398</v>
      </c>
    </row>
    <row r="188" spans="2:9" ht="15.75" x14ac:dyDescent="0.25">
      <c r="B188" s="1365" t="s">
        <v>7169</v>
      </c>
      <c r="C188" s="1013" t="s">
        <v>4405</v>
      </c>
      <c r="D188" s="1013" t="s">
        <v>4579</v>
      </c>
      <c r="E188" s="1014">
        <v>3379</v>
      </c>
      <c r="F188" s="1013" t="s">
        <v>4608</v>
      </c>
      <c r="G188" s="1014" t="s">
        <v>13</v>
      </c>
      <c r="H188" s="1015">
        <v>218734</v>
      </c>
      <c r="I188" s="1016" t="s">
        <v>4398</v>
      </c>
    </row>
    <row r="189" spans="2:9" ht="15.75" x14ac:dyDescent="0.25">
      <c r="B189" s="1365" t="s">
        <v>7169</v>
      </c>
      <c r="C189" s="1013" t="s">
        <v>4405</v>
      </c>
      <c r="D189" s="1013" t="s">
        <v>4579</v>
      </c>
      <c r="E189" s="1014">
        <v>3380</v>
      </c>
      <c r="F189" s="1013" t="s">
        <v>4609</v>
      </c>
      <c r="G189" s="1014" t="s">
        <v>13</v>
      </c>
      <c r="H189" s="1015">
        <v>99052</v>
      </c>
      <c r="I189" s="1016" t="s">
        <v>4398</v>
      </c>
    </row>
    <row r="190" spans="2:9" ht="15.75" x14ac:dyDescent="0.25">
      <c r="B190" s="1365" t="s">
        <v>7169</v>
      </c>
      <c r="C190" s="1013" t="s">
        <v>4405</v>
      </c>
      <c r="D190" s="1013" t="s">
        <v>4579</v>
      </c>
      <c r="E190" s="1014">
        <v>3382</v>
      </c>
      <c r="F190" s="1013" t="s">
        <v>4610</v>
      </c>
      <c r="G190" s="1014" t="s">
        <v>13</v>
      </c>
      <c r="H190" s="1015">
        <v>22924</v>
      </c>
      <c r="I190" s="1016" t="s">
        <v>4398</v>
      </c>
    </row>
    <row r="191" spans="2:9" ht="15.75" x14ac:dyDescent="0.25">
      <c r="B191" s="1365" t="s">
        <v>7169</v>
      </c>
      <c r="C191" s="1013" t="s">
        <v>4431</v>
      </c>
      <c r="D191" s="1013" t="s">
        <v>4432</v>
      </c>
      <c r="E191" s="1014">
        <v>3385</v>
      </c>
      <c r="F191" s="1013" t="s">
        <v>4611</v>
      </c>
      <c r="G191" s="1014" t="s">
        <v>13</v>
      </c>
      <c r="H191" s="1015">
        <v>146741</v>
      </c>
      <c r="I191" s="1016" t="s">
        <v>4398</v>
      </c>
    </row>
    <row r="192" spans="2:9" ht="15.75" x14ac:dyDescent="0.25">
      <c r="B192" s="1365" t="s">
        <v>7169</v>
      </c>
      <c r="C192" s="1013" t="s">
        <v>4405</v>
      </c>
      <c r="D192" s="1013" t="s">
        <v>4579</v>
      </c>
      <c r="E192" s="1014">
        <v>3388</v>
      </c>
      <c r="F192" s="1013" t="s">
        <v>4612</v>
      </c>
      <c r="G192" s="1014" t="s">
        <v>13</v>
      </c>
      <c r="H192" s="1015">
        <v>487559</v>
      </c>
      <c r="I192" s="1016" t="s">
        <v>4398</v>
      </c>
    </row>
    <row r="193" spans="2:9" ht="15.75" x14ac:dyDescent="0.25">
      <c r="B193" s="1365" t="s">
        <v>7169</v>
      </c>
      <c r="C193" s="1013" t="s">
        <v>4461</v>
      </c>
      <c r="D193" s="1013" t="s">
        <v>4461</v>
      </c>
      <c r="E193" s="1014">
        <v>3391</v>
      </c>
      <c r="F193" s="1013" t="s">
        <v>4613</v>
      </c>
      <c r="G193" s="1014" t="s">
        <v>266</v>
      </c>
      <c r="H193" s="1015">
        <v>239209</v>
      </c>
      <c r="I193" s="1016" t="s">
        <v>4398</v>
      </c>
    </row>
    <row r="194" spans="2:9" ht="15.75" x14ac:dyDescent="0.25">
      <c r="B194" s="1365" t="s">
        <v>7169</v>
      </c>
      <c r="C194" s="1013" t="s">
        <v>4461</v>
      </c>
      <c r="D194" s="1013" t="s">
        <v>4461</v>
      </c>
      <c r="E194" s="1014">
        <v>3393</v>
      </c>
      <c r="F194" s="1013" t="s">
        <v>4614</v>
      </c>
      <c r="G194" s="1014" t="s">
        <v>266</v>
      </c>
      <c r="H194" s="1015">
        <v>1291910</v>
      </c>
      <c r="I194" s="1016" t="s">
        <v>4398</v>
      </c>
    </row>
    <row r="195" spans="2:9" ht="15.75" x14ac:dyDescent="0.25">
      <c r="B195" s="1365" t="s">
        <v>7169</v>
      </c>
      <c r="C195" s="1013" t="s">
        <v>4472</v>
      </c>
      <c r="D195" s="1013" t="s">
        <v>4473</v>
      </c>
      <c r="E195" s="1014">
        <v>3394</v>
      </c>
      <c r="F195" s="1013" t="s">
        <v>4615</v>
      </c>
      <c r="G195" s="1014" t="s">
        <v>3</v>
      </c>
      <c r="H195" s="1015">
        <v>789932</v>
      </c>
      <c r="I195" s="1016" t="s">
        <v>6899</v>
      </c>
    </row>
    <row r="196" spans="2:9" ht="15.75" x14ac:dyDescent="0.25">
      <c r="B196" s="1365" t="s">
        <v>7169</v>
      </c>
      <c r="C196" s="1013" t="s">
        <v>4451</v>
      </c>
      <c r="D196" s="1013" t="s">
        <v>4616</v>
      </c>
      <c r="E196" s="1014">
        <v>3396</v>
      </c>
      <c r="F196" s="1013" t="s">
        <v>4617</v>
      </c>
      <c r="G196" s="1014" t="s">
        <v>266</v>
      </c>
      <c r="H196" s="1015">
        <v>708783</v>
      </c>
      <c r="I196" s="1016" t="s">
        <v>4398</v>
      </c>
    </row>
    <row r="197" spans="2:9" ht="15.75" x14ac:dyDescent="0.25">
      <c r="B197" s="1365" t="s">
        <v>7169</v>
      </c>
      <c r="C197" s="1013" t="s">
        <v>4451</v>
      </c>
      <c r="D197" s="1013" t="s">
        <v>4616</v>
      </c>
      <c r="E197" s="1014">
        <v>3397</v>
      </c>
      <c r="F197" s="1013" t="s">
        <v>4618</v>
      </c>
      <c r="G197" s="1014" t="s">
        <v>266</v>
      </c>
      <c r="H197" s="1015">
        <v>445304</v>
      </c>
      <c r="I197" s="1016" t="s">
        <v>6899</v>
      </c>
    </row>
    <row r="198" spans="2:9" ht="15.75" x14ac:dyDescent="0.25">
      <c r="B198" s="1365" t="s">
        <v>7169</v>
      </c>
      <c r="C198" s="1013" t="s">
        <v>4451</v>
      </c>
      <c r="D198" s="1013" t="s">
        <v>4616</v>
      </c>
      <c r="E198" s="1014">
        <v>3400</v>
      </c>
      <c r="F198" s="1013" t="s">
        <v>4619</v>
      </c>
      <c r="G198" s="1014" t="s">
        <v>266</v>
      </c>
      <c r="H198" s="1015">
        <v>248292</v>
      </c>
      <c r="I198" s="1016" t="s">
        <v>4398</v>
      </c>
    </row>
    <row r="199" spans="2:9" ht="15.75" x14ac:dyDescent="0.25">
      <c r="B199" s="1365" t="s">
        <v>7169</v>
      </c>
      <c r="C199" s="1013" t="s">
        <v>4451</v>
      </c>
      <c r="D199" s="1013" t="s">
        <v>4616</v>
      </c>
      <c r="E199" s="1014">
        <v>3401</v>
      </c>
      <c r="F199" s="1013" t="s">
        <v>4620</v>
      </c>
      <c r="G199" s="1014" t="s">
        <v>266</v>
      </c>
      <c r="H199" s="1015">
        <v>494583</v>
      </c>
      <c r="I199" s="1016" t="s">
        <v>4398</v>
      </c>
    </row>
    <row r="200" spans="2:9" ht="15.75" x14ac:dyDescent="0.25">
      <c r="B200" s="1365" t="s">
        <v>7169</v>
      </c>
      <c r="C200" s="1013" t="s">
        <v>4451</v>
      </c>
      <c r="D200" s="1013" t="s">
        <v>4616</v>
      </c>
      <c r="E200" s="1014">
        <v>3403</v>
      </c>
      <c r="F200" s="1013" t="s">
        <v>4621</v>
      </c>
      <c r="G200" s="1014" t="s">
        <v>266</v>
      </c>
      <c r="H200" s="1015">
        <v>905791</v>
      </c>
      <c r="I200" s="1016" t="s">
        <v>6899</v>
      </c>
    </row>
    <row r="201" spans="2:9" ht="15.75" x14ac:dyDescent="0.25">
      <c r="B201" s="1365" t="s">
        <v>7169</v>
      </c>
      <c r="C201" s="1013" t="s">
        <v>4461</v>
      </c>
      <c r="D201" s="1013" t="s">
        <v>4461</v>
      </c>
      <c r="E201" s="1014">
        <v>3404</v>
      </c>
      <c r="F201" s="1013" t="s">
        <v>4622</v>
      </c>
      <c r="G201" s="1014" t="s">
        <v>266</v>
      </c>
      <c r="H201" s="1015">
        <v>148078</v>
      </c>
      <c r="I201" s="1016" t="s">
        <v>4398</v>
      </c>
    </row>
    <row r="202" spans="2:9" ht="15.75" x14ac:dyDescent="0.25">
      <c r="B202" s="1365" t="s">
        <v>7169</v>
      </c>
      <c r="C202" s="1013" t="s">
        <v>4461</v>
      </c>
      <c r="D202" s="1013" t="s">
        <v>4461</v>
      </c>
      <c r="E202" s="1014">
        <v>3405</v>
      </c>
      <c r="F202" s="1013" t="s">
        <v>4623</v>
      </c>
      <c r="G202" s="1014" t="s">
        <v>266</v>
      </c>
      <c r="H202" s="1015">
        <v>293240</v>
      </c>
      <c r="I202" s="1016" t="s">
        <v>4398</v>
      </c>
    </row>
    <row r="203" spans="2:9" ht="15.75" x14ac:dyDescent="0.25">
      <c r="B203" s="1365" t="s">
        <v>7169</v>
      </c>
      <c r="C203" s="1013" t="s">
        <v>4405</v>
      </c>
      <c r="D203" s="1013" t="s">
        <v>4579</v>
      </c>
      <c r="E203" s="1014">
        <v>3408</v>
      </c>
      <c r="F203" s="1013" t="s">
        <v>4624</v>
      </c>
      <c r="G203" s="1014" t="s">
        <v>13</v>
      </c>
      <c r="H203" s="1015">
        <v>326264</v>
      </c>
      <c r="I203" s="1016" t="s">
        <v>4398</v>
      </c>
    </row>
    <row r="204" spans="2:9" ht="15.75" x14ac:dyDescent="0.25">
      <c r="B204" s="1365" t="s">
        <v>7169</v>
      </c>
      <c r="C204" s="1013" t="s">
        <v>4431</v>
      </c>
      <c r="D204" s="1013" t="s">
        <v>4432</v>
      </c>
      <c r="E204" s="1014">
        <v>3410</v>
      </c>
      <c r="F204" s="1013" t="s">
        <v>4625</v>
      </c>
      <c r="G204" s="1014" t="s">
        <v>266</v>
      </c>
      <c r="H204" s="1015">
        <v>8379708</v>
      </c>
      <c r="I204" s="1016" t="s">
        <v>6899</v>
      </c>
    </row>
    <row r="205" spans="2:9" ht="15.75" x14ac:dyDescent="0.25">
      <c r="B205" s="1365" t="s">
        <v>7169</v>
      </c>
      <c r="C205" s="1013" t="s">
        <v>4431</v>
      </c>
      <c r="D205" s="1013" t="s">
        <v>4432</v>
      </c>
      <c r="E205" s="1014">
        <v>3411</v>
      </c>
      <c r="F205" s="1013" t="s">
        <v>4626</v>
      </c>
      <c r="G205" s="1014" t="s">
        <v>266</v>
      </c>
      <c r="H205" s="1015">
        <v>8718030</v>
      </c>
      <c r="I205" s="1016" t="s">
        <v>6899</v>
      </c>
    </row>
    <row r="206" spans="2:9" ht="15.75" x14ac:dyDescent="0.25">
      <c r="B206" s="1365" t="s">
        <v>7169</v>
      </c>
      <c r="C206" s="1013" t="s">
        <v>4461</v>
      </c>
      <c r="D206" s="1013" t="s">
        <v>4461</v>
      </c>
      <c r="E206" s="1014">
        <v>3412</v>
      </c>
      <c r="F206" s="1013" t="s">
        <v>4627</v>
      </c>
      <c r="G206" s="1014" t="s">
        <v>266</v>
      </c>
      <c r="H206" s="1015">
        <v>420414</v>
      </c>
      <c r="I206" s="1016" t="s">
        <v>4398</v>
      </c>
    </row>
    <row r="207" spans="2:9" ht="15.75" x14ac:dyDescent="0.25">
      <c r="B207" s="1365" t="s">
        <v>7169</v>
      </c>
      <c r="C207" s="1013" t="s">
        <v>4461</v>
      </c>
      <c r="D207" s="1013" t="s">
        <v>4461</v>
      </c>
      <c r="E207" s="1014">
        <v>3413</v>
      </c>
      <c r="F207" s="1013" t="s">
        <v>4628</v>
      </c>
      <c r="G207" s="1014" t="s">
        <v>266</v>
      </c>
      <c r="H207" s="1015">
        <v>11025</v>
      </c>
      <c r="I207" s="1016" t="s">
        <v>4398</v>
      </c>
    </row>
    <row r="208" spans="2:9" ht="15.75" x14ac:dyDescent="0.25">
      <c r="B208" s="1365" t="s">
        <v>7169</v>
      </c>
      <c r="C208" s="1013" t="s">
        <v>4461</v>
      </c>
      <c r="D208" s="1013" t="s">
        <v>4461</v>
      </c>
      <c r="E208" s="1014">
        <v>3414</v>
      </c>
      <c r="F208" s="1013" t="s">
        <v>4629</v>
      </c>
      <c r="G208" s="1014" t="s">
        <v>266</v>
      </c>
      <c r="H208" s="1015">
        <v>19197</v>
      </c>
      <c r="I208" s="1016" t="s">
        <v>4398</v>
      </c>
    </row>
    <row r="209" spans="2:9" ht="15.75" x14ac:dyDescent="0.25">
      <c r="B209" s="1365" t="s">
        <v>7169</v>
      </c>
      <c r="C209" s="1013" t="s">
        <v>4431</v>
      </c>
      <c r="D209" s="1013" t="s">
        <v>4432</v>
      </c>
      <c r="E209" s="1014">
        <v>3415</v>
      </c>
      <c r="F209" s="1013" t="s">
        <v>4630</v>
      </c>
      <c r="G209" s="1014" t="s">
        <v>13</v>
      </c>
      <c r="H209" s="1015">
        <v>41325</v>
      </c>
      <c r="I209" s="1016" t="s">
        <v>4398</v>
      </c>
    </row>
    <row r="210" spans="2:9" ht="15.75" x14ac:dyDescent="0.25">
      <c r="B210" s="1365" t="s">
        <v>7169</v>
      </c>
      <c r="C210" s="1013" t="s">
        <v>4417</v>
      </c>
      <c r="D210" s="1013" t="s">
        <v>4631</v>
      </c>
      <c r="E210" s="1014">
        <v>3425</v>
      </c>
      <c r="F210" s="1013" t="s">
        <v>4632</v>
      </c>
      <c r="G210" s="1014" t="s">
        <v>12</v>
      </c>
      <c r="H210" s="1015">
        <v>80028</v>
      </c>
      <c r="I210" s="1016" t="s">
        <v>6899</v>
      </c>
    </row>
    <row r="211" spans="2:9" ht="15.75" x14ac:dyDescent="0.25">
      <c r="B211" s="1365" t="s">
        <v>7169</v>
      </c>
      <c r="C211" s="1013" t="s">
        <v>4417</v>
      </c>
      <c r="D211" s="1013" t="s">
        <v>4418</v>
      </c>
      <c r="E211" s="1014">
        <v>3426</v>
      </c>
      <c r="F211" s="1013" t="s">
        <v>4633</v>
      </c>
      <c r="G211" s="1014" t="s">
        <v>13</v>
      </c>
      <c r="H211" s="1015">
        <v>45184</v>
      </c>
      <c r="I211" s="1016" t="s">
        <v>6899</v>
      </c>
    </row>
    <row r="212" spans="2:9" ht="15.75" x14ac:dyDescent="0.25">
      <c r="B212" s="1365" t="s">
        <v>7169</v>
      </c>
      <c r="C212" s="1013" t="s">
        <v>4454</v>
      </c>
      <c r="D212" s="1013" t="s">
        <v>4634</v>
      </c>
      <c r="E212" s="1014">
        <v>3429</v>
      </c>
      <c r="F212" s="1013" t="s">
        <v>4635</v>
      </c>
      <c r="G212" s="1014" t="s">
        <v>266</v>
      </c>
      <c r="H212" s="1015">
        <v>617994</v>
      </c>
      <c r="I212" s="1016" t="s">
        <v>6899</v>
      </c>
    </row>
    <row r="213" spans="2:9" ht="15.75" x14ac:dyDescent="0.25">
      <c r="B213" s="1365" t="s">
        <v>7169</v>
      </c>
      <c r="C213" s="1013" t="s">
        <v>4454</v>
      </c>
      <c r="D213" s="1013" t="s">
        <v>4634</v>
      </c>
      <c r="E213" s="1014">
        <v>3430</v>
      </c>
      <c r="F213" s="1013" t="s">
        <v>4636</v>
      </c>
      <c r="G213" s="1014" t="s">
        <v>266</v>
      </c>
      <c r="H213" s="1015">
        <v>448834</v>
      </c>
      <c r="I213" s="1016" t="s">
        <v>6899</v>
      </c>
    </row>
    <row r="214" spans="2:9" ht="15.75" x14ac:dyDescent="0.25">
      <c r="B214" s="1365" t="s">
        <v>7169</v>
      </c>
      <c r="C214" s="1013" t="s">
        <v>4454</v>
      </c>
      <c r="D214" s="1013" t="s">
        <v>4634</v>
      </c>
      <c r="E214" s="1014">
        <v>3431</v>
      </c>
      <c r="F214" s="1013" t="s">
        <v>4637</v>
      </c>
      <c r="G214" s="1014" t="s">
        <v>266</v>
      </c>
      <c r="H214" s="1015">
        <v>565388</v>
      </c>
      <c r="I214" s="1016" t="s">
        <v>6899</v>
      </c>
    </row>
    <row r="215" spans="2:9" ht="15.75" x14ac:dyDescent="0.25">
      <c r="B215" s="1365" t="s">
        <v>7169</v>
      </c>
      <c r="C215" s="1013" t="s">
        <v>4454</v>
      </c>
      <c r="D215" s="1013" t="s">
        <v>4634</v>
      </c>
      <c r="E215" s="1014">
        <v>3432</v>
      </c>
      <c r="F215" s="1013" t="s">
        <v>4638</v>
      </c>
      <c r="G215" s="1014" t="s">
        <v>266</v>
      </c>
      <c r="H215" s="1015">
        <v>664380</v>
      </c>
      <c r="I215" s="1016" t="s">
        <v>6899</v>
      </c>
    </row>
    <row r="216" spans="2:9" ht="15.75" x14ac:dyDescent="0.25">
      <c r="B216" s="1365" t="s">
        <v>7169</v>
      </c>
      <c r="C216" s="1013" t="s">
        <v>4454</v>
      </c>
      <c r="D216" s="1013" t="s">
        <v>4455</v>
      </c>
      <c r="E216" s="1014">
        <v>3433</v>
      </c>
      <c r="F216" s="1013" t="s">
        <v>4639</v>
      </c>
      <c r="G216" s="1014" t="s">
        <v>266</v>
      </c>
      <c r="H216" s="1015">
        <v>7067</v>
      </c>
      <c r="I216" s="1016" t="s">
        <v>4398</v>
      </c>
    </row>
    <row r="217" spans="2:9" ht="15.75" x14ac:dyDescent="0.25">
      <c r="B217" s="1365" t="s">
        <v>7169</v>
      </c>
      <c r="C217" s="1013" t="s">
        <v>4454</v>
      </c>
      <c r="D217" s="1013" t="s">
        <v>4455</v>
      </c>
      <c r="E217" s="1014">
        <v>3434</v>
      </c>
      <c r="F217" s="1013" t="s">
        <v>4640</v>
      </c>
      <c r="G217" s="1014" t="s">
        <v>266</v>
      </c>
      <c r="H217" s="1015">
        <v>73058</v>
      </c>
      <c r="I217" s="1016" t="s">
        <v>6899</v>
      </c>
    </row>
    <row r="218" spans="2:9" ht="15.75" x14ac:dyDescent="0.25">
      <c r="B218" s="1365" t="s">
        <v>7169</v>
      </c>
      <c r="C218" s="1013" t="s">
        <v>4410</v>
      </c>
      <c r="D218" s="1013" t="s">
        <v>4415</v>
      </c>
      <c r="E218" s="1014">
        <v>3436</v>
      </c>
      <c r="F218" s="1013" t="s">
        <v>4641</v>
      </c>
      <c r="G218" s="1014" t="s">
        <v>3</v>
      </c>
      <c r="H218" s="1015">
        <v>112726</v>
      </c>
      <c r="I218" s="1016" t="s">
        <v>6899</v>
      </c>
    </row>
    <row r="219" spans="2:9" ht="15.75" x14ac:dyDescent="0.25">
      <c r="B219" s="1365" t="s">
        <v>7169</v>
      </c>
      <c r="C219" s="1013" t="s">
        <v>4468</v>
      </c>
      <c r="D219" s="1013" t="s">
        <v>4469</v>
      </c>
      <c r="E219" s="1014">
        <v>3442</v>
      </c>
      <c r="F219" s="1013" t="s">
        <v>340</v>
      </c>
      <c r="G219" s="1014" t="s">
        <v>3</v>
      </c>
      <c r="H219" s="1015">
        <v>589152</v>
      </c>
      <c r="I219" s="1016" t="s">
        <v>6899</v>
      </c>
    </row>
    <row r="220" spans="2:9" ht="15.75" x14ac:dyDescent="0.25">
      <c r="B220" s="1365" t="s">
        <v>7169</v>
      </c>
      <c r="C220" s="1013" t="s">
        <v>4410</v>
      </c>
      <c r="D220" s="1013" t="s">
        <v>4642</v>
      </c>
      <c r="E220" s="1014">
        <v>3443</v>
      </c>
      <c r="F220" s="1013" t="s">
        <v>4643</v>
      </c>
      <c r="G220" s="1014" t="s">
        <v>3</v>
      </c>
      <c r="H220" s="1015">
        <v>93643</v>
      </c>
      <c r="I220" s="1016" t="s">
        <v>6899</v>
      </c>
    </row>
    <row r="221" spans="2:9" ht="15.75" x14ac:dyDescent="0.25">
      <c r="B221" s="1365" t="s">
        <v>7169</v>
      </c>
      <c r="C221" s="1013" t="s">
        <v>4405</v>
      </c>
      <c r="D221" s="1013" t="s">
        <v>4579</v>
      </c>
      <c r="E221" s="1014">
        <v>3450</v>
      </c>
      <c r="F221" s="1013" t="s">
        <v>4644</v>
      </c>
      <c r="G221" s="1014" t="s">
        <v>266</v>
      </c>
      <c r="H221" s="1015">
        <v>401516</v>
      </c>
      <c r="I221" s="1016" t="s">
        <v>6899</v>
      </c>
    </row>
    <row r="222" spans="2:9" ht="15.75" x14ac:dyDescent="0.25">
      <c r="B222" s="1365" t="s">
        <v>7169</v>
      </c>
      <c r="C222" s="1013" t="s">
        <v>4405</v>
      </c>
      <c r="D222" s="1013" t="s">
        <v>4579</v>
      </c>
      <c r="E222" s="1014">
        <v>3451</v>
      </c>
      <c r="F222" s="1013" t="s">
        <v>4645</v>
      </c>
      <c r="G222" s="1014" t="s">
        <v>266</v>
      </c>
      <c r="H222" s="1015">
        <v>537176</v>
      </c>
      <c r="I222" s="1016" t="s">
        <v>6899</v>
      </c>
    </row>
    <row r="223" spans="2:9" ht="15.75" x14ac:dyDescent="0.25">
      <c r="B223" s="1365" t="s">
        <v>7169</v>
      </c>
      <c r="C223" s="1013" t="s">
        <v>4405</v>
      </c>
      <c r="D223" s="1013" t="s">
        <v>4579</v>
      </c>
      <c r="E223" s="1014">
        <v>3452</v>
      </c>
      <c r="F223" s="1013" t="s">
        <v>4646</v>
      </c>
      <c r="G223" s="1014" t="s">
        <v>266</v>
      </c>
      <c r="H223" s="1015">
        <v>492551</v>
      </c>
      <c r="I223" s="1016" t="s">
        <v>6899</v>
      </c>
    </row>
    <row r="224" spans="2:9" ht="15.75" x14ac:dyDescent="0.25">
      <c r="B224" s="1365" t="s">
        <v>7169</v>
      </c>
      <c r="C224" s="1013" t="s">
        <v>4410</v>
      </c>
      <c r="D224" s="1013" t="s">
        <v>4642</v>
      </c>
      <c r="E224" s="1014">
        <v>3454</v>
      </c>
      <c r="F224" s="1013" t="s">
        <v>4647</v>
      </c>
      <c r="G224" s="1014" t="s">
        <v>3</v>
      </c>
      <c r="H224" s="1015">
        <v>115636</v>
      </c>
      <c r="I224" s="1016" t="s">
        <v>6899</v>
      </c>
    </row>
    <row r="225" spans="2:9" ht="15.75" x14ac:dyDescent="0.25">
      <c r="B225" s="1365" t="s">
        <v>7169</v>
      </c>
      <c r="C225" s="1013" t="s">
        <v>4461</v>
      </c>
      <c r="D225" s="1013" t="s">
        <v>4461</v>
      </c>
      <c r="E225" s="1014">
        <v>3463</v>
      </c>
      <c r="F225" s="1013" t="s">
        <v>4648</v>
      </c>
      <c r="G225" s="1014" t="s">
        <v>266</v>
      </c>
      <c r="H225" s="1015">
        <v>232330</v>
      </c>
      <c r="I225" s="1016" t="s">
        <v>4398</v>
      </c>
    </row>
    <row r="226" spans="2:9" ht="15.75" x14ac:dyDescent="0.25">
      <c r="B226" s="1365" t="s">
        <v>7169</v>
      </c>
      <c r="C226" s="1013" t="s">
        <v>4396</v>
      </c>
      <c r="D226" s="1013" t="s">
        <v>4397</v>
      </c>
      <c r="E226" s="1014">
        <v>3464</v>
      </c>
      <c r="F226" s="1013" t="s">
        <v>4649</v>
      </c>
      <c r="G226" s="1014" t="s">
        <v>3</v>
      </c>
      <c r="H226" s="1015">
        <v>41998</v>
      </c>
      <c r="I226" s="1016" t="s">
        <v>4398</v>
      </c>
    </row>
    <row r="227" spans="2:9" ht="15.75" x14ac:dyDescent="0.25">
      <c r="B227" s="1365" t="s">
        <v>7169</v>
      </c>
      <c r="C227" s="1013" t="s">
        <v>4468</v>
      </c>
      <c r="D227" s="1013" t="s">
        <v>4650</v>
      </c>
      <c r="E227" s="1014">
        <v>3465</v>
      </c>
      <c r="F227" s="1013" t="s">
        <v>4651</v>
      </c>
      <c r="G227" s="1014" t="s">
        <v>3</v>
      </c>
      <c r="H227" s="1015">
        <v>521626</v>
      </c>
      <c r="I227" s="1016" t="s">
        <v>6899</v>
      </c>
    </row>
    <row r="228" spans="2:9" ht="15.75" x14ac:dyDescent="0.25">
      <c r="B228" s="1365" t="s">
        <v>7169</v>
      </c>
      <c r="C228" s="1013" t="s">
        <v>4468</v>
      </c>
      <c r="D228" s="1013" t="s">
        <v>4650</v>
      </c>
      <c r="E228" s="1014">
        <v>3466</v>
      </c>
      <c r="F228" s="1013" t="s">
        <v>4652</v>
      </c>
      <c r="G228" s="1014" t="s">
        <v>3</v>
      </c>
      <c r="H228" s="1015">
        <v>537132</v>
      </c>
      <c r="I228" s="1016" t="s">
        <v>6899</v>
      </c>
    </row>
    <row r="229" spans="2:9" ht="15.75" x14ac:dyDescent="0.25">
      <c r="B229" s="1365" t="s">
        <v>7169</v>
      </c>
      <c r="C229" s="1013" t="s">
        <v>4468</v>
      </c>
      <c r="D229" s="1013" t="s">
        <v>4650</v>
      </c>
      <c r="E229" s="1014">
        <v>3467</v>
      </c>
      <c r="F229" s="1013" t="s">
        <v>4653</v>
      </c>
      <c r="G229" s="1014" t="s">
        <v>3</v>
      </c>
      <c r="H229" s="1015">
        <v>521037</v>
      </c>
      <c r="I229" s="1016" t="s">
        <v>6899</v>
      </c>
    </row>
    <row r="230" spans="2:9" ht="15.75" x14ac:dyDescent="0.25">
      <c r="B230" s="1365" t="s">
        <v>7169</v>
      </c>
      <c r="C230" s="1013" t="s">
        <v>4468</v>
      </c>
      <c r="D230" s="1013" t="s">
        <v>4650</v>
      </c>
      <c r="E230" s="1014">
        <v>3468</v>
      </c>
      <c r="F230" s="1013" t="s">
        <v>4654</v>
      </c>
      <c r="G230" s="1014" t="s">
        <v>3</v>
      </c>
      <c r="H230" s="1015">
        <v>455380</v>
      </c>
      <c r="I230" s="1016" t="s">
        <v>6899</v>
      </c>
    </row>
    <row r="231" spans="2:9" ht="15.75" x14ac:dyDescent="0.25">
      <c r="B231" s="1365" t="s">
        <v>7169</v>
      </c>
      <c r="C231" s="1013" t="s">
        <v>4420</v>
      </c>
      <c r="D231" s="1013" t="s">
        <v>4420</v>
      </c>
      <c r="E231" s="1014">
        <v>3470</v>
      </c>
      <c r="F231" s="1013" t="s">
        <v>4655</v>
      </c>
      <c r="G231" s="1014" t="s">
        <v>13</v>
      </c>
      <c r="H231" s="1015">
        <v>1047356</v>
      </c>
      <c r="I231" s="1016" t="s">
        <v>6899</v>
      </c>
    </row>
    <row r="232" spans="2:9" ht="15.75" x14ac:dyDescent="0.25">
      <c r="B232" s="1365" t="s">
        <v>7169</v>
      </c>
      <c r="C232" s="1013" t="s">
        <v>4420</v>
      </c>
      <c r="D232" s="1013" t="s">
        <v>4420</v>
      </c>
      <c r="E232" s="1014">
        <v>3471</v>
      </c>
      <c r="F232" s="1013" t="s">
        <v>4656</v>
      </c>
      <c r="G232" s="1014" t="s">
        <v>13</v>
      </c>
      <c r="H232" s="1015">
        <v>716165</v>
      </c>
      <c r="I232" s="1016" t="s">
        <v>6899</v>
      </c>
    </row>
    <row r="233" spans="2:9" ht="15.75" x14ac:dyDescent="0.25">
      <c r="B233" s="1365" t="s">
        <v>7169</v>
      </c>
      <c r="C233" s="1013" t="s">
        <v>4420</v>
      </c>
      <c r="D233" s="1013" t="s">
        <v>4420</v>
      </c>
      <c r="E233" s="1014">
        <v>3472</v>
      </c>
      <c r="F233" s="1013" t="s">
        <v>4657</v>
      </c>
      <c r="G233" s="1014" t="s">
        <v>266</v>
      </c>
      <c r="H233" s="1015">
        <v>637679</v>
      </c>
      <c r="I233" s="1016" t="s">
        <v>6899</v>
      </c>
    </row>
    <row r="234" spans="2:9" ht="15.75" x14ac:dyDescent="0.25">
      <c r="B234" s="1365" t="s">
        <v>7169</v>
      </c>
      <c r="C234" s="1013" t="s">
        <v>4420</v>
      </c>
      <c r="D234" s="1013" t="s">
        <v>4420</v>
      </c>
      <c r="E234" s="1014">
        <v>3473</v>
      </c>
      <c r="F234" s="1013" t="s">
        <v>4658</v>
      </c>
      <c r="G234" s="1014" t="s">
        <v>266</v>
      </c>
      <c r="H234" s="1015">
        <v>848363</v>
      </c>
      <c r="I234" s="1016" t="s">
        <v>6899</v>
      </c>
    </row>
    <row r="235" spans="2:9" ht="15.75" x14ac:dyDescent="0.25">
      <c r="B235" s="1365" t="s">
        <v>7169</v>
      </c>
      <c r="C235" s="1013" t="s">
        <v>4420</v>
      </c>
      <c r="D235" s="1013" t="s">
        <v>4420</v>
      </c>
      <c r="E235" s="1014">
        <v>3474</v>
      </c>
      <c r="F235" s="1013" t="s">
        <v>4659</v>
      </c>
      <c r="G235" s="1014" t="s">
        <v>266</v>
      </c>
      <c r="H235" s="1015">
        <v>1050622</v>
      </c>
      <c r="I235" s="1016" t="s">
        <v>6899</v>
      </c>
    </row>
    <row r="236" spans="2:9" ht="15.75" x14ac:dyDescent="0.25">
      <c r="B236" s="1365" t="s">
        <v>7169</v>
      </c>
      <c r="C236" s="1013" t="s">
        <v>4468</v>
      </c>
      <c r="D236" s="1013" t="s">
        <v>4650</v>
      </c>
      <c r="E236" s="1014">
        <v>3475</v>
      </c>
      <c r="F236" s="1013" t="s">
        <v>4660</v>
      </c>
      <c r="G236" s="1014" t="s">
        <v>3</v>
      </c>
      <c r="H236" s="1015">
        <v>388293</v>
      </c>
      <c r="I236" s="1016" t="s">
        <v>6899</v>
      </c>
    </row>
    <row r="237" spans="2:9" ht="15.75" x14ac:dyDescent="0.25">
      <c r="B237" s="1365" t="s">
        <v>7169</v>
      </c>
      <c r="C237" s="1013" t="s">
        <v>4468</v>
      </c>
      <c r="D237" s="1013" t="s">
        <v>4650</v>
      </c>
      <c r="E237" s="1014">
        <v>3476</v>
      </c>
      <c r="F237" s="1013" t="s">
        <v>4661</v>
      </c>
      <c r="G237" s="1014" t="s">
        <v>3</v>
      </c>
      <c r="H237" s="1015">
        <v>436617</v>
      </c>
      <c r="I237" s="1016" t="s">
        <v>6899</v>
      </c>
    </row>
    <row r="238" spans="2:9" ht="15.75" x14ac:dyDescent="0.25">
      <c r="B238" s="1365" t="s">
        <v>7169</v>
      </c>
      <c r="C238" s="1013" t="s">
        <v>4468</v>
      </c>
      <c r="D238" s="1013" t="s">
        <v>4650</v>
      </c>
      <c r="E238" s="1014">
        <v>3477</v>
      </c>
      <c r="F238" s="1013" t="s">
        <v>4662</v>
      </c>
      <c r="G238" s="1014" t="s">
        <v>3</v>
      </c>
      <c r="H238" s="1015">
        <v>534983</v>
      </c>
      <c r="I238" s="1016" t="s">
        <v>6899</v>
      </c>
    </row>
    <row r="239" spans="2:9" ht="15.75" x14ac:dyDescent="0.25">
      <c r="B239" s="1365" t="s">
        <v>7169</v>
      </c>
      <c r="C239" s="1013" t="s">
        <v>4410</v>
      </c>
      <c r="D239" s="1013" t="s">
        <v>4415</v>
      </c>
      <c r="E239" s="1014">
        <v>3478</v>
      </c>
      <c r="F239" s="1013" t="s">
        <v>4663</v>
      </c>
      <c r="G239" s="1014" t="s">
        <v>3</v>
      </c>
      <c r="H239" s="1015">
        <v>151005</v>
      </c>
      <c r="I239" s="1016" t="s">
        <v>6899</v>
      </c>
    </row>
    <row r="240" spans="2:9" ht="15.75" x14ac:dyDescent="0.25">
      <c r="B240" s="1365" t="s">
        <v>7169</v>
      </c>
      <c r="C240" s="1013" t="s">
        <v>4401</v>
      </c>
      <c r="D240" s="1013" t="s">
        <v>4401</v>
      </c>
      <c r="E240" s="1014">
        <v>3486</v>
      </c>
      <c r="F240" s="1013" t="s">
        <v>4664</v>
      </c>
      <c r="G240" s="1014" t="s">
        <v>3</v>
      </c>
      <c r="H240" s="1015">
        <v>182416</v>
      </c>
      <c r="I240" s="1016" t="s">
        <v>6899</v>
      </c>
    </row>
    <row r="241" spans="2:9" ht="15.75" x14ac:dyDescent="0.25">
      <c r="B241" s="1365" t="s">
        <v>7169</v>
      </c>
      <c r="C241" s="1013" t="s">
        <v>4405</v>
      </c>
      <c r="D241" s="1013" t="s">
        <v>4579</v>
      </c>
      <c r="E241" s="1014">
        <v>3487</v>
      </c>
      <c r="F241" s="1013" t="s">
        <v>4665</v>
      </c>
      <c r="G241" s="1014" t="s">
        <v>266</v>
      </c>
      <c r="H241" s="1015">
        <v>626426</v>
      </c>
      <c r="I241" s="1016" t="s">
        <v>6899</v>
      </c>
    </row>
    <row r="242" spans="2:9" ht="15.75" x14ac:dyDescent="0.25">
      <c r="B242" s="1365" t="s">
        <v>7169</v>
      </c>
      <c r="C242" s="1013" t="s">
        <v>4454</v>
      </c>
      <c r="D242" s="1013" t="s">
        <v>4455</v>
      </c>
      <c r="E242" s="1014">
        <v>3490</v>
      </c>
      <c r="F242" s="1013" t="s">
        <v>4666</v>
      </c>
      <c r="G242" s="1014" t="s">
        <v>266</v>
      </c>
      <c r="H242" s="1015">
        <v>59857</v>
      </c>
      <c r="I242" s="1016" t="s">
        <v>3538</v>
      </c>
    </row>
    <row r="243" spans="2:9" ht="15.75" x14ac:dyDescent="0.25">
      <c r="B243" s="1365" t="s">
        <v>7169</v>
      </c>
      <c r="C243" s="1013" t="s">
        <v>4454</v>
      </c>
      <c r="D243" s="1013" t="s">
        <v>4455</v>
      </c>
      <c r="E243" s="1014">
        <v>3491</v>
      </c>
      <c r="F243" s="1013" t="s">
        <v>4667</v>
      </c>
      <c r="G243" s="1014" t="s">
        <v>266</v>
      </c>
      <c r="H243" s="1015">
        <v>47569</v>
      </c>
      <c r="I243" s="1016" t="s">
        <v>3538</v>
      </c>
    </row>
    <row r="244" spans="2:9" ht="15.75" x14ac:dyDescent="0.25">
      <c r="B244" s="1365" t="s">
        <v>7169</v>
      </c>
      <c r="C244" s="1013" t="s">
        <v>4454</v>
      </c>
      <c r="D244" s="1013" t="s">
        <v>4455</v>
      </c>
      <c r="E244" s="1014">
        <v>3492</v>
      </c>
      <c r="F244" s="1013" t="s">
        <v>4668</v>
      </c>
      <c r="G244" s="1014" t="s">
        <v>266</v>
      </c>
      <c r="H244" s="1015">
        <v>86416</v>
      </c>
      <c r="I244" s="1016" t="s">
        <v>3538</v>
      </c>
    </row>
    <row r="245" spans="2:9" ht="15.75" x14ac:dyDescent="0.25">
      <c r="B245" s="1365" t="s">
        <v>7169</v>
      </c>
      <c r="C245" s="1013" t="s">
        <v>4461</v>
      </c>
      <c r="D245" s="1013" t="s">
        <v>4461</v>
      </c>
      <c r="E245" s="1014">
        <v>3499</v>
      </c>
      <c r="F245" s="1013" t="s">
        <v>4669</v>
      </c>
      <c r="G245" s="1014" t="s">
        <v>266</v>
      </c>
      <c r="H245" s="1015">
        <v>457537</v>
      </c>
      <c r="I245" s="1016" t="s">
        <v>4398</v>
      </c>
    </row>
    <row r="246" spans="2:9" ht="15.75" x14ac:dyDescent="0.25">
      <c r="B246" s="1365" t="s">
        <v>7169</v>
      </c>
      <c r="C246" s="1013" t="s">
        <v>4461</v>
      </c>
      <c r="D246" s="1013" t="s">
        <v>4461</v>
      </c>
      <c r="E246" s="1014">
        <v>3500</v>
      </c>
      <c r="F246" s="1013" t="s">
        <v>4670</v>
      </c>
      <c r="G246" s="1014" t="s">
        <v>266</v>
      </c>
      <c r="H246" s="1015">
        <v>773107</v>
      </c>
      <c r="I246" s="1016" t="s">
        <v>4398</v>
      </c>
    </row>
    <row r="247" spans="2:9" ht="15.75" x14ac:dyDescent="0.25">
      <c r="B247" s="1365" t="s">
        <v>7169</v>
      </c>
      <c r="C247" s="1013" t="s">
        <v>4461</v>
      </c>
      <c r="D247" s="1013" t="s">
        <v>4461</v>
      </c>
      <c r="E247" s="1014">
        <v>3501</v>
      </c>
      <c r="F247" s="1013" t="s">
        <v>4671</v>
      </c>
      <c r="G247" s="1014" t="s">
        <v>266</v>
      </c>
      <c r="H247" s="1015">
        <v>990566</v>
      </c>
      <c r="I247" s="1016" t="s">
        <v>4398</v>
      </c>
    </row>
    <row r="248" spans="2:9" ht="15.75" x14ac:dyDescent="0.25">
      <c r="B248" s="1365" t="s">
        <v>7169</v>
      </c>
      <c r="C248" s="1013" t="s">
        <v>4461</v>
      </c>
      <c r="D248" s="1013" t="s">
        <v>4461</v>
      </c>
      <c r="E248" s="1014">
        <v>3502</v>
      </c>
      <c r="F248" s="1013" t="s">
        <v>4672</v>
      </c>
      <c r="G248" s="1014" t="s">
        <v>266</v>
      </c>
      <c r="H248" s="1015">
        <v>1433464</v>
      </c>
      <c r="I248" s="1016" t="s">
        <v>4398</v>
      </c>
    </row>
    <row r="249" spans="2:9" ht="15.75" x14ac:dyDescent="0.25">
      <c r="B249" s="1365" t="s">
        <v>7169</v>
      </c>
      <c r="C249" s="1013" t="s">
        <v>4461</v>
      </c>
      <c r="D249" s="1013" t="s">
        <v>4461</v>
      </c>
      <c r="E249" s="1014">
        <v>3503</v>
      </c>
      <c r="F249" s="1013" t="s">
        <v>4673</v>
      </c>
      <c r="G249" s="1014" t="s">
        <v>266</v>
      </c>
      <c r="H249" s="1015">
        <v>1564323</v>
      </c>
      <c r="I249" s="1016" t="s">
        <v>4398</v>
      </c>
    </row>
    <row r="250" spans="2:9" ht="15.75" x14ac:dyDescent="0.25">
      <c r="B250" s="1365" t="s">
        <v>7169</v>
      </c>
      <c r="C250" s="1013" t="s">
        <v>4420</v>
      </c>
      <c r="D250" s="1013" t="s">
        <v>4420</v>
      </c>
      <c r="E250" s="1014">
        <v>3504</v>
      </c>
      <c r="F250" s="1013" t="s">
        <v>4674</v>
      </c>
      <c r="G250" s="1014" t="s">
        <v>266</v>
      </c>
      <c r="H250" s="1015">
        <v>137857</v>
      </c>
      <c r="I250" s="1016" t="s">
        <v>6899</v>
      </c>
    </row>
    <row r="251" spans="2:9" ht="15.75" x14ac:dyDescent="0.25">
      <c r="B251" s="1365" t="s">
        <v>7169</v>
      </c>
      <c r="C251" s="1013" t="s">
        <v>4420</v>
      </c>
      <c r="D251" s="1013" t="s">
        <v>4420</v>
      </c>
      <c r="E251" s="1014">
        <v>3505</v>
      </c>
      <c r="F251" s="1013" t="s">
        <v>4675</v>
      </c>
      <c r="G251" s="1014" t="s">
        <v>266</v>
      </c>
      <c r="H251" s="1015">
        <v>270183</v>
      </c>
      <c r="I251" s="1016" t="s">
        <v>6899</v>
      </c>
    </row>
    <row r="252" spans="2:9" ht="15.75" x14ac:dyDescent="0.25">
      <c r="B252" s="1365" t="s">
        <v>7169</v>
      </c>
      <c r="C252" s="1013" t="s">
        <v>4420</v>
      </c>
      <c r="D252" s="1013" t="s">
        <v>4420</v>
      </c>
      <c r="E252" s="1014">
        <v>3506</v>
      </c>
      <c r="F252" s="1013" t="s">
        <v>4676</v>
      </c>
      <c r="G252" s="1014" t="s">
        <v>266</v>
      </c>
      <c r="H252" s="1015">
        <v>347853</v>
      </c>
      <c r="I252" s="1016" t="s">
        <v>6899</v>
      </c>
    </row>
    <row r="253" spans="2:9" ht="15.75" x14ac:dyDescent="0.25">
      <c r="B253" s="1365" t="s">
        <v>7169</v>
      </c>
      <c r="C253" s="1013" t="s">
        <v>4420</v>
      </c>
      <c r="D253" s="1013" t="s">
        <v>4420</v>
      </c>
      <c r="E253" s="1014">
        <v>3507</v>
      </c>
      <c r="F253" s="1013" t="s">
        <v>4677</v>
      </c>
      <c r="G253" s="1014" t="s">
        <v>266</v>
      </c>
      <c r="H253" s="1015">
        <v>414589</v>
      </c>
      <c r="I253" s="1016" t="s">
        <v>6899</v>
      </c>
    </row>
    <row r="254" spans="2:9" ht="15.75" x14ac:dyDescent="0.25">
      <c r="B254" s="1365" t="s">
        <v>7169</v>
      </c>
      <c r="C254" s="1013" t="s">
        <v>4420</v>
      </c>
      <c r="D254" s="1013" t="s">
        <v>4420</v>
      </c>
      <c r="E254" s="1014">
        <v>3508</v>
      </c>
      <c r="F254" s="1013" t="s">
        <v>4678</v>
      </c>
      <c r="G254" s="1014" t="s">
        <v>266</v>
      </c>
      <c r="H254" s="1015">
        <v>523252</v>
      </c>
      <c r="I254" s="1016" t="s">
        <v>6899</v>
      </c>
    </row>
    <row r="255" spans="2:9" ht="15.75" x14ac:dyDescent="0.25">
      <c r="B255" s="1365" t="s">
        <v>7169</v>
      </c>
      <c r="C255" s="1013" t="s">
        <v>4420</v>
      </c>
      <c r="D255" s="1013" t="s">
        <v>4420</v>
      </c>
      <c r="E255" s="1014">
        <v>3509</v>
      </c>
      <c r="F255" s="1013" t="s">
        <v>4679</v>
      </c>
      <c r="G255" s="1014" t="s">
        <v>266</v>
      </c>
      <c r="H255" s="1015">
        <v>606902</v>
      </c>
      <c r="I255" s="1016" t="s">
        <v>6899</v>
      </c>
    </row>
    <row r="256" spans="2:9" ht="15.75" x14ac:dyDescent="0.25">
      <c r="B256" s="1365" t="s">
        <v>7169</v>
      </c>
      <c r="C256" s="1013" t="s">
        <v>4420</v>
      </c>
      <c r="D256" s="1013" t="s">
        <v>4420</v>
      </c>
      <c r="E256" s="1014">
        <v>3510</v>
      </c>
      <c r="F256" s="1013" t="s">
        <v>4680</v>
      </c>
      <c r="G256" s="1014" t="s">
        <v>266</v>
      </c>
      <c r="H256" s="1015">
        <v>718397</v>
      </c>
      <c r="I256" s="1016" t="s">
        <v>6899</v>
      </c>
    </row>
    <row r="257" spans="2:9" ht="15.75" x14ac:dyDescent="0.25">
      <c r="B257" s="1365" t="s">
        <v>7169</v>
      </c>
      <c r="C257" s="1013" t="s">
        <v>4420</v>
      </c>
      <c r="D257" s="1013" t="s">
        <v>4420</v>
      </c>
      <c r="E257" s="1014">
        <v>3511</v>
      </c>
      <c r="F257" s="1013" t="s">
        <v>4681</v>
      </c>
      <c r="G257" s="1014" t="s">
        <v>266</v>
      </c>
      <c r="H257" s="1015">
        <v>1029067</v>
      </c>
      <c r="I257" s="1016" t="s">
        <v>6899</v>
      </c>
    </row>
    <row r="258" spans="2:9" ht="15.75" x14ac:dyDescent="0.25">
      <c r="B258" s="1365" t="s">
        <v>7169</v>
      </c>
      <c r="C258" s="1013" t="s">
        <v>4461</v>
      </c>
      <c r="D258" s="1013" t="s">
        <v>4461</v>
      </c>
      <c r="E258" s="1014">
        <v>3512</v>
      </c>
      <c r="F258" s="1013" t="s">
        <v>4682</v>
      </c>
      <c r="G258" s="1014" t="s">
        <v>266</v>
      </c>
      <c r="H258" s="1015">
        <v>41002</v>
      </c>
      <c r="I258" s="1016" t="s">
        <v>4398</v>
      </c>
    </row>
    <row r="259" spans="2:9" ht="15.75" x14ac:dyDescent="0.25">
      <c r="B259" s="1365" t="s">
        <v>7169</v>
      </c>
      <c r="C259" s="1013" t="s">
        <v>4461</v>
      </c>
      <c r="D259" s="1013" t="s">
        <v>4461</v>
      </c>
      <c r="E259" s="1014">
        <v>3513</v>
      </c>
      <c r="F259" s="1013" t="s">
        <v>4683</v>
      </c>
      <c r="G259" s="1014" t="s">
        <v>266</v>
      </c>
      <c r="H259" s="1015">
        <v>81075</v>
      </c>
      <c r="I259" s="1016" t="s">
        <v>4398</v>
      </c>
    </row>
    <row r="260" spans="2:9" ht="15.75" x14ac:dyDescent="0.25">
      <c r="B260" s="1365" t="s">
        <v>7169</v>
      </c>
      <c r="C260" s="1013" t="s">
        <v>4461</v>
      </c>
      <c r="D260" s="1013" t="s">
        <v>4461</v>
      </c>
      <c r="E260" s="1014">
        <v>3514</v>
      </c>
      <c r="F260" s="1013" t="s">
        <v>4684</v>
      </c>
      <c r="G260" s="1014" t="s">
        <v>266</v>
      </c>
      <c r="H260" s="1015">
        <v>115850</v>
      </c>
      <c r="I260" s="1016" t="s">
        <v>4398</v>
      </c>
    </row>
    <row r="261" spans="2:9" ht="15.75" x14ac:dyDescent="0.25">
      <c r="B261" s="1365" t="s">
        <v>7169</v>
      </c>
      <c r="C261" s="1013" t="s">
        <v>4461</v>
      </c>
      <c r="D261" s="1013" t="s">
        <v>4461</v>
      </c>
      <c r="E261" s="1014">
        <v>3515</v>
      </c>
      <c r="F261" s="1013" t="s">
        <v>4685</v>
      </c>
      <c r="G261" s="1014" t="s">
        <v>266</v>
      </c>
      <c r="H261" s="1015">
        <v>153415</v>
      </c>
      <c r="I261" s="1016" t="s">
        <v>4398</v>
      </c>
    </row>
    <row r="262" spans="2:9" ht="15.75" x14ac:dyDescent="0.25">
      <c r="B262" s="1365" t="s">
        <v>7169</v>
      </c>
      <c r="C262" s="1013" t="s">
        <v>4461</v>
      </c>
      <c r="D262" s="1013" t="s">
        <v>4461</v>
      </c>
      <c r="E262" s="1014">
        <v>3516</v>
      </c>
      <c r="F262" s="1013" t="s">
        <v>4686</v>
      </c>
      <c r="G262" s="1014" t="s">
        <v>266</v>
      </c>
      <c r="H262" s="1015">
        <v>310005</v>
      </c>
      <c r="I262" s="1016" t="s">
        <v>4398</v>
      </c>
    </row>
    <row r="263" spans="2:9" ht="15.75" x14ac:dyDescent="0.25">
      <c r="B263" s="1365" t="s">
        <v>7169</v>
      </c>
      <c r="C263" s="1013" t="s">
        <v>4461</v>
      </c>
      <c r="D263" s="1013" t="s">
        <v>4461</v>
      </c>
      <c r="E263" s="1014">
        <v>3517</v>
      </c>
      <c r="F263" s="1013" t="s">
        <v>4687</v>
      </c>
      <c r="G263" s="1014" t="s">
        <v>266</v>
      </c>
      <c r="H263" s="1015">
        <v>1286879</v>
      </c>
      <c r="I263" s="1016" t="s">
        <v>4398</v>
      </c>
    </row>
    <row r="264" spans="2:9" ht="15.75" x14ac:dyDescent="0.25">
      <c r="B264" s="1365" t="s">
        <v>7169</v>
      </c>
      <c r="C264" s="1013" t="s">
        <v>4461</v>
      </c>
      <c r="D264" s="1013" t="s">
        <v>4461</v>
      </c>
      <c r="E264" s="1014">
        <v>3518</v>
      </c>
      <c r="F264" s="1013" t="s">
        <v>4688</v>
      </c>
      <c r="G264" s="1014" t="s">
        <v>266</v>
      </c>
      <c r="H264" s="1015">
        <v>2398164</v>
      </c>
      <c r="I264" s="1016" t="s">
        <v>4398</v>
      </c>
    </row>
    <row r="265" spans="2:9" ht="15.75" x14ac:dyDescent="0.25">
      <c r="B265" s="1365" t="s">
        <v>7169</v>
      </c>
      <c r="C265" s="1013" t="s">
        <v>4461</v>
      </c>
      <c r="D265" s="1013" t="s">
        <v>4461</v>
      </c>
      <c r="E265" s="1014">
        <v>3519</v>
      </c>
      <c r="F265" s="1013" t="s">
        <v>4689</v>
      </c>
      <c r="G265" s="1014" t="s">
        <v>266</v>
      </c>
      <c r="H265" s="1015">
        <v>3250951</v>
      </c>
      <c r="I265" s="1016" t="s">
        <v>4398</v>
      </c>
    </row>
    <row r="266" spans="2:9" ht="15.75" x14ac:dyDescent="0.25">
      <c r="B266" s="1365" t="s">
        <v>7169</v>
      </c>
      <c r="C266" s="1013" t="s">
        <v>4461</v>
      </c>
      <c r="D266" s="1013" t="s">
        <v>4461</v>
      </c>
      <c r="E266" s="1014">
        <v>3520</v>
      </c>
      <c r="F266" s="1013" t="s">
        <v>4690</v>
      </c>
      <c r="G266" s="1014" t="s">
        <v>266</v>
      </c>
      <c r="H266" s="1015">
        <v>75455</v>
      </c>
      <c r="I266" s="1016" t="s">
        <v>4398</v>
      </c>
    </row>
    <row r="267" spans="2:9" ht="15.75" x14ac:dyDescent="0.25">
      <c r="B267" s="1365" t="s">
        <v>7169</v>
      </c>
      <c r="C267" s="1013" t="s">
        <v>4461</v>
      </c>
      <c r="D267" s="1013" t="s">
        <v>4461</v>
      </c>
      <c r="E267" s="1014">
        <v>3521</v>
      </c>
      <c r="F267" s="1013" t="s">
        <v>4691</v>
      </c>
      <c r="G267" s="1014" t="s">
        <v>266</v>
      </c>
      <c r="H267" s="1015">
        <v>75716</v>
      </c>
      <c r="I267" s="1016" t="s">
        <v>4398</v>
      </c>
    </row>
    <row r="268" spans="2:9" ht="15.75" x14ac:dyDescent="0.25">
      <c r="B268" s="1365" t="s">
        <v>7169</v>
      </c>
      <c r="C268" s="1013" t="s">
        <v>4461</v>
      </c>
      <c r="D268" s="1013" t="s">
        <v>4461</v>
      </c>
      <c r="E268" s="1014">
        <v>3522</v>
      </c>
      <c r="F268" s="1013" t="s">
        <v>4692</v>
      </c>
      <c r="G268" s="1014" t="s">
        <v>266</v>
      </c>
      <c r="H268" s="1015">
        <v>110232</v>
      </c>
      <c r="I268" s="1016" t="s">
        <v>4398</v>
      </c>
    </row>
    <row r="269" spans="2:9" ht="15.75" x14ac:dyDescent="0.25">
      <c r="B269" s="1365" t="s">
        <v>7169</v>
      </c>
      <c r="C269" s="1013" t="s">
        <v>4461</v>
      </c>
      <c r="D269" s="1013" t="s">
        <v>4461</v>
      </c>
      <c r="E269" s="1014">
        <v>3523</v>
      </c>
      <c r="F269" s="1013" t="s">
        <v>4693</v>
      </c>
      <c r="G269" s="1014" t="s">
        <v>266</v>
      </c>
      <c r="H269" s="1015">
        <v>145449</v>
      </c>
      <c r="I269" s="1016" t="s">
        <v>4398</v>
      </c>
    </row>
    <row r="270" spans="2:9" ht="15.75" x14ac:dyDescent="0.25">
      <c r="B270" s="1365" t="s">
        <v>7169</v>
      </c>
      <c r="C270" s="1013" t="s">
        <v>4461</v>
      </c>
      <c r="D270" s="1013" t="s">
        <v>4461</v>
      </c>
      <c r="E270" s="1014">
        <v>3524</v>
      </c>
      <c r="F270" s="1013" t="s">
        <v>4694</v>
      </c>
      <c r="G270" s="1014" t="s">
        <v>266</v>
      </c>
      <c r="H270" s="1015">
        <v>270577</v>
      </c>
      <c r="I270" s="1016" t="s">
        <v>4398</v>
      </c>
    </row>
    <row r="271" spans="2:9" ht="15.75" x14ac:dyDescent="0.25">
      <c r="B271" s="1365" t="s">
        <v>7169</v>
      </c>
      <c r="C271" s="1013" t="s">
        <v>4461</v>
      </c>
      <c r="D271" s="1013" t="s">
        <v>4461</v>
      </c>
      <c r="E271" s="1014">
        <v>3525</v>
      </c>
      <c r="F271" s="1013" t="s">
        <v>4695</v>
      </c>
      <c r="G271" s="1014" t="s">
        <v>266</v>
      </c>
      <c r="H271" s="1015">
        <v>740963</v>
      </c>
      <c r="I271" s="1016" t="s">
        <v>4398</v>
      </c>
    </row>
    <row r="272" spans="2:9" ht="15.75" x14ac:dyDescent="0.25">
      <c r="B272" s="1365" t="s">
        <v>7169</v>
      </c>
      <c r="C272" s="1013" t="s">
        <v>4461</v>
      </c>
      <c r="D272" s="1013" t="s">
        <v>4461</v>
      </c>
      <c r="E272" s="1014">
        <v>3526</v>
      </c>
      <c r="F272" s="1013" t="s">
        <v>4696</v>
      </c>
      <c r="G272" s="1014" t="s">
        <v>266</v>
      </c>
      <c r="H272" s="1015">
        <v>1575293</v>
      </c>
      <c r="I272" s="1016" t="s">
        <v>4398</v>
      </c>
    </row>
    <row r="273" spans="2:9" ht="15.75" x14ac:dyDescent="0.25">
      <c r="B273" s="1365" t="s">
        <v>7169</v>
      </c>
      <c r="C273" s="1013" t="s">
        <v>4461</v>
      </c>
      <c r="D273" s="1013" t="s">
        <v>4461</v>
      </c>
      <c r="E273" s="1014">
        <v>3527</v>
      </c>
      <c r="F273" s="1013" t="s">
        <v>4697</v>
      </c>
      <c r="G273" s="1014" t="s">
        <v>266</v>
      </c>
      <c r="H273" s="1015">
        <v>2206590</v>
      </c>
      <c r="I273" s="1016" t="s">
        <v>4398</v>
      </c>
    </row>
    <row r="274" spans="2:9" ht="15.75" x14ac:dyDescent="0.25">
      <c r="B274" s="1365" t="s">
        <v>7169</v>
      </c>
      <c r="C274" s="1013" t="s">
        <v>4461</v>
      </c>
      <c r="D274" s="1013" t="s">
        <v>4461</v>
      </c>
      <c r="E274" s="1014">
        <v>3528</v>
      </c>
      <c r="F274" s="1013" t="s">
        <v>4698</v>
      </c>
      <c r="G274" s="1014" t="s">
        <v>266</v>
      </c>
      <c r="H274" s="1015">
        <v>39211</v>
      </c>
      <c r="I274" s="1016" t="s">
        <v>4398</v>
      </c>
    </row>
    <row r="275" spans="2:9" ht="15.75" x14ac:dyDescent="0.25">
      <c r="B275" s="1365" t="s">
        <v>7169</v>
      </c>
      <c r="C275" s="1013" t="s">
        <v>4461</v>
      </c>
      <c r="D275" s="1013" t="s">
        <v>4461</v>
      </c>
      <c r="E275" s="1014">
        <v>3529</v>
      </c>
      <c r="F275" s="1013" t="s">
        <v>4699</v>
      </c>
      <c r="G275" s="1014" t="s">
        <v>266</v>
      </c>
      <c r="H275" s="1015">
        <v>51191</v>
      </c>
      <c r="I275" s="1016" t="s">
        <v>4398</v>
      </c>
    </row>
    <row r="276" spans="2:9" ht="15.75" x14ac:dyDescent="0.25">
      <c r="B276" s="1365" t="s">
        <v>7169</v>
      </c>
      <c r="C276" s="1013" t="s">
        <v>4461</v>
      </c>
      <c r="D276" s="1013" t="s">
        <v>4461</v>
      </c>
      <c r="E276" s="1014">
        <v>3530</v>
      </c>
      <c r="F276" s="1013" t="s">
        <v>4700</v>
      </c>
      <c r="G276" s="1014" t="s">
        <v>266</v>
      </c>
      <c r="H276" s="1015">
        <v>71827</v>
      </c>
      <c r="I276" s="1016" t="s">
        <v>4398</v>
      </c>
    </row>
    <row r="277" spans="2:9" ht="15.75" x14ac:dyDescent="0.25">
      <c r="B277" s="1365" t="s">
        <v>7169</v>
      </c>
      <c r="C277" s="1013" t="s">
        <v>4461</v>
      </c>
      <c r="D277" s="1013" t="s">
        <v>4461</v>
      </c>
      <c r="E277" s="1014">
        <v>3531</v>
      </c>
      <c r="F277" s="1013" t="s">
        <v>4701</v>
      </c>
      <c r="G277" s="1014" t="s">
        <v>266</v>
      </c>
      <c r="H277" s="1015">
        <v>116159</v>
      </c>
      <c r="I277" s="1016" t="s">
        <v>4398</v>
      </c>
    </row>
    <row r="278" spans="2:9" ht="15.75" x14ac:dyDescent="0.25">
      <c r="B278" s="1365" t="s">
        <v>7169</v>
      </c>
      <c r="C278" s="1013" t="s">
        <v>4461</v>
      </c>
      <c r="D278" s="1013" t="s">
        <v>4461</v>
      </c>
      <c r="E278" s="1014">
        <v>3532</v>
      </c>
      <c r="F278" s="1013" t="s">
        <v>4702</v>
      </c>
      <c r="G278" s="1014" t="s">
        <v>266</v>
      </c>
      <c r="H278" s="1015">
        <v>278688</v>
      </c>
      <c r="I278" s="1016" t="s">
        <v>4398</v>
      </c>
    </row>
    <row r="279" spans="2:9" ht="15.75" x14ac:dyDescent="0.25">
      <c r="B279" s="1365" t="s">
        <v>7169</v>
      </c>
      <c r="C279" s="1013" t="s">
        <v>4461</v>
      </c>
      <c r="D279" s="1013" t="s">
        <v>4461</v>
      </c>
      <c r="E279" s="1014">
        <v>3533</v>
      </c>
      <c r="F279" s="1013" t="s">
        <v>4703</v>
      </c>
      <c r="G279" s="1014" t="s">
        <v>266</v>
      </c>
      <c r="H279" s="1015">
        <v>579750</v>
      </c>
      <c r="I279" s="1016" t="s">
        <v>4398</v>
      </c>
    </row>
    <row r="280" spans="2:9" ht="15.75" x14ac:dyDescent="0.25">
      <c r="B280" s="1365" t="s">
        <v>7169</v>
      </c>
      <c r="C280" s="1013" t="s">
        <v>4461</v>
      </c>
      <c r="D280" s="1013" t="s">
        <v>4461</v>
      </c>
      <c r="E280" s="1014">
        <v>3534</v>
      </c>
      <c r="F280" s="1013" t="s">
        <v>4704</v>
      </c>
      <c r="G280" s="1014" t="s">
        <v>266</v>
      </c>
      <c r="H280" s="1015">
        <v>1286133</v>
      </c>
      <c r="I280" s="1016" t="s">
        <v>4398</v>
      </c>
    </row>
    <row r="281" spans="2:9" ht="15.75" x14ac:dyDescent="0.25">
      <c r="B281" s="1365" t="s">
        <v>7169</v>
      </c>
      <c r="C281" s="1013" t="s">
        <v>4461</v>
      </c>
      <c r="D281" s="1013" t="s">
        <v>4461</v>
      </c>
      <c r="E281" s="1014">
        <v>3535</v>
      </c>
      <c r="F281" s="1013" t="s">
        <v>4705</v>
      </c>
      <c r="G281" s="1014" t="s">
        <v>266</v>
      </c>
      <c r="H281" s="1015">
        <v>1728345</v>
      </c>
      <c r="I281" s="1016" t="s">
        <v>4398</v>
      </c>
    </row>
    <row r="282" spans="2:9" ht="15.75" x14ac:dyDescent="0.25">
      <c r="B282" s="1365" t="s">
        <v>7169</v>
      </c>
      <c r="C282" s="1013" t="s">
        <v>4461</v>
      </c>
      <c r="D282" s="1013" t="s">
        <v>4461</v>
      </c>
      <c r="E282" s="1014">
        <v>3536</v>
      </c>
      <c r="F282" s="1013" t="s">
        <v>4706</v>
      </c>
      <c r="G282" s="1014" t="s">
        <v>266</v>
      </c>
      <c r="H282" s="1015">
        <v>44523</v>
      </c>
      <c r="I282" s="1016" t="s">
        <v>4398</v>
      </c>
    </row>
    <row r="283" spans="2:9" ht="15.75" x14ac:dyDescent="0.25">
      <c r="B283" s="1365" t="s">
        <v>7169</v>
      </c>
      <c r="C283" s="1013" t="s">
        <v>4461</v>
      </c>
      <c r="D283" s="1013" t="s">
        <v>4461</v>
      </c>
      <c r="E283" s="1014">
        <v>3537</v>
      </c>
      <c r="F283" s="1013" t="s">
        <v>4707</v>
      </c>
      <c r="G283" s="1014" t="s">
        <v>266</v>
      </c>
      <c r="H283" s="1015">
        <v>48686</v>
      </c>
      <c r="I283" s="1016" t="s">
        <v>4398</v>
      </c>
    </row>
    <row r="284" spans="2:9" ht="15.75" x14ac:dyDescent="0.25">
      <c r="B284" s="1365" t="s">
        <v>7169</v>
      </c>
      <c r="C284" s="1013" t="s">
        <v>4461</v>
      </c>
      <c r="D284" s="1013" t="s">
        <v>4461</v>
      </c>
      <c r="E284" s="1014">
        <v>3538</v>
      </c>
      <c r="F284" s="1013" t="s">
        <v>4708</v>
      </c>
      <c r="G284" s="1014" t="s">
        <v>266</v>
      </c>
      <c r="H284" s="1015">
        <v>65963</v>
      </c>
      <c r="I284" s="1016" t="s">
        <v>4398</v>
      </c>
    </row>
    <row r="285" spans="2:9" ht="15.75" x14ac:dyDescent="0.25">
      <c r="B285" s="1365" t="s">
        <v>7169</v>
      </c>
      <c r="C285" s="1013" t="s">
        <v>4461</v>
      </c>
      <c r="D285" s="1013" t="s">
        <v>4461</v>
      </c>
      <c r="E285" s="1014">
        <v>3539</v>
      </c>
      <c r="F285" s="1013" t="s">
        <v>4709</v>
      </c>
      <c r="G285" s="1014" t="s">
        <v>266</v>
      </c>
      <c r="H285" s="1015">
        <v>110728</v>
      </c>
      <c r="I285" s="1016" t="s">
        <v>4398</v>
      </c>
    </row>
    <row r="286" spans="2:9" ht="15.75" x14ac:dyDescent="0.25">
      <c r="B286" s="1365" t="s">
        <v>7169</v>
      </c>
      <c r="C286" s="1013" t="s">
        <v>4461</v>
      </c>
      <c r="D286" s="1013" t="s">
        <v>4461</v>
      </c>
      <c r="E286" s="1014">
        <v>3540</v>
      </c>
      <c r="F286" s="1013" t="s">
        <v>4710</v>
      </c>
      <c r="G286" s="1014" t="s">
        <v>266</v>
      </c>
      <c r="H286" s="1015">
        <v>250393</v>
      </c>
      <c r="I286" s="1016" t="s">
        <v>4398</v>
      </c>
    </row>
    <row r="287" spans="2:9" ht="15.75" x14ac:dyDescent="0.25">
      <c r="B287" s="1365" t="s">
        <v>7169</v>
      </c>
      <c r="C287" s="1013" t="s">
        <v>4461</v>
      </c>
      <c r="D287" s="1013" t="s">
        <v>4461</v>
      </c>
      <c r="E287" s="1014">
        <v>3541</v>
      </c>
      <c r="F287" s="1013" t="s">
        <v>4711</v>
      </c>
      <c r="G287" s="1014" t="s">
        <v>266</v>
      </c>
      <c r="H287" s="1015">
        <v>499814</v>
      </c>
      <c r="I287" s="1016" t="s">
        <v>4398</v>
      </c>
    </row>
    <row r="288" spans="2:9" ht="15.75" x14ac:dyDescent="0.25">
      <c r="B288" s="1365" t="s">
        <v>7169</v>
      </c>
      <c r="C288" s="1013" t="s">
        <v>4461</v>
      </c>
      <c r="D288" s="1013" t="s">
        <v>4461</v>
      </c>
      <c r="E288" s="1014">
        <v>3542</v>
      </c>
      <c r="F288" s="1013" t="s">
        <v>4712</v>
      </c>
      <c r="G288" s="1014" t="s">
        <v>266</v>
      </c>
      <c r="H288" s="1015">
        <v>1055552</v>
      </c>
      <c r="I288" s="1016" t="s">
        <v>4398</v>
      </c>
    </row>
    <row r="289" spans="2:9" ht="15.75" x14ac:dyDescent="0.25">
      <c r="B289" s="1365" t="s">
        <v>7169</v>
      </c>
      <c r="C289" s="1013" t="s">
        <v>4461</v>
      </c>
      <c r="D289" s="1013" t="s">
        <v>4461</v>
      </c>
      <c r="E289" s="1014">
        <v>3543</v>
      </c>
      <c r="F289" s="1013" t="s">
        <v>4713</v>
      </c>
      <c r="G289" s="1014" t="s">
        <v>266</v>
      </c>
      <c r="H289" s="1015">
        <v>1394020</v>
      </c>
      <c r="I289" s="1016" t="s">
        <v>4398</v>
      </c>
    </row>
    <row r="290" spans="2:9" ht="15.75" x14ac:dyDescent="0.25">
      <c r="B290" s="1365" t="s">
        <v>7169</v>
      </c>
      <c r="C290" s="1013" t="s">
        <v>4461</v>
      </c>
      <c r="D290" s="1013" t="s">
        <v>4461</v>
      </c>
      <c r="E290" s="1014">
        <v>3544</v>
      </c>
      <c r="F290" s="1013" t="s">
        <v>4714</v>
      </c>
      <c r="G290" s="1014" t="s">
        <v>266</v>
      </c>
      <c r="H290" s="1015">
        <v>36359</v>
      </c>
      <c r="I290" s="1016" t="s">
        <v>6899</v>
      </c>
    </row>
    <row r="291" spans="2:9" ht="15.75" x14ac:dyDescent="0.25">
      <c r="B291" s="1365" t="s">
        <v>7169</v>
      </c>
      <c r="C291" s="1013" t="s">
        <v>4461</v>
      </c>
      <c r="D291" s="1013" t="s">
        <v>4461</v>
      </c>
      <c r="E291" s="1014">
        <v>3545</v>
      </c>
      <c r="F291" s="1013" t="s">
        <v>4715</v>
      </c>
      <c r="G291" s="1014" t="s">
        <v>266</v>
      </c>
      <c r="H291" s="1015">
        <v>61687</v>
      </c>
      <c r="I291" s="1016" t="s">
        <v>6899</v>
      </c>
    </row>
    <row r="292" spans="2:9" ht="15.75" x14ac:dyDescent="0.25">
      <c r="B292" s="1365" t="s">
        <v>7169</v>
      </c>
      <c r="C292" s="1013" t="s">
        <v>4461</v>
      </c>
      <c r="D292" s="1013" t="s">
        <v>4461</v>
      </c>
      <c r="E292" s="1014">
        <v>3546</v>
      </c>
      <c r="F292" s="1013" t="s">
        <v>4716</v>
      </c>
      <c r="G292" s="1014" t="s">
        <v>266</v>
      </c>
      <c r="H292" s="1015">
        <v>14500</v>
      </c>
      <c r="I292" s="1016" t="s">
        <v>6899</v>
      </c>
    </row>
    <row r="293" spans="2:9" ht="15.75" x14ac:dyDescent="0.25">
      <c r="B293" s="1365" t="s">
        <v>7169</v>
      </c>
      <c r="C293" s="1013" t="s">
        <v>4451</v>
      </c>
      <c r="D293" s="1013" t="s">
        <v>4616</v>
      </c>
      <c r="E293" s="1014">
        <v>3548</v>
      </c>
      <c r="F293" s="1013" t="s">
        <v>4717</v>
      </c>
      <c r="G293" s="1014" t="s">
        <v>266</v>
      </c>
      <c r="H293" s="1015">
        <v>214538</v>
      </c>
      <c r="I293" s="1016" t="s">
        <v>6899</v>
      </c>
    </row>
    <row r="294" spans="2:9" ht="15.75" x14ac:dyDescent="0.25">
      <c r="B294" s="1365" t="s">
        <v>7169</v>
      </c>
      <c r="C294" s="1013" t="s">
        <v>4451</v>
      </c>
      <c r="D294" s="1013" t="s">
        <v>4616</v>
      </c>
      <c r="E294" s="1014">
        <v>3549</v>
      </c>
      <c r="F294" s="1013" t="s">
        <v>4718</v>
      </c>
      <c r="G294" s="1014" t="s">
        <v>266</v>
      </c>
      <c r="H294" s="1015">
        <v>225770</v>
      </c>
      <c r="I294" s="1016" t="s">
        <v>6899</v>
      </c>
    </row>
    <row r="295" spans="2:9" ht="15.75" x14ac:dyDescent="0.25">
      <c r="B295" s="1365" t="s">
        <v>7169</v>
      </c>
      <c r="C295" s="1013" t="s">
        <v>4451</v>
      </c>
      <c r="D295" s="1013" t="s">
        <v>4616</v>
      </c>
      <c r="E295" s="1014">
        <v>3550</v>
      </c>
      <c r="F295" s="1013" t="s">
        <v>4719</v>
      </c>
      <c r="G295" s="1014" t="s">
        <v>266</v>
      </c>
      <c r="H295" s="1015">
        <v>709261</v>
      </c>
      <c r="I295" s="1016" t="s">
        <v>6899</v>
      </c>
    </row>
    <row r="296" spans="2:9" ht="15.75" x14ac:dyDescent="0.25">
      <c r="B296" s="1365" t="s">
        <v>7169</v>
      </c>
      <c r="C296" s="1013" t="s">
        <v>4451</v>
      </c>
      <c r="D296" s="1013" t="s">
        <v>4616</v>
      </c>
      <c r="E296" s="1014">
        <v>3551</v>
      </c>
      <c r="F296" s="1013" t="s">
        <v>4720</v>
      </c>
      <c r="G296" s="1014" t="s">
        <v>266</v>
      </c>
      <c r="H296" s="1015">
        <v>757633</v>
      </c>
      <c r="I296" s="1016" t="s">
        <v>4398</v>
      </c>
    </row>
    <row r="297" spans="2:9" ht="15.75" x14ac:dyDescent="0.25">
      <c r="B297" s="1365" t="s">
        <v>7169</v>
      </c>
      <c r="C297" s="1013" t="s">
        <v>4451</v>
      </c>
      <c r="D297" s="1013" t="s">
        <v>4616</v>
      </c>
      <c r="E297" s="1014">
        <v>3552</v>
      </c>
      <c r="F297" s="1013" t="s">
        <v>4721</v>
      </c>
      <c r="G297" s="1014" t="s">
        <v>266</v>
      </c>
      <c r="H297" s="1015">
        <v>261522</v>
      </c>
      <c r="I297" s="1016" t="s">
        <v>4398</v>
      </c>
    </row>
    <row r="298" spans="2:9" ht="15.75" x14ac:dyDescent="0.25">
      <c r="B298" s="1365" t="s">
        <v>7169</v>
      </c>
      <c r="C298" s="1013" t="s">
        <v>4451</v>
      </c>
      <c r="D298" s="1013" t="s">
        <v>4616</v>
      </c>
      <c r="E298" s="1014">
        <v>3554</v>
      </c>
      <c r="F298" s="1013" t="s">
        <v>4722</v>
      </c>
      <c r="G298" s="1014" t="s">
        <v>266</v>
      </c>
      <c r="H298" s="1015">
        <v>537981</v>
      </c>
      <c r="I298" s="1016" t="s">
        <v>4398</v>
      </c>
    </row>
    <row r="299" spans="2:9" ht="15.75" x14ac:dyDescent="0.25">
      <c r="B299" s="1365" t="s">
        <v>7169</v>
      </c>
      <c r="C299" s="1013" t="s">
        <v>4451</v>
      </c>
      <c r="D299" s="1013" t="s">
        <v>4616</v>
      </c>
      <c r="E299" s="1014">
        <v>3555</v>
      </c>
      <c r="F299" s="1013" t="s">
        <v>4723</v>
      </c>
      <c r="G299" s="1014" t="s">
        <v>266</v>
      </c>
      <c r="H299" s="1015">
        <v>965622</v>
      </c>
      <c r="I299" s="1016" t="s">
        <v>6899</v>
      </c>
    </row>
    <row r="300" spans="2:9" ht="15.75" x14ac:dyDescent="0.25">
      <c r="B300" s="1365" t="s">
        <v>7169</v>
      </c>
      <c r="C300" s="1013" t="s">
        <v>4451</v>
      </c>
      <c r="D300" s="1013" t="s">
        <v>4616</v>
      </c>
      <c r="E300" s="1014">
        <v>3556</v>
      </c>
      <c r="F300" s="1013" t="s">
        <v>4724</v>
      </c>
      <c r="G300" s="1014" t="s">
        <v>266</v>
      </c>
      <c r="H300" s="1015">
        <v>7512396</v>
      </c>
      <c r="I300" s="1016" t="s">
        <v>6899</v>
      </c>
    </row>
    <row r="301" spans="2:9" ht="15.75" x14ac:dyDescent="0.25">
      <c r="B301" s="1365" t="s">
        <v>7169</v>
      </c>
      <c r="C301" s="1013" t="s">
        <v>4451</v>
      </c>
      <c r="D301" s="1013" t="s">
        <v>4616</v>
      </c>
      <c r="E301" s="1014">
        <v>3557</v>
      </c>
      <c r="F301" s="1013" t="s">
        <v>4725</v>
      </c>
      <c r="G301" s="1014" t="s">
        <v>266</v>
      </c>
      <c r="H301" s="1015">
        <v>9548260</v>
      </c>
      <c r="I301" s="1016" t="s">
        <v>6899</v>
      </c>
    </row>
    <row r="302" spans="2:9" ht="15.75" x14ac:dyDescent="0.25">
      <c r="B302" s="1365" t="s">
        <v>7169</v>
      </c>
      <c r="C302" s="1013" t="s">
        <v>4451</v>
      </c>
      <c r="D302" s="1013" t="s">
        <v>4616</v>
      </c>
      <c r="E302" s="1014">
        <v>3559</v>
      </c>
      <c r="F302" s="1013" t="s">
        <v>4726</v>
      </c>
      <c r="G302" s="1014" t="s">
        <v>266</v>
      </c>
      <c r="H302" s="1015">
        <v>4940456</v>
      </c>
      <c r="I302" s="1016" t="s">
        <v>6899</v>
      </c>
    </row>
    <row r="303" spans="2:9" ht="15.75" x14ac:dyDescent="0.25">
      <c r="B303" s="1365" t="s">
        <v>7169</v>
      </c>
      <c r="C303" s="1013" t="s">
        <v>4451</v>
      </c>
      <c r="D303" s="1013" t="s">
        <v>4616</v>
      </c>
      <c r="E303" s="1014">
        <v>3560</v>
      </c>
      <c r="F303" s="1013" t="s">
        <v>4727</v>
      </c>
      <c r="G303" s="1014" t="s">
        <v>266</v>
      </c>
      <c r="H303" s="1015">
        <v>188394</v>
      </c>
      <c r="I303" s="1016" t="s">
        <v>6899</v>
      </c>
    </row>
    <row r="304" spans="2:9" ht="15.75" x14ac:dyDescent="0.25">
      <c r="B304" s="1365" t="s">
        <v>7169</v>
      </c>
      <c r="C304" s="1013" t="s">
        <v>4451</v>
      </c>
      <c r="D304" s="1013" t="s">
        <v>4616</v>
      </c>
      <c r="E304" s="1014">
        <v>3561</v>
      </c>
      <c r="F304" s="1013" t="s">
        <v>4728</v>
      </c>
      <c r="G304" s="1014" t="s">
        <v>266</v>
      </c>
      <c r="H304" s="1015">
        <v>234559</v>
      </c>
      <c r="I304" s="1016" t="s">
        <v>6899</v>
      </c>
    </row>
    <row r="305" spans="2:9" ht="15.75" x14ac:dyDescent="0.25">
      <c r="B305" s="1365" t="s">
        <v>7169</v>
      </c>
      <c r="C305" s="1013" t="s">
        <v>4405</v>
      </c>
      <c r="D305" s="1013" t="s">
        <v>4579</v>
      </c>
      <c r="E305" s="1014">
        <v>3562</v>
      </c>
      <c r="F305" s="1013" t="s">
        <v>4729</v>
      </c>
      <c r="G305" s="1014" t="s">
        <v>13</v>
      </c>
      <c r="H305" s="1015">
        <v>218275</v>
      </c>
      <c r="I305" s="1016" t="s">
        <v>4398</v>
      </c>
    </row>
    <row r="306" spans="2:9" ht="15.75" x14ac:dyDescent="0.25">
      <c r="B306" s="1365" t="s">
        <v>7169</v>
      </c>
      <c r="C306" s="1013" t="s">
        <v>4468</v>
      </c>
      <c r="D306" s="1013" t="s">
        <v>4469</v>
      </c>
      <c r="E306" s="1014">
        <v>3567</v>
      </c>
      <c r="F306" s="1013" t="s">
        <v>4730</v>
      </c>
      <c r="G306" s="1014" t="s">
        <v>12</v>
      </c>
      <c r="H306" s="1015">
        <v>105342</v>
      </c>
      <c r="I306" s="1016" t="s">
        <v>6899</v>
      </c>
    </row>
    <row r="307" spans="2:9" ht="15.75" x14ac:dyDescent="0.25">
      <c r="B307" s="1365" t="s">
        <v>7169</v>
      </c>
      <c r="C307" s="1013" t="s">
        <v>4405</v>
      </c>
      <c r="D307" s="1013" t="s">
        <v>4579</v>
      </c>
      <c r="E307" s="1014">
        <v>3569</v>
      </c>
      <c r="F307" s="1013" t="s">
        <v>4731</v>
      </c>
      <c r="G307" s="1014" t="s">
        <v>266</v>
      </c>
      <c r="H307" s="1015">
        <v>3830848</v>
      </c>
      <c r="I307" s="1016" t="s">
        <v>6899</v>
      </c>
    </row>
    <row r="308" spans="2:9" ht="15.75" x14ac:dyDescent="0.25">
      <c r="B308" s="1365" t="s">
        <v>7169</v>
      </c>
      <c r="C308" s="1013" t="s">
        <v>4461</v>
      </c>
      <c r="D308" s="1013" t="s">
        <v>4461</v>
      </c>
      <c r="E308" s="1014">
        <v>3589</v>
      </c>
      <c r="F308" s="1013" t="s">
        <v>4732</v>
      </c>
      <c r="G308" s="1014" t="s">
        <v>266</v>
      </c>
      <c r="H308" s="1015">
        <v>610755</v>
      </c>
      <c r="I308" s="1016" t="s">
        <v>4398</v>
      </c>
    </row>
    <row r="309" spans="2:9" ht="15.75" x14ac:dyDescent="0.25">
      <c r="B309" s="1365" t="s">
        <v>7169</v>
      </c>
      <c r="C309" s="1013" t="s">
        <v>4405</v>
      </c>
      <c r="D309" s="1013" t="s">
        <v>4579</v>
      </c>
      <c r="E309" s="1014">
        <v>3591</v>
      </c>
      <c r="F309" s="1013" t="s">
        <v>4733</v>
      </c>
      <c r="G309" s="1014" t="s">
        <v>13</v>
      </c>
      <c r="H309" s="1015">
        <v>51363</v>
      </c>
      <c r="I309" s="1016" t="s">
        <v>4398</v>
      </c>
    </row>
    <row r="310" spans="2:9" ht="15.75" x14ac:dyDescent="0.25">
      <c r="B310" s="1365" t="s">
        <v>7169</v>
      </c>
      <c r="C310" s="1013" t="s">
        <v>4431</v>
      </c>
      <c r="D310" s="1013" t="s">
        <v>4432</v>
      </c>
      <c r="E310" s="1014">
        <v>3599</v>
      </c>
      <c r="F310" s="1013" t="s">
        <v>4734</v>
      </c>
      <c r="G310" s="1014" t="s">
        <v>13</v>
      </c>
      <c r="H310" s="1015">
        <v>875113</v>
      </c>
      <c r="I310" s="1016" t="s">
        <v>4398</v>
      </c>
    </row>
    <row r="311" spans="2:9" ht="15.75" x14ac:dyDescent="0.25">
      <c r="B311" s="1365" t="s">
        <v>7169</v>
      </c>
      <c r="C311" s="1013" t="s">
        <v>4461</v>
      </c>
      <c r="D311" s="1013" t="s">
        <v>4461</v>
      </c>
      <c r="E311" s="1014">
        <v>3600</v>
      </c>
      <c r="F311" s="1013" t="s">
        <v>4735</v>
      </c>
      <c r="G311" s="1014" t="s">
        <v>266</v>
      </c>
      <c r="H311" s="1015">
        <v>39757</v>
      </c>
      <c r="I311" s="1016" t="s">
        <v>4398</v>
      </c>
    </row>
    <row r="312" spans="2:9" ht="15.75" x14ac:dyDescent="0.25">
      <c r="B312" s="1365" t="s">
        <v>7169</v>
      </c>
      <c r="C312" s="1013" t="s">
        <v>4461</v>
      </c>
      <c r="D312" s="1013" t="s">
        <v>4461</v>
      </c>
      <c r="E312" s="1014">
        <v>3601</v>
      </c>
      <c r="F312" s="1013" t="s">
        <v>4736</v>
      </c>
      <c r="G312" s="1014" t="s">
        <v>266</v>
      </c>
      <c r="H312" s="1015">
        <v>62680</v>
      </c>
      <c r="I312" s="1016" t="s">
        <v>4398</v>
      </c>
    </row>
    <row r="313" spans="2:9" ht="15.75" x14ac:dyDescent="0.25">
      <c r="B313" s="1365" t="s">
        <v>7169</v>
      </c>
      <c r="C313" s="1013" t="s">
        <v>4461</v>
      </c>
      <c r="D313" s="1013" t="s">
        <v>4461</v>
      </c>
      <c r="E313" s="1014">
        <v>3602</v>
      </c>
      <c r="F313" s="1013" t="s">
        <v>4737</v>
      </c>
      <c r="G313" s="1014" t="s">
        <v>266</v>
      </c>
      <c r="H313" s="1015">
        <v>90180</v>
      </c>
      <c r="I313" s="1016" t="s">
        <v>4398</v>
      </c>
    </row>
    <row r="314" spans="2:9" ht="15.75" x14ac:dyDescent="0.25">
      <c r="B314" s="1365" t="s">
        <v>7169</v>
      </c>
      <c r="C314" s="1013" t="s">
        <v>4461</v>
      </c>
      <c r="D314" s="1013" t="s">
        <v>4461</v>
      </c>
      <c r="E314" s="1014">
        <v>3603</v>
      </c>
      <c r="F314" s="1013" t="s">
        <v>4738</v>
      </c>
      <c r="G314" s="1014" t="s">
        <v>266</v>
      </c>
      <c r="H314" s="1015">
        <v>203781</v>
      </c>
      <c r="I314" s="1016" t="s">
        <v>4398</v>
      </c>
    </row>
    <row r="315" spans="2:9" ht="15.75" x14ac:dyDescent="0.25">
      <c r="B315" s="1365" t="s">
        <v>7169</v>
      </c>
      <c r="C315" s="1013" t="s">
        <v>4461</v>
      </c>
      <c r="D315" s="1013" t="s">
        <v>4461</v>
      </c>
      <c r="E315" s="1014">
        <v>3604</v>
      </c>
      <c r="F315" s="1013" t="s">
        <v>4739</v>
      </c>
      <c r="G315" s="1014" t="s">
        <v>266</v>
      </c>
      <c r="H315" s="1015">
        <v>371167</v>
      </c>
      <c r="I315" s="1016" t="s">
        <v>4398</v>
      </c>
    </row>
    <row r="316" spans="2:9" ht="15.75" x14ac:dyDescent="0.25">
      <c r="B316" s="1365" t="s">
        <v>7169</v>
      </c>
      <c r="C316" s="1013" t="s">
        <v>4461</v>
      </c>
      <c r="D316" s="1013" t="s">
        <v>4461</v>
      </c>
      <c r="E316" s="1014">
        <v>3605</v>
      </c>
      <c r="F316" s="1013" t="s">
        <v>4740</v>
      </c>
      <c r="G316" s="1014" t="s">
        <v>266</v>
      </c>
      <c r="H316" s="1015">
        <v>668879</v>
      </c>
      <c r="I316" s="1016" t="s">
        <v>4398</v>
      </c>
    </row>
    <row r="317" spans="2:9" ht="15.75" x14ac:dyDescent="0.25">
      <c r="B317" s="1365" t="s">
        <v>7169</v>
      </c>
      <c r="C317" s="1013" t="s">
        <v>4461</v>
      </c>
      <c r="D317" s="1013" t="s">
        <v>4461</v>
      </c>
      <c r="E317" s="1014">
        <v>3606</v>
      </c>
      <c r="F317" s="1013" t="s">
        <v>4741</v>
      </c>
      <c r="G317" s="1014" t="s">
        <v>266</v>
      </c>
      <c r="H317" s="1015">
        <v>1029236</v>
      </c>
      <c r="I317" s="1016" t="s">
        <v>4398</v>
      </c>
    </row>
    <row r="318" spans="2:9" ht="15.75" x14ac:dyDescent="0.25">
      <c r="B318" s="1365" t="s">
        <v>7169</v>
      </c>
      <c r="C318" s="1013" t="s">
        <v>4461</v>
      </c>
      <c r="D318" s="1013" t="s">
        <v>4461</v>
      </c>
      <c r="E318" s="1014">
        <v>3607</v>
      </c>
      <c r="F318" s="1013" t="s">
        <v>4742</v>
      </c>
      <c r="G318" s="1014" t="s">
        <v>266</v>
      </c>
      <c r="H318" s="1015">
        <v>26195</v>
      </c>
      <c r="I318" s="1016" t="s">
        <v>4398</v>
      </c>
    </row>
    <row r="319" spans="2:9" ht="15.75" x14ac:dyDescent="0.25">
      <c r="B319" s="1365" t="s">
        <v>7169</v>
      </c>
      <c r="C319" s="1013" t="s">
        <v>4468</v>
      </c>
      <c r="D319" s="1013" t="s">
        <v>4469</v>
      </c>
      <c r="E319" s="1014">
        <v>3611</v>
      </c>
      <c r="F319" s="1013" t="s">
        <v>4743</v>
      </c>
      <c r="G319" s="1014" t="s">
        <v>3</v>
      </c>
      <c r="H319" s="1015">
        <v>631823</v>
      </c>
      <c r="I319" s="1016" t="s">
        <v>6899</v>
      </c>
    </row>
    <row r="320" spans="2:9" ht="15.75" x14ac:dyDescent="0.25">
      <c r="B320" s="1365" t="s">
        <v>7169</v>
      </c>
      <c r="C320" s="1013" t="s">
        <v>4461</v>
      </c>
      <c r="D320" s="1013" t="s">
        <v>4461</v>
      </c>
      <c r="E320" s="1014">
        <v>3618</v>
      </c>
      <c r="F320" s="1013" t="s">
        <v>4744</v>
      </c>
      <c r="G320" s="1014" t="s">
        <v>266</v>
      </c>
      <c r="H320" s="1015">
        <v>173413</v>
      </c>
      <c r="I320" s="1016" t="s">
        <v>4398</v>
      </c>
    </row>
    <row r="321" spans="2:9" ht="15.75" x14ac:dyDescent="0.25">
      <c r="B321" s="1365" t="s">
        <v>7169</v>
      </c>
      <c r="C321" s="1013" t="s">
        <v>4461</v>
      </c>
      <c r="D321" s="1013" t="s">
        <v>4461</v>
      </c>
      <c r="E321" s="1014">
        <v>3619</v>
      </c>
      <c r="F321" s="1013" t="s">
        <v>4745</v>
      </c>
      <c r="G321" s="1014" t="s">
        <v>266</v>
      </c>
      <c r="H321" s="1015">
        <v>128156</v>
      </c>
      <c r="I321" s="1016" t="s">
        <v>4398</v>
      </c>
    </row>
    <row r="322" spans="2:9" ht="15.75" x14ac:dyDescent="0.25">
      <c r="B322" s="1365" t="s">
        <v>7169</v>
      </c>
      <c r="C322" s="1013" t="s">
        <v>4461</v>
      </c>
      <c r="D322" s="1013" t="s">
        <v>4461</v>
      </c>
      <c r="E322" s="1014">
        <v>3620</v>
      </c>
      <c r="F322" s="1013" t="s">
        <v>4746</v>
      </c>
      <c r="G322" s="1014" t="s">
        <v>266</v>
      </c>
      <c r="H322" s="1015">
        <v>233259</v>
      </c>
      <c r="I322" s="1016" t="s">
        <v>4398</v>
      </c>
    </row>
    <row r="323" spans="2:9" ht="15.75" x14ac:dyDescent="0.25">
      <c r="B323" s="1365" t="s">
        <v>7169</v>
      </c>
      <c r="C323" s="1013" t="s">
        <v>4417</v>
      </c>
      <c r="D323" s="1013" t="s">
        <v>4438</v>
      </c>
      <c r="E323" s="1014">
        <v>3621</v>
      </c>
      <c r="F323" s="1013" t="s">
        <v>4747</v>
      </c>
      <c r="G323" s="1014" t="s">
        <v>266</v>
      </c>
      <c r="H323" s="1015">
        <v>947194</v>
      </c>
      <c r="I323" s="1016" t="s">
        <v>6899</v>
      </c>
    </row>
    <row r="324" spans="2:9" ht="15.75" x14ac:dyDescent="0.25">
      <c r="B324" s="1365" t="s">
        <v>7169</v>
      </c>
      <c r="C324" s="1013" t="s">
        <v>4468</v>
      </c>
      <c r="D324" s="1013" t="s">
        <v>4469</v>
      </c>
      <c r="E324" s="1014">
        <v>3636</v>
      </c>
      <c r="F324" s="1013" t="s">
        <v>4748</v>
      </c>
      <c r="G324" s="1014" t="s">
        <v>3</v>
      </c>
      <c r="H324" s="1015">
        <v>1069033</v>
      </c>
      <c r="I324" s="1016" t="s">
        <v>6899</v>
      </c>
    </row>
    <row r="325" spans="2:9" ht="15.75" x14ac:dyDescent="0.25">
      <c r="B325" s="1365" t="s">
        <v>7169</v>
      </c>
      <c r="C325" s="1013" t="s">
        <v>4468</v>
      </c>
      <c r="D325" s="1013" t="s">
        <v>4469</v>
      </c>
      <c r="E325" s="1014">
        <v>3637</v>
      </c>
      <c r="F325" s="1013" t="s">
        <v>4749</v>
      </c>
      <c r="G325" s="1014" t="s">
        <v>3</v>
      </c>
      <c r="H325" s="1015">
        <v>842587</v>
      </c>
      <c r="I325" s="1016" t="s">
        <v>6899</v>
      </c>
    </row>
    <row r="326" spans="2:9" ht="15.75" x14ac:dyDescent="0.25">
      <c r="B326" s="1365" t="s">
        <v>7169</v>
      </c>
      <c r="C326" s="1013" t="s">
        <v>4468</v>
      </c>
      <c r="D326" s="1013" t="s">
        <v>4469</v>
      </c>
      <c r="E326" s="1014">
        <v>3639</v>
      </c>
      <c r="F326" s="1013" t="s">
        <v>4750</v>
      </c>
      <c r="G326" s="1014" t="s">
        <v>3</v>
      </c>
      <c r="H326" s="1015">
        <v>856218</v>
      </c>
      <c r="I326" s="1016" t="s">
        <v>6899</v>
      </c>
    </row>
    <row r="327" spans="2:9" ht="15.75" x14ac:dyDescent="0.25">
      <c r="B327" s="1365" t="s">
        <v>7169</v>
      </c>
      <c r="C327" s="1013" t="s">
        <v>4468</v>
      </c>
      <c r="D327" s="1013" t="s">
        <v>4469</v>
      </c>
      <c r="E327" s="1014">
        <v>3641</v>
      </c>
      <c r="F327" s="1013" t="s">
        <v>4751</v>
      </c>
      <c r="G327" s="1014" t="s">
        <v>3</v>
      </c>
      <c r="H327" s="1015">
        <v>910371</v>
      </c>
      <c r="I327" s="1016" t="s">
        <v>6899</v>
      </c>
    </row>
    <row r="328" spans="2:9" ht="15.75" x14ac:dyDescent="0.25">
      <c r="B328" s="1365" t="s">
        <v>7169</v>
      </c>
      <c r="C328" s="1013" t="s">
        <v>4468</v>
      </c>
      <c r="D328" s="1013" t="s">
        <v>4469</v>
      </c>
      <c r="E328" s="1014">
        <v>3642</v>
      </c>
      <c r="F328" s="1013" t="s">
        <v>4752</v>
      </c>
      <c r="G328" s="1014" t="s">
        <v>3</v>
      </c>
      <c r="H328" s="1015">
        <v>910371</v>
      </c>
      <c r="I328" s="1016" t="s">
        <v>6899</v>
      </c>
    </row>
    <row r="329" spans="2:9" ht="15.75" x14ac:dyDescent="0.25">
      <c r="B329" s="1365" t="s">
        <v>7169</v>
      </c>
      <c r="C329" s="1013" t="s">
        <v>4468</v>
      </c>
      <c r="D329" s="1013" t="s">
        <v>4469</v>
      </c>
      <c r="E329" s="1014">
        <v>3643</v>
      </c>
      <c r="F329" s="1013" t="s">
        <v>4753</v>
      </c>
      <c r="G329" s="1014" t="s">
        <v>3</v>
      </c>
      <c r="H329" s="1015">
        <v>908072</v>
      </c>
      <c r="I329" s="1016" t="s">
        <v>6899</v>
      </c>
    </row>
    <row r="330" spans="2:9" ht="15.75" x14ac:dyDescent="0.25">
      <c r="B330" s="1365" t="s">
        <v>7169</v>
      </c>
      <c r="C330" s="1013" t="s">
        <v>4468</v>
      </c>
      <c r="D330" s="1013" t="s">
        <v>4469</v>
      </c>
      <c r="E330" s="1014">
        <v>3644</v>
      </c>
      <c r="F330" s="1013" t="s">
        <v>4754</v>
      </c>
      <c r="G330" s="1014" t="s">
        <v>3</v>
      </c>
      <c r="H330" s="1015">
        <v>1014960</v>
      </c>
      <c r="I330" s="1016" t="s">
        <v>6899</v>
      </c>
    </row>
    <row r="331" spans="2:9" ht="15.75" x14ac:dyDescent="0.25">
      <c r="B331" s="1365" t="s">
        <v>7169</v>
      </c>
      <c r="C331" s="1013" t="s">
        <v>4468</v>
      </c>
      <c r="D331" s="1013" t="s">
        <v>4469</v>
      </c>
      <c r="E331" s="1014">
        <v>3645</v>
      </c>
      <c r="F331" s="1013" t="s">
        <v>4755</v>
      </c>
      <c r="G331" s="1014" t="s">
        <v>3</v>
      </c>
      <c r="H331" s="1015">
        <v>964881</v>
      </c>
      <c r="I331" s="1016" t="s">
        <v>6899</v>
      </c>
    </row>
    <row r="332" spans="2:9" ht="15.75" x14ac:dyDescent="0.25">
      <c r="B332" s="1365" t="s">
        <v>7169</v>
      </c>
      <c r="C332" s="1013" t="s">
        <v>4468</v>
      </c>
      <c r="D332" s="1013" t="s">
        <v>4469</v>
      </c>
      <c r="E332" s="1014">
        <v>3646</v>
      </c>
      <c r="F332" s="1013" t="s">
        <v>4756</v>
      </c>
      <c r="G332" s="1014" t="s">
        <v>3</v>
      </c>
      <c r="H332" s="1015">
        <v>878549</v>
      </c>
      <c r="I332" s="1016" t="s">
        <v>6899</v>
      </c>
    </row>
    <row r="333" spans="2:9" ht="15.75" x14ac:dyDescent="0.25">
      <c r="B333" s="1365" t="s">
        <v>7169</v>
      </c>
      <c r="C333" s="1013" t="s">
        <v>4468</v>
      </c>
      <c r="D333" s="1013" t="s">
        <v>4469</v>
      </c>
      <c r="E333" s="1014">
        <v>3647</v>
      </c>
      <c r="F333" s="1013" t="s">
        <v>4757</v>
      </c>
      <c r="G333" s="1014" t="s">
        <v>3</v>
      </c>
      <c r="H333" s="1015">
        <v>731155</v>
      </c>
      <c r="I333" s="1016" t="s">
        <v>6899</v>
      </c>
    </row>
    <row r="334" spans="2:9" ht="15.75" x14ac:dyDescent="0.25">
      <c r="B334" s="1365" t="s">
        <v>7169</v>
      </c>
      <c r="C334" s="1013" t="s">
        <v>4468</v>
      </c>
      <c r="D334" s="1013" t="s">
        <v>4650</v>
      </c>
      <c r="E334" s="1014">
        <v>3649</v>
      </c>
      <c r="F334" s="1013" t="s">
        <v>4758</v>
      </c>
      <c r="G334" s="1014" t="s">
        <v>3</v>
      </c>
      <c r="H334" s="1015">
        <v>443831</v>
      </c>
      <c r="I334" s="1016" t="s">
        <v>6899</v>
      </c>
    </row>
    <row r="335" spans="2:9" ht="15.75" x14ac:dyDescent="0.25">
      <c r="B335" s="1365" t="s">
        <v>7169</v>
      </c>
      <c r="C335" s="1013" t="s">
        <v>4468</v>
      </c>
      <c r="D335" s="1013" t="s">
        <v>4650</v>
      </c>
      <c r="E335" s="1014">
        <v>3650</v>
      </c>
      <c r="F335" s="1013" t="s">
        <v>4759</v>
      </c>
      <c r="G335" s="1014" t="s">
        <v>3</v>
      </c>
      <c r="H335" s="1015">
        <v>407474</v>
      </c>
      <c r="I335" s="1016" t="s">
        <v>6899</v>
      </c>
    </row>
    <row r="336" spans="2:9" ht="15.75" x14ac:dyDescent="0.25">
      <c r="B336" s="1365" t="s">
        <v>7169</v>
      </c>
      <c r="C336" s="1013" t="s">
        <v>4405</v>
      </c>
      <c r="D336" s="1013" t="s">
        <v>4579</v>
      </c>
      <c r="E336" s="1014">
        <v>3652</v>
      </c>
      <c r="F336" s="1013" t="s">
        <v>4760</v>
      </c>
      <c r="G336" s="1014" t="s">
        <v>266</v>
      </c>
      <c r="H336" s="1015">
        <v>4635048</v>
      </c>
      <c r="I336" s="1016" t="s">
        <v>6899</v>
      </c>
    </row>
    <row r="337" spans="2:9" ht="15.75" x14ac:dyDescent="0.25">
      <c r="B337" s="1365" t="s">
        <v>7169</v>
      </c>
      <c r="C337" s="1013" t="s">
        <v>4431</v>
      </c>
      <c r="D337" s="1013" t="s">
        <v>4432</v>
      </c>
      <c r="E337" s="1014">
        <v>3653</v>
      </c>
      <c r="F337" s="1013" t="s">
        <v>4761</v>
      </c>
      <c r="G337" s="1014" t="s">
        <v>266</v>
      </c>
      <c r="H337" s="1015">
        <v>6397708</v>
      </c>
      <c r="I337" s="1016" t="s">
        <v>6899</v>
      </c>
    </row>
    <row r="338" spans="2:9" ht="15.75" x14ac:dyDescent="0.25">
      <c r="B338" s="1365" t="s">
        <v>7169</v>
      </c>
      <c r="C338" s="1013" t="s">
        <v>4431</v>
      </c>
      <c r="D338" s="1013" t="s">
        <v>4432</v>
      </c>
      <c r="E338" s="1014">
        <v>3654</v>
      </c>
      <c r="F338" s="1013" t="s">
        <v>4762</v>
      </c>
      <c r="G338" s="1014" t="s">
        <v>266</v>
      </c>
      <c r="H338" s="1015">
        <v>4382919</v>
      </c>
      <c r="I338" s="1016" t="s">
        <v>6899</v>
      </c>
    </row>
    <row r="339" spans="2:9" ht="15.75" x14ac:dyDescent="0.25">
      <c r="B339" s="1365" t="s">
        <v>7169</v>
      </c>
      <c r="C339" s="1013" t="s">
        <v>4431</v>
      </c>
      <c r="D339" s="1013" t="s">
        <v>4432</v>
      </c>
      <c r="E339" s="1014">
        <v>3655</v>
      </c>
      <c r="F339" s="1013" t="s">
        <v>4763</v>
      </c>
      <c r="G339" s="1014" t="s">
        <v>266</v>
      </c>
      <c r="H339" s="1015">
        <v>7877790</v>
      </c>
      <c r="I339" s="1016" t="s">
        <v>6899</v>
      </c>
    </row>
    <row r="340" spans="2:9" ht="15.75" x14ac:dyDescent="0.25">
      <c r="B340" s="1365" t="s">
        <v>7169</v>
      </c>
      <c r="C340" s="1013" t="s">
        <v>4468</v>
      </c>
      <c r="D340" s="1013" t="s">
        <v>4469</v>
      </c>
      <c r="E340" s="1014">
        <v>3665</v>
      </c>
      <c r="F340" s="1013" t="s">
        <v>4764</v>
      </c>
      <c r="G340" s="1014" t="s">
        <v>3</v>
      </c>
      <c r="H340" s="1015">
        <v>398128</v>
      </c>
      <c r="I340" s="1016" t="s">
        <v>6899</v>
      </c>
    </row>
    <row r="341" spans="2:9" ht="15.75" x14ac:dyDescent="0.25">
      <c r="B341" s="1365" t="s">
        <v>7169</v>
      </c>
      <c r="C341" s="1013" t="s">
        <v>4461</v>
      </c>
      <c r="D341" s="1013" t="s">
        <v>4461</v>
      </c>
      <c r="E341" s="1014">
        <v>3684</v>
      </c>
      <c r="F341" s="1013" t="s">
        <v>4765</v>
      </c>
      <c r="G341" s="1014" t="s">
        <v>266</v>
      </c>
      <c r="H341" s="1015">
        <v>185313</v>
      </c>
      <c r="I341" s="1016" t="s">
        <v>4398</v>
      </c>
    </row>
    <row r="342" spans="2:9" ht="15.75" x14ac:dyDescent="0.25">
      <c r="B342" s="1365" t="s">
        <v>7169</v>
      </c>
      <c r="C342" s="1013" t="s">
        <v>4461</v>
      </c>
      <c r="D342" s="1013" t="s">
        <v>4461</v>
      </c>
      <c r="E342" s="1014">
        <v>3685</v>
      </c>
      <c r="F342" s="1013" t="s">
        <v>4766</v>
      </c>
      <c r="G342" s="1014" t="s">
        <v>266</v>
      </c>
      <c r="H342" s="1015">
        <v>650657</v>
      </c>
      <c r="I342" s="1016" t="s">
        <v>4398</v>
      </c>
    </row>
    <row r="343" spans="2:9" ht="15.75" x14ac:dyDescent="0.25">
      <c r="B343" s="1365" t="s">
        <v>7169</v>
      </c>
      <c r="C343" s="1013" t="s">
        <v>4461</v>
      </c>
      <c r="D343" s="1013" t="s">
        <v>4461</v>
      </c>
      <c r="E343" s="1014">
        <v>3687</v>
      </c>
      <c r="F343" s="1013" t="s">
        <v>4767</v>
      </c>
      <c r="G343" s="1014" t="s">
        <v>266</v>
      </c>
      <c r="H343" s="1015">
        <v>247881</v>
      </c>
      <c r="I343" s="1016" t="s">
        <v>6899</v>
      </c>
    </row>
    <row r="344" spans="2:9" ht="15.75" x14ac:dyDescent="0.25">
      <c r="B344" s="1365" t="s">
        <v>7169</v>
      </c>
      <c r="C344" s="1013" t="s">
        <v>4454</v>
      </c>
      <c r="D344" s="1013" t="s">
        <v>4634</v>
      </c>
      <c r="E344" s="1014">
        <v>3688</v>
      </c>
      <c r="F344" s="1013" t="s">
        <v>4768</v>
      </c>
      <c r="G344" s="1014" t="s">
        <v>266</v>
      </c>
      <c r="H344" s="1015">
        <v>53797</v>
      </c>
      <c r="I344" s="1016" t="s">
        <v>6899</v>
      </c>
    </row>
    <row r="345" spans="2:9" ht="15.75" x14ac:dyDescent="0.25">
      <c r="B345" s="1365" t="s">
        <v>7169</v>
      </c>
      <c r="C345" s="1013" t="s">
        <v>4410</v>
      </c>
      <c r="D345" s="1013" t="s">
        <v>4642</v>
      </c>
      <c r="E345" s="1014">
        <v>3689</v>
      </c>
      <c r="F345" s="1013" t="s">
        <v>4769</v>
      </c>
      <c r="G345" s="1014" t="s">
        <v>3</v>
      </c>
      <c r="H345" s="1015">
        <v>129224</v>
      </c>
      <c r="I345" s="1016" t="s">
        <v>6899</v>
      </c>
    </row>
    <row r="346" spans="2:9" ht="15.75" x14ac:dyDescent="0.25">
      <c r="B346" s="1365" t="s">
        <v>7169</v>
      </c>
      <c r="C346" s="1013" t="s">
        <v>4451</v>
      </c>
      <c r="D346" s="1013" t="s">
        <v>4452</v>
      </c>
      <c r="E346" s="1014">
        <v>3695</v>
      </c>
      <c r="F346" s="1013" t="s">
        <v>4770</v>
      </c>
      <c r="G346" s="1014" t="s">
        <v>266</v>
      </c>
      <c r="H346" s="1015">
        <v>794070</v>
      </c>
      <c r="I346" s="1016" t="s">
        <v>6899</v>
      </c>
    </row>
    <row r="347" spans="2:9" ht="15.75" x14ac:dyDescent="0.25">
      <c r="B347" s="1365" t="s">
        <v>7169</v>
      </c>
      <c r="C347" s="1013" t="s">
        <v>4417</v>
      </c>
      <c r="D347" s="1013" t="s">
        <v>4438</v>
      </c>
      <c r="E347" s="1014">
        <v>3696</v>
      </c>
      <c r="F347" s="1013" t="s">
        <v>4771</v>
      </c>
      <c r="G347" s="1014" t="s">
        <v>12</v>
      </c>
      <c r="H347" s="1015">
        <v>90026</v>
      </c>
      <c r="I347" s="1016" t="s">
        <v>6899</v>
      </c>
    </row>
    <row r="348" spans="2:9" ht="15.75" x14ac:dyDescent="0.25">
      <c r="B348" s="1365" t="s">
        <v>7169</v>
      </c>
      <c r="C348" s="1013" t="s">
        <v>4451</v>
      </c>
      <c r="D348" s="1013" t="s">
        <v>4452</v>
      </c>
      <c r="E348" s="1014">
        <v>3698</v>
      </c>
      <c r="F348" s="1013" t="s">
        <v>4772</v>
      </c>
      <c r="G348" s="1014" t="s">
        <v>266</v>
      </c>
      <c r="H348" s="1015">
        <v>382405</v>
      </c>
      <c r="I348" s="1016" t="s">
        <v>6899</v>
      </c>
    </row>
    <row r="349" spans="2:9" ht="15.75" x14ac:dyDescent="0.25">
      <c r="B349" s="1365" t="s">
        <v>7169</v>
      </c>
      <c r="C349" s="1013" t="s">
        <v>4451</v>
      </c>
      <c r="D349" s="1013" t="s">
        <v>4452</v>
      </c>
      <c r="E349" s="1014">
        <v>3699</v>
      </c>
      <c r="F349" s="1013" t="s">
        <v>4773</v>
      </c>
      <c r="G349" s="1014" t="s">
        <v>266</v>
      </c>
      <c r="H349" s="1015">
        <v>213323</v>
      </c>
      <c r="I349" s="1016" t="s">
        <v>6899</v>
      </c>
    </row>
    <row r="350" spans="2:9" ht="15.75" x14ac:dyDescent="0.25">
      <c r="B350" s="1365" t="s">
        <v>7169</v>
      </c>
      <c r="C350" s="1013" t="s">
        <v>4420</v>
      </c>
      <c r="D350" s="1013" t="s">
        <v>4420</v>
      </c>
      <c r="E350" s="1014">
        <v>3704</v>
      </c>
      <c r="F350" s="1013" t="s">
        <v>4774</v>
      </c>
      <c r="G350" s="1014" t="s">
        <v>13</v>
      </c>
      <c r="H350" s="1015">
        <v>252901</v>
      </c>
      <c r="I350" s="1016" t="s">
        <v>6899</v>
      </c>
    </row>
    <row r="351" spans="2:9" ht="15.75" x14ac:dyDescent="0.25">
      <c r="B351" s="1365" t="s">
        <v>7169</v>
      </c>
      <c r="C351" s="1013" t="s">
        <v>4775</v>
      </c>
      <c r="D351" s="1013" t="s">
        <v>4775</v>
      </c>
      <c r="E351" s="1014">
        <v>3708</v>
      </c>
      <c r="F351" s="1013" t="s">
        <v>4776</v>
      </c>
      <c r="G351" s="1014" t="s">
        <v>6</v>
      </c>
      <c r="H351" s="1015">
        <v>5541</v>
      </c>
      <c r="I351" s="1016" t="s">
        <v>6899</v>
      </c>
    </row>
    <row r="352" spans="2:9" ht="15.75" x14ac:dyDescent="0.25">
      <c r="B352" s="1365" t="s">
        <v>7169</v>
      </c>
      <c r="C352" s="1013" t="s">
        <v>4396</v>
      </c>
      <c r="D352" s="1013" t="s">
        <v>4397</v>
      </c>
      <c r="E352" s="1014">
        <v>3710</v>
      </c>
      <c r="F352" s="1013" t="s">
        <v>4777</v>
      </c>
      <c r="G352" s="1014" t="s">
        <v>3</v>
      </c>
      <c r="H352" s="1015">
        <v>5499</v>
      </c>
      <c r="I352" s="1016" t="s">
        <v>4398</v>
      </c>
    </row>
    <row r="353" spans="2:9" ht="15.75" x14ac:dyDescent="0.25">
      <c r="B353" s="1365" t="s">
        <v>7169</v>
      </c>
      <c r="C353" s="1013" t="s">
        <v>4420</v>
      </c>
      <c r="D353" s="1013" t="s">
        <v>4420</v>
      </c>
      <c r="E353" s="1014">
        <v>3712</v>
      </c>
      <c r="F353" s="1013" t="s">
        <v>4778</v>
      </c>
      <c r="G353" s="1014" t="s">
        <v>266</v>
      </c>
      <c r="H353" s="1015">
        <v>4621336</v>
      </c>
      <c r="I353" s="1016" t="s">
        <v>6899</v>
      </c>
    </row>
    <row r="354" spans="2:9" ht="15.75" x14ac:dyDescent="0.25">
      <c r="B354" s="1365" t="s">
        <v>7169</v>
      </c>
      <c r="C354" s="1013" t="s">
        <v>4420</v>
      </c>
      <c r="D354" s="1013" t="s">
        <v>4420</v>
      </c>
      <c r="E354" s="1014">
        <v>3716</v>
      </c>
      <c r="F354" s="1013" t="s">
        <v>4779</v>
      </c>
      <c r="G354" s="1014" t="s">
        <v>266</v>
      </c>
      <c r="H354" s="1015">
        <v>1673943</v>
      </c>
      <c r="I354" s="1016" t="s">
        <v>6899</v>
      </c>
    </row>
    <row r="355" spans="2:9" ht="15.75" x14ac:dyDescent="0.25">
      <c r="B355" s="1365" t="s">
        <v>7169</v>
      </c>
      <c r="C355" s="1013" t="s">
        <v>4451</v>
      </c>
      <c r="D355" s="1013" t="s">
        <v>4452</v>
      </c>
      <c r="E355" s="1014">
        <v>3721</v>
      </c>
      <c r="F355" s="1013" t="s">
        <v>4780</v>
      </c>
      <c r="G355" s="1014" t="s">
        <v>12</v>
      </c>
      <c r="H355" s="1015">
        <v>20235</v>
      </c>
      <c r="I355" s="1016" t="s">
        <v>4398</v>
      </c>
    </row>
    <row r="356" spans="2:9" ht="15.75" x14ac:dyDescent="0.25">
      <c r="B356" s="1365" t="s">
        <v>7169</v>
      </c>
      <c r="C356" s="1013" t="s">
        <v>4420</v>
      </c>
      <c r="D356" s="1013" t="s">
        <v>4420</v>
      </c>
      <c r="E356" s="1014">
        <v>3722</v>
      </c>
      <c r="F356" s="1013" t="s">
        <v>4781</v>
      </c>
      <c r="G356" s="1014" t="s">
        <v>266</v>
      </c>
      <c r="H356" s="1015">
        <v>128441</v>
      </c>
      <c r="I356" s="1016" t="s">
        <v>6899</v>
      </c>
    </row>
    <row r="357" spans="2:9" ht="15.75" x14ac:dyDescent="0.25">
      <c r="B357" s="1365" t="s">
        <v>7169</v>
      </c>
      <c r="C357" s="1013" t="s">
        <v>4420</v>
      </c>
      <c r="D357" s="1013" t="s">
        <v>4420</v>
      </c>
      <c r="E357" s="1014">
        <v>3723</v>
      </c>
      <c r="F357" s="1013" t="s">
        <v>4782</v>
      </c>
      <c r="G357" s="1014" t="s">
        <v>266</v>
      </c>
      <c r="H357" s="1015">
        <v>97267</v>
      </c>
      <c r="I357" s="1016" t="s">
        <v>6899</v>
      </c>
    </row>
    <row r="358" spans="2:9" ht="15.75" x14ac:dyDescent="0.25">
      <c r="B358" s="1365" t="s">
        <v>7169</v>
      </c>
      <c r="C358" s="1013" t="s">
        <v>4420</v>
      </c>
      <c r="D358" s="1013" t="s">
        <v>4420</v>
      </c>
      <c r="E358" s="1014">
        <v>3724</v>
      </c>
      <c r="F358" s="1013" t="s">
        <v>4783</v>
      </c>
      <c r="G358" s="1014" t="s">
        <v>266</v>
      </c>
      <c r="H358" s="1015">
        <v>97267</v>
      </c>
      <c r="I358" s="1016" t="s">
        <v>6899</v>
      </c>
    </row>
    <row r="359" spans="2:9" ht="15.75" x14ac:dyDescent="0.25">
      <c r="B359" s="1365" t="s">
        <v>7169</v>
      </c>
      <c r="C359" s="1013" t="s">
        <v>4417</v>
      </c>
      <c r="D359" s="1013" t="s">
        <v>4438</v>
      </c>
      <c r="E359" s="1014">
        <v>3727</v>
      </c>
      <c r="F359" s="1013" t="s">
        <v>4784</v>
      </c>
      <c r="G359" s="1014" t="s">
        <v>13</v>
      </c>
      <c r="H359" s="1015">
        <v>7564</v>
      </c>
      <c r="I359" s="1016" t="s">
        <v>6899</v>
      </c>
    </row>
    <row r="360" spans="2:9" ht="15.75" x14ac:dyDescent="0.25">
      <c r="B360" s="1365" t="s">
        <v>7169</v>
      </c>
      <c r="C360" s="1013" t="s">
        <v>4468</v>
      </c>
      <c r="D360" s="1013" t="s">
        <v>4469</v>
      </c>
      <c r="E360" s="1014">
        <v>3729</v>
      </c>
      <c r="F360" s="1013" t="s">
        <v>4785</v>
      </c>
      <c r="G360" s="1014" t="s">
        <v>3</v>
      </c>
      <c r="H360" s="1015">
        <v>602575</v>
      </c>
      <c r="I360" s="1016" t="s">
        <v>6899</v>
      </c>
    </row>
    <row r="361" spans="2:9" ht="15.75" x14ac:dyDescent="0.25">
      <c r="B361" s="1365" t="s">
        <v>7169</v>
      </c>
      <c r="C361" s="1013" t="s">
        <v>4468</v>
      </c>
      <c r="D361" s="1013" t="s">
        <v>4469</v>
      </c>
      <c r="E361" s="1014">
        <v>3730</v>
      </c>
      <c r="F361" s="1013" t="s">
        <v>4786</v>
      </c>
      <c r="G361" s="1014" t="s">
        <v>3</v>
      </c>
      <c r="H361" s="1015">
        <v>641860</v>
      </c>
      <c r="I361" s="1016" t="s">
        <v>6899</v>
      </c>
    </row>
    <row r="362" spans="2:9" ht="15.75" x14ac:dyDescent="0.25">
      <c r="B362" s="1365" t="s">
        <v>7169</v>
      </c>
      <c r="C362" s="1013" t="s">
        <v>4420</v>
      </c>
      <c r="D362" s="1013" t="s">
        <v>4420</v>
      </c>
      <c r="E362" s="1014">
        <v>3733</v>
      </c>
      <c r="F362" s="1013" t="s">
        <v>4787</v>
      </c>
      <c r="G362" s="1014" t="s">
        <v>13</v>
      </c>
      <c r="H362" s="1015">
        <v>2125692</v>
      </c>
      <c r="I362" s="1016" t="s">
        <v>6899</v>
      </c>
    </row>
    <row r="363" spans="2:9" ht="15.75" x14ac:dyDescent="0.25">
      <c r="B363" s="1365" t="s">
        <v>7169</v>
      </c>
      <c r="C363" s="1013" t="s">
        <v>4461</v>
      </c>
      <c r="D363" s="1013" t="s">
        <v>4461</v>
      </c>
      <c r="E363" s="1014">
        <v>3735</v>
      </c>
      <c r="F363" s="1013" t="s">
        <v>4788</v>
      </c>
      <c r="G363" s="1014" t="s">
        <v>13</v>
      </c>
      <c r="H363" s="1015">
        <v>2547</v>
      </c>
      <c r="I363" s="1016" t="s">
        <v>4398</v>
      </c>
    </row>
    <row r="364" spans="2:9" ht="15.75" x14ac:dyDescent="0.25">
      <c r="B364" s="1365" t="s">
        <v>7169</v>
      </c>
      <c r="C364" s="1013" t="s">
        <v>4417</v>
      </c>
      <c r="D364" s="1013" t="s">
        <v>4438</v>
      </c>
      <c r="E364" s="1014">
        <v>3745</v>
      </c>
      <c r="F364" s="1013" t="s">
        <v>4789</v>
      </c>
      <c r="G364" s="1014" t="s">
        <v>12</v>
      </c>
      <c r="H364" s="1015">
        <v>98782</v>
      </c>
      <c r="I364" s="1016" t="s">
        <v>6899</v>
      </c>
    </row>
    <row r="365" spans="2:9" ht="15.75" x14ac:dyDescent="0.25">
      <c r="B365" s="1365" t="s">
        <v>7169</v>
      </c>
      <c r="C365" s="1013" t="s">
        <v>4472</v>
      </c>
      <c r="D365" s="1013" t="s">
        <v>4473</v>
      </c>
      <c r="E365" s="1014">
        <v>3748</v>
      </c>
      <c r="F365" s="1013" t="s">
        <v>4790</v>
      </c>
      <c r="G365" s="1014" t="s">
        <v>3</v>
      </c>
      <c r="H365" s="1015">
        <v>804645</v>
      </c>
      <c r="I365" s="1016" t="s">
        <v>6899</v>
      </c>
    </row>
    <row r="366" spans="2:9" ht="15.75" x14ac:dyDescent="0.25">
      <c r="B366" s="1365" t="s">
        <v>7169</v>
      </c>
      <c r="C366" s="1013" t="s">
        <v>4791</v>
      </c>
      <c r="D366" s="1013" t="s">
        <v>4792</v>
      </c>
      <c r="E366" s="1014">
        <v>3749</v>
      </c>
      <c r="F366" s="1013" t="s">
        <v>4793</v>
      </c>
      <c r="G366" s="1014" t="s">
        <v>3</v>
      </c>
      <c r="H366" s="1015">
        <v>848981</v>
      </c>
      <c r="I366" s="1016" t="s">
        <v>6899</v>
      </c>
    </row>
    <row r="367" spans="2:9" ht="15.75" x14ac:dyDescent="0.25">
      <c r="B367" s="1365" t="s">
        <v>7169</v>
      </c>
      <c r="C367" s="1013" t="s">
        <v>4417</v>
      </c>
      <c r="D367" s="1013" t="s">
        <v>4418</v>
      </c>
      <c r="E367" s="1014">
        <v>3751</v>
      </c>
      <c r="F367" s="1013" t="s">
        <v>4794</v>
      </c>
      <c r="G367" s="1014" t="s">
        <v>13</v>
      </c>
      <c r="H367" s="1015">
        <v>75345</v>
      </c>
      <c r="I367" s="1016" t="s">
        <v>6899</v>
      </c>
    </row>
    <row r="368" spans="2:9" ht="15.75" x14ac:dyDescent="0.25">
      <c r="B368" s="1365" t="s">
        <v>7169</v>
      </c>
      <c r="C368" s="1013" t="s">
        <v>4417</v>
      </c>
      <c r="D368" s="1013" t="s">
        <v>4418</v>
      </c>
      <c r="E368" s="1014">
        <v>3753</v>
      </c>
      <c r="F368" s="1013" t="s">
        <v>4795</v>
      </c>
      <c r="G368" s="1014" t="s">
        <v>13</v>
      </c>
      <c r="H368" s="1015">
        <v>28753</v>
      </c>
      <c r="I368" s="1016" t="s">
        <v>6899</v>
      </c>
    </row>
    <row r="369" spans="2:9" ht="15.75" x14ac:dyDescent="0.25">
      <c r="B369" s="1365" t="s">
        <v>7169</v>
      </c>
      <c r="C369" s="1013" t="s">
        <v>4468</v>
      </c>
      <c r="D369" s="1013" t="s">
        <v>4469</v>
      </c>
      <c r="E369" s="1014">
        <v>3758</v>
      </c>
      <c r="F369" s="1013" t="s">
        <v>4796</v>
      </c>
      <c r="G369" s="1014" t="s">
        <v>13</v>
      </c>
      <c r="H369" s="1015">
        <v>423941</v>
      </c>
      <c r="I369" s="1016" t="s">
        <v>6899</v>
      </c>
    </row>
    <row r="370" spans="2:9" ht="15.75" x14ac:dyDescent="0.25">
      <c r="B370" s="1365" t="s">
        <v>7169</v>
      </c>
      <c r="C370" s="1013" t="s">
        <v>4468</v>
      </c>
      <c r="D370" s="1013" t="s">
        <v>4469</v>
      </c>
      <c r="E370" s="1014">
        <v>3760</v>
      </c>
      <c r="F370" s="1013" t="s">
        <v>4797</v>
      </c>
      <c r="G370" s="1014" t="s">
        <v>13</v>
      </c>
      <c r="H370" s="1015">
        <v>513262</v>
      </c>
      <c r="I370" s="1016" t="s">
        <v>6899</v>
      </c>
    </row>
    <row r="371" spans="2:9" ht="15.75" x14ac:dyDescent="0.25">
      <c r="B371" s="1365" t="s">
        <v>7169</v>
      </c>
      <c r="C371" s="1013" t="s">
        <v>4468</v>
      </c>
      <c r="D371" s="1013" t="s">
        <v>4469</v>
      </c>
      <c r="E371" s="1014">
        <v>3761</v>
      </c>
      <c r="F371" s="1013" t="s">
        <v>4798</v>
      </c>
      <c r="G371" s="1014" t="s">
        <v>13</v>
      </c>
      <c r="H371" s="1015">
        <v>619781</v>
      </c>
      <c r="I371" s="1016" t="s">
        <v>6899</v>
      </c>
    </row>
    <row r="372" spans="2:9" ht="15.75" x14ac:dyDescent="0.25">
      <c r="B372" s="1365" t="s">
        <v>7169</v>
      </c>
      <c r="C372" s="1013" t="s">
        <v>4799</v>
      </c>
      <c r="D372" s="1013" t="s">
        <v>4800</v>
      </c>
      <c r="E372" s="1014">
        <v>3770</v>
      </c>
      <c r="F372" s="1013" t="s">
        <v>341</v>
      </c>
      <c r="G372" s="1014" t="s">
        <v>342</v>
      </c>
      <c r="H372" s="1015">
        <v>532430</v>
      </c>
      <c r="I372" s="1016" t="s">
        <v>4398</v>
      </c>
    </row>
    <row r="373" spans="2:9" ht="15.75" x14ac:dyDescent="0.25">
      <c r="B373" s="1365" t="s">
        <v>7169</v>
      </c>
      <c r="C373" s="1013" t="s">
        <v>4420</v>
      </c>
      <c r="D373" s="1013" t="s">
        <v>4420</v>
      </c>
      <c r="E373" s="1014">
        <v>3776</v>
      </c>
      <c r="F373" s="1013" t="s">
        <v>4801</v>
      </c>
      <c r="G373" s="1014" t="s">
        <v>12</v>
      </c>
      <c r="H373" s="1015">
        <v>46011</v>
      </c>
      <c r="I373" s="1016" t="s">
        <v>6899</v>
      </c>
    </row>
    <row r="374" spans="2:9" ht="15.75" x14ac:dyDescent="0.25">
      <c r="B374" s="1365" t="s">
        <v>7169</v>
      </c>
      <c r="C374" s="1013" t="s">
        <v>4405</v>
      </c>
      <c r="D374" s="1013" t="s">
        <v>4579</v>
      </c>
      <c r="E374" s="1014">
        <v>3777</v>
      </c>
      <c r="F374" s="1013" t="s">
        <v>4802</v>
      </c>
      <c r="G374" s="1014" t="s">
        <v>266</v>
      </c>
      <c r="H374" s="1015">
        <v>352256</v>
      </c>
      <c r="I374" s="1016" t="s">
        <v>6899</v>
      </c>
    </row>
    <row r="375" spans="2:9" ht="15.75" x14ac:dyDescent="0.25">
      <c r="B375" s="1365" t="s">
        <v>7169</v>
      </c>
      <c r="C375" s="1013" t="s">
        <v>4420</v>
      </c>
      <c r="D375" s="1013" t="s">
        <v>4420</v>
      </c>
      <c r="E375" s="1014">
        <v>3779</v>
      </c>
      <c r="F375" s="1013" t="s">
        <v>4803</v>
      </c>
      <c r="G375" s="1014" t="s">
        <v>266</v>
      </c>
      <c r="H375" s="1015">
        <v>497821</v>
      </c>
      <c r="I375" s="1016" t="s">
        <v>6899</v>
      </c>
    </row>
    <row r="376" spans="2:9" ht="15.75" x14ac:dyDescent="0.25">
      <c r="B376" s="1365" t="s">
        <v>7169</v>
      </c>
      <c r="C376" s="1013" t="s">
        <v>4431</v>
      </c>
      <c r="D376" s="1013" t="s">
        <v>4432</v>
      </c>
      <c r="E376" s="1014">
        <v>3780</v>
      </c>
      <c r="F376" s="1013" t="s">
        <v>4804</v>
      </c>
      <c r="G376" s="1014" t="s">
        <v>13</v>
      </c>
      <c r="H376" s="1015">
        <v>75208</v>
      </c>
      <c r="I376" s="1016" t="s">
        <v>4398</v>
      </c>
    </row>
    <row r="377" spans="2:9" ht="15.75" x14ac:dyDescent="0.25">
      <c r="B377" s="1365" t="s">
        <v>7169</v>
      </c>
      <c r="C377" s="1013" t="s">
        <v>4417</v>
      </c>
      <c r="D377" s="1013" t="s">
        <v>4418</v>
      </c>
      <c r="E377" s="1014">
        <v>3784</v>
      </c>
      <c r="F377" s="1013" t="s">
        <v>4805</v>
      </c>
      <c r="G377" s="1014" t="s">
        <v>13</v>
      </c>
      <c r="H377" s="1015">
        <v>32874</v>
      </c>
      <c r="I377" s="1016" t="s">
        <v>6899</v>
      </c>
    </row>
    <row r="378" spans="2:9" ht="15.75" x14ac:dyDescent="0.25">
      <c r="B378" s="1365" t="s">
        <v>7169</v>
      </c>
      <c r="C378" s="1013" t="s">
        <v>4420</v>
      </c>
      <c r="D378" s="1013" t="s">
        <v>4420</v>
      </c>
      <c r="E378" s="1014">
        <v>3787</v>
      </c>
      <c r="F378" s="1013" t="s">
        <v>4806</v>
      </c>
      <c r="G378" s="1014" t="s">
        <v>13</v>
      </c>
      <c r="H378" s="1015">
        <v>23781</v>
      </c>
      <c r="I378" s="1016" t="s">
        <v>4398</v>
      </c>
    </row>
    <row r="379" spans="2:9" ht="15.75" x14ac:dyDescent="0.25">
      <c r="B379" s="1365" t="s">
        <v>7169</v>
      </c>
      <c r="C379" s="1013" t="s">
        <v>4431</v>
      </c>
      <c r="D379" s="1013" t="s">
        <v>4432</v>
      </c>
      <c r="E379" s="1014">
        <v>3795</v>
      </c>
      <c r="F379" s="1013" t="s">
        <v>4807</v>
      </c>
      <c r="G379" s="1014" t="s">
        <v>13</v>
      </c>
      <c r="H379" s="1015">
        <v>202102</v>
      </c>
      <c r="I379" s="1016" t="s">
        <v>4398</v>
      </c>
    </row>
    <row r="380" spans="2:9" ht="15.75" x14ac:dyDescent="0.25">
      <c r="B380" s="1365" t="s">
        <v>7169</v>
      </c>
      <c r="C380" s="1013" t="s">
        <v>4431</v>
      </c>
      <c r="D380" s="1013" t="s">
        <v>4432</v>
      </c>
      <c r="E380" s="1014">
        <v>3796</v>
      </c>
      <c r="F380" s="1013" t="s">
        <v>4808</v>
      </c>
      <c r="G380" s="1014" t="s">
        <v>13</v>
      </c>
      <c r="H380" s="1015">
        <v>303355</v>
      </c>
      <c r="I380" s="1016" t="s">
        <v>4398</v>
      </c>
    </row>
    <row r="381" spans="2:9" ht="15.75" x14ac:dyDescent="0.25">
      <c r="B381" s="1365" t="s">
        <v>7169</v>
      </c>
      <c r="C381" s="1013" t="s">
        <v>4431</v>
      </c>
      <c r="D381" s="1013" t="s">
        <v>4432</v>
      </c>
      <c r="E381" s="1014">
        <v>3797</v>
      </c>
      <c r="F381" s="1013" t="s">
        <v>4809</v>
      </c>
      <c r="G381" s="1014" t="s">
        <v>13</v>
      </c>
      <c r="H381" s="1015">
        <v>402568</v>
      </c>
      <c r="I381" s="1016" t="s">
        <v>4398</v>
      </c>
    </row>
    <row r="382" spans="2:9" ht="15.75" x14ac:dyDescent="0.25">
      <c r="B382" s="1365" t="s">
        <v>7169</v>
      </c>
      <c r="C382" s="1013" t="s">
        <v>4431</v>
      </c>
      <c r="D382" s="1013" t="s">
        <v>4432</v>
      </c>
      <c r="E382" s="1014">
        <v>3798</v>
      </c>
      <c r="F382" s="1013" t="s">
        <v>4810</v>
      </c>
      <c r="G382" s="1014" t="s">
        <v>13</v>
      </c>
      <c r="H382" s="1015">
        <v>602567</v>
      </c>
      <c r="I382" s="1016" t="s">
        <v>4398</v>
      </c>
    </row>
    <row r="383" spans="2:9" ht="15.75" x14ac:dyDescent="0.25">
      <c r="B383" s="1365" t="s">
        <v>7169</v>
      </c>
      <c r="C383" s="1013" t="s">
        <v>4410</v>
      </c>
      <c r="D383" s="1013" t="s">
        <v>4642</v>
      </c>
      <c r="E383" s="1014">
        <v>3800</v>
      </c>
      <c r="F383" s="1013" t="s">
        <v>343</v>
      </c>
      <c r="G383" s="1014" t="s">
        <v>12</v>
      </c>
      <c r="H383" s="1015">
        <v>1698</v>
      </c>
      <c r="I383" s="1016" t="s">
        <v>6899</v>
      </c>
    </row>
    <row r="384" spans="2:9" ht="15.75" x14ac:dyDescent="0.25">
      <c r="B384" s="1365" t="s">
        <v>7169</v>
      </c>
      <c r="C384" s="1013" t="s">
        <v>4472</v>
      </c>
      <c r="D384" s="1013" t="s">
        <v>4473</v>
      </c>
      <c r="E384" s="1014">
        <v>3806</v>
      </c>
      <c r="F384" s="1013" t="s">
        <v>4811</v>
      </c>
      <c r="G384" s="1014" t="s">
        <v>12</v>
      </c>
      <c r="H384" s="1015">
        <v>2544</v>
      </c>
      <c r="I384" s="1016" t="s">
        <v>6899</v>
      </c>
    </row>
    <row r="385" spans="2:9" ht="15.75" x14ac:dyDescent="0.25">
      <c r="B385" s="1365" t="s">
        <v>7169</v>
      </c>
      <c r="C385" s="1013" t="s">
        <v>4472</v>
      </c>
      <c r="D385" s="1013" t="s">
        <v>4812</v>
      </c>
      <c r="E385" s="1014">
        <v>3811</v>
      </c>
      <c r="F385" s="1013" t="s">
        <v>4813</v>
      </c>
      <c r="G385" s="1014" t="s">
        <v>13</v>
      </c>
      <c r="H385" s="1015">
        <v>2537</v>
      </c>
      <c r="I385" s="1016" t="s">
        <v>6899</v>
      </c>
    </row>
    <row r="386" spans="2:9" ht="15.75" x14ac:dyDescent="0.25">
      <c r="B386" s="1365" t="s">
        <v>7169</v>
      </c>
      <c r="C386" s="1013" t="s">
        <v>4468</v>
      </c>
      <c r="D386" s="1013" t="s">
        <v>4814</v>
      </c>
      <c r="E386" s="1014">
        <v>3819</v>
      </c>
      <c r="F386" s="1013" t="s">
        <v>4815</v>
      </c>
      <c r="G386" s="1014" t="s">
        <v>13</v>
      </c>
      <c r="H386" s="1015">
        <v>5335</v>
      </c>
      <c r="I386" s="1016" t="s">
        <v>6899</v>
      </c>
    </row>
    <row r="387" spans="2:9" ht="15.75" x14ac:dyDescent="0.25">
      <c r="B387" s="1365" t="s">
        <v>7169</v>
      </c>
      <c r="C387" s="1013" t="s">
        <v>4472</v>
      </c>
      <c r="D387" s="1013" t="s">
        <v>4812</v>
      </c>
      <c r="E387" s="1014">
        <v>3837</v>
      </c>
      <c r="F387" s="1013" t="s">
        <v>4816</v>
      </c>
      <c r="G387" s="1014" t="s">
        <v>13</v>
      </c>
      <c r="H387" s="1015">
        <v>13698</v>
      </c>
      <c r="I387" s="1016" t="s">
        <v>6899</v>
      </c>
    </row>
    <row r="388" spans="2:9" ht="15.75" x14ac:dyDescent="0.25">
      <c r="B388" s="1365" t="s">
        <v>7169</v>
      </c>
      <c r="C388" s="1013" t="s">
        <v>4472</v>
      </c>
      <c r="D388" s="1013" t="s">
        <v>4817</v>
      </c>
      <c r="E388" s="1014">
        <v>3841</v>
      </c>
      <c r="F388" s="1013" t="s">
        <v>4818</v>
      </c>
      <c r="G388" s="1014" t="s">
        <v>3</v>
      </c>
      <c r="H388" s="1015">
        <v>1062611</v>
      </c>
      <c r="I388" s="1016" t="s">
        <v>6899</v>
      </c>
    </row>
    <row r="389" spans="2:9" ht="15.75" x14ac:dyDescent="0.25">
      <c r="B389" s="1365" t="s">
        <v>7169</v>
      </c>
      <c r="C389" s="1013" t="s">
        <v>4410</v>
      </c>
      <c r="D389" s="1013" t="s">
        <v>4415</v>
      </c>
      <c r="E389" s="1014">
        <v>3847</v>
      </c>
      <c r="F389" s="1013" t="s">
        <v>4819</v>
      </c>
      <c r="G389" s="1014" t="s">
        <v>3</v>
      </c>
      <c r="H389" s="1015">
        <v>142119</v>
      </c>
      <c r="I389" s="1016" t="s">
        <v>6899</v>
      </c>
    </row>
    <row r="390" spans="2:9" ht="15.75" x14ac:dyDescent="0.25">
      <c r="B390" s="1365" t="s">
        <v>7169</v>
      </c>
      <c r="C390" s="1013" t="s">
        <v>4410</v>
      </c>
      <c r="D390" s="1013" t="s">
        <v>4415</v>
      </c>
      <c r="E390" s="1014">
        <v>3851</v>
      </c>
      <c r="F390" s="1013" t="s">
        <v>4820</v>
      </c>
      <c r="G390" s="1014" t="s">
        <v>3</v>
      </c>
      <c r="H390" s="1015">
        <v>104147</v>
      </c>
      <c r="I390" s="1016" t="s">
        <v>6899</v>
      </c>
    </row>
    <row r="391" spans="2:9" ht="15.75" x14ac:dyDescent="0.25">
      <c r="B391" s="1365" t="s">
        <v>7169</v>
      </c>
      <c r="C391" s="1013" t="s">
        <v>4472</v>
      </c>
      <c r="D391" s="1013" t="s">
        <v>4817</v>
      </c>
      <c r="E391" s="1014">
        <v>3864</v>
      </c>
      <c r="F391" s="1013" t="s">
        <v>4821</v>
      </c>
      <c r="G391" s="1014" t="s">
        <v>12</v>
      </c>
      <c r="H391" s="1015">
        <v>3161</v>
      </c>
      <c r="I391" s="1016" t="s">
        <v>6899</v>
      </c>
    </row>
    <row r="392" spans="2:9" ht="15.75" x14ac:dyDescent="0.25">
      <c r="B392" s="1365" t="s">
        <v>7169</v>
      </c>
      <c r="C392" s="1013" t="s">
        <v>4472</v>
      </c>
      <c r="D392" s="1013" t="s">
        <v>4817</v>
      </c>
      <c r="E392" s="1014">
        <v>3866</v>
      </c>
      <c r="F392" s="1013" t="s">
        <v>4822</v>
      </c>
      <c r="G392" s="1014" t="s">
        <v>12</v>
      </c>
      <c r="H392" s="1015">
        <v>3509</v>
      </c>
      <c r="I392" s="1016" t="s">
        <v>6899</v>
      </c>
    </row>
    <row r="393" spans="2:9" ht="15.75" x14ac:dyDescent="0.25">
      <c r="B393" s="1365" t="s">
        <v>7169</v>
      </c>
      <c r="C393" s="1013" t="s">
        <v>4472</v>
      </c>
      <c r="D393" s="1013" t="s">
        <v>4817</v>
      </c>
      <c r="E393" s="1014">
        <v>3867</v>
      </c>
      <c r="F393" s="1013" t="s">
        <v>4823</v>
      </c>
      <c r="G393" s="1014" t="s">
        <v>12</v>
      </c>
      <c r="H393" s="1015">
        <v>3627</v>
      </c>
      <c r="I393" s="1016" t="s">
        <v>6899</v>
      </c>
    </row>
    <row r="394" spans="2:9" ht="15.75" x14ac:dyDescent="0.25">
      <c r="B394" s="1365" t="s">
        <v>7169</v>
      </c>
      <c r="C394" s="1013" t="s">
        <v>4454</v>
      </c>
      <c r="D394" s="1013" t="s">
        <v>4455</v>
      </c>
      <c r="E394" s="1014">
        <v>3872</v>
      </c>
      <c r="F394" s="1013" t="s">
        <v>4824</v>
      </c>
      <c r="G394" s="1014" t="s">
        <v>13</v>
      </c>
      <c r="H394" s="1015">
        <v>2505</v>
      </c>
      <c r="I394" s="1016" t="s">
        <v>3538</v>
      </c>
    </row>
    <row r="395" spans="2:9" ht="15.75" x14ac:dyDescent="0.25">
      <c r="B395" s="1365" t="s">
        <v>7169</v>
      </c>
      <c r="C395" s="1013" t="s">
        <v>4468</v>
      </c>
      <c r="D395" s="1013" t="s">
        <v>4469</v>
      </c>
      <c r="E395" s="1014">
        <v>3873</v>
      </c>
      <c r="F395" s="1013" t="s">
        <v>4825</v>
      </c>
      <c r="G395" s="1014" t="s">
        <v>3</v>
      </c>
      <c r="H395" s="1015">
        <v>337164</v>
      </c>
      <c r="I395" s="1016" t="s">
        <v>6899</v>
      </c>
    </row>
    <row r="396" spans="2:9" ht="15.75" x14ac:dyDescent="0.25">
      <c r="B396" s="1365" t="s">
        <v>7169</v>
      </c>
      <c r="C396" s="1013" t="s">
        <v>4468</v>
      </c>
      <c r="D396" s="1013" t="s">
        <v>4650</v>
      </c>
      <c r="E396" s="1014">
        <v>3874</v>
      </c>
      <c r="F396" s="1013" t="s">
        <v>4826</v>
      </c>
      <c r="G396" s="1014" t="s">
        <v>3</v>
      </c>
      <c r="H396" s="1015">
        <v>352753</v>
      </c>
      <c r="I396" s="1016" t="s">
        <v>6899</v>
      </c>
    </row>
    <row r="397" spans="2:9" ht="15.75" x14ac:dyDescent="0.25">
      <c r="B397" s="1365" t="s">
        <v>7169</v>
      </c>
      <c r="C397" s="1013" t="s">
        <v>4468</v>
      </c>
      <c r="D397" s="1013" t="s">
        <v>4469</v>
      </c>
      <c r="E397" s="1014">
        <v>3875</v>
      </c>
      <c r="F397" s="1013" t="s">
        <v>4827</v>
      </c>
      <c r="G397" s="1014" t="s">
        <v>3</v>
      </c>
      <c r="H397" s="1015">
        <v>525137</v>
      </c>
      <c r="I397" s="1016" t="s">
        <v>6899</v>
      </c>
    </row>
    <row r="398" spans="2:9" ht="15.75" x14ac:dyDescent="0.25">
      <c r="B398" s="1365" t="s">
        <v>7169</v>
      </c>
      <c r="C398" s="1013" t="s">
        <v>4420</v>
      </c>
      <c r="D398" s="1013" t="s">
        <v>4420</v>
      </c>
      <c r="E398" s="1014">
        <v>3876</v>
      </c>
      <c r="F398" s="1013" t="s">
        <v>4828</v>
      </c>
      <c r="G398" s="1014" t="s">
        <v>13</v>
      </c>
      <c r="H398" s="1015">
        <v>168993</v>
      </c>
      <c r="I398" s="1016" t="s">
        <v>6899</v>
      </c>
    </row>
    <row r="399" spans="2:9" ht="15.75" x14ac:dyDescent="0.25">
      <c r="B399" s="1365" t="s">
        <v>7169</v>
      </c>
      <c r="C399" s="1013" t="s">
        <v>4420</v>
      </c>
      <c r="D399" s="1013" t="s">
        <v>4420</v>
      </c>
      <c r="E399" s="1014">
        <v>3877</v>
      </c>
      <c r="F399" s="1013" t="s">
        <v>4829</v>
      </c>
      <c r="G399" s="1014" t="s">
        <v>13</v>
      </c>
      <c r="H399" s="1015">
        <v>256922</v>
      </c>
      <c r="I399" s="1016" t="s">
        <v>6899</v>
      </c>
    </row>
    <row r="400" spans="2:9" ht="15.75" x14ac:dyDescent="0.25">
      <c r="B400" s="1365" t="s">
        <v>7169</v>
      </c>
      <c r="C400" s="1013" t="s">
        <v>4420</v>
      </c>
      <c r="D400" s="1013" t="s">
        <v>4420</v>
      </c>
      <c r="E400" s="1014">
        <v>3878</v>
      </c>
      <c r="F400" s="1013" t="s">
        <v>4830</v>
      </c>
      <c r="G400" s="1014" t="s">
        <v>266</v>
      </c>
      <c r="H400" s="1015">
        <v>1876118</v>
      </c>
      <c r="I400" s="1016" t="s">
        <v>6899</v>
      </c>
    </row>
    <row r="401" spans="2:9" ht="15.75" x14ac:dyDescent="0.25">
      <c r="B401" s="1365" t="s">
        <v>7169</v>
      </c>
      <c r="C401" s="1013" t="s">
        <v>4420</v>
      </c>
      <c r="D401" s="1013" t="s">
        <v>4420</v>
      </c>
      <c r="E401" s="1014">
        <v>3879</v>
      </c>
      <c r="F401" s="1013" t="s">
        <v>4831</v>
      </c>
      <c r="G401" s="1014" t="s">
        <v>266</v>
      </c>
      <c r="H401" s="1015">
        <v>1125488</v>
      </c>
      <c r="I401" s="1016" t="s">
        <v>6899</v>
      </c>
    </row>
    <row r="402" spans="2:9" ht="15.75" x14ac:dyDescent="0.25">
      <c r="B402" s="1365" t="s">
        <v>7169</v>
      </c>
      <c r="C402" s="1013" t="s">
        <v>4420</v>
      </c>
      <c r="D402" s="1013" t="s">
        <v>4420</v>
      </c>
      <c r="E402" s="1014">
        <v>3880</v>
      </c>
      <c r="F402" s="1013" t="s">
        <v>4832</v>
      </c>
      <c r="G402" s="1014" t="s">
        <v>266</v>
      </c>
      <c r="H402" s="1015">
        <v>940675</v>
      </c>
      <c r="I402" s="1016" t="s">
        <v>6899</v>
      </c>
    </row>
    <row r="403" spans="2:9" ht="15.75" x14ac:dyDescent="0.25">
      <c r="B403" s="1365" t="s">
        <v>7169</v>
      </c>
      <c r="C403" s="1013" t="s">
        <v>4420</v>
      </c>
      <c r="D403" s="1013" t="s">
        <v>4420</v>
      </c>
      <c r="E403" s="1014">
        <v>3881</v>
      </c>
      <c r="F403" s="1013" t="s">
        <v>4833</v>
      </c>
      <c r="G403" s="1014" t="s">
        <v>266</v>
      </c>
      <c r="H403" s="1015">
        <v>694717</v>
      </c>
      <c r="I403" s="1016" t="s">
        <v>6899</v>
      </c>
    </row>
    <row r="404" spans="2:9" ht="15.75" x14ac:dyDescent="0.25">
      <c r="B404" s="1365" t="s">
        <v>7169</v>
      </c>
      <c r="C404" s="1013" t="s">
        <v>4420</v>
      </c>
      <c r="D404" s="1013" t="s">
        <v>4420</v>
      </c>
      <c r="E404" s="1014">
        <v>3882</v>
      </c>
      <c r="F404" s="1013" t="s">
        <v>4834</v>
      </c>
      <c r="G404" s="1014" t="s">
        <v>266</v>
      </c>
      <c r="H404" s="1015">
        <v>2936315</v>
      </c>
      <c r="I404" s="1016" t="s">
        <v>6899</v>
      </c>
    </row>
    <row r="405" spans="2:9" ht="15.75" x14ac:dyDescent="0.25">
      <c r="B405" s="1365" t="s">
        <v>7169</v>
      </c>
      <c r="C405" s="1013" t="s">
        <v>4420</v>
      </c>
      <c r="D405" s="1013" t="s">
        <v>4420</v>
      </c>
      <c r="E405" s="1014">
        <v>3883</v>
      </c>
      <c r="F405" s="1013" t="s">
        <v>4835</v>
      </c>
      <c r="G405" s="1014" t="s">
        <v>266</v>
      </c>
      <c r="H405" s="1015">
        <v>4050704</v>
      </c>
      <c r="I405" s="1016" t="s">
        <v>6899</v>
      </c>
    </row>
    <row r="406" spans="2:9" ht="15.75" x14ac:dyDescent="0.25">
      <c r="B406" s="1365" t="s">
        <v>7169</v>
      </c>
      <c r="C406" s="1013" t="s">
        <v>4420</v>
      </c>
      <c r="D406" s="1013" t="s">
        <v>4420</v>
      </c>
      <c r="E406" s="1014">
        <v>3884</v>
      </c>
      <c r="F406" s="1013" t="s">
        <v>4836</v>
      </c>
      <c r="G406" s="1014" t="s">
        <v>266</v>
      </c>
      <c r="H406" s="1015">
        <v>3631078</v>
      </c>
      <c r="I406" s="1016" t="s">
        <v>6899</v>
      </c>
    </row>
    <row r="407" spans="2:9" ht="15.75" x14ac:dyDescent="0.25">
      <c r="B407" s="1365" t="s">
        <v>7169</v>
      </c>
      <c r="C407" s="1013" t="s">
        <v>4420</v>
      </c>
      <c r="D407" s="1013" t="s">
        <v>4420</v>
      </c>
      <c r="E407" s="1014">
        <v>3885</v>
      </c>
      <c r="F407" s="1013" t="s">
        <v>4837</v>
      </c>
      <c r="G407" s="1014" t="s">
        <v>266</v>
      </c>
      <c r="H407" s="1015">
        <v>4610370</v>
      </c>
      <c r="I407" s="1016" t="s">
        <v>6899</v>
      </c>
    </row>
    <row r="408" spans="2:9" ht="15.75" x14ac:dyDescent="0.25">
      <c r="B408" s="1365" t="s">
        <v>7169</v>
      </c>
      <c r="C408" s="1013" t="s">
        <v>4420</v>
      </c>
      <c r="D408" s="1013" t="s">
        <v>4420</v>
      </c>
      <c r="E408" s="1014">
        <v>3886</v>
      </c>
      <c r="F408" s="1013" t="s">
        <v>4838</v>
      </c>
      <c r="G408" s="1014" t="s">
        <v>266</v>
      </c>
      <c r="H408" s="1015">
        <v>4484105</v>
      </c>
      <c r="I408" s="1016" t="s">
        <v>6899</v>
      </c>
    </row>
    <row r="409" spans="2:9" ht="15.75" x14ac:dyDescent="0.25">
      <c r="B409" s="1365" t="s">
        <v>7169</v>
      </c>
      <c r="C409" s="1013" t="s">
        <v>4420</v>
      </c>
      <c r="D409" s="1013" t="s">
        <v>4420</v>
      </c>
      <c r="E409" s="1014">
        <v>3887</v>
      </c>
      <c r="F409" s="1013" t="s">
        <v>4839</v>
      </c>
      <c r="G409" s="1014" t="s">
        <v>266</v>
      </c>
      <c r="H409" s="1015">
        <v>4890790</v>
      </c>
      <c r="I409" s="1016" t="s">
        <v>6899</v>
      </c>
    </row>
    <row r="410" spans="2:9" ht="15.75" x14ac:dyDescent="0.25">
      <c r="B410" s="1365" t="s">
        <v>7169</v>
      </c>
      <c r="C410" s="1013" t="s">
        <v>4420</v>
      </c>
      <c r="D410" s="1013" t="s">
        <v>4420</v>
      </c>
      <c r="E410" s="1014">
        <v>3888</v>
      </c>
      <c r="F410" s="1013" t="s">
        <v>4840</v>
      </c>
      <c r="G410" s="1014" t="s">
        <v>266</v>
      </c>
      <c r="H410" s="1015">
        <v>5035845</v>
      </c>
      <c r="I410" s="1016" t="s">
        <v>6899</v>
      </c>
    </row>
    <row r="411" spans="2:9" ht="15.75" x14ac:dyDescent="0.25">
      <c r="B411" s="1365" t="s">
        <v>7169</v>
      </c>
      <c r="C411" s="1013" t="s">
        <v>4420</v>
      </c>
      <c r="D411" s="1013" t="s">
        <v>4420</v>
      </c>
      <c r="E411" s="1014">
        <v>3889</v>
      </c>
      <c r="F411" s="1013" t="s">
        <v>4841</v>
      </c>
      <c r="G411" s="1014" t="s">
        <v>266</v>
      </c>
      <c r="H411" s="1015">
        <v>3045537</v>
      </c>
      <c r="I411" s="1016" t="s">
        <v>6899</v>
      </c>
    </row>
    <row r="412" spans="2:9" ht="15.75" x14ac:dyDescent="0.25">
      <c r="B412" s="1365" t="s">
        <v>7169</v>
      </c>
      <c r="C412" s="1013" t="s">
        <v>4420</v>
      </c>
      <c r="D412" s="1013" t="s">
        <v>4420</v>
      </c>
      <c r="E412" s="1014">
        <v>3890</v>
      </c>
      <c r="F412" s="1013" t="s">
        <v>4842</v>
      </c>
      <c r="G412" s="1014" t="s">
        <v>266</v>
      </c>
      <c r="H412" s="1015">
        <v>3122574</v>
      </c>
      <c r="I412" s="1016" t="s">
        <v>6899</v>
      </c>
    </row>
    <row r="413" spans="2:9" ht="15.75" x14ac:dyDescent="0.25">
      <c r="B413" s="1365" t="s">
        <v>7169</v>
      </c>
      <c r="C413" s="1013" t="s">
        <v>4420</v>
      </c>
      <c r="D413" s="1013" t="s">
        <v>4420</v>
      </c>
      <c r="E413" s="1014">
        <v>3891</v>
      </c>
      <c r="F413" s="1013" t="s">
        <v>4843</v>
      </c>
      <c r="G413" s="1014" t="s">
        <v>266</v>
      </c>
      <c r="H413" s="1015">
        <v>3929699</v>
      </c>
      <c r="I413" s="1016" t="s">
        <v>6899</v>
      </c>
    </row>
    <row r="414" spans="2:9" ht="15.75" x14ac:dyDescent="0.25">
      <c r="B414" s="1365" t="s">
        <v>7169</v>
      </c>
      <c r="C414" s="1013" t="s">
        <v>4420</v>
      </c>
      <c r="D414" s="1013" t="s">
        <v>4420</v>
      </c>
      <c r="E414" s="1014">
        <v>3892</v>
      </c>
      <c r="F414" s="1013" t="s">
        <v>4844</v>
      </c>
      <c r="G414" s="1014" t="s">
        <v>266</v>
      </c>
      <c r="H414" s="1015">
        <v>4827934</v>
      </c>
      <c r="I414" s="1016" t="s">
        <v>6899</v>
      </c>
    </row>
    <row r="415" spans="2:9" ht="15.75" x14ac:dyDescent="0.25">
      <c r="B415" s="1365" t="s">
        <v>7169</v>
      </c>
      <c r="C415" s="1013" t="s">
        <v>4420</v>
      </c>
      <c r="D415" s="1013" t="s">
        <v>4420</v>
      </c>
      <c r="E415" s="1014">
        <v>3893</v>
      </c>
      <c r="F415" s="1013" t="s">
        <v>4845</v>
      </c>
      <c r="G415" s="1014" t="s">
        <v>266</v>
      </c>
      <c r="H415" s="1015">
        <v>4972989</v>
      </c>
      <c r="I415" s="1016" t="s">
        <v>6899</v>
      </c>
    </row>
    <row r="416" spans="2:9" ht="15.75" x14ac:dyDescent="0.25">
      <c r="B416" s="1365" t="s">
        <v>7169</v>
      </c>
      <c r="C416" s="1013" t="s">
        <v>4420</v>
      </c>
      <c r="D416" s="1013" t="s">
        <v>4420</v>
      </c>
      <c r="E416" s="1014">
        <v>3894</v>
      </c>
      <c r="F416" s="1013" t="s">
        <v>4846</v>
      </c>
      <c r="G416" s="1014" t="s">
        <v>266</v>
      </c>
      <c r="H416" s="1015">
        <v>5316062</v>
      </c>
      <c r="I416" s="1016" t="s">
        <v>6899</v>
      </c>
    </row>
    <row r="417" spans="2:9" ht="15.75" x14ac:dyDescent="0.25">
      <c r="B417" s="1365" t="s">
        <v>7169</v>
      </c>
      <c r="C417" s="1013" t="s">
        <v>4420</v>
      </c>
      <c r="D417" s="1013" t="s">
        <v>4420</v>
      </c>
      <c r="E417" s="1014">
        <v>3895</v>
      </c>
      <c r="F417" s="1013" t="s">
        <v>4847</v>
      </c>
      <c r="G417" s="1014" t="s">
        <v>266</v>
      </c>
      <c r="H417" s="1015">
        <v>5479900</v>
      </c>
      <c r="I417" s="1016" t="s">
        <v>6899</v>
      </c>
    </row>
    <row r="418" spans="2:9" ht="15.75" x14ac:dyDescent="0.25">
      <c r="B418" s="1365" t="s">
        <v>7169</v>
      </c>
      <c r="C418" s="1013" t="s">
        <v>4420</v>
      </c>
      <c r="D418" s="1013" t="s">
        <v>4420</v>
      </c>
      <c r="E418" s="1014">
        <v>3896</v>
      </c>
      <c r="F418" s="1013" t="s">
        <v>4848</v>
      </c>
      <c r="G418" s="1014" t="s">
        <v>266</v>
      </c>
      <c r="H418" s="1015">
        <v>3733293</v>
      </c>
      <c r="I418" s="1016" t="s">
        <v>6899</v>
      </c>
    </row>
    <row r="419" spans="2:9" ht="15.75" x14ac:dyDescent="0.25">
      <c r="B419" s="1365" t="s">
        <v>7169</v>
      </c>
      <c r="C419" s="1013" t="s">
        <v>4420</v>
      </c>
      <c r="D419" s="1013" t="s">
        <v>4420</v>
      </c>
      <c r="E419" s="1014">
        <v>3897</v>
      </c>
      <c r="F419" s="1013" t="s">
        <v>4849</v>
      </c>
      <c r="G419" s="1014" t="s">
        <v>266</v>
      </c>
      <c r="H419" s="1015">
        <v>6128993</v>
      </c>
      <c r="I419" s="1016" t="s">
        <v>6899</v>
      </c>
    </row>
    <row r="420" spans="2:9" ht="15.75" x14ac:dyDescent="0.25">
      <c r="B420" s="1365" t="s">
        <v>7169</v>
      </c>
      <c r="C420" s="1013" t="s">
        <v>4420</v>
      </c>
      <c r="D420" s="1013" t="s">
        <v>4420</v>
      </c>
      <c r="E420" s="1014">
        <v>3898</v>
      </c>
      <c r="F420" s="1013" t="s">
        <v>4850</v>
      </c>
      <c r="G420" s="1014" t="s">
        <v>266</v>
      </c>
      <c r="H420" s="1015">
        <v>7288847</v>
      </c>
      <c r="I420" s="1016" t="s">
        <v>6899</v>
      </c>
    </row>
    <row r="421" spans="2:9" ht="15.75" x14ac:dyDescent="0.25">
      <c r="B421" s="1365" t="s">
        <v>7169</v>
      </c>
      <c r="C421" s="1013" t="s">
        <v>4420</v>
      </c>
      <c r="D421" s="1013" t="s">
        <v>4420</v>
      </c>
      <c r="E421" s="1014">
        <v>3899</v>
      </c>
      <c r="F421" s="1013" t="s">
        <v>4851</v>
      </c>
      <c r="G421" s="1014" t="s">
        <v>266</v>
      </c>
      <c r="H421" s="1015">
        <v>8410442</v>
      </c>
      <c r="I421" s="1016" t="s">
        <v>6899</v>
      </c>
    </row>
    <row r="422" spans="2:9" ht="15.75" x14ac:dyDescent="0.25">
      <c r="B422" s="1365" t="s">
        <v>7169</v>
      </c>
      <c r="C422" s="1013" t="s">
        <v>4420</v>
      </c>
      <c r="D422" s="1013" t="s">
        <v>4420</v>
      </c>
      <c r="E422" s="1014">
        <v>3900</v>
      </c>
      <c r="F422" s="1013" t="s">
        <v>4852</v>
      </c>
      <c r="G422" s="1014" t="s">
        <v>13</v>
      </c>
      <c r="H422" s="1015">
        <v>2184909</v>
      </c>
      <c r="I422" s="1016" t="s">
        <v>6899</v>
      </c>
    </row>
    <row r="423" spans="2:9" ht="15.75" x14ac:dyDescent="0.25">
      <c r="B423" s="1365" t="s">
        <v>7169</v>
      </c>
      <c r="C423" s="1013" t="s">
        <v>4420</v>
      </c>
      <c r="D423" s="1013" t="s">
        <v>4420</v>
      </c>
      <c r="E423" s="1014">
        <v>3901</v>
      </c>
      <c r="F423" s="1013" t="s">
        <v>4853</v>
      </c>
      <c r="G423" s="1014" t="s">
        <v>13</v>
      </c>
      <c r="H423" s="1015">
        <v>19785</v>
      </c>
      <c r="I423" s="1016" t="s">
        <v>4398</v>
      </c>
    </row>
    <row r="424" spans="2:9" ht="15.75" x14ac:dyDescent="0.25">
      <c r="B424" s="1365" t="s">
        <v>7169</v>
      </c>
      <c r="C424" s="1013" t="s">
        <v>4420</v>
      </c>
      <c r="D424" s="1013" t="s">
        <v>4420</v>
      </c>
      <c r="E424" s="1014">
        <v>3902</v>
      </c>
      <c r="F424" s="1013" t="s">
        <v>4854</v>
      </c>
      <c r="G424" s="1014" t="s">
        <v>13</v>
      </c>
      <c r="H424" s="1015">
        <v>36731</v>
      </c>
      <c r="I424" s="1016" t="s">
        <v>4398</v>
      </c>
    </row>
    <row r="425" spans="2:9" ht="15.75" x14ac:dyDescent="0.25">
      <c r="B425" s="1365" t="s">
        <v>7169</v>
      </c>
      <c r="C425" s="1013" t="s">
        <v>4420</v>
      </c>
      <c r="D425" s="1013" t="s">
        <v>4420</v>
      </c>
      <c r="E425" s="1014">
        <v>3903</v>
      </c>
      <c r="F425" s="1013" t="s">
        <v>4855</v>
      </c>
      <c r="G425" s="1014" t="s">
        <v>13</v>
      </c>
      <c r="H425" s="1015">
        <v>59926</v>
      </c>
      <c r="I425" s="1016" t="s">
        <v>4398</v>
      </c>
    </row>
    <row r="426" spans="2:9" ht="15.75" x14ac:dyDescent="0.25">
      <c r="B426" s="1365" t="s">
        <v>7169</v>
      </c>
      <c r="C426" s="1013" t="s">
        <v>4420</v>
      </c>
      <c r="D426" s="1013" t="s">
        <v>4420</v>
      </c>
      <c r="E426" s="1014">
        <v>3904</v>
      </c>
      <c r="F426" s="1013" t="s">
        <v>4856</v>
      </c>
      <c r="G426" s="1014" t="s">
        <v>13</v>
      </c>
      <c r="H426" s="1015">
        <v>29400</v>
      </c>
      <c r="I426" s="1016" t="s">
        <v>4398</v>
      </c>
    </row>
    <row r="427" spans="2:9" ht="15.75" x14ac:dyDescent="0.25">
      <c r="B427" s="1365" t="s">
        <v>7169</v>
      </c>
      <c r="C427" s="1013" t="s">
        <v>4420</v>
      </c>
      <c r="D427" s="1013" t="s">
        <v>4420</v>
      </c>
      <c r="E427" s="1014">
        <v>3905</v>
      </c>
      <c r="F427" s="1013" t="s">
        <v>4857</v>
      </c>
      <c r="G427" s="1014" t="s">
        <v>13</v>
      </c>
      <c r="H427" s="1015">
        <v>79349</v>
      </c>
      <c r="I427" s="1016" t="s">
        <v>4398</v>
      </c>
    </row>
    <row r="428" spans="2:9" ht="15.75" x14ac:dyDescent="0.25">
      <c r="B428" s="1365" t="s">
        <v>7169</v>
      </c>
      <c r="C428" s="1013" t="s">
        <v>4420</v>
      </c>
      <c r="D428" s="1013" t="s">
        <v>4420</v>
      </c>
      <c r="E428" s="1014">
        <v>3906</v>
      </c>
      <c r="F428" s="1013" t="s">
        <v>4858</v>
      </c>
      <c r="G428" s="1014" t="s">
        <v>13</v>
      </c>
      <c r="H428" s="1015">
        <v>1743347</v>
      </c>
      <c r="I428" s="1016" t="s">
        <v>6899</v>
      </c>
    </row>
    <row r="429" spans="2:9" ht="15.75" x14ac:dyDescent="0.25">
      <c r="B429" s="1365" t="s">
        <v>7169</v>
      </c>
      <c r="C429" s="1013" t="s">
        <v>4420</v>
      </c>
      <c r="D429" s="1013" t="s">
        <v>4420</v>
      </c>
      <c r="E429" s="1014">
        <v>3907</v>
      </c>
      <c r="F429" s="1013" t="s">
        <v>4859</v>
      </c>
      <c r="G429" s="1014" t="s">
        <v>13</v>
      </c>
      <c r="H429" s="1015">
        <v>1787246</v>
      </c>
      <c r="I429" s="1016" t="s">
        <v>6899</v>
      </c>
    </row>
    <row r="430" spans="2:9" ht="15.75" x14ac:dyDescent="0.25">
      <c r="B430" s="1365" t="s">
        <v>7169</v>
      </c>
      <c r="C430" s="1013" t="s">
        <v>4420</v>
      </c>
      <c r="D430" s="1013" t="s">
        <v>4420</v>
      </c>
      <c r="E430" s="1014">
        <v>3908</v>
      </c>
      <c r="F430" s="1013" t="s">
        <v>4860</v>
      </c>
      <c r="G430" s="1014" t="s">
        <v>266</v>
      </c>
      <c r="H430" s="1015">
        <v>3552868</v>
      </c>
      <c r="I430" s="1016" t="s">
        <v>6899</v>
      </c>
    </row>
    <row r="431" spans="2:9" ht="15.75" x14ac:dyDescent="0.25">
      <c r="B431" s="1365" t="s">
        <v>7169</v>
      </c>
      <c r="C431" s="1013" t="s">
        <v>4420</v>
      </c>
      <c r="D431" s="1013" t="s">
        <v>4420</v>
      </c>
      <c r="E431" s="1014">
        <v>3909</v>
      </c>
      <c r="F431" s="1013" t="s">
        <v>4861</v>
      </c>
      <c r="G431" s="1014" t="s">
        <v>266</v>
      </c>
      <c r="H431" s="1015">
        <v>3480761</v>
      </c>
      <c r="I431" s="1016" t="s">
        <v>6899</v>
      </c>
    </row>
    <row r="432" spans="2:9" ht="15.75" x14ac:dyDescent="0.25">
      <c r="B432" s="1365" t="s">
        <v>7169</v>
      </c>
      <c r="C432" s="1013" t="s">
        <v>4468</v>
      </c>
      <c r="D432" s="1013" t="s">
        <v>4650</v>
      </c>
      <c r="E432" s="1014">
        <v>3910</v>
      </c>
      <c r="F432" s="1013" t="s">
        <v>4862</v>
      </c>
      <c r="G432" s="1014" t="s">
        <v>3</v>
      </c>
      <c r="H432" s="1015">
        <v>681623</v>
      </c>
      <c r="I432" s="1016" t="s">
        <v>6899</v>
      </c>
    </row>
    <row r="433" spans="2:9" ht="15.75" x14ac:dyDescent="0.25">
      <c r="B433" s="1365" t="s">
        <v>7169</v>
      </c>
      <c r="C433" s="1013" t="s">
        <v>4420</v>
      </c>
      <c r="D433" s="1013" t="s">
        <v>4420</v>
      </c>
      <c r="E433" s="1014">
        <v>3919</v>
      </c>
      <c r="F433" s="1013" t="s">
        <v>4863</v>
      </c>
      <c r="G433" s="1014" t="s">
        <v>13</v>
      </c>
      <c r="H433" s="1015">
        <v>605940</v>
      </c>
      <c r="I433" s="1016" t="s">
        <v>4398</v>
      </c>
    </row>
    <row r="434" spans="2:9" ht="15.75" x14ac:dyDescent="0.25">
      <c r="B434" s="1365" t="s">
        <v>7169</v>
      </c>
      <c r="C434" s="1013" t="s">
        <v>4420</v>
      </c>
      <c r="D434" s="1013" t="s">
        <v>4420</v>
      </c>
      <c r="E434" s="1014">
        <v>3920</v>
      </c>
      <c r="F434" s="1013" t="s">
        <v>4864</v>
      </c>
      <c r="G434" s="1014" t="s">
        <v>13</v>
      </c>
      <c r="H434" s="1015">
        <v>718061</v>
      </c>
      <c r="I434" s="1016" t="s">
        <v>4398</v>
      </c>
    </row>
    <row r="435" spans="2:9" ht="15.75" x14ac:dyDescent="0.25">
      <c r="B435" s="1365" t="s">
        <v>7169</v>
      </c>
      <c r="C435" s="1013" t="s">
        <v>4420</v>
      </c>
      <c r="D435" s="1013" t="s">
        <v>4420</v>
      </c>
      <c r="E435" s="1014">
        <v>3921</v>
      </c>
      <c r="F435" s="1013" t="s">
        <v>4865</v>
      </c>
      <c r="G435" s="1014" t="s">
        <v>13</v>
      </c>
      <c r="H435" s="1015">
        <v>887629</v>
      </c>
      <c r="I435" s="1016" t="s">
        <v>4398</v>
      </c>
    </row>
    <row r="436" spans="2:9" ht="15.75" x14ac:dyDescent="0.25">
      <c r="B436" s="1365" t="s">
        <v>7169</v>
      </c>
      <c r="C436" s="1013" t="s">
        <v>4420</v>
      </c>
      <c r="D436" s="1013" t="s">
        <v>4420</v>
      </c>
      <c r="E436" s="1014">
        <v>3922</v>
      </c>
      <c r="F436" s="1013" t="s">
        <v>4866</v>
      </c>
      <c r="G436" s="1014" t="s">
        <v>13</v>
      </c>
      <c r="H436" s="1015">
        <v>1177536</v>
      </c>
      <c r="I436" s="1016" t="s">
        <v>4398</v>
      </c>
    </row>
    <row r="437" spans="2:9" ht="15.75" x14ac:dyDescent="0.25">
      <c r="B437" s="1365" t="s">
        <v>7169</v>
      </c>
      <c r="C437" s="1013" t="s">
        <v>4420</v>
      </c>
      <c r="D437" s="1013" t="s">
        <v>4420</v>
      </c>
      <c r="E437" s="1014">
        <v>3923</v>
      </c>
      <c r="F437" s="1013" t="s">
        <v>4867</v>
      </c>
      <c r="G437" s="1014" t="s">
        <v>13</v>
      </c>
      <c r="H437" s="1015">
        <v>1616007</v>
      </c>
      <c r="I437" s="1016" t="s">
        <v>4398</v>
      </c>
    </row>
    <row r="438" spans="2:9" ht="15.75" x14ac:dyDescent="0.25">
      <c r="B438" s="1365" t="s">
        <v>7169</v>
      </c>
      <c r="C438" s="1013" t="s">
        <v>4420</v>
      </c>
      <c r="D438" s="1013" t="s">
        <v>4420</v>
      </c>
      <c r="E438" s="1014">
        <v>3924</v>
      </c>
      <c r="F438" s="1013" t="s">
        <v>4868</v>
      </c>
      <c r="G438" s="1014" t="s">
        <v>13</v>
      </c>
      <c r="H438" s="1015">
        <v>2143199</v>
      </c>
      <c r="I438" s="1016" t="s">
        <v>4398</v>
      </c>
    </row>
    <row r="439" spans="2:9" ht="15.75" x14ac:dyDescent="0.25">
      <c r="B439" s="1365" t="s">
        <v>7169</v>
      </c>
      <c r="C439" s="1013" t="s">
        <v>4420</v>
      </c>
      <c r="D439" s="1013" t="s">
        <v>4420</v>
      </c>
      <c r="E439" s="1014">
        <v>3925</v>
      </c>
      <c r="F439" s="1013" t="s">
        <v>4869</v>
      </c>
      <c r="G439" s="1014" t="s">
        <v>13</v>
      </c>
      <c r="H439" s="1015">
        <v>2503708</v>
      </c>
      <c r="I439" s="1016" t="s">
        <v>4398</v>
      </c>
    </row>
    <row r="440" spans="2:9" ht="15.75" x14ac:dyDescent="0.25">
      <c r="B440" s="1365" t="s">
        <v>7169</v>
      </c>
      <c r="C440" s="1013" t="s">
        <v>4420</v>
      </c>
      <c r="D440" s="1013" t="s">
        <v>4420</v>
      </c>
      <c r="E440" s="1014">
        <v>3932</v>
      </c>
      <c r="F440" s="1013" t="s">
        <v>4870</v>
      </c>
      <c r="G440" s="1014" t="s">
        <v>13</v>
      </c>
      <c r="H440" s="1015">
        <v>68248</v>
      </c>
      <c r="I440" s="1016" t="s">
        <v>6899</v>
      </c>
    </row>
    <row r="441" spans="2:9" ht="15.75" x14ac:dyDescent="0.25">
      <c r="B441" s="1365" t="s">
        <v>7169</v>
      </c>
      <c r="C441" s="1013" t="s">
        <v>4420</v>
      </c>
      <c r="D441" s="1013" t="s">
        <v>4420</v>
      </c>
      <c r="E441" s="1014">
        <v>3933</v>
      </c>
      <c r="F441" s="1013" t="s">
        <v>4871</v>
      </c>
      <c r="G441" s="1014" t="s">
        <v>13</v>
      </c>
      <c r="H441" s="1015">
        <v>105479</v>
      </c>
      <c r="I441" s="1016" t="s">
        <v>6899</v>
      </c>
    </row>
    <row r="442" spans="2:9" ht="15.75" x14ac:dyDescent="0.25">
      <c r="B442" s="1365" t="s">
        <v>7169</v>
      </c>
      <c r="C442" s="1013" t="s">
        <v>4420</v>
      </c>
      <c r="D442" s="1013" t="s">
        <v>4420</v>
      </c>
      <c r="E442" s="1014">
        <v>3934</v>
      </c>
      <c r="F442" s="1013" t="s">
        <v>4872</v>
      </c>
      <c r="G442" s="1014" t="s">
        <v>13</v>
      </c>
      <c r="H442" s="1015">
        <v>183872</v>
      </c>
      <c r="I442" s="1016" t="s">
        <v>6899</v>
      </c>
    </row>
    <row r="443" spans="2:9" ht="15.75" x14ac:dyDescent="0.25">
      <c r="B443" s="1365" t="s">
        <v>7169</v>
      </c>
      <c r="C443" s="1013" t="s">
        <v>4420</v>
      </c>
      <c r="D443" s="1013" t="s">
        <v>4420</v>
      </c>
      <c r="E443" s="1014">
        <v>3935</v>
      </c>
      <c r="F443" s="1013" t="s">
        <v>4873</v>
      </c>
      <c r="G443" s="1014" t="s">
        <v>13</v>
      </c>
      <c r="H443" s="1015">
        <v>232487</v>
      </c>
      <c r="I443" s="1016" t="s">
        <v>6899</v>
      </c>
    </row>
    <row r="444" spans="2:9" ht="15.75" x14ac:dyDescent="0.25">
      <c r="B444" s="1365" t="s">
        <v>7169</v>
      </c>
      <c r="C444" s="1013" t="s">
        <v>4420</v>
      </c>
      <c r="D444" s="1013" t="s">
        <v>4420</v>
      </c>
      <c r="E444" s="1014">
        <v>3936</v>
      </c>
      <c r="F444" s="1013" t="s">
        <v>4874</v>
      </c>
      <c r="G444" s="1014" t="s">
        <v>13</v>
      </c>
      <c r="H444" s="1015">
        <v>297534</v>
      </c>
      <c r="I444" s="1016" t="s">
        <v>6899</v>
      </c>
    </row>
    <row r="445" spans="2:9" ht="15.75" x14ac:dyDescent="0.25">
      <c r="B445" s="1365" t="s">
        <v>7169</v>
      </c>
      <c r="C445" s="1013" t="s">
        <v>4420</v>
      </c>
      <c r="D445" s="1013" t="s">
        <v>4420</v>
      </c>
      <c r="E445" s="1014">
        <v>3937</v>
      </c>
      <c r="F445" s="1013" t="s">
        <v>4875</v>
      </c>
      <c r="G445" s="1014" t="s">
        <v>13</v>
      </c>
      <c r="H445" s="1015">
        <v>390306</v>
      </c>
      <c r="I445" s="1016" t="s">
        <v>6899</v>
      </c>
    </row>
    <row r="446" spans="2:9" ht="15.75" x14ac:dyDescent="0.25">
      <c r="B446" s="1365" t="s">
        <v>7169</v>
      </c>
      <c r="C446" s="1013" t="s">
        <v>4420</v>
      </c>
      <c r="D446" s="1013" t="s">
        <v>4420</v>
      </c>
      <c r="E446" s="1014">
        <v>3938</v>
      </c>
      <c r="F446" s="1013" t="s">
        <v>4876</v>
      </c>
      <c r="G446" s="1014" t="s">
        <v>13</v>
      </c>
      <c r="H446" s="1015">
        <v>468172</v>
      </c>
      <c r="I446" s="1016" t="s">
        <v>6899</v>
      </c>
    </row>
    <row r="447" spans="2:9" ht="15.75" x14ac:dyDescent="0.25">
      <c r="B447" s="1365" t="s">
        <v>7169</v>
      </c>
      <c r="C447" s="1013" t="s">
        <v>4420</v>
      </c>
      <c r="D447" s="1013" t="s">
        <v>4420</v>
      </c>
      <c r="E447" s="1014">
        <v>3939</v>
      </c>
      <c r="F447" s="1013" t="s">
        <v>4877</v>
      </c>
      <c r="G447" s="1014" t="s">
        <v>13</v>
      </c>
      <c r="H447" s="1015">
        <v>664598</v>
      </c>
      <c r="I447" s="1016" t="s">
        <v>6899</v>
      </c>
    </row>
    <row r="448" spans="2:9" ht="15.75" x14ac:dyDescent="0.25">
      <c r="B448" s="1365" t="s">
        <v>7169</v>
      </c>
      <c r="C448" s="1013" t="s">
        <v>4420</v>
      </c>
      <c r="D448" s="1013" t="s">
        <v>4420</v>
      </c>
      <c r="E448" s="1014">
        <v>3944</v>
      </c>
      <c r="F448" s="1013" t="s">
        <v>4878</v>
      </c>
      <c r="G448" s="1014" t="s">
        <v>13</v>
      </c>
      <c r="H448" s="1015">
        <v>718614</v>
      </c>
      <c r="I448" s="1016" t="s">
        <v>6899</v>
      </c>
    </row>
    <row r="449" spans="2:9" ht="15.75" x14ac:dyDescent="0.25">
      <c r="B449" s="1365" t="s">
        <v>7169</v>
      </c>
      <c r="C449" s="1013" t="s">
        <v>4420</v>
      </c>
      <c r="D449" s="1013" t="s">
        <v>4420</v>
      </c>
      <c r="E449" s="1014">
        <v>3945</v>
      </c>
      <c r="F449" s="1013" t="s">
        <v>4879</v>
      </c>
      <c r="G449" s="1014" t="s">
        <v>13</v>
      </c>
      <c r="H449" s="1015">
        <v>871324</v>
      </c>
      <c r="I449" s="1016" t="s">
        <v>6899</v>
      </c>
    </row>
    <row r="450" spans="2:9" ht="15.75" x14ac:dyDescent="0.25">
      <c r="B450" s="1365" t="s">
        <v>7169</v>
      </c>
      <c r="C450" s="1013" t="s">
        <v>4420</v>
      </c>
      <c r="D450" s="1013" t="s">
        <v>4420</v>
      </c>
      <c r="E450" s="1014">
        <v>3946</v>
      </c>
      <c r="F450" s="1013" t="s">
        <v>4880</v>
      </c>
      <c r="G450" s="1014" t="s">
        <v>13</v>
      </c>
      <c r="H450" s="1015">
        <v>1056981</v>
      </c>
      <c r="I450" s="1016" t="s">
        <v>6899</v>
      </c>
    </row>
    <row r="451" spans="2:9" ht="15.75" x14ac:dyDescent="0.25">
      <c r="B451" s="1365" t="s">
        <v>7169</v>
      </c>
      <c r="C451" s="1013" t="s">
        <v>4420</v>
      </c>
      <c r="D451" s="1013" t="s">
        <v>4420</v>
      </c>
      <c r="E451" s="1014">
        <v>3947</v>
      </c>
      <c r="F451" s="1013" t="s">
        <v>4881</v>
      </c>
      <c r="G451" s="1014" t="s">
        <v>13</v>
      </c>
      <c r="H451" s="1015">
        <v>1328441</v>
      </c>
      <c r="I451" s="1016" t="s">
        <v>6899</v>
      </c>
    </row>
    <row r="452" spans="2:9" ht="15.75" x14ac:dyDescent="0.25">
      <c r="B452" s="1365" t="s">
        <v>7169</v>
      </c>
      <c r="C452" s="1013" t="s">
        <v>4420</v>
      </c>
      <c r="D452" s="1013" t="s">
        <v>4420</v>
      </c>
      <c r="E452" s="1014">
        <v>3948</v>
      </c>
      <c r="F452" s="1013" t="s">
        <v>4882</v>
      </c>
      <c r="G452" s="1014" t="s">
        <v>13</v>
      </c>
      <c r="H452" s="1015">
        <v>1646247</v>
      </c>
      <c r="I452" s="1016" t="s">
        <v>6899</v>
      </c>
    </row>
    <row r="453" spans="2:9" ht="15.75" x14ac:dyDescent="0.25">
      <c r="B453" s="1365" t="s">
        <v>7169</v>
      </c>
      <c r="C453" s="1013" t="s">
        <v>4420</v>
      </c>
      <c r="D453" s="1013" t="s">
        <v>4420</v>
      </c>
      <c r="E453" s="1014">
        <v>3949</v>
      </c>
      <c r="F453" s="1013" t="s">
        <v>4883</v>
      </c>
      <c r="G453" s="1014" t="s">
        <v>13</v>
      </c>
      <c r="H453" s="1015">
        <v>1863233</v>
      </c>
      <c r="I453" s="1016" t="s">
        <v>6899</v>
      </c>
    </row>
    <row r="454" spans="2:9" ht="15.75" x14ac:dyDescent="0.25">
      <c r="B454" s="1365" t="s">
        <v>7169</v>
      </c>
      <c r="C454" s="1013" t="s">
        <v>4420</v>
      </c>
      <c r="D454" s="1013" t="s">
        <v>4420</v>
      </c>
      <c r="E454" s="1014">
        <v>3950</v>
      </c>
      <c r="F454" s="1013" t="s">
        <v>4884</v>
      </c>
      <c r="G454" s="1014" t="s">
        <v>13</v>
      </c>
      <c r="H454" s="1015">
        <v>2209300</v>
      </c>
      <c r="I454" s="1016" t="s">
        <v>6899</v>
      </c>
    </row>
    <row r="455" spans="2:9" ht="15.75" x14ac:dyDescent="0.25">
      <c r="B455" s="1365" t="s">
        <v>7169</v>
      </c>
      <c r="C455" s="1013" t="s">
        <v>4420</v>
      </c>
      <c r="D455" s="1013" t="s">
        <v>4420</v>
      </c>
      <c r="E455" s="1014">
        <v>3951</v>
      </c>
      <c r="F455" s="1013" t="s">
        <v>4885</v>
      </c>
      <c r="G455" s="1014" t="s">
        <v>13</v>
      </c>
      <c r="H455" s="1015">
        <v>2482400</v>
      </c>
      <c r="I455" s="1016" t="s">
        <v>6899</v>
      </c>
    </row>
    <row r="456" spans="2:9" ht="15.75" x14ac:dyDescent="0.25">
      <c r="B456" s="1365" t="s">
        <v>7169</v>
      </c>
      <c r="C456" s="1013" t="s">
        <v>4420</v>
      </c>
      <c r="D456" s="1013" t="s">
        <v>4420</v>
      </c>
      <c r="E456" s="1014">
        <v>3952</v>
      </c>
      <c r="F456" s="1013" t="s">
        <v>4886</v>
      </c>
      <c r="G456" s="1014" t="s">
        <v>13</v>
      </c>
      <c r="H456" s="1015">
        <v>2810910</v>
      </c>
      <c r="I456" s="1016" t="s">
        <v>6899</v>
      </c>
    </row>
    <row r="457" spans="2:9" ht="15.75" x14ac:dyDescent="0.25">
      <c r="B457" s="1365" t="s">
        <v>7169</v>
      </c>
      <c r="C457" s="1013" t="s">
        <v>4420</v>
      </c>
      <c r="D457" s="1013" t="s">
        <v>4420</v>
      </c>
      <c r="E457" s="1014">
        <v>3953</v>
      </c>
      <c r="F457" s="1013" t="s">
        <v>4887</v>
      </c>
      <c r="G457" s="1014" t="s">
        <v>13</v>
      </c>
      <c r="H457" s="1015">
        <v>3145403</v>
      </c>
      <c r="I457" s="1016" t="s">
        <v>6899</v>
      </c>
    </row>
    <row r="458" spans="2:9" ht="15.75" x14ac:dyDescent="0.25">
      <c r="B458" s="1365" t="s">
        <v>7169</v>
      </c>
      <c r="C458" s="1013" t="s">
        <v>4420</v>
      </c>
      <c r="D458" s="1013" t="s">
        <v>4420</v>
      </c>
      <c r="E458" s="1014">
        <v>3954</v>
      </c>
      <c r="F458" s="1013" t="s">
        <v>4888</v>
      </c>
      <c r="G458" s="1014" t="s">
        <v>13</v>
      </c>
      <c r="H458" s="1015">
        <v>3519980</v>
      </c>
      <c r="I458" s="1016" t="s">
        <v>6899</v>
      </c>
    </row>
    <row r="459" spans="2:9" ht="15.75" x14ac:dyDescent="0.25">
      <c r="B459" s="1365" t="s">
        <v>7169</v>
      </c>
      <c r="C459" s="1013" t="s">
        <v>4420</v>
      </c>
      <c r="D459" s="1013" t="s">
        <v>4420</v>
      </c>
      <c r="E459" s="1014">
        <v>3955</v>
      </c>
      <c r="F459" s="1013" t="s">
        <v>4889</v>
      </c>
      <c r="G459" s="1014" t="s">
        <v>13</v>
      </c>
      <c r="H459" s="1015">
        <v>3937882</v>
      </c>
      <c r="I459" s="1016" t="s">
        <v>6899</v>
      </c>
    </row>
    <row r="460" spans="2:9" ht="15.75" x14ac:dyDescent="0.25">
      <c r="B460" s="1365" t="s">
        <v>7169</v>
      </c>
      <c r="C460" s="1013" t="s">
        <v>4420</v>
      </c>
      <c r="D460" s="1013" t="s">
        <v>4420</v>
      </c>
      <c r="E460" s="1014">
        <v>3956</v>
      </c>
      <c r="F460" s="1013" t="s">
        <v>4890</v>
      </c>
      <c r="G460" s="1014" t="s">
        <v>13</v>
      </c>
      <c r="H460" s="1015">
        <v>4404311</v>
      </c>
      <c r="I460" s="1016" t="s">
        <v>6899</v>
      </c>
    </row>
    <row r="461" spans="2:9" ht="15.75" x14ac:dyDescent="0.25">
      <c r="B461" s="1365" t="s">
        <v>7169</v>
      </c>
      <c r="C461" s="1013" t="s">
        <v>4420</v>
      </c>
      <c r="D461" s="1013" t="s">
        <v>4420</v>
      </c>
      <c r="E461" s="1014">
        <v>3957</v>
      </c>
      <c r="F461" s="1013" t="s">
        <v>4891</v>
      </c>
      <c r="G461" s="1014" t="s">
        <v>13</v>
      </c>
      <c r="H461" s="1015">
        <v>5454836</v>
      </c>
      <c r="I461" s="1016" t="s">
        <v>6899</v>
      </c>
    </row>
    <row r="462" spans="2:9" ht="15.75" x14ac:dyDescent="0.25">
      <c r="B462" s="1365" t="s">
        <v>7169</v>
      </c>
      <c r="C462" s="1013" t="s">
        <v>4420</v>
      </c>
      <c r="D462" s="1013" t="s">
        <v>4420</v>
      </c>
      <c r="E462" s="1014">
        <v>3958</v>
      </c>
      <c r="F462" s="1013" t="s">
        <v>4892</v>
      </c>
      <c r="G462" s="1014" t="s">
        <v>13</v>
      </c>
      <c r="H462" s="1015">
        <v>6121959</v>
      </c>
      <c r="I462" s="1016" t="s">
        <v>6899</v>
      </c>
    </row>
    <row r="463" spans="2:9" ht="15.75" x14ac:dyDescent="0.25">
      <c r="B463" s="1365" t="s">
        <v>7169</v>
      </c>
      <c r="C463" s="1013" t="s">
        <v>4420</v>
      </c>
      <c r="D463" s="1013" t="s">
        <v>4420</v>
      </c>
      <c r="E463" s="1014">
        <v>3959</v>
      </c>
      <c r="F463" s="1013" t="s">
        <v>4893</v>
      </c>
      <c r="G463" s="1014" t="s">
        <v>13</v>
      </c>
      <c r="H463" s="1015">
        <v>6854035</v>
      </c>
      <c r="I463" s="1016" t="s">
        <v>6899</v>
      </c>
    </row>
    <row r="464" spans="2:9" ht="15.75" x14ac:dyDescent="0.25">
      <c r="B464" s="1365" t="s">
        <v>7169</v>
      </c>
      <c r="C464" s="1013" t="s">
        <v>4420</v>
      </c>
      <c r="D464" s="1013" t="s">
        <v>4420</v>
      </c>
      <c r="E464" s="1014">
        <v>3960</v>
      </c>
      <c r="F464" s="1013" t="s">
        <v>4894</v>
      </c>
      <c r="G464" s="1014" t="s">
        <v>13</v>
      </c>
      <c r="H464" s="1015">
        <v>718614</v>
      </c>
      <c r="I464" s="1016" t="s">
        <v>6899</v>
      </c>
    </row>
    <row r="465" spans="2:9" ht="15.75" x14ac:dyDescent="0.25">
      <c r="B465" s="1365" t="s">
        <v>7169</v>
      </c>
      <c r="C465" s="1013" t="s">
        <v>4420</v>
      </c>
      <c r="D465" s="1013" t="s">
        <v>4420</v>
      </c>
      <c r="E465" s="1014">
        <v>3961</v>
      </c>
      <c r="F465" s="1013" t="s">
        <v>4895</v>
      </c>
      <c r="G465" s="1014" t="s">
        <v>13</v>
      </c>
      <c r="H465" s="1015">
        <v>894408</v>
      </c>
      <c r="I465" s="1016" t="s">
        <v>6899</v>
      </c>
    </row>
    <row r="466" spans="2:9" ht="15.75" x14ac:dyDescent="0.25">
      <c r="B466" s="1365" t="s">
        <v>7169</v>
      </c>
      <c r="C466" s="1013" t="s">
        <v>4420</v>
      </c>
      <c r="D466" s="1013" t="s">
        <v>4420</v>
      </c>
      <c r="E466" s="1014">
        <v>3963</v>
      </c>
      <c r="F466" s="1013" t="s">
        <v>4896</v>
      </c>
      <c r="G466" s="1014" t="s">
        <v>13</v>
      </c>
      <c r="H466" s="1015">
        <v>1360535</v>
      </c>
      <c r="I466" s="1016" t="s">
        <v>6899</v>
      </c>
    </row>
    <row r="467" spans="2:9" ht="15.75" x14ac:dyDescent="0.25">
      <c r="B467" s="1365" t="s">
        <v>7169</v>
      </c>
      <c r="C467" s="1013" t="s">
        <v>4420</v>
      </c>
      <c r="D467" s="1013" t="s">
        <v>4420</v>
      </c>
      <c r="E467" s="1014">
        <v>3964</v>
      </c>
      <c r="F467" s="1013" t="s">
        <v>4897</v>
      </c>
      <c r="G467" s="1014" t="s">
        <v>13</v>
      </c>
      <c r="H467" s="1015">
        <v>1687190</v>
      </c>
      <c r="I467" s="1016" t="s">
        <v>6899</v>
      </c>
    </row>
    <row r="468" spans="2:9" ht="15.75" x14ac:dyDescent="0.25">
      <c r="B468" s="1365" t="s">
        <v>7169</v>
      </c>
      <c r="C468" s="1013" t="s">
        <v>4420</v>
      </c>
      <c r="D468" s="1013" t="s">
        <v>4420</v>
      </c>
      <c r="E468" s="1014">
        <v>3965</v>
      </c>
      <c r="F468" s="1013" t="s">
        <v>4898</v>
      </c>
      <c r="G468" s="1014" t="s">
        <v>13</v>
      </c>
      <c r="H468" s="1015">
        <v>1900711</v>
      </c>
      <c r="I468" s="1016" t="s">
        <v>6899</v>
      </c>
    </row>
    <row r="469" spans="2:9" ht="15.75" x14ac:dyDescent="0.25">
      <c r="B469" s="1365" t="s">
        <v>7169</v>
      </c>
      <c r="C469" s="1013" t="s">
        <v>4420</v>
      </c>
      <c r="D469" s="1013" t="s">
        <v>4420</v>
      </c>
      <c r="E469" s="1014">
        <v>3966</v>
      </c>
      <c r="F469" s="1013" t="s">
        <v>4899</v>
      </c>
      <c r="G469" s="1014" t="s">
        <v>13</v>
      </c>
      <c r="H469" s="1015">
        <v>2262771</v>
      </c>
      <c r="I469" s="1016" t="s">
        <v>6899</v>
      </c>
    </row>
    <row r="470" spans="2:9" ht="15.75" x14ac:dyDescent="0.25">
      <c r="B470" s="1365" t="s">
        <v>7169</v>
      </c>
      <c r="C470" s="1013" t="s">
        <v>4420</v>
      </c>
      <c r="D470" s="1013" t="s">
        <v>4420</v>
      </c>
      <c r="E470" s="1014">
        <v>3967</v>
      </c>
      <c r="F470" s="1013" t="s">
        <v>4900</v>
      </c>
      <c r="G470" s="1014" t="s">
        <v>13</v>
      </c>
      <c r="H470" s="1015">
        <v>2546535</v>
      </c>
      <c r="I470" s="1016" t="s">
        <v>6899</v>
      </c>
    </row>
    <row r="471" spans="2:9" ht="15.75" x14ac:dyDescent="0.25">
      <c r="B471" s="1365" t="s">
        <v>7169</v>
      </c>
      <c r="C471" s="1013" t="s">
        <v>4420</v>
      </c>
      <c r="D471" s="1013" t="s">
        <v>4420</v>
      </c>
      <c r="E471" s="1014">
        <v>3968</v>
      </c>
      <c r="F471" s="1013" t="s">
        <v>4901</v>
      </c>
      <c r="G471" s="1014" t="s">
        <v>13</v>
      </c>
      <c r="H471" s="1015">
        <v>2848495</v>
      </c>
      <c r="I471" s="1016" t="s">
        <v>6899</v>
      </c>
    </row>
    <row r="472" spans="2:9" ht="15.75" x14ac:dyDescent="0.25">
      <c r="B472" s="1365" t="s">
        <v>7169</v>
      </c>
      <c r="C472" s="1013" t="s">
        <v>4420</v>
      </c>
      <c r="D472" s="1013" t="s">
        <v>4420</v>
      </c>
      <c r="E472" s="1014">
        <v>3969</v>
      </c>
      <c r="F472" s="1013" t="s">
        <v>4902</v>
      </c>
      <c r="G472" s="1014" t="s">
        <v>13</v>
      </c>
      <c r="H472" s="1015">
        <v>3573178</v>
      </c>
      <c r="I472" s="1016" t="s">
        <v>6899</v>
      </c>
    </row>
    <row r="473" spans="2:9" ht="15.75" x14ac:dyDescent="0.25">
      <c r="B473" s="1365" t="s">
        <v>7169</v>
      </c>
      <c r="C473" s="1013" t="s">
        <v>4420</v>
      </c>
      <c r="D473" s="1013" t="s">
        <v>4420</v>
      </c>
      <c r="E473" s="1014">
        <v>3970</v>
      </c>
      <c r="F473" s="1013" t="s">
        <v>4903</v>
      </c>
      <c r="G473" s="1014" t="s">
        <v>13</v>
      </c>
      <c r="H473" s="1015">
        <v>3601868</v>
      </c>
      <c r="I473" s="1016" t="s">
        <v>6899</v>
      </c>
    </row>
    <row r="474" spans="2:9" ht="15.75" x14ac:dyDescent="0.25">
      <c r="B474" s="1365" t="s">
        <v>7169</v>
      </c>
      <c r="C474" s="1013" t="s">
        <v>4420</v>
      </c>
      <c r="D474" s="1013" t="s">
        <v>4420</v>
      </c>
      <c r="E474" s="1014">
        <v>3971</v>
      </c>
      <c r="F474" s="1013" t="s">
        <v>4904</v>
      </c>
      <c r="G474" s="1014" t="s">
        <v>13</v>
      </c>
      <c r="H474" s="1015">
        <v>4199803</v>
      </c>
      <c r="I474" s="1016" t="s">
        <v>6899</v>
      </c>
    </row>
    <row r="475" spans="2:9" ht="15.75" x14ac:dyDescent="0.25">
      <c r="B475" s="1365" t="s">
        <v>7169</v>
      </c>
      <c r="C475" s="1013" t="s">
        <v>4420</v>
      </c>
      <c r="D475" s="1013" t="s">
        <v>4420</v>
      </c>
      <c r="E475" s="1014">
        <v>3972</v>
      </c>
      <c r="F475" s="1013" t="s">
        <v>4905</v>
      </c>
      <c r="G475" s="1014" t="s">
        <v>13</v>
      </c>
      <c r="H475" s="1015">
        <v>4423823</v>
      </c>
      <c r="I475" s="1016" t="s">
        <v>6899</v>
      </c>
    </row>
    <row r="476" spans="2:9" ht="15.75" x14ac:dyDescent="0.25">
      <c r="B476" s="1365" t="s">
        <v>7169</v>
      </c>
      <c r="C476" s="1013" t="s">
        <v>4420</v>
      </c>
      <c r="D476" s="1013" t="s">
        <v>4420</v>
      </c>
      <c r="E476" s="1014">
        <v>3973</v>
      </c>
      <c r="F476" s="1013" t="s">
        <v>4906</v>
      </c>
      <c r="G476" s="1014" t="s">
        <v>13</v>
      </c>
      <c r="H476" s="1015">
        <v>5479733</v>
      </c>
      <c r="I476" s="1016" t="s">
        <v>6899</v>
      </c>
    </row>
    <row r="477" spans="2:9" ht="15.75" x14ac:dyDescent="0.25">
      <c r="B477" s="1365" t="s">
        <v>7169</v>
      </c>
      <c r="C477" s="1013" t="s">
        <v>4420</v>
      </c>
      <c r="D477" s="1013" t="s">
        <v>4420</v>
      </c>
      <c r="E477" s="1014">
        <v>3974</v>
      </c>
      <c r="F477" s="1013" t="s">
        <v>4907</v>
      </c>
      <c r="G477" s="1014" t="s">
        <v>13</v>
      </c>
      <c r="H477" s="1015">
        <v>6218187</v>
      </c>
      <c r="I477" s="1016" t="s">
        <v>6899</v>
      </c>
    </row>
    <row r="478" spans="2:9" ht="15.75" x14ac:dyDescent="0.25">
      <c r="B478" s="1365" t="s">
        <v>7169</v>
      </c>
      <c r="C478" s="1013" t="s">
        <v>4420</v>
      </c>
      <c r="D478" s="1013" t="s">
        <v>4420</v>
      </c>
      <c r="E478" s="1014">
        <v>3975</v>
      </c>
      <c r="F478" s="1013" t="s">
        <v>4908</v>
      </c>
      <c r="G478" s="1014" t="s">
        <v>13</v>
      </c>
      <c r="H478" s="1015">
        <v>718614</v>
      </c>
      <c r="I478" s="1016" t="s">
        <v>6899</v>
      </c>
    </row>
    <row r="479" spans="2:9" ht="15.75" x14ac:dyDescent="0.25">
      <c r="B479" s="1365" t="s">
        <v>7169</v>
      </c>
      <c r="C479" s="1013" t="s">
        <v>4420</v>
      </c>
      <c r="D479" s="1013" t="s">
        <v>4420</v>
      </c>
      <c r="E479" s="1014">
        <v>3976</v>
      </c>
      <c r="F479" s="1013" t="s">
        <v>4909</v>
      </c>
      <c r="G479" s="1014" t="s">
        <v>13</v>
      </c>
      <c r="H479" s="1015">
        <v>942762</v>
      </c>
      <c r="I479" s="1016" t="s">
        <v>6899</v>
      </c>
    </row>
    <row r="480" spans="2:9" ht="15.75" x14ac:dyDescent="0.25">
      <c r="B480" s="1365" t="s">
        <v>7169</v>
      </c>
      <c r="C480" s="1013" t="s">
        <v>4420</v>
      </c>
      <c r="D480" s="1013" t="s">
        <v>4420</v>
      </c>
      <c r="E480" s="1014">
        <v>3978</v>
      </c>
      <c r="F480" s="1013" t="s">
        <v>4910</v>
      </c>
      <c r="G480" s="1014" t="s">
        <v>13</v>
      </c>
      <c r="H480" s="1015">
        <v>1433679</v>
      </c>
      <c r="I480" s="1016" t="s">
        <v>6899</v>
      </c>
    </row>
    <row r="481" spans="2:9" ht="15.75" x14ac:dyDescent="0.25">
      <c r="B481" s="1365" t="s">
        <v>7169</v>
      </c>
      <c r="C481" s="1013" t="s">
        <v>4420</v>
      </c>
      <c r="D481" s="1013" t="s">
        <v>4420</v>
      </c>
      <c r="E481" s="1014">
        <v>3979</v>
      </c>
      <c r="F481" s="1013" t="s">
        <v>4911</v>
      </c>
      <c r="G481" s="1014" t="s">
        <v>13</v>
      </c>
      <c r="H481" s="1015">
        <v>1781553</v>
      </c>
      <c r="I481" s="1016" t="s">
        <v>6899</v>
      </c>
    </row>
    <row r="482" spans="2:9" ht="15.75" x14ac:dyDescent="0.25">
      <c r="B482" s="1365" t="s">
        <v>7169</v>
      </c>
      <c r="C482" s="1013" t="s">
        <v>4420</v>
      </c>
      <c r="D482" s="1013" t="s">
        <v>4420</v>
      </c>
      <c r="E482" s="1014">
        <v>3980</v>
      </c>
      <c r="F482" s="1013" t="s">
        <v>4912</v>
      </c>
      <c r="G482" s="1014" t="s">
        <v>13</v>
      </c>
      <c r="H482" s="1015">
        <v>2003870</v>
      </c>
      <c r="I482" s="1016" t="s">
        <v>6899</v>
      </c>
    </row>
    <row r="483" spans="2:9" ht="15.75" x14ac:dyDescent="0.25">
      <c r="B483" s="1365" t="s">
        <v>7169</v>
      </c>
      <c r="C483" s="1013" t="s">
        <v>4420</v>
      </c>
      <c r="D483" s="1013" t="s">
        <v>4420</v>
      </c>
      <c r="E483" s="1014">
        <v>3981</v>
      </c>
      <c r="F483" s="1013" t="s">
        <v>4913</v>
      </c>
      <c r="G483" s="1014" t="s">
        <v>13</v>
      </c>
      <c r="H483" s="1015">
        <v>2385816</v>
      </c>
      <c r="I483" s="1016" t="s">
        <v>6899</v>
      </c>
    </row>
    <row r="484" spans="2:9" ht="15.75" x14ac:dyDescent="0.25">
      <c r="B484" s="1365" t="s">
        <v>7169</v>
      </c>
      <c r="C484" s="1013" t="s">
        <v>4420</v>
      </c>
      <c r="D484" s="1013" t="s">
        <v>4420</v>
      </c>
      <c r="E484" s="1014">
        <v>3982</v>
      </c>
      <c r="F484" s="1013" t="s">
        <v>4914</v>
      </c>
      <c r="G484" s="1014" t="s">
        <v>13</v>
      </c>
      <c r="H484" s="1015">
        <v>2682054</v>
      </c>
      <c r="I484" s="1016" t="s">
        <v>6899</v>
      </c>
    </row>
    <row r="485" spans="2:9" ht="15.75" x14ac:dyDescent="0.25">
      <c r="B485" s="1365" t="s">
        <v>7169</v>
      </c>
      <c r="C485" s="1013" t="s">
        <v>4420</v>
      </c>
      <c r="D485" s="1013" t="s">
        <v>4420</v>
      </c>
      <c r="E485" s="1014">
        <v>3983</v>
      </c>
      <c r="F485" s="1013" t="s">
        <v>4915</v>
      </c>
      <c r="G485" s="1014" t="s">
        <v>13</v>
      </c>
      <c r="H485" s="1015">
        <v>2994624</v>
      </c>
      <c r="I485" s="1016" t="s">
        <v>6899</v>
      </c>
    </row>
    <row r="486" spans="2:9" ht="15.75" x14ac:dyDescent="0.25">
      <c r="B486" s="1365" t="s">
        <v>7169</v>
      </c>
      <c r="C486" s="1013" t="s">
        <v>4420</v>
      </c>
      <c r="D486" s="1013" t="s">
        <v>4420</v>
      </c>
      <c r="E486" s="1014">
        <v>3984</v>
      </c>
      <c r="F486" s="1013" t="s">
        <v>4916</v>
      </c>
      <c r="G486" s="1014" t="s">
        <v>13</v>
      </c>
      <c r="H486" s="1015">
        <v>3204259</v>
      </c>
      <c r="I486" s="1016" t="s">
        <v>6899</v>
      </c>
    </row>
    <row r="487" spans="2:9" ht="15.75" x14ac:dyDescent="0.25">
      <c r="B487" s="1365" t="s">
        <v>7169</v>
      </c>
      <c r="C487" s="1013" t="s">
        <v>4420</v>
      </c>
      <c r="D487" s="1013" t="s">
        <v>4420</v>
      </c>
      <c r="E487" s="1014">
        <v>3985</v>
      </c>
      <c r="F487" s="1013" t="s">
        <v>4917</v>
      </c>
      <c r="G487" s="1014" t="s">
        <v>13</v>
      </c>
      <c r="H487" s="1015">
        <v>3749809</v>
      </c>
      <c r="I487" s="1016" t="s">
        <v>6899</v>
      </c>
    </row>
    <row r="488" spans="2:9" ht="15.75" x14ac:dyDescent="0.25">
      <c r="B488" s="1365" t="s">
        <v>7169</v>
      </c>
      <c r="C488" s="1013" t="s">
        <v>4420</v>
      </c>
      <c r="D488" s="1013" t="s">
        <v>4420</v>
      </c>
      <c r="E488" s="1014">
        <v>3986</v>
      </c>
      <c r="F488" s="1013" t="s">
        <v>4918</v>
      </c>
      <c r="G488" s="1014" t="s">
        <v>13</v>
      </c>
      <c r="H488" s="1015">
        <v>4853358</v>
      </c>
      <c r="I488" s="1016" t="s">
        <v>6899</v>
      </c>
    </row>
    <row r="489" spans="2:9" ht="15.75" x14ac:dyDescent="0.25">
      <c r="B489" s="1365" t="s">
        <v>7169</v>
      </c>
      <c r="C489" s="1013" t="s">
        <v>4420</v>
      </c>
      <c r="D489" s="1013" t="s">
        <v>4420</v>
      </c>
      <c r="E489" s="1014">
        <v>3987</v>
      </c>
      <c r="F489" s="1013" t="s">
        <v>4919</v>
      </c>
      <c r="G489" s="1014" t="s">
        <v>13</v>
      </c>
      <c r="H489" s="1015">
        <v>4030485</v>
      </c>
      <c r="I489" s="1016" t="s">
        <v>6899</v>
      </c>
    </row>
    <row r="490" spans="2:9" ht="15.75" x14ac:dyDescent="0.25">
      <c r="B490" s="1365" t="s">
        <v>7169</v>
      </c>
      <c r="C490" s="1013" t="s">
        <v>4420</v>
      </c>
      <c r="D490" s="1013" t="s">
        <v>4420</v>
      </c>
      <c r="E490" s="1014">
        <v>3988</v>
      </c>
      <c r="F490" s="1013" t="s">
        <v>4920</v>
      </c>
      <c r="G490" s="1014" t="s">
        <v>13</v>
      </c>
      <c r="H490" s="1015">
        <v>5706096</v>
      </c>
      <c r="I490" s="1016" t="s">
        <v>6899</v>
      </c>
    </row>
    <row r="491" spans="2:9" ht="15.75" x14ac:dyDescent="0.25">
      <c r="B491" s="1365" t="s">
        <v>7169</v>
      </c>
      <c r="C491" s="1013" t="s">
        <v>4420</v>
      </c>
      <c r="D491" s="1013" t="s">
        <v>4420</v>
      </c>
      <c r="E491" s="1014">
        <v>3989</v>
      </c>
      <c r="F491" s="1013" t="s">
        <v>4921</v>
      </c>
      <c r="G491" s="1014" t="s">
        <v>13</v>
      </c>
      <c r="H491" s="1015">
        <v>6373219</v>
      </c>
      <c r="I491" s="1016" t="s">
        <v>6899</v>
      </c>
    </row>
    <row r="492" spans="2:9" ht="15.75" x14ac:dyDescent="0.25">
      <c r="B492" s="1365" t="s">
        <v>7169</v>
      </c>
      <c r="C492" s="1013" t="s">
        <v>4420</v>
      </c>
      <c r="D492" s="1013" t="s">
        <v>4420</v>
      </c>
      <c r="E492" s="1014">
        <v>3990</v>
      </c>
      <c r="F492" s="1013" t="s">
        <v>4922</v>
      </c>
      <c r="G492" s="1014" t="s">
        <v>13</v>
      </c>
      <c r="H492" s="1015">
        <v>6961033</v>
      </c>
      <c r="I492" s="1016" t="s">
        <v>6899</v>
      </c>
    </row>
    <row r="493" spans="2:9" ht="15.75" x14ac:dyDescent="0.25">
      <c r="B493" s="1365" t="s">
        <v>7169</v>
      </c>
      <c r="C493" s="1013" t="s">
        <v>4420</v>
      </c>
      <c r="D493" s="1013" t="s">
        <v>4420</v>
      </c>
      <c r="E493" s="1014">
        <v>3991</v>
      </c>
      <c r="F493" s="1013" t="s">
        <v>4923</v>
      </c>
      <c r="G493" s="1014" t="s">
        <v>13</v>
      </c>
      <c r="H493" s="1015">
        <v>7076826</v>
      </c>
      <c r="I493" s="1016" t="s">
        <v>6899</v>
      </c>
    </row>
    <row r="494" spans="2:9" ht="15.75" x14ac:dyDescent="0.25">
      <c r="B494" s="1365" t="s">
        <v>7169</v>
      </c>
      <c r="C494" s="1013" t="s">
        <v>4420</v>
      </c>
      <c r="D494" s="1013" t="s">
        <v>4420</v>
      </c>
      <c r="E494" s="1014">
        <v>3992</v>
      </c>
      <c r="F494" s="1013" t="s">
        <v>4924</v>
      </c>
      <c r="G494" s="1014" t="s">
        <v>13</v>
      </c>
      <c r="H494" s="1015">
        <v>805939</v>
      </c>
      <c r="I494" s="1016" t="s">
        <v>6899</v>
      </c>
    </row>
    <row r="495" spans="2:9" ht="15.75" x14ac:dyDescent="0.25">
      <c r="B495" s="1365" t="s">
        <v>7169</v>
      </c>
      <c r="C495" s="1013" t="s">
        <v>4420</v>
      </c>
      <c r="D495" s="1013" t="s">
        <v>4420</v>
      </c>
      <c r="E495" s="1014">
        <v>3993</v>
      </c>
      <c r="F495" s="1013" t="s">
        <v>4925</v>
      </c>
      <c r="G495" s="1014" t="s">
        <v>13</v>
      </c>
      <c r="H495" s="1015">
        <v>1061968</v>
      </c>
      <c r="I495" s="1016" t="s">
        <v>6899</v>
      </c>
    </row>
    <row r="496" spans="2:9" ht="15.75" x14ac:dyDescent="0.25">
      <c r="B496" s="1365" t="s">
        <v>7169</v>
      </c>
      <c r="C496" s="1013" t="s">
        <v>4420</v>
      </c>
      <c r="D496" s="1013" t="s">
        <v>4420</v>
      </c>
      <c r="E496" s="1014">
        <v>3994</v>
      </c>
      <c r="F496" s="1013" t="s">
        <v>4926</v>
      </c>
      <c r="G496" s="1014" t="s">
        <v>13</v>
      </c>
      <c r="H496" s="1015">
        <v>1299284</v>
      </c>
      <c r="I496" s="1016" t="s">
        <v>6899</v>
      </c>
    </row>
    <row r="497" spans="2:9" ht="15.75" x14ac:dyDescent="0.25">
      <c r="B497" s="1365" t="s">
        <v>7169</v>
      </c>
      <c r="C497" s="1013" t="s">
        <v>4420</v>
      </c>
      <c r="D497" s="1013" t="s">
        <v>4420</v>
      </c>
      <c r="E497" s="1014">
        <v>3995</v>
      </c>
      <c r="F497" s="1013" t="s">
        <v>4927</v>
      </c>
      <c r="G497" s="1014" t="s">
        <v>13</v>
      </c>
      <c r="H497" s="1015">
        <v>1627682</v>
      </c>
      <c r="I497" s="1016" t="s">
        <v>6899</v>
      </c>
    </row>
    <row r="498" spans="2:9" ht="15.75" x14ac:dyDescent="0.25">
      <c r="B498" s="1365" t="s">
        <v>7169</v>
      </c>
      <c r="C498" s="1013" t="s">
        <v>4420</v>
      </c>
      <c r="D498" s="1013" t="s">
        <v>4420</v>
      </c>
      <c r="E498" s="1014">
        <v>3996</v>
      </c>
      <c r="F498" s="1013" t="s">
        <v>4928</v>
      </c>
      <c r="G498" s="1014" t="s">
        <v>13</v>
      </c>
      <c r="H498" s="1015">
        <v>2022256</v>
      </c>
      <c r="I498" s="1016" t="s">
        <v>6899</v>
      </c>
    </row>
    <row r="499" spans="2:9" ht="15.75" x14ac:dyDescent="0.25">
      <c r="B499" s="1365" t="s">
        <v>7169</v>
      </c>
      <c r="C499" s="1013" t="s">
        <v>4420</v>
      </c>
      <c r="D499" s="1013" t="s">
        <v>4420</v>
      </c>
      <c r="E499" s="1014">
        <v>3997</v>
      </c>
      <c r="F499" s="1013" t="s">
        <v>4929</v>
      </c>
      <c r="G499" s="1014" t="s">
        <v>13</v>
      </c>
      <c r="H499" s="1015">
        <v>2274802</v>
      </c>
      <c r="I499" s="1016" t="s">
        <v>6899</v>
      </c>
    </row>
    <row r="500" spans="2:9" ht="15.75" x14ac:dyDescent="0.25">
      <c r="B500" s="1365" t="s">
        <v>7169</v>
      </c>
      <c r="C500" s="1013" t="s">
        <v>4420</v>
      </c>
      <c r="D500" s="1013" t="s">
        <v>4420</v>
      </c>
      <c r="E500" s="1014">
        <v>3998</v>
      </c>
      <c r="F500" s="1013" t="s">
        <v>4930</v>
      </c>
      <c r="G500" s="1014" t="s">
        <v>13</v>
      </c>
      <c r="H500" s="1015">
        <v>2703235</v>
      </c>
      <c r="I500" s="1016" t="s">
        <v>6899</v>
      </c>
    </row>
    <row r="501" spans="2:9" ht="15.75" x14ac:dyDescent="0.25">
      <c r="B501" s="1365" t="s">
        <v>7169</v>
      </c>
      <c r="C501" s="1013" t="s">
        <v>4420</v>
      </c>
      <c r="D501" s="1013" t="s">
        <v>4420</v>
      </c>
      <c r="E501" s="1014">
        <v>3999</v>
      </c>
      <c r="F501" s="1013" t="s">
        <v>4931</v>
      </c>
      <c r="G501" s="1014" t="s">
        <v>13</v>
      </c>
      <c r="H501" s="1015">
        <v>3056251</v>
      </c>
      <c r="I501" s="1016" t="s">
        <v>6899</v>
      </c>
    </row>
    <row r="502" spans="2:9" ht="15.75" x14ac:dyDescent="0.25">
      <c r="B502" s="1365" t="s">
        <v>7169</v>
      </c>
      <c r="C502" s="1013" t="s">
        <v>4420</v>
      </c>
      <c r="D502" s="1013" t="s">
        <v>4420</v>
      </c>
      <c r="E502" s="1014">
        <v>4000</v>
      </c>
      <c r="F502" s="1013" t="s">
        <v>4932</v>
      </c>
      <c r="G502" s="1014" t="s">
        <v>13</v>
      </c>
      <c r="H502" s="1015">
        <v>3276111</v>
      </c>
      <c r="I502" s="1016" t="s">
        <v>6899</v>
      </c>
    </row>
    <row r="503" spans="2:9" ht="15.75" x14ac:dyDescent="0.25">
      <c r="B503" s="1365" t="s">
        <v>7169</v>
      </c>
      <c r="C503" s="1013" t="s">
        <v>4420</v>
      </c>
      <c r="D503" s="1013" t="s">
        <v>4420</v>
      </c>
      <c r="E503" s="1014">
        <v>4001</v>
      </c>
      <c r="F503" s="1013" t="s">
        <v>4933</v>
      </c>
      <c r="G503" s="1014" t="s">
        <v>13</v>
      </c>
      <c r="H503" s="1015">
        <v>3767341</v>
      </c>
      <c r="I503" s="1016" t="s">
        <v>6899</v>
      </c>
    </row>
    <row r="504" spans="2:9" ht="15.75" x14ac:dyDescent="0.25">
      <c r="B504" s="1365" t="s">
        <v>7169</v>
      </c>
      <c r="C504" s="1013" t="s">
        <v>4420</v>
      </c>
      <c r="D504" s="1013" t="s">
        <v>4420</v>
      </c>
      <c r="E504" s="1014">
        <v>4002</v>
      </c>
      <c r="F504" s="1013" t="s">
        <v>4934</v>
      </c>
      <c r="G504" s="1014" t="s">
        <v>13</v>
      </c>
      <c r="H504" s="1015">
        <v>4243478</v>
      </c>
      <c r="I504" s="1016" t="s">
        <v>6899</v>
      </c>
    </row>
    <row r="505" spans="2:9" ht="15.75" x14ac:dyDescent="0.25">
      <c r="B505" s="1365" t="s">
        <v>7169</v>
      </c>
      <c r="C505" s="1013" t="s">
        <v>4420</v>
      </c>
      <c r="D505" s="1013" t="s">
        <v>4420</v>
      </c>
      <c r="E505" s="1014">
        <v>4004</v>
      </c>
      <c r="F505" s="1013" t="s">
        <v>4935</v>
      </c>
      <c r="G505" s="1014" t="s">
        <v>13</v>
      </c>
      <c r="H505" s="1015">
        <v>4761179</v>
      </c>
      <c r="I505" s="1016" t="s">
        <v>6899</v>
      </c>
    </row>
    <row r="506" spans="2:9" ht="15.75" x14ac:dyDescent="0.25">
      <c r="B506" s="1365" t="s">
        <v>7169</v>
      </c>
      <c r="C506" s="1013" t="s">
        <v>4420</v>
      </c>
      <c r="D506" s="1013" t="s">
        <v>4420</v>
      </c>
      <c r="E506" s="1014">
        <v>4005</v>
      </c>
      <c r="F506" s="1013" t="s">
        <v>4936</v>
      </c>
      <c r="G506" s="1014" t="s">
        <v>13</v>
      </c>
      <c r="H506" s="1015">
        <v>5288384</v>
      </c>
      <c r="I506" s="1016" t="s">
        <v>6899</v>
      </c>
    </row>
    <row r="507" spans="2:9" ht="15.75" x14ac:dyDescent="0.25">
      <c r="B507" s="1365" t="s">
        <v>7169</v>
      </c>
      <c r="C507" s="1013" t="s">
        <v>4420</v>
      </c>
      <c r="D507" s="1013" t="s">
        <v>4420</v>
      </c>
      <c r="E507" s="1014">
        <v>4006</v>
      </c>
      <c r="F507" s="1013" t="s">
        <v>4937</v>
      </c>
      <c r="G507" s="1014" t="s">
        <v>13</v>
      </c>
      <c r="H507" s="1015">
        <v>6479653</v>
      </c>
      <c r="I507" s="1016" t="s">
        <v>6899</v>
      </c>
    </row>
    <row r="508" spans="2:9" ht="15.75" x14ac:dyDescent="0.25">
      <c r="B508" s="1365" t="s">
        <v>7169</v>
      </c>
      <c r="C508" s="1013" t="s">
        <v>4420</v>
      </c>
      <c r="D508" s="1013" t="s">
        <v>4420</v>
      </c>
      <c r="E508" s="1014">
        <v>4007</v>
      </c>
      <c r="F508" s="1013" t="s">
        <v>4938</v>
      </c>
      <c r="G508" s="1014" t="s">
        <v>13</v>
      </c>
      <c r="H508" s="1015">
        <v>7713322</v>
      </c>
      <c r="I508" s="1016" t="s">
        <v>6899</v>
      </c>
    </row>
    <row r="509" spans="2:9" ht="15.75" x14ac:dyDescent="0.25">
      <c r="B509" s="1365" t="s">
        <v>7169</v>
      </c>
      <c r="C509" s="1013" t="s">
        <v>4420</v>
      </c>
      <c r="D509" s="1013" t="s">
        <v>4420</v>
      </c>
      <c r="E509" s="1014">
        <v>4008</v>
      </c>
      <c r="F509" s="1013" t="s">
        <v>4939</v>
      </c>
      <c r="G509" s="1014" t="s">
        <v>13</v>
      </c>
      <c r="H509" s="1015">
        <v>8402696</v>
      </c>
      <c r="I509" s="1016" t="s">
        <v>6899</v>
      </c>
    </row>
    <row r="510" spans="2:9" ht="15.75" x14ac:dyDescent="0.25">
      <c r="B510" s="1365" t="s">
        <v>7169</v>
      </c>
      <c r="C510" s="1013" t="s">
        <v>1474</v>
      </c>
      <c r="D510" s="1013" t="s">
        <v>4940</v>
      </c>
      <c r="E510" s="1014">
        <v>4009</v>
      </c>
      <c r="F510" s="1013" t="s">
        <v>4941</v>
      </c>
      <c r="G510" s="1014" t="s">
        <v>12</v>
      </c>
      <c r="H510" s="1015">
        <v>11284</v>
      </c>
      <c r="I510" s="1016" t="s">
        <v>6899</v>
      </c>
    </row>
    <row r="511" spans="2:9" ht="15.75" x14ac:dyDescent="0.25">
      <c r="B511" s="1365" t="s">
        <v>7169</v>
      </c>
      <c r="C511" s="1013" t="s">
        <v>1474</v>
      </c>
      <c r="D511" s="1013" t="s">
        <v>4940</v>
      </c>
      <c r="E511" s="1014">
        <v>4010</v>
      </c>
      <c r="F511" s="1013" t="s">
        <v>4942</v>
      </c>
      <c r="G511" s="1014" t="s">
        <v>12</v>
      </c>
      <c r="H511" s="1015">
        <v>13039</v>
      </c>
      <c r="I511" s="1016" t="s">
        <v>6899</v>
      </c>
    </row>
    <row r="512" spans="2:9" ht="15.75" x14ac:dyDescent="0.25">
      <c r="B512" s="1365" t="s">
        <v>7169</v>
      </c>
      <c r="C512" s="1013" t="s">
        <v>1474</v>
      </c>
      <c r="D512" s="1013" t="s">
        <v>4940</v>
      </c>
      <c r="E512" s="1014">
        <v>4011</v>
      </c>
      <c r="F512" s="1013" t="s">
        <v>4943</v>
      </c>
      <c r="G512" s="1014" t="s">
        <v>12</v>
      </c>
      <c r="H512" s="1015">
        <v>17657</v>
      </c>
      <c r="I512" s="1016" t="s">
        <v>6899</v>
      </c>
    </row>
    <row r="513" spans="2:9" ht="15.75" x14ac:dyDescent="0.25">
      <c r="B513" s="1365" t="s">
        <v>7169</v>
      </c>
      <c r="C513" s="1013" t="s">
        <v>1474</v>
      </c>
      <c r="D513" s="1013" t="s">
        <v>4940</v>
      </c>
      <c r="E513" s="1014">
        <v>4012</v>
      </c>
      <c r="F513" s="1013" t="s">
        <v>4944</v>
      </c>
      <c r="G513" s="1014" t="s">
        <v>12</v>
      </c>
      <c r="H513" s="1015">
        <v>21021</v>
      </c>
      <c r="I513" s="1016" t="s">
        <v>6899</v>
      </c>
    </row>
    <row r="514" spans="2:9" ht="15.75" x14ac:dyDescent="0.25">
      <c r="B514" s="1365" t="s">
        <v>7169</v>
      </c>
      <c r="C514" s="1013" t="s">
        <v>1474</v>
      </c>
      <c r="D514" s="1013" t="s">
        <v>4940</v>
      </c>
      <c r="E514" s="1014">
        <v>4013</v>
      </c>
      <c r="F514" s="1013" t="s">
        <v>4945</v>
      </c>
      <c r="G514" s="1014" t="s">
        <v>12</v>
      </c>
      <c r="H514" s="1015">
        <v>25727</v>
      </c>
      <c r="I514" s="1016" t="s">
        <v>6899</v>
      </c>
    </row>
    <row r="515" spans="2:9" ht="15.75" x14ac:dyDescent="0.25">
      <c r="B515" s="1365" t="s">
        <v>7169</v>
      </c>
      <c r="C515" s="1013" t="s">
        <v>1474</v>
      </c>
      <c r="D515" s="1013" t="s">
        <v>4940</v>
      </c>
      <c r="E515" s="1014">
        <v>4014</v>
      </c>
      <c r="F515" s="1013" t="s">
        <v>4946</v>
      </c>
      <c r="G515" s="1014" t="s">
        <v>12</v>
      </c>
      <c r="H515" s="1015">
        <v>11284</v>
      </c>
      <c r="I515" s="1016" t="s">
        <v>6899</v>
      </c>
    </row>
    <row r="516" spans="2:9" ht="15.75" x14ac:dyDescent="0.25">
      <c r="B516" s="1365" t="s">
        <v>7169</v>
      </c>
      <c r="C516" s="1013" t="s">
        <v>1474</v>
      </c>
      <c r="D516" s="1013" t="s">
        <v>4940</v>
      </c>
      <c r="E516" s="1014">
        <v>4015</v>
      </c>
      <c r="F516" s="1013" t="s">
        <v>4947</v>
      </c>
      <c r="G516" s="1014" t="s">
        <v>12</v>
      </c>
      <c r="H516" s="1015">
        <v>13039</v>
      </c>
      <c r="I516" s="1016" t="s">
        <v>6899</v>
      </c>
    </row>
    <row r="517" spans="2:9" ht="15.75" x14ac:dyDescent="0.25">
      <c r="B517" s="1365" t="s">
        <v>7169</v>
      </c>
      <c r="C517" s="1013" t="s">
        <v>1474</v>
      </c>
      <c r="D517" s="1013" t="s">
        <v>4940</v>
      </c>
      <c r="E517" s="1014">
        <v>4016</v>
      </c>
      <c r="F517" s="1013" t="s">
        <v>4948</v>
      </c>
      <c r="G517" s="1014" t="s">
        <v>12</v>
      </c>
      <c r="H517" s="1015">
        <v>17657</v>
      </c>
      <c r="I517" s="1016" t="s">
        <v>6899</v>
      </c>
    </row>
    <row r="518" spans="2:9" ht="15.75" x14ac:dyDescent="0.25">
      <c r="B518" s="1365" t="s">
        <v>7169</v>
      </c>
      <c r="C518" s="1013" t="s">
        <v>1474</v>
      </c>
      <c r="D518" s="1013" t="s">
        <v>4940</v>
      </c>
      <c r="E518" s="1014">
        <v>4017</v>
      </c>
      <c r="F518" s="1013" t="s">
        <v>4949</v>
      </c>
      <c r="G518" s="1014" t="s">
        <v>12</v>
      </c>
      <c r="H518" s="1015">
        <v>21021</v>
      </c>
      <c r="I518" s="1016" t="s">
        <v>6899</v>
      </c>
    </row>
    <row r="519" spans="2:9" ht="15.75" x14ac:dyDescent="0.25">
      <c r="B519" s="1365" t="s">
        <v>7169</v>
      </c>
      <c r="C519" s="1013" t="s">
        <v>1474</v>
      </c>
      <c r="D519" s="1013" t="s">
        <v>4940</v>
      </c>
      <c r="E519" s="1014">
        <v>4018</v>
      </c>
      <c r="F519" s="1013" t="s">
        <v>4950</v>
      </c>
      <c r="G519" s="1014" t="s">
        <v>12</v>
      </c>
      <c r="H519" s="1015">
        <v>25727</v>
      </c>
      <c r="I519" s="1016" t="s">
        <v>6899</v>
      </c>
    </row>
    <row r="520" spans="2:9" ht="15.75" x14ac:dyDescent="0.25">
      <c r="B520" s="1365" t="s">
        <v>7169</v>
      </c>
      <c r="C520" s="1013" t="s">
        <v>1474</v>
      </c>
      <c r="D520" s="1013" t="s">
        <v>4940</v>
      </c>
      <c r="E520" s="1014">
        <v>4019</v>
      </c>
      <c r="F520" s="1013" t="s">
        <v>4951</v>
      </c>
      <c r="G520" s="1014" t="s">
        <v>12</v>
      </c>
      <c r="H520" s="1015">
        <v>10199</v>
      </c>
      <c r="I520" s="1016" t="s">
        <v>6899</v>
      </c>
    </row>
    <row r="521" spans="2:9" ht="15.75" x14ac:dyDescent="0.25">
      <c r="B521" s="1365" t="s">
        <v>7169</v>
      </c>
      <c r="C521" s="1013" t="s">
        <v>1474</v>
      </c>
      <c r="D521" s="1013" t="s">
        <v>4940</v>
      </c>
      <c r="E521" s="1014">
        <v>4020</v>
      </c>
      <c r="F521" s="1013" t="s">
        <v>4952</v>
      </c>
      <c r="G521" s="1014" t="s">
        <v>12</v>
      </c>
      <c r="H521" s="1015">
        <v>11718</v>
      </c>
      <c r="I521" s="1016" t="s">
        <v>6899</v>
      </c>
    </row>
    <row r="522" spans="2:9" ht="15.75" x14ac:dyDescent="0.25">
      <c r="B522" s="1365" t="s">
        <v>7169</v>
      </c>
      <c r="C522" s="1013" t="s">
        <v>1474</v>
      </c>
      <c r="D522" s="1013" t="s">
        <v>4940</v>
      </c>
      <c r="E522" s="1014">
        <v>4021</v>
      </c>
      <c r="F522" s="1013" t="s">
        <v>4953</v>
      </c>
      <c r="G522" s="1014" t="s">
        <v>12</v>
      </c>
      <c r="H522" s="1015">
        <v>13039</v>
      </c>
      <c r="I522" s="1016" t="s">
        <v>6899</v>
      </c>
    </row>
    <row r="523" spans="2:9" ht="15.75" x14ac:dyDescent="0.25">
      <c r="B523" s="1365" t="s">
        <v>7169</v>
      </c>
      <c r="C523" s="1013" t="s">
        <v>1474</v>
      </c>
      <c r="D523" s="1013" t="s">
        <v>4940</v>
      </c>
      <c r="E523" s="1014">
        <v>4022</v>
      </c>
      <c r="F523" s="1013" t="s">
        <v>4954</v>
      </c>
      <c r="G523" s="1014" t="s">
        <v>12</v>
      </c>
      <c r="H523" s="1015">
        <v>17657</v>
      </c>
      <c r="I523" s="1016" t="s">
        <v>6899</v>
      </c>
    </row>
    <row r="524" spans="2:9" ht="15.75" x14ac:dyDescent="0.25">
      <c r="B524" s="1365" t="s">
        <v>7169</v>
      </c>
      <c r="C524" s="1013" t="s">
        <v>1474</v>
      </c>
      <c r="D524" s="1013" t="s">
        <v>4940</v>
      </c>
      <c r="E524" s="1014">
        <v>4023</v>
      </c>
      <c r="F524" s="1013" t="s">
        <v>4955</v>
      </c>
      <c r="G524" s="1014" t="s">
        <v>12</v>
      </c>
      <c r="H524" s="1015">
        <v>21021</v>
      </c>
      <c r="I524" s="1016" t="s">
        <v>6899</v>
      </c>
    </row>
    <row r="525" spans="2:9" ht="15.75" x14ac:dyDescent="0.25">
      <c r="B525" s="1365" t="s">
        <v>7169</v>
      </c>
      <c r="C525" s="1013" t="s">
        <v>1474</v>
      </c>
      <c r="D525" s="1013" t="s">
        <v>4940</v>
      </c>
      <c r="E525" s="1014">
        <v>4024</v>
      </c>
      <c r="F525" s="1013" t="s">
        <v>4956</v>
      </c>
      <c r="G525" s="1014" t="s">
        <v>12</v>
      </c>
      <c r="H525" s="1015">
        <v>25727</v>
      </c>
      <c r="I525" s="1016" t="s">
        <v>6899</v>
      </c>
    </row>
    <row r="526" spans="2:9" ht="15.75" x14ac:dyDescent="0.25">
      <c r="B526" s="1365" t="s">
        <v>7169</v>
      </c>
      <c r="C526" s="1013" t="s">
        <v>1474</v>
      </c>
      <c r="D526" s="1013" t="s">
        <v>4940</v>
      </c>
      <c r="E526" s="1014">
        <v>4026</v>
      </c>
      <c r="F526" s="1013" t="s">
        <v>4957</v>
      </c>
      <c r="G526" s="1014" t="s">
        <v>12</v>
      </c>
      <c r="H526" s="1015">
        <v>9036</v>
      </c>
      <c r="I526" s="1016" t="s">
        <v>4398</v>
      </c>
    </row>
    <row r="527" spans="2:9" ht="15.75" x14ac:dyDescent="0.25">
      <c r="B527" s="1365" t="s">
        <v>7169</v>
      </c>
      <c r="C527" s="1013" t="s">
        <v>1474</v>
      </c>
      <c r="D527" s="1013" t="s">
        <v>4940</v>
      </c>
      <c r="E527" s="1014">
        <v>4027</v>
      </c>
      <c r="F527" s="1013" t="s">
        <v>4958</v>
      </c>
      <c r="G527" s="1014" t="s">
        <v>12</v>
      </c>
      <c r="H527" s="1015">
        <v>9749</v>
      </c>
      <c r="I527" s="1016" t="s">
        <v>4398</v>
      </c>
    </row>
    <row r="528" spans="2:9" ht="15.75" x14ac:dyDescent="0.25">
      <c r="B528" s="1365" t="s">
        <v>7169</v>
      </c>
      <c r="C528" s="1013" t="s">
        <v>1474</v>
      </c>
      <c r="D528" s="1013" t="s">
        <v>4940</v>
      </c>
      <c r="E528" s="1014">
        <v>4028</v>
      </c>
      <c r="F528" s="1013" t="s">
        <v>4959</v>
      </c>
      <c r="G528" s="1014" t="s">
        <v>12</v>
      </c>
      <c r="H528" s="1015">
        <v>16374</v>
      </c>
      <c r="I528" s="1016" t="s">
        <v>4398</v>
      </c>
    </row>
    <row r="529" spans="2:9" ht="15.75" x14ac:dyDescent="0.25">
      <c r="B529" s="1365" t="s">
        <v>7169</v>
      </c>
      <c r="C529" s="1013" t="s">
        <v>1474</v>
      </c>
      <c r="D529" s="1013" t="s">
        <v>4940</v>
      </c>
      <c r="E529" s="1014">
        <v>4029</v>
      </c>
      <c r="F529" s="1013" t="s">
        <v>4960</v>
      </c>
      <c r="G529" s="1014" t="s">
        <v>12</v>
      </c>
      <c r="H529" s="1015">
        <v>30821</v>
      </c>
      <c r="I529" s="1016" t="s">
        <v>6899</v>
      </c>
    </row>
    <row r="530" spans="2:9" ht="15.75" x14ac:dyDescent="0.25">
      <c r="B530" s="1365" t="s">
        <v>7169</v>
      </c>
      <c r="C530" s="1013" t="s">
        <v>1474</v>
      </c>
      <c r="D530" s="1013" t="s">
        <v>4940</v>
      </c>
      <c r="E530" s="1014">
        <v>4030</v>
      </c>
      <c r="F530" s="1013" t="s">
        <v>4961</v>
      </c>
      <c r="G530" s="1014" t="s">
        <v>12</v>
      </c>
      <c r="H530" s="1015">
        <v>9036</v>
      </c>
      <c r="I530" s="1016" t="s">
        <v>4398</v>
      </c>
    </row>
    <row r="531" spans="2:9" ht="15.75" x14ac:dyDescent="0.25">
      <c r="B531" s="1365" t="s">
        <v>7169</v>
      </c>
      <c r="C531" s="1013" t="s">
        <v>1474</v>
      </c>
      <c r="D531" s="1013" t="s">
        <v>4940</v>
      </c>
      <c r="E531" s="1014">
        <v>4032</v>
      </c>
      <c r="F531" s="1013" t="s">
        <v>4962</v>
      </c>
      <c r="G531" s="1014" t="s">
        <v>12</v>
      </c>
      <c r="H531" s="1015">
        <v>9749</v>
      </c>
      <c r="I531" s="1016" t="s">
        <v>4398</v>
      </c>
    </row>
    <row r="532" spans="2:9" ht="15.75" x14ac:dyDescent="0.25">
      <c r="B532" s="1365" t="s">
        <v>7169</v>
      </c>
      <c r="C532" s="1013" t="s">
        <v>1474</v>
      </c>
      <c r="D532" s="1013" t="s">
        <v>4940</v>
      </c>
      <c r="E532" s="1014">
        <v>4033</v>
      </c>
      <c r="F532" s="1013" t="s">
        <v>4963</v>
      </c>
      <c r="G532" s="1014" t="s">
        <v>12</v>
      </c>
      <c r="H532" s="1015">
        <v>16374</v>
      </c>
      <c r="I532" s="1016" t="s">
        <v>4398</v>
      </c>
    </row>
    <row r="533" spans="2:9" ht="15.75" x14ac:dyDescent="0.25">
      <c r="B533" s="1365" t="s">
        <v>7169</v>
      </c>
      <c r="C533" s="1013" t="s">
        <v>1474</v>
      </c>
      <c r="D533" s="1013" t="s">
        <v>4940</v>
      </c>
      <c r="E533" s="1014">
        <v>4034</v>
      </c>
      <c r="F533" s="1013" t="s">
        <v>4964</v>
      </c>
      <c r="G533" s="1014" t="s">
        <v>12</v>
      </c>
      <c r="H533" s="1015">
        <v>30821</v>
      </c>
      <c r="I533" s="1016" t="s">
        <v>6899</v>
      </c>
    </row>
    <row r="534" spans="2:9" ht="15.75" x14ac:dyDescent="0.25">
      <c r="B534" s="1365" t="s">
        <v>7169</v>
      </c>
      <c r="C534" s="1013" t="s">
        <v>1474</v>
      </c>
      <c r="D534" s="1013" t="s">
        <v>4940</v>
      </c>
      <c r="E534" s="1014">
        <v>4036</v>
      </c>
      <c r="F534" s="1013" t="s">
        <v>4965</v>
      </c>
      <c r="G534" s="1014" t="s">
        <v>12</v>
      </c>
      <c r="H534" s="1015">
        <v>9749</v>
      </c>
      <c r="I534" s="1016" t="s">
        <v>4398</v>
      </c>
    </row>
    <row r="535" spans="2:9" ht="15.75" x14ac:dyDescent="0.25">
      <c r="B535" s="1365" t="s">
        <v>7169</v>
      </c>
      <c r="C535" s="1013" t="s">
        <v>1474</v>
      </c>
      <c r="D535" s="1013" t="s">
        <v>4940</v>
      </c>
      <c r="E535" s="1014">
        <v>4037</v>
      </c>
      <c r="F535" s="1013" t="s">
        <v>4966</v>
      </c>
      <c r="G535" s="1014" t="s">
        <v>12</v>
      </c>
      <c r="H535" s="1015">
        <v>16374</v>
      </c>
      <c r="I535" s="1016" t="s">
        <v>4398</v>
      </c>
    </row>
    <row r="536" spans="2:9" ht="15.75" x14ac:dyDescent="0.25">
      <c r="B536" s="1365" t="s">
        <v>7169</v>
      </c>
      <c r="C536" s="1013" t="s">
        <v>1474</v>
      </c>
      <c r="D536" s="1013" t="s">
        <v>4940</v>
      </c>
      <c r="E536" s="1014">
        <v>4038</v>
      </c>
      <c r="F536" s="1013" t="s">
        <v>4967</v>
      </c>
      <c r="G536" s="1014" t="s">
        <v>12</v>
      </c>
      <c r="H536" s="1015">
        <v>30821</v>
      </c>
      <c r="I536" s="1016" t="s">
        <v>6899</v>
      </c>
    </row>
    <row r="537" spans="2:9" ht="15.75" x14ac:dyDescent="0.25">
      <c r="B537" s="1365" t="s">
        <v>7169</v>
      </c>
      <c r="C537" s="1013" t="s">
        <v>4417</v>
      </c>
      <c r="D537" s="1013" t="s">
        <v>4418</v>
      </c>
      <c r="E537" s="1014">
        <v>4039</v>
      </c>
      <c r="F537" s="1013" t="s">
        <v>4968</v>
      </c>
      <c r="G537" s="1014" t="s">
        <v>13</v>
      </c>
      <c r="H537" s="1015">
        <v>29936</v>
      </c>
      <c r="I537" s="1016" t="s">
        <v>6899</v>
      </c>
    </row>
    <row r="538" spans="2:9" ht="15.75" x14ac:dyDescent="0.25">
      <c r="B538" s="1365" t="s">
        <v>7169</v>
      </c>
      <c r="C538" s="1013" t="s">
        <v>4417</v>
      </c>
      <c r="D538" s="1013" t="s">
        <v>4418</v>
      </c>
      <c r="E538" s="1014">
        <v>4040</v>
      </c>
      <c r="F538" s="1013" t="s">
        <v>4969</v>
      </c>
      <c r="G538" s="1014" t="s">
        <v>13</v>
      </c>
      <c r="H538" s="1015">
        <v>34354</v>
      </c>
      <c r="I538" s="1016" t="s">
        <v>6899</v>
      </c>
    </row>
    <row r="539" spans="2:9" ht="15.75" x14ac:dyDescent="0.25">
      <c r="B539" s="1365" t="s">
        <v>7169</v>
      </c>
      <c r="C539" s="1013" t="s">
        <v>4417</v>
      </c>
      <c r="D539" s="1013" t="s">
        <v>4418</v>
      </c>
      <c r="E539" s="1014">
        <v>4041</v>
      </c>
      <c r="F539" s="1013" t="s">
        <v>4970</v>
      </c>
      <c r="G539" s="1014" t="s">
        <v>13</v>
      </c>
      <c r="H539" s="1015">
        <v>47551</v>
      </c>
      <c r="I539" s="1016" t="s">
        <v>6899</v>
      </c>
    </row>
    <row r="540" spans="2:9" ht="15.75" x14ac:dyDescent="0.25">
      <c r="B540" s="1365" t="s">
        <v>7169</v>
      </c>
      <c r="C540" s="1013" t="s">
        <v>4417</v>
      </c>
      <c r="D540" s="1013" t="s">
        <v>4418</v>
      </c>
      <c r="E540" s="1014">
        <v>4042</v>
      </c>
      <c r="F540" s="1013" t="s">
        <v>4971</v>
      </c>
      <c r="G540" s="1014" t="s">
        <v>13</v>
      </c>
      <c r="H540" s="1015">
        <v>36994</v>
      </c>
      <c r="I540" s="1016" t="s">
        <v>6899</v>
      </c>
    </row>
    <row r="541" spans="2:9" ht="15.75" x14ac:dyDescent="0.25">
      <c r="B541" s="1365" t="s">
        <v>7169</v>
      </c>
      <c r="C541" s="1013" t="s">
        <v>4417</v>
      </c>
      <c r="D541" s="1013" t="s">
        <v>4418</v>
      </c>
      <c r="E541" s="1014">
        <v>4043</v>
      </c>
      <c r="F541" s="1013" t="s">
        <v>4972</v>
      </c>
      <c r="G541" s="1014" t="s">
        <v>13</v>
      </c>
      <c r="H541" s="1015">
        <v>38772</v>
      </c>
      <c r="I541" s="1016" t="s">
        <v>6899</v>
      </c>
    </row>
    <row r="542" spans="2:9" ht="15.75" x14ac:dyDescent="0.25">
      <c r="B542" s="1365" t="s">
        <v>7169</v>
      </c>
      <c r="C542" s="1013" t="s">
        <v>4417</v>
      </c>
      <c r="D542" s="1013" t="s">
        <v>4418</v>
      </c>
      <c r="E542" s="1014">
        <v>4044</v>
      </c>
      <c r="F542" s="1013" t="s">
        <v>4973</v>
      </c>
      <c r="G542" s="1014" t="s">
        <v>13</v>
      </c>
      <c r="H542" s="1015">
        <v>463912</v>
      </c>
      <c r="I542" s="1016" t="s">
        <v>6899</v>
      </c>
    </row>
    <row r="543" spans="2:9" ht="15.75" x14ac:dyDescent="0.25">
      <c r="B543" s="1365" t="s">
        <v>7169</v>
      </c>
      <c r="C543" s="1013" t="s">
        <v>4417</v>
      </c>
      <c r="D543" s="1013" t="s">
        <v>4418</v>
      </c>
      <c r="E543" s="1014">
        <v>4045</v>
      </c>
      <c r="F543" s="1013" t="s">
        <v>4974</v>
      </c>
      <c r="G543" s="1014" t="s">
        <v>13</v>
      </c>
      <c r="H543" s="1015">
        <v>334690</v>
      </c>
      <c r="I543" s="1016" t="s">
        <v>4398</v>
      </c>
    </row>
    <row r="544" spans="2:9" ht="15.75" x14ac:dyDescent="0.25">
      <c r="B544" s="1365" t="s">
        <v>7169</v>
      </c>
      <c r="C544" s="1013" t="s">
        <v>4417</v>
      </c>
      <c r="D544" s="1013" t="s">
        <v>4418</v>
      </c>
      <c r="E544" s="1014">
        <v>4046</v>
      </c>
      <c r="F544" s="1013" t="s">
        <v>4975</v>
      </c>
      <c r="G544" s="1014" t="s">
        <v>13</v>
      </c>
      <c r="H544" s="1015">
        <v>457409</v>
      </c>
      <c r="I544" s="1016" t="s">
        <v>6899</v>
      </c>
    </row>
    <row r="545" spans="2:9" ht="15.75" x14ac:dyDescent="0.25">
      <c r="B545" s="1365" t="s">
        <v>7169</v>
      </c>
      <c r="C545" s="1013" t="s">
        <v>4417</v>
      </c>
      <c r="D545" s="1013" t="s">
        <v>4418</v>
      </c>
      <c r="E545" s="1014">
        <v>4047</v>
      </c>
      <c r="F545" s="1013" t="s">
        <v>4976</v>
      </c>
      <c r="G545" s="1014" t="s">
        <v>13</v>
      </c>
      <c r="H545" s="1015">
        <v>65902</v>
      </c>
      <c r="I545" s="1016" t="s">
        <v>6899</v>
      </c>
    </row>
    <row r="546" spans="2:9" ht="15.75" x14ac:dyDescent="0.25">
      <c r="B546" s="1365" t="s">
        <v>7169</v>
      </c>
      <c r="C546" s="1013" t="s">
        <v>4417</v>
      </c>
      <c r="D546" s="1013" t="s">
        <v>4418</v>
      </c>
      <c r="E546" s="1014">
        <v>4048</v>
      </c>
      <c r="F546" s="1013" t="s">
        <v>4977</v>
      </c>
      <c r="G546" s="1014" t="s">
        <v>13</v>
      </c>
      <c r="H546" s="1015">
        <v>63573</v>
      </c>
      <c r="I546" s="1016" t="s">
        <v>6899</v>
      </c>
    </row>
    <row r="547" spans="2:9" ht="15.75" x14ac:dyDescent="0.25">
      <c r="B547" s="1365" t="s">
        <v>7169</v>
      </c>
      <c r="C547" s="1013" t="s">
        <v>4417</v>
      </c>
      <c r="D547" s="1013" t="s">
        <v>4418</v>
      </c>
      <c r="E547" s="1014">
        <v>4049</v>
      </c>
      <c r="F547" s="1013" t="s">
        <v>4978</v>
      </c>
      <c r="G547" s="1014" t="s">
        <v>13</v>
      </c>
      <c r="H547" s="1015">
        <v>77355</v>
      </c>
      <c r="I547" s="1016" t="s">
        <v>6899</v>
      </c>
    </row>
    <row r="548" spans="2:9" ht="15.75" x14ac:dyDescent="0.25">
      <c r="B548" s="1365" t="s">
        <v>7169</v>
      </c>
      <c r="C548" s="1013" t="s">
        <v>4417</v>
      </c>
      <c r="D548" s="1013" t="s">
        <v>4418</v>
      </c>
      <c r="E548" s="1014">
        <v>4050</v>
      </c>
      <c r="F548" s="1013" t="s">
        <v>4979</v>
      </c>
      <c r="G548" s="1014" t="s">
        <v>13</v>
      </c>
      <c r="H548" s="1015">
        <v>71852</v>
      </c>
      <c r="I548" s="1016" t="s">
        <v>6899</v>
      </c>
    </row>
    <row r="549" spans="2:9" ht="15.75" x14ac:dyDescent="0.25">
      <c r="B549" s="1365" t="s">
        <v>7169</v>
      </c>
      <c r="C549" s="1013" t="s">
        <v>4417</v>
      </c>
      <c r="D549" s="1013" t="s">
        <v>4631</v>
      </c>
      <c r="E549" s="1014">
        <v>4051</v>
      </c>
      <c r="F549" s="1013" t="s">
        <v>4980</v>
      </c>
      <c r="G549" s="1014" t="s">
        <v>12</v>
      </c>
      <c r="H549" s="1015">
        <v>76082</v>
      </c>
      <c r="I549" s="1016" t="s">
        <v>6899</v>
      </c>
    </row>
    <row r="550" spans="2:9" ht="15.75" x14ac:dyDescent="0.25">
      <c r="B550" s="1365" t="s">
        <v>7169</v>
      </c>
      <c r="C550" s="1013" t="s">
        <v>4417</v>
      </c>
      <c r="D550" s="1013" t="s">
        <v>4418</v>
      </c>
      <c r="E550" s="1014">
        <v>4052</v>
      </c>
      <c r="F550" s="1013" t="s">
        <v>4981</v>
      </c>
      <c r="G550" s="1014" t="s">
        <v>266</v>
      </c>
      <c r="H550" s="1015">
        <v>58072</v>
      </c>
      <c r="I550" s="1016" t="s">
        <v>6899</v>
      </c>
    </row>
    <row r="551" spans="2:9" ht="15.75" x14ac:dyDescent="0.25">
      <c r="B551" s="1365" t="s">
        <v>7169</v>
      </c>
      <c r="C551" s="1013" t="s">
        <v>4417</v>
      </c>
      <c r="D551" s="1013" t="s">
        <v>4418</v>
      </c>
      <c r="E551" s="1014">
        <v>4053</v>
      </c>
      <c r="F551" s="1013" t="s">
        <v>4982</v>
      </c>
      <c r="G551" s="1014" t="s">
        <v>266</v>
      </c>
      <c r="H551" s="1015">
        <v>55848</v>
      </c>
      <c r="I551" s="1016" t="s">
        <v>6899</v>
      </c>
    </row>
    <row r="552" spans="2:9" ht="15.75" x14ac:dyDescent="0.25">
      <c r="B552" s="1365" t="s">
        <v>7169</v>
      </c>
      <c r="C552" s="1013" t="s">
        <v>4417</v>
      </c>
      <c r="D552" s="1013" t="s">
        <v>4418</v>
      </c>
      <c r="E552" s="1014">
        <v>4054</v>
      </c>
      <c r="F552" s="1013" t="s">
        <v>4983</v>
      </c>
      <c r="G552" s="1014" t="s">
        <v>13</v>
      </c>
      <c r="H552" s="1015">
        <v>80047</v>
      </c>
      <c r="I552" s="1016" t="s">
        <v>6899</v>
      </c>
    </row>
    <row r="553" spans="2:9" ht="15.75" x14ac:dyDescent="0.25">
      <c r="B553" s="1365" t="s">
        <v>7169</v>
      </c>
      <c r="C553" s="1013" t="s">
        <v>4417</v>
      </c>
      <c r="D553" s="1013" t="s">
        <v>4418</v>
      </c>
      <c r="E553" s="1014">
        <v>4055</v>
      </c>
      <c r="F553" s="1013" t="s">
        <v>4984</v>
      </c>
      <c r="G553" s="1014" t="s">
        <v>13</v>
      </c>
      <c r="H553" s="1015">
        <v>76378</v>
      </c>
      <c r="I553" s="1016" t="s">
        <v>6899</v>
      </c>
    </row>
    <row r="554" spans="2:9" ht="15.75" x14ac:dyDescent="0.25">
      <c r="B554" s="1365" t="s">
        <v>7169</v>
      </c>
      <c r="C554" s="1013" t="s">
        <v>4472</v>
      </c>
      <c r="D554" s="1013" t="s">
        <v>4985</v>
      </c>
      <c r="E554" s="1014">
        <v>4061</v>
      </c>
      <c r="F554" s="1013" t="s">
        <v>4986</v>
      </c>
      <c r="G554" s="1014" t="s">
        <v>12</v>
      </c>
      <c r="H554" s="1015">
        <v>84159</v>
      </c>
      <c r="I554" s="1016" t="s">
        <v>6899</v>
      </c>
    </row>
    <row r="555" spans="2:9" ht="15.75" x14ac:dyDescent="0.25">
      <c r="B555" s="1365" t="s">
        <v>7169</v>
      </c>
      <c r="C555" s="1013" t="s">
        <v>4417</v>
      </c>
      <c r="D555" s="1013" t="s">
        <v>4438</v>
      </c>
      <c r="E555" s="1014">
        <v>4064</v>
      </c>
      <c r="F555" s="1013" t="s">
        <v>4987</v>
      </c>
      <c r="G555" s="1014" t="s">
        <v>12</v>
      </c>
      <c r="H555" s="1015">
        <v>76422</v>
      </c>
      <c r="I555" s="1016" t="s">
        <v>6899</v>
      </c>
    </row>
    <row r="556" spans="2:9" ht="15.75" x14ac:dyDescent="0.25">
      <c r="B556" s="1365" t="s">
        <v>7169</v>
      </c>
      <c r="C556" s="1013" t="s">
        <v>4417</v>
      </c>
      <c r="D556" s="1013" t="s">
        <v>4438</v>
      </c>
      <c r="E556" s="1014">
        <v>4073</v>
      </c>
      <c r="F556" s="1013" t="s">
        <v>4988</v>
      </c>
      <c r="G556" s="1014" t="s">
        <v>12</v>
      </c>
      <c r="H556" s="1015">
        <v>120440</v>
      </c>
      <c r="I556" s="1016" t="s">
        <v>6899</v>
      </c>
    </row>
    <row r="557" spans="2:9" ht="15.75" x14ac:dyDescent="0.25">
      <c r="B557" s="1365" t="s">
        <v>7169</v>
      </c>
      <c r="C557" s="1013" t="s">
        <v>4417</v>
      </c>
      <c r="D557" s="1013" t="s">
        <v>4438</v>
      </c>
      <c r="E557" s="1014">
        <v>4074</v>
      </c>
      <c r="F557" s="1013" t="s">
        <v>4989</v>
      </c>
      <c r="G557" s="1014" t="s">
        <v>12</v>
      </c>
      <c r="H557" s="1015">
        <v>102643</v>
      </c>
      <c r="I557" s="1016" t="s">
        <v>6899</v>
      </c>
    </row>
    <row r="558" spans="2:9" ht="15.75" x14ac:dyDescent="0.25">
      <c r="B558" s="1365" t="s">
        <v>7169</v>
      </c>
      <c r="C558" s="1013" t="s">
        <v>4417</v>
      </c>
      <c r="D558" s="1013" t="s">
        <v>4438</v>
      </c>
      <c r="E558" s="1014">
        <v>4075</v>
      </c>
      <c r="F558" s="1013" t="s">
        <v>4990</v>
      </c>
      <c r="G558" s="1014" t="s">
        <v>12</v>
      </c>
      <c r="H558" s="1015">
        <v>112619</v>
      </c>
      <c r="I558" s="1016" t="s">
        <v>6899</v>
      </c>
    </row>
    <row r="559" spans="2:9" ht="15.75" x14ac:dyDescent="0.25">
      <c r="B559" s="1365" t="s">
        <v>7169</v>
      </c>
      <c r="C559" s="1013" t="s">
        <v>4417</v>
      </c>
      <c r="D559" s="1013" t="s">
        <v>4438</v>
      </c>
      <c r="E559" s="1014">
        <v>4077</v>
      </c>
      <c r="F559" s="1013" t="s">
        <v>4991</v>
      </c>
      <c r="G559" s="1014" t="s">
        <v>12</v>
      </c>
      <c r="H559" s="1015">
        <v>115376</v>
      </c>
      <c r="I559" s="1016" t="s">
        <v>6899</v>
      </c>
    </row>
    <row r="560" spans="2:9" ht="15.75" x14ac:dyDescent="0.25">
      <c r="B560" s="1365" t="s">
        <v>7169</v>
      </c>
      <c r="C560" s="1013" t="s">
        <v>4417</v>
      </c>
      <c r="D560" s="1013" t="s">
        <v>4438</v>
      </c>
      <c r="E560" s="1014">
        <v>4078</v>
      </c>
      <c r="F560" s="1013" t="s">
        <v>4992</v>
      </c>
      <c r="G560" s="1014" t="s">
        <v>12</v>
      </c>
      <c r="H560" s="1015">
        <v>125352</v>
      </c>
      <c r="I560" s="1016" t="s">
        <v>6899</v>
      </c>
    </row>
    <row r="561" spans="2:9" ht="15.75" x14ac:dyDescent="0.25">
      <c r="B561" s="1365" t="s">
        <v>7169</v>
      </c>
      <c r="C561" s="1013" t="s">
        <v>4417</v>
      </c>
      <c r="D561" s="1013" t="s">
        <v>4438</v>
      </c>
      <c r="E561" s="1014">
        <v>4079</v>
      </c>
      <c r="F561" s="1013" t="s">
        <v>4993</v>
      </c>
      <c r="G561" s="1014" t="s">
        <v>12</v>
      </c>
      <c r="H561" s="1015">
        <v>134284</v>
      </c>
      <c r="I561" s="1016" t="s">
        <v>6899</v>
      </c>
    </row>
    <row r="562" spans="2:9" ht="15.75" x14ac:dyDescent="0.25">
      <c r="B562" s="1365" t="s">
        <v>7169</v>
      </c>
      <c r="C562" s="1013" t="s">
        <v>4451</v>
      </c>
      <c r="D562" s="1013" t="s">
        <v>4616</v>
      </c>
      <c r="E562" s="1014">
        <v>4080</v>
      </c>
      <c r="F562" s="1013" t="s">
        <v>4994</v>
      </c>
      <c r="G562" s="1014" t="s">
        <v>266</v>
      </c>
      <c r="H562" s="1015">
        <v>217261</v>
      </c>
      <c r="I562" s="1016" t="s">
        <v>6899</v>
      </c>
    </row>
    <row r="563" spans="2:9" ht="15.75" x14ac:dyDescent="0.25">
      <c r="B563" s="1365" t="s">
        <v>7169</v>
      </c>
      <c r="C563" s="1013" t="s">
        <v>4451</v>
      </c>
      <c r="D563" s="1013" t="s">
        <v>4616</v>
      </c>
      <c r="E563" s="1014">
        <v>4081</v>
      </c>
      <c r="F563" s="1013" t="s">
        <v>4995</v>
      </c>
      <c r="G563" s="1014" t="s">
        <v>266</v>
      </c>
      <c r="H563" s="1015">
        <v>188394</v>
      </c>
      <c r="I563" s="1016" t="s">
        <v>6899</v>
      </c>
    </row>
    <row r="564" spans="2:9" ht="15.75" x14ac:dyDescent="0.25">
      <c r="B564" s="1365" t="s">
        <v>7169</v>
      </c>
      <c r="C564" s="1013" t="s">
        <v>4451</v>
      </c>
      <c r="D564" s="1013" t="s">
        <v>4616</v>
      </c>
      <c r="E564" s="1014">
        <v>4082</v>
      </c>
      <c r="F564" s="1013" t="s">
        <v>4996</v>
      </c>
      <c r="G564" s="1014" t="s">
        <v>266</v>
      </c>
      <c r="H564" s="1015">
        <v>232668</v>
      </c>
      <c r="I564" s="1016" t="s">
        <v>6899</v>
      </c>
    </row>
    <row r="565" spans="2:9" ht="15.75" x14ac:dyDescent="0.25">
      <c r="B565" s="1365" t="s">
        <v>7169</v>
      </c>
      <c r="C565" s="1013" t="s">
        <v>4451</v>
      </c>
      <c r="D565" s="1013" t="s">
        <v>4616</v>
      </c>
      <c r="E565" s="1014">
        <v>4083</v>
      </c>
      <c r="F565" s="1013" t="s">
        <v>4997</v>
      </c>
      <c r="G565" s="1014" t="s">
        <v>266</v>
      </c>
      <c r="H565" s="1015">
        <v>216665</v>
      </c>
      <c r="I565" s="1016" t="s">
        <v>6899</v>
      </c>
    </row>
    <row r="566" spans="2:9" ht="15.75" x14ac:dyDescent="0.25">
      <c r="B566" s="1365" t="s">
        <v>7169</v>
      </c>
      <c r="C566" s="1013" t="s">
        <v>4417</v>
      </c>
      <c r="D566" s="1013" t="s">
        <v>4418</v>
      </c>
      <c r="E566" s="1014">
        <v>4085</v>
      </c>
      <c r="F566" s="1013" t="s">
        <v>4998</v>
      </c>
      <c r="G566" s="1014" t="s">
        <v>266</v>
      </c>
      <c r="H566" s="1015">
        <v>101116</v>
      </c>
      <c r="I566" s="1016" t="s">
        <v>6899</v>
      </c>
    </row>
    <row r="567" spans="2:9" ht="15.75" x14ac:dyDescent="0.25">
      <c r="B567" s="1365" t="s">
        <v>7169</v>
      </c>
      <c r="C567" s="1013" t="s">
        <v>4417</v>
      </c>
      <c r="D567" s="1013" t="s">
        <v>4418</v>
      </c>
      <c r="E567" s="1014">
        <v>4086</v>
      </c>
      <c r="F567" s="1013" t="s">
        <v>4999</v>
      </c>
      <c r="G567" s="1014" t="s">
        <v>266</v>
      </c>
      <c r="H567" s="1015">
        <v>95169</v>
      </c>
      <c r="I567" s="1016" t="s">
        <v>4398</v>
      </c>
    </row>
    <row r="568" spans="2:9" ht="15.75" x14ac:dyDescent="0.25">
      <c r="B568" s="1365" t="s">
        <v>7169</v>
      </c>
      <c r="C568" s="1013" t="s">
        <v>4417</v>
      </c>
      <c r="D568" s="1013" t="s">
        <v>4418</v>
      </c>
      <c r="E568" s="1014">
        <v>4087</v>
      </c>
      <c r="F568" s="1013" t="s">
        <v>5000</v>
      </c>
      <c r="G568" s="1014" t="s">
        <v>266</v>
      </c>
      <c r="H568" s="1015">
        <v>98944</v>
      </c>
      <c r="I568" s="1016" t="s">
        <v>6899</v>
      </c>
    </row>
    <row r="569" spans="2:9" ht="15.75" x14ac:dyDescent="0.25">
      <c r="B569" s="1365" t="s">
        <v>7169</v>
      </c>
      <c r="C569" s="1013" t="s">
        <v>4417</v>
      </c>
      <c r="D569" s="1013" t="s">
        <v>4418</v>
      </c>
      <c r="E569" s="1014">
        <v>4088</v>
      </c>
      <c r="F569" s="1013" t="s">
        <v>5001</v>
      </c>
      <c r="G569" s="1014" t="s">
        <v>13</v>
      </c>
      <c r="H569" s="1015">
        <v>63691</v>
      </c>
      <c r="I569" s="1016" t="s">
        <v>6899</v>
      </c>
    </row>
    <row r="570" spans="2:9" ht="15.75" x14ac:dyDescent="0.25">
      <c r="B570" s="1365" t="s">
        <v>7169</v>
      </c>
      <c r="C570" s="1013" t="s">
        <v>4417</v>
      </c>
      <c r="D570" s="1013" t="s">
        <v>4418</v>
      </c>
      <c r="E570" s="1014">
        <v>4089</v>
      </c>
      <c r="F570" s="1013" t="s">
        <v>5002</v>
      </c>
      <c r="G570" s="1014" t="s">
        <v>13</v>
      </c>
      <c r="H570" s="1015">
        <v>62351</v>
      </c>
      <c r="I570" s="1016" t="s">
        <v>6899</v>
      </c>
    </row>
    <row r="571" spans="2:9" ht="15.75" x14ac:dyDescent="0.25">
      <c r="B571" s="1365" t="s">
        <v>7169</v>
      </c>
      <c r="C571" s="1013" t="s">
        <v>4417</v>
      </c>
      <c r="D571" s="1013" t="s">
        <v>4418</v>
      </c>
      <c r="E571" s="1014">
        <v>4090</v>
      </c>
      <c r="F571" s="1013" t="s">
        <v>5003</v>
      </c>
      <c r="G571" s="1014" t="s">
        <v>13</v>
      </c>
      <c r="H571" s="1015">
        <v>60022</v>
      </c>
      <c r="I571" s="1016" t="s">
        <v>6899</v>
      </c>
    </row>
    <row r="572" spans="2:9" ht="15.75" x14ac:dyDescent="0.25">
      <c r="B572" s="1365" t="s">
        <v>7169</v>
      </c>
      <c r="C572" s="1013" t="s">
        <v>4451</v>
      </c>
      <c r="D572" s="1013" t="s">
        <v>4616</v>
      </c>
      <c r="E572" s="1014">
        <v>4091</v>
      </c>
      <c r="F572" s="1013" t="s">
        <v>5004</v>
      </c>
      <c r="G572" s="1014" t="s">
        <v>266</v>
      </c>
      <c r="H572" s="1015">
        <v>895482</v>
      </c>
      <c r="I572" s="1016" t="s">
        <v>6899</v>
      </c>
    </row>
    <row r="573" spans="2:9" ht="15.75" x14ac:dyDescent="0.25">
      <c r="B573" s="1365" t="s">
        <v>7169</v>
      </c>
      <c r="C573" s="1013" t="s">
        <v>4451</v>
      </c>
      <c r="D573" s="1013" t="s">
        <v>4616</v>
      </c>
      <c r="E573" s="1014">
        <v>4100</v>
      </c>
      <c r="F573" s="1013" t="s">
        <v>5005</v>
      </c>
      <c r="G573" s="1014" t="s">
        <v>266</v>
      </c>
      <c r="H573" s="1015">
        <v>1023252</v>
      </c>
      <c r="I573" s="1016" t="s">
        <v>6899</v>
      </c>
    </row>
    <row r="574" spans="2:9" ht="15.75" x14ac:dyDescent="0.25">
      <c r="B574" s="1365" t="s">
        <v>7169</v>
      </c>
      <c r="C574" s="1013" t="s">
        <v>4451</v>
      </c>
      <c r="D574" s="1013" t="s">
        <v>4452</v>
      </c>
      <c r="E574" s="1014">
        <v>4101</v>
      </c>
      <c r="F574" s="1013" t="s">
        <v>5006</v>
      </c>
      <c r="G574" s="1014" t="s">
        <v>266</v>
      </c>
      <c r="H574" s="1015">
        <v>366784</v>
      </c>
      <c r="I574" s="1016" t="s">
        <v>6899</v>
      </c>
    </row>
    <row r="575" spans="2:9" ht="15.75" x14ac:dyDescent="0.25">
      <c r="B575" s="1365" t="s">
        <v>7169</v>
      </c>
      <c r="C575" s="1013" t="s">
        <v>4405</v>
      </c>
      <c r="D575" s="1013" t="s">
        <v>4579</v>
      </c>
      <c r="E575" s="1014">
        <v>4102</v>
      </c>
      <c r="F575" s="1013" t="s">
        <v>5007</v>
      </c>
      <c r="G575" s="1014" t="s">
        <v>13</v>
      </c>
      <c r="H575" s="1015">
        <v>132958</v>
      </c>
      <c r="I575" s="1016" t="s">
        <v>4398</v>
      </c>
    </row>
    <row r="576" spans="2:9" ht="15.75" x14ac:dyDescent="0.25">
      <c r="B576" s="1365" t="s">
        <v>7169</v>
      </c>
      <c r="C576" s="1013" t="s">
        <v>4405</v>
      </c>
      <c r="D576" s="1013" t="s">
        <v>4579</v>
      </c>
      <c r="E576" s="1014">
        <v>4103</v>
      </c>
      <c r="F576" s="1013" t="s">
        <v>5008</v>
      </c>
      <c r="G576" s="1014" t="s">
        <v>13</v>
      </c>
      <c r="H576" s="1015">
        <v>146741</v>
      </c>
      <c r="I576" s="1016" t="s">
        <v>4398</v>
      </c>
    </row>
    <row r="577" spans="2:9" ht="15.75" x14ac:dyDescent="0.25">
      <c r="B577" s="1365" t="s">
        <v>7169</v>
      </c>
      <c r="C577" s="1013" t="s">
        <v>4405</v>
      </c>
      <c r="D577" s="1013" t="s">
        <v>4579</v>
      </c>
      <c r="E577" s="1014">
        <v>4104</v>
      </c>
      <c r="F577" s="1013" t="s">
        <v>5009</v>
      </c>
      <c r="G577" s="1014" t="s">
        <v>266</v>
      </c>
      <c r="H577" s="1015">
        <v>681376</v>
      </c>
      <c r="I577" s="1016" t="s">
        <v>6899</v>
      </c>
    </row>
    <row r="578" spans="2:9" ht="15.75" x14ac:dyDescent="0.25">
      <c r="B578" s="1365" t="s">
        <v>7169</v>
      </c>
      <c r="C578" s="1013" t="s">
        <v>4405</v>
      </c>
      <c r="D578" s="1013" t="s">
        <v>4579</v>
      </c>
      <c r="E578" s="1014">
        <v>4105</v>
      </c>
      <c r="F578" s="1013" t="s">
        <v>5010</v>
      </c>
      <c r="G578" s="1014" t="s">
        <v>266</v>
      </c>
      <c r="H578" s="1015">
        <v>1193791</v>
      </c>
      <c r="I578" s="1016" t="s">
        <v>6899</v>
      </c>
    </row>
    <row r="579" spans="2:9" ht="15.75" x14ac:dyDescent="0.25">
      <c r="B579" s="1365" t="s">
        <v>7169</v>
      </c>
      <c r="C579" s="1013" t="s">
        <v>4405</v>
      </c>
      <c r="D579" s="1013" t="s">
        <v>4579</v>
      </c>
      <c r="E579" s="1014">
        <v>4106</v>
      </c>
      <c r="F579" s="1013" t="s">
        <v>5011</v>
      </c>
      <c r="G579" s="1014" t="s">
        <v>266</v>
      </c>
      <c r="H579" s="1015">
        <v>1161747</v>
      </c>
      <c r="I579" s="1016" t="s">
        <v>6899</v>
      </c>
    </row>
    <row r="580" spans="2:9" ht="15.75" x14ac:dyDescent="0.25">
      <c r="B580" s="1365" t="s">
        <v>7169</v>
      </c>
      <c r="C580" s="1013" t="s">
        <v>4405</v>
      </c>
      <c r="D580" s="1013" t="s">
        <v>4579</v>
      </c>
      <c r="E580" s="1014">
        <v>4107</v>
      </c>
      <c r="F580" s="1013" t="s">
        <v>5012</v>
      </c>
      <c r="G580" s="1014" t="s">
        <v>266</v>
      </c>
      <c r="H580" s="1015">
        <v>1688375</v>
      </c>
      <c r="I580" s="1016" t="s">
        <v>6899</v>
      </c>
    </row>
    <row r="581" spans="2:9" ht="15.75" x14ac:dyDescent="0.25">
      <c r="B581" s="1365" t="s">
        <v>7169</v>
      </c>
      <c r="C581" s="1013" t="s">
        <v>4405</v>
      </c>
      <c r="D581" s="1013" t="s">
        <v>4579</v>
      </c>
      <c r="E581" s="1014">
        <v>4108</v>
      </c>
      <c r="F581" s="1013" t="s">
        <v>5013</v>
      </c>
      <c r="G581" s="1014" t="s">
        <v>266</v>
      </c>
      <c r="H581" s="1015">
        <v>1589443</v>
      </c>
      <c r="I581" s="1016" t="s">
        <v>6899</v>
      </c>
    </row>
    <row r="582" spans="2:9" ht="15.75" x14ac:dyDescent="0.25">
      <c r="B582" s="1365" t="s">
        <v>7169</v>
      </c>
      <c r="C582" s="1013" t="s">
        <v>4405</v>
      </c>
      <c r="D582" s="1013" t="s">
        <v>4579</v>
      </c>
      <c r="E582" s="1014">
        <v>4110</v>
      </c>
      <c r="F582" s="1013" t="s">
        <v>5014</v>
      </c>
      <c r="G582" s="1014" t="s">
        <v>266</v>
      </c>
      <c r="H582" s="1015">
        <v>2982859</v>
      </c>
      <c r="I582" s="1016" t="s">
        <v>6899</v>
      </c>
    </row>
    <row r="583" spans="2:9" ht="15.75" x14ac:dyDescent="0.25">
      <c r="B583" s="1365" t="s">
        <v>7169</v>
      </c>
      <c r="C583" s="1013" t="s">
        <v>4468</v>
      </c>
      <c r="D583" s="1013" t="s">
        <v>4650</v>
      </c>
      <c r="E583" s="1014">
        <v>4111</v>
      </c>
      <c r="F583" s="1013" t="s">
        <v>5015</v>
      </c>
      <c r="G583" s="1014" t="s">
        <v>3</v>
      </c>
      <c r="H583" s="1015">
        <v>590580</v>
      </c>
      <c r="I583" s="1016" t="s">
        <v>6899</v>
      </c>
    </row>
    <row r="584" spans="2:9" ht="15.75" x14ac:dyDescent="0.25">
      <c r="B584" s="1365" t="s">
        <v>7169</v>
      </c>
      <c r="C584" s="1013" t="s">
        <v>4405</v>
      </c>
      <c r="D584" s="1013" t="s">
        <v>4579</v>
      </c>
      <c r="E584" s="1014">
        <v>4113</v>
      </c>
      <c r="F584" s="1013" t="s">
        <v>5016</v>
      </c>
      <c r="G584" s="1014" t="s">
        <v>266</v>
      </c>
      <c r="H584" s="1015">
        <v>449205</v>
      </c>
      <c r="I584" s="1016" t="s">
        <v>6899</v>
      </c>
    </row>
    <row r="585" spans="2:9" ht="15.75" x14ac:dyDescent="0.25">
      <c r="B585" s="1365" t="s">
        <v>7169</v>
      </c>
      <c r="C585" s="1013" t="s">
        <v>4405</v>
      </c>
      <c r="D585" s="1013" t="s">
        <v>4579</v>
      </c>
      <c r="E585" s="1014">
        <v>4114</v>
      </c>
      <c r="F585" s="1013" t="s">
        <v>5017</v>
      </c>
      <c r="G585" s="1014" t="s">
        <v>266</v>
      </c>
      <c r="H585" s="1015">
        <v>363974</v>
      </c>
      <c r="I585" s="1016" t="s">
        <v>6899</v>
      </c>
    </row>
    <row r="586" spans="2:9" ht="15.75" x14ac:dyDescent="0.25">
      <c r="B586" s="1365" t="s">
        <v>7169</v>
      </c>
      <c r="C586" s="1013" t="s">
        <v>4405</v>
      </c>
      <c r="D586" s="1013" t="s">
        <v>4579</v>
      </c>
      <c r="E586" s="1014">
        <v>4115</v>
      </c>
      <c r="F586" s="1013" t="s">
        <v>5018</v>
      </c>
      <c r="G586" s="1014" t="s">
        <v>266</v>
      </c>
      <c r="H586" s="1015">
        <v>397002</v>
      </c>
      <c r="I586" s="1016" t="s">
        <v>6899</v>
      </c>
    </row>
    <row r="587" spans="2:9" ht="15.75" x14ac:dyDescent="0.25">
      <c r="B587" s="1365" t="s">
        <v>7169</v>
      </c>
      <c r="C587" s="1013" t="s">
        <v>4405</v>
      </c>
      <c r="D587" s="1013" t="s">
        <v>4579</v>
      </c>
      <c r="E587" s="1014">
        <v>4116</v>
      </c>
      <c r="F587" s="1013" t="s">
        <v>5019</v>
      </c>
      <c r="G587" s="1014" t="s">
        <v>266</v>
      </c>
      <c r="H587" s="1015">
        <v>465186</v>
      </c>
      <c r="I587" s="1016" t="s">
        <v>6899</v>
      </c>
    </row>
    <row r="588" spans="2:9" ht="15.75" x14ac:dyDescent="0.25">
      <c r="B588" s="1365" t="s">
        <v>7169</v>
      </c>
      <c r="C588" s="1013" t="s">
        <v>4405</v>
      </c>
      <c r="D588" s="1013" t="s">
        <v>4579</v>
      </c>
      <c r="E588" s="1014">
        <v>4117</v>
      </c>
      <c r="F588" s="1013" t="s">
        <v>5020</v>
      </c>
      <c r="G588" s="1014" t="s">
        <v>266</v>
      </c>
      <c r="H588" s="1015">
        <v>499278</v>
      </c>
      <c r="I588" s="1016" t="s">
        <v>6899</v>
      </c>
    </row>
    <row r="589" spans="2:9" ht="15.75" x14ac:dyDescent="0.25">
      <c r="B589" s="1365" t="s">
        <v>7169</v>
      </c>
      <c r="C589" s="1013" t="s">
        <v>4405</v>
      </c>
      <c r="D589" s="1013" t="s">
        <v>4579</v>
      </c>
      <c r="E589" s="1014">
        <v>4118</v>
      </c>
      <c r="F589" s="1013" t="s">
        <v>5021</v>
      </c>
      <c r="G589" s="1014" t="s">
        <v>266</v>
      </c>
      <c r="H589" s="1015">
        <v>405525</v>
      </c>
      <c r="I589" s="1016" t="s">
        <v>6899</v>
      </c>
    </row>
    <row r="590" spans="2:9" ht="15.75" x14ac:dyDescent="0.25">
      <c r="B590" s="1365" t="s">
        <v>7169</v>
      </c>
      <c r="C590" s="1013" t="s">
        <v>4405</v>
      </c>
      <c r="D590" s="1013" t="s">
        <v>4579</v>
      </c>
      <c r="E590" s="1014">
        <v>4119</v>
      </c>
      <c r="F590" s="1013" t="s">
        <v>5022</v>
      </c>
      <c r="G590" s="1014" t="s">
        <v>266</v>
      </c>
      <c r="H590" s="1015">
        <v>482232</v>
      </c>
      <c r="I590" s="1016" t="s">
        <v>6899</v>
      </c>
    </row>
    <row r="591" spans="2:9" ht="15.75" x14ac:dyDescent="0.25">
      <c r="B591" s="1365" t="s">
        <v>7169</v>
      </c>
      <c r="C591" s="1013" t="s">
        <v>4405</v>
      </c>
      <c r="D591" s="1013" t="s">
        <v>4579</v>
      </c>
      <c r="E591" s="1014">
        <v>4120</v>
      </c>
      <c r="F591" s="1013" t="s">
        <v>5023</v>
      </c>
      <c r="G591" s="1014" t="s">
        <v>266</v>
      </c>
      <c r="H591" s="1015">
        <v>519520</v>
      </c>
      <c r="I591" s="1016" t="s">
        <v>6899</v>
      </c>
    </row>
    <row r="592" spans="2:9" ht="15.75" x14ac:dyDescent="0.25">
      <c r="B592" s="1365" t="s">
        <v>7169</v>
      </c>
      <c r="C592" s="1013" t="s">
        <v>4405</v>
      </c>
      <c r="D592" s="1013" t="s">
        <v>4579</v>
      </c>
      <c r="E592" s="1014">
        <v>4121</v>
      </c>
      <c r="F592" s="1013" t="s">
        <v>5024</v>
      </c>
      <c r="G592" s="1014" t="s">
        <v>266</v>
      </c>
      <c r="H592" s="1015">
        <v>386348</v>
      </c>
      <c r="I592" s="1016" t="s">
        <v>6899</v>
      </c>
    </row>
    <row r="593" spans="2:9" ht="15.75" x14ac:dyDescent="0.25">
      <c r="B593" s="1365" t="s">
        <v>7169</v>
      </c>
      <c r="C593" s="1013" t="s">
        <v>4405</v>
      </c>
      <c r="D593" s="1013" t="s">
        <v>4579</v>
      </c>
      <c r="E593" s="1014">
        <v>4122</v>
      </c>
      <c r="F593" s="1013" t="s">
        <v>5025</v>
      </c>
      <c r="G593" s="1014" t="s">
        <v>266</v>
      </c>
      <c r="H593" s="1015">
        <v>358648</v>
      </c>
      <c r="I593" s="1016" t="s">
        <v>6899</v>
      </c>
    </row>
    <row r="594" spans="2:9" ht="15.75" x14ac:dyDescent="0.25">
      <c r="B594" s="1365" t="s">
        <v>7169</v>
      </c>
      <c r="C594" s="1013" t="s">
        <v>4405</v>
      </c>
      <c r="D594" s="1013" t="s">
        <v>4579</v>
      </c>
      <c r="E594" s="1014">
        <v>4123</v>
      </c>
      <c r="F594" s="1013" t="s">
        <v>5026</v>
      </c>
      <c r="G594" s="1014" t="s">
        <v>266</v>
      </c>
      <c r="H594" s="1015">
        <v>376760</v>
      </c>
      <c r="I594" s="1016" t="s">
        <v>6899</v>
      </c>
    </row>
    <row r="595" spans="2:9" ht="15.75" x14ac:dyDescent="0.25">
      <c r="B595" s="1365" t="s">
        <v>7169</v>
      </c>
      <c r="C595" s="1013" t="s">
        <v>4405</v>
      </c>
      <c r="D595" s="1013" t="s">
        <v>4579</v>
      </c>
      <c r="E595" s="1014">
        <v>4124</v>
      </c>
      <c r="F595" s="1013" t="s">
        <v>5027</v>
      </c>
      <c r="G595" s="1014" t="s">
        <v>266</v>
      </c>
      <c r="H595" s="1015">
        <v>432159</v>
      </c>
      <c r="I595" s="1016" t="s">
        <v>6899</v>
      </c>
    </row>
    <row r="596" spans="2:9" ht="15.75" x14ac:dyDescent="0.25">
      <c r="B596" s="1365" t="s">
        <v>7169</v>
      </c>
      <c r="C596" s="1013" t="s">
        <v>4405</v>
      </c>
      <c r="D596" s="1013" t="s">
        <v>4579</v>
      </c>
      <c r="E596" s="1014">
        <v>4125</v>
      </c>
      <c r="F596" s="1013" t="s">
        <v>5028</v>
      </c>
      <c r="G596" s="1014" t="s">
        <v>266</v>
      </c>
      <c r="H596" s="1015">
        <v>332548</v>
      </c>
      <c r="I596" s="1016" t="s">
        <v>6899</v>
      </c>
    </row>
    <row r="597" spans="2:9" ht="15.75" x14ac:dyDescent="0.25">
      <c r="B597" s="1365" t="s">
        <v>7169</v>
      </c>
      <c r="C597" s="1013" t="s">
        <v>4405</v>
      </c>
      <c r="D597" s="1013" t="s">
        <v>4579</v>
      </c>
      <c r="E597" s="1014">
        <v>4126</v>
      </c>
      <c r="F597" s="1013" t="s">
        <v>5029</v>
      </c>
      <c r="G597" s="1014" t="s">
        <v>266</v>
      </c>
      <c r="H597" s="1015">
        <v>297233</v>
      </c>
      <c r="I597" s="1016" t="s">
        <v>6899</v>
      </c>
    </row>
    <row r="598" spans="2:9" ht="15.75" x14ac:dyDescent="0.25">
      <c r="B598" s="1365" t="s">
        <v>7169</v>
      </c>
      <c r="C598" s="1013" t="s">
        <v>4405</v>
      </c>
      <c r="D598" s="1013" t="s">
        <v>4579</v>
      </c>
      <c r="E598" s="1014">
        <v>4127</v>
      </c>
      <c r="F598" s="1013" t="s">
        <v>5030</v>
      </c>
      <c r="G598" s="1014" t="s">
        <v>266</v>
      </c>
      <c r="H598" s="1015">
        <v>443332</v>
      </c>
      <c r="I598" s="1016" t="s">
        <v>6899</v>
      </c>
    </row>
    <row r="599" spans="2:9" ht="15.75" x14ac:dyDescent="0.25">
      <c r="B599" s="1365" t="s">
        <v>7169</v>
      </c>
      <c r="C599" s="1013" t="s">
        <v>4431</v>
      </c>
      <c r="D599" s="1013" t="s">
        <v>4432</v>
      </c>
      <c r="E599" s="1014">
        <v>4128</v>
      </c>
      <c r="F599" s="1013" t="s">
        <v>5031</v>
      </c>
      <c r="G599" s="1014" t="s">
        <v>13</v>
      </c>
      <c r="H599" s="1015">
        <v>99052</v>
      </c>
      <c r="I599" s="1016" t="s">
        <v>4398</v>
      </c>
    </row>
    <row r="600" spans="2:9" ht="15.75" x14ac:dyDescent="0.25">
      <c r="B600" s="1365" t="s">
        <v>7169</v>
      </c>
      <c r="C600" s="1013" t="s">
        <v>4431</v>
      </c>
      <c r="D600" s="1013" t="s">
        <v>4432</v>
      </c>
      <c r="E600" s="1014">
        <v>4129</v>
      </c>
      <c r="F600" s="1013" t="s">
        <v>5032</v>
      </c>
      <c r="G600" s="1014" t="s">
        <v>13</v>
      </c>
      <c r="H600" s="1015">
        <v>200669</v>
      </c>
      <c r="I600" s="1016" t="s">
        <v>4398</v>
      </c>
    </row>
    <row r="601" spans="2:9" ht="15.75" x14ac:dyDescent="0.25">
      <c r="B601" s="1365" t="s">
        <v>7169</v>
      </c>
      <c r="C601" s="1013" t="s">
        <v>4431</v>
      </c>
      <c r="D601" s="1013" t="s">
        <v>4432</v>
      </c>
      <c r="E601" s="1014">
        <v>4130</v>
      </c>
      <c r="F601" s="1013" t="s">
        <v>5033</v>
      </c>
      <c r="G601" s="1014" t="s">
        <v>266</v>
      </c>
      <c r="H601" s="1015">
        <v>776558</v>
      </c>
      <c r="I601" s="1016" t="s">
        <v>6899</v>
      </c>
    </row>
    <row r="602" spans="2:9" ht="15.75" x14ac:dyDescent="0.25">
      <c r="B602" s="1365" t="s">
        <v>7169</v>
      </c>
      <c r="C602" s="1013" t="s">
        <v>4431</v>
      </c>
      <c r="D602" s="1013" t="s">
        <v>4432</v>
      </c>
      <c r="E602" s="1014">
        <v>4131</v>
      </c>
      <c r="F602" s="1013" t="s">
        <v>5034</v>
      </c>
      <c r="G602" s="1014" t="s">
        <v>266</v>
      </c>
      <c r="H602" s="1015">
        <v>1253396</v>
      </c>
      <c r="I602" s="1016" t="s">
        <v>6899</v>
      </c>
    </row>
    <row r="603" spans="2:9" ht="15.75" x14ac:dyDescent="0.25">
      <c r="B603" s="1365" t="s">
        <v>7169</v>
      </c>
      <c r="C603" s="1013" t="s">
        <v>4431</v>
      </c>
      <c r="D603" s="1013" t="s">
        <v>4432</v>
      </c>
      <c r="E603" s="1014">
        <v>4132</v>
      </c>
      <c r="F603" s="1013" t="s">
        <v>5035</v>
      </c>
      <c r="G603" s="1014" t="s">
        <v>266</v>
      </c>
      <c r="H603" s="1015">
        <v>1397585</v>
      </c>
      <c r="I603" s="1016" t="s">
        <v>6899</v>
      </c>
    </row>
    <row r="604" spans="2:9" ht="15.75" x14ac:dyDescent="0.25">
      <c r="B604" s="1365" t="s">
        <v>7169</v>
      </c>
      <c r="C604" s="1013" t="s">
        <v>4431</v>
      </c>
      <c r="D604" s="1013" t="s">
        <v>4432</v>
      </c>
      <c r="E604" s="1014">
        <v>4133</v>
      </c>
      <c r="F604" s="1013" t="s">
        <v>5036</v>
      </c>
      <c r="G604" s="1014" t="s">
        <v>266</v>
      </c>
      <c r="H604" s="1015">
        <v>1912214</v>
      </c>
      <c r="I604" s="1016" t="s">
        <v>6899</v>
      </c>
    </row>
    <row r="605" spans="2:9" ht="15.75" x14ac:dyDescent="0.25">
      <c r="B605" s="1365" t="s">
        <v>7169</v>
      </c>
      <c r="C605" s="1013" t="s">
        <v>4468</v>
      </c>
      <c r="D605" s="1013" t="s">
        <v>4469</v>
      </c>
      <c r="E605" s="1014">
        <v>4134</v>
      </c>
      <c r="F605" s="1013" t="s">
        <v>5037</v>
      </c>
      <c r="G605" s="1014" t="s">
        <v>3</v>
      </c>
      <c r="H605" s="1015">
        <v>663132</v>
      </c>
      <c r="I605" s="1016" t="s">
        <v>6899</v>
      </c>
    </row>
    <row r="606" spans="2:9" ht="15.75" x14ac:dyDescent="0.25">
      <c r="B606" s="1365" t="s">
        <v>7169</v>
      </c>
      <c r="C606" s="1013" t="s">
        <v>4468</v>
      </c>
      <c r="D606" s="1013" t="s">
        <v>4469</v>
      </c>
      <c r="E606" s="1014">
        <v>4135</v>
      </c>
      <c r="F606" s="1013" t="s">
        <v>5038</v>
      </c>
      <c r="G606" s="1014" t="s">
        <v>3</v>
      </c>
      <c r="H606" s="1015">
        <v>684404</v>
      </c>
      <c r="I606" s="1016" t="s">
        <v>6899</v>
      </c>
    </row>
    <row r="607" spans="2:9" ht="15.75" x14ac:dyDescent="0.25">
      <c r="B607" s="1365" t="s">
        <v>7169</v>
      </c>
      <c r="C607" s="1013" t="s">
        <v>4461</v>
      </c>
      <c r="D607" s="1013" t="s">
        <v>4461</v>
      </c>
      <c r="E607" s="1014">
        <v>4136</v>
      </c>
      <c r="F607" s="1013" t="s">
        <v>5039</v>
      </c>
      <c r="G607" s="1014" t="s">
        <v>266</v>
      </c>
      <c r="H607" s="1015">
        <v>5745</v>
      </c>
      <c r="I607" s="1016" t="s">
        <v>6899</v>
      </c>
    </row>
    <row r="608" spans="2:9" ht="15.75" x14ac:dyDescent="0.25">
      <c r="B608" s="1365" t="s">
        <v>7169</v>
      </c>
      <c r="C608" s="1013" t="s">
        <v>4472</v>
      </c>
      <c r="D608" s="1013" t="s">
        <v>4985</v>
      </c>
      <c r="E608" s="1014">
        <v>4137</v>
      </c>
      <c r="F608" s="1013" t="s">
        <v>5040</v>
      </c>
      <c r="G608" s="1014" t="s">
        <v>12</v>
      </c>
      <c r="H608" s="1015">
        <v>115619</v>
      </c>
      <c r="I608" s="1016" t="s">
        <v>6899</v>
      </c>
    </row>
    <row r="609" spans="2:9" ht="15.75" x14ac:dyDescent="0.25">
      <c r="B609" s="1365" t="s">
        <v>7169</v>
      </c>
      <c r="C609" s="1013" t="s">
        <v>4461</v>
      </c>
      <c r="D609" s="1013" t="s">
        <v>4461</v>
      </c>
      <c r="E609" s="1014">
        <v>4138</v>
      </c>
      <c r="F609" s="1013" t="s">
        <v>5041</v>
      </c>
      <c r="G609" s="1014" t="s">
        <v>266</v>
      </c>
      <c r="H609" s="1015">
        <v>165882</v>
      </c>
      <c r="I609" s="1016" t="s">
        <v>4398</v>
      </c>
    </row>
    <row r="610" spans="2:9" ht="15.75" x14ac:dyDescent="0.25">
      <c r="B610" s="1365" t="s">
        <v>7169</v>
      </c>
      <c r="C610" s="1013" t="s">
        <v>4410</v>
      </c>
      <c r="D610" s="1013" t="s">
        <v>4642</v>
      </c>
      <c r="E610" s="1014">
        <v>4140</v>
      </c>
      <c r="F610" s="1013" t="s">
        <v>5042</v>
      </c>
      <c r="G610" s="1014" t="s">
        <v>3</v>
      </c>
      <c r="H610" s="1015">
        <v>189555</v>
      </c>
      <c r="I610" s="1016" t="s">
        <v>6899</v>
      </c>
    </row>
    <row r="611" spans="2:9" ht="15.75" x14ac:dyDescent="0.25">
      <c r="B611" s="1365" t="s">
        <v>7169</v>
      </c>
      <c r="C611" s="1013" t="s">
        <v>4410</v>
      </c>
      <c r="D611" s="1013" t="s">
        <v>4642</v>
      </c>
      <c r="E611" s="1014">
        <v>4142</v>
      </c>
      <c r="F611" s="1013" t="s">
        <v>5043</v>
      </c>
      <c r="G611" s="1014" t="s">
        <v>3</v>
      </c>
      <c r="H611" s="1015">
        <v>168606</v>
      </c>
      <c r="I611" s="1016" t="s">
        <v>6899</v>
      </c>
    </row>
    <row r="612" spans="2:9" ht="15.75" x14ac:dyDescent="0.25">
      <c r="B612" s="1365" t="s">
        <v>7169</v>
      </c>
      <c r="C612" s="1013" t="s">
        <v>4420</v>
      </c>
      <c r="D612" s="1013" t="s">
        <v>4420</v>
      </c>
      <c r="E612" s="1014">
        <v>4143</v>
      </c>
      <c r="F612" s="1013" t="s">
        <v>5044</v>
      </c>
      <c r="G612" s="1014" t="s">
        <v>13</v>
      </c>
      <c r="H612" s="1015">
        <v>38604</v>
      </c>
      <c r="I612" s="1016" t="s">
        <v>6899</v>
      </c>
    </row>
    <row r="613" spans="2:9" ht="15.75" x14ac:dyDescent="0.25">
      <c r="B613" s="1365" t="s">
        <v>7169</v>
      </c>
      <c r="C613" s="1013" t="s">
        <v>4420</v>
      </c>
      <c r="D613" s="1013" t="s">
        <v>4420</v>
      </c>
      <c r="E613" s="1014">
        <v>4144</v>
      </c>
      <c r="F613" s="1013" t="s">
        <v>5045</v>
      </c>
      <c r="G613" s="1014" t="s">
        <v>13</v>
      </c>
      <c r="H613" s="1015">
        <v>78032</v>
      </c>
      <c r="I613" s="1016" t="s">
        <v>6899</v>
      </c>
    </row>
    <row r="614" spans="2:9" ht="15.75" x14ac:dyDescent="0.25">
      <c r="B614" s="1365" t="s">
        <v>7169</v>
      </c>
      <c r="C614" s="1013" t="s">
        <v>4396</v>
      </c>
      <c r="D614" s="1013" t="s">
        <v>4397</v>
      </c>
      <c r="E614" s="1014">
        <v>4154</v>
      </c>
      <c r="F614" s="1013" t="s">
        <v>5046</v>
      </c>
      <c r="G614" s="1014" t="s">
        <v>12</v>
      </c>
      <c r="H614" s="1015">
        <v>921</v>
      </c>
      <c r="I614" s="1016" t="s">
        <v>4398</v>
      </c>
    </row>
    <row r="615" spans="2:9" ht="15.75" x14ac:dyDescent="0.25">
      <c r="B615" s="1365" t="s">
        <v>7169</v>
      </c>
      <c r="C615" s="1013" t="s">
        <v>4396</v>
      </c>
      <c r="D615" s="1013" t="s">
        <v>4397</v>
      </c>
      <c r="E615" s="1014">
        <v>4155</v>
      </c>
      <c r="F615" s="1013" t="s">
        <v>5047</v>
      </c>
      <c r="G615" s="1014" t="s">
        <v>3</v>
      </c>
      <c r="H615" s="1015">
        <v>88790</v>
      </c>
      <c r="I615" s="1016" t="s">
        <v>6899</v>
      </c>
    </row>
    <row r="616" spans="2:9" ht="15.75" x14ac:dyDescent="0.25">
      <c r="B616" s="1365" t="s">
        <v>7169</v>
      </c>
      <c r="C616" s="1013" t="s">
        <v>4410</v>
      </c>
      <c r="D616" s="1013" t="s">
        <v>4642</v>
      </c>
      <c r="E616" s="1014">
        <v>4156</v>
      </c>
      <c r="F616" s="1013" t="s">
        <v>5048</v>
      </c>
      <c r="G616" s="1014" t="s">
        <v>3</v>
      </c>
      <c r="H616" s="1015">
        <v>164808</v>
      </c>
      <c r="I616" s="1016" t="s">
        <v>6899</v>
      </c>
    </row>
    <row r="617" spans="2:9" ht="15.75" x14ac:dyDescent="0.25">
      <c r="B617" s="1365" t="s">
        <v>7169</v>
      </c>
      <c r="C617" s="1013" t="s">
        <v>4410</v>
      </c>
      <c r="D617" s="1013" t="s">
        <v>4642</v>
      </c>
      <c r="E617" s="1014">
        <v>4157</v>
      </c>
      <c r="F617" s="1013" t="s">
        <v>5049</v>
      </c>
      <c r="G617" s="1014" t="s">
        <v>3</v>
      </c>
      <c r="H617" s="1015">
        <v>180275</v>
      </c>
      <c r="I617" s="1016" t="s">
        <v>6899</v>
      </c>
    </row>
    <row r="618" spans="2:9" ht="15.75" x14ac:dyDescent="0.25">
      <c r="B618" s="1365" t="s">
        <v>7169</v>
      </c>
      <c r="C618" s="1013" t="s">
        <v>4410</v>
      </c>
      <c r="D618" s="1013" t="s">
        <v>4642</v>
      </c>
      <c r="E618" s="1014">
        <v>4158</v>
      </c>
      <c r="F618" s="1013" t="s">
        <v>5050</v>
      </c>
      <c r="G618" s="1014" t="s">
        <v>3</v>
      </c>
      <c r="H618" s="1015">
        <v>170993</v>
      </c>
      <c r="I618" s="1016" t="s">
        <v>6899</v>
      </c>
    </row>
    <row r="619" spans="2:9" ht="15.75" x14ac:dyDescent="0.25">
      <c r="B619" s="1365" t="s">
        <v>7169</v>
      </c>
      <c r="C619" s="1013" t="s">
        <v>4410</v>
      </c>
      <c r="D619" s="1013" t="s">
        <v>4642</v>
      </c>
      <c r="E619" s="1014">
        <v>4159</v>
      </c>
      <c r="F619" s="1013" t="s">
        <v>5051</v>
      </c>
      <c r="G619" s="1014" t="s">
        <v>3</v>
      </c>
      <c r="H619" s="1015">
        <v>152429</v>
      </c>
      <c r="I619" s="1016" t="s">
        <v>6899</v>
      </c>
    </row>
    <row r="620" spans="2:9" ht="15.75" x14ac:dyDescent="0.25">
      <c r="B620" s="1365" t="s">
        <v>7169</v>
      </c>
      <c r="C620" s="1013" t="s">
        <v>4410</v>
      </c>
      <c r="D620" s="1013" t="s">
        <v>4642</v>
      </c>
      <c r="E620" s="1014">
        <v>4160</v>
      </c>
      <c r="F620" s="1013" t="s">
        <v>5052</v>
      </c>
      <c r="G620" s="1014" t="s">
        <v>3</v>
      </c>
      <c r="H620" s="1015">
        <v>161711</v>
      </c>
      <c r="I620" s="1016" t="s">
        <v>6899</v>
      </c>
    </row>
    <row r="621" spans="2:9" ht="15.75" x14ac:dyDescent="0.25">
      <c r="B621" s="1365" t="s">
        <v>7169</v>
      </c>
      <c r="C621" s="1013" t="s">
        <v>4410</v>
      </c>
      <c r="D621" s="1013" t="s">
        <v>4642</v>
      </c>
      <c r="E621" s="1014">
        <v>4161</v>
      </c>
      <c r="F621" s="1013" t="s">
        <v>5053</v>
      </c>
      <c r="G621" s="1014" t="s">
        <v>3</v>
      </c>
      <c r="H621" s="1015">
        <v>155523</v>
      </c>
      <c r="I621" s="1016" t="s">
        <v>6899</v>
      </c>
    </row>
    <row r="622" spans="2:9" ht="15.75" x14ac:dyDescent="0.25">
      <c r="B622" s="1365" t="s">
        <v>7169</v>
      </c>
      <c r="C622" s="1013" t="s">
        <v>4472</v>
      </c>
      <c r="D622" s="1013" t="s">
        <v>4817</v>
      </c>
      <c r="E622" s="1014">
        <v>4195</v>
      </c>
      <c r="F622" s="1013" t="s">
        <v>5054</v>
      </c>
      <c r="G622" s="1014" t="s">
        <v>12</v>
      </c>
      <c r="H622" s="1015">
        <v>554</v>
      </c>
      <c r="I622" s="1016" t="s">
        <v>6899</v>
      </c>
    </row>
    <row r="623" spans="2:9" ht="15.75" x14ac:dyDescent="0.25">
      <c r="B623" s="1365" t="s">
        <v>7169</v>
      </c>
      <c r="C623" s="1013" t="s">
        <v>4472</v>
      </c>
      <c r="D623" s="1013" t="s">
        <v>4817</v>
      </c>
      <c r="E623" s="1014">
        <v>4197</v>
      </c>
      <c r="F623" s="1013" t="s">
        <v>5055</v>
      </c>
      <c r="G623" s="1014" t="s">
        <v>12</v>
      </c>
      <c r="H623" s="1015">
        <v>4637</v>
      </c>
      <c r="I623" s="1016" t="s">
        <v>6899</v>
      </c>
    </row>
    <row r="624" spans="2:9" ht="15.75" x14ac:dyDescent="0.25">
      <c r="B624" s="1365" t="s">
        <v>7169</v>
      </c>
      <c r="C624" s="1013" t="s">
        <v>4472</v>
      </c>
      <c r="D624" s="1013" t="s">
        <v>4817</v>
      </c>
      <c r="E624" s="1014">
        <v>4198</v>
      </c>
      <c r="F624" s="1013" t="s">
        <v>5056</v>
      </c>
      <c r="G624" s="1014" t="s">
        <v>12</v>
      </c>
      <c r="H624" s="1015">
        <v>4860</v>
      </c>
      <c r="I624" s="1016" t="s">
        <v>6899</v>
      </c>
    </row>
    <row r="625" spans="2:9" ht="15.75" x14ac:dyDescent="0.25">
      <c r="B625" s="1365" t="s">
        <v>7169</v>
      </c>
      <c r="C625" s="1013" t="s">
        <v>4472</v>
      </c>
      <c r="D625" s="1013" t="s">
        <v>4817</v>
      </c>
      <c r="E625" s="1014">
        <v>4200</v>
      </c>
      <c r="F625" s="1013" t="s">
        <v>7170</v>
      </c>
      <c r="G625" s="1014" t="s">
        <v>3</v>
      </c>
      <c r="H625" s="1015">
        <v>1038583</v>
      </c>
      <c r="I625" s="1016" t="s">
        <v>6899</v>
      </c>
    </row>
    <row r="626" spans="2:9" ht="15.75" x14ac:dyDescent="0.25">
      <c r="B626" s="1365" t="s">
        <v>7169</v>
      </c>
      <c r="C626" s="1013" t="s">
        <v>4472</v>
      </c>
      <c r="D626" s="1013" t="s">
        <v>4817</v>
      </c>
      <c r="E626" s="1014">
        <v>4203</v>
      </c>
      <c r="F626" s="1013" t="s">
        <v>7171</v>
      </c>
      <c r="G626" s="1014" t="s">
        <v>3</v>
      </c>
      <c r="H626" s="1015">
        <v>1075339</v>
      </c>
      <c r="I626" s="1016" t="s">
        <v>6899</v>
      </c>
    </row>
    <row r="627" spans="2:9" ht="15.75" x14ac:dyDescent="0.25">
      <c r="B627" s="1365" t="s">
        <v>7169</v>
      </c>
      <c r="C627" s="1013" t="s">
        <v>4472</v>
      </c>
      <c r="D627" s="1013" t="s">
        <v>4817</v>
      </c>
      <c r="E627" s="1014">
        <v>4207</v>
      </c>
      <c r="F627" s="1013" t="s">
        <v>7172</v>
      </c>
      <c r="G627" s="1014" t="s">
        <v>3</v>
      </c>
      <c r="H627" s="1015">
        <v>1173409</v>
      </c>
      <c r="I627" s="1016" t="s">
        <v>6899</v>
      </c>
    </row>
    <row r="628" spans="2:9" ht="15.75" x14ac:dyDescent="0.25">
      <c r="B628" s="1365" t="s">
        <v>7169</v>
      </c>
      <c r="C628" s="1013" t="s">
        <v>4472</v>
      </c>
      <c r="D628" s="1013" t="s">
        <v>4473</v>
      </c>
      <c r="E628" s="1014">
        <v>4229</v>
      </c>
      <c r="F628" s="1013" t="s">
        <v>5057</v>
      </c>
      <c r="G628" s="1014" t="s">
        <v>3</v>
      </c>
      <c r="H628" s="1015">
        <v>777241</v>
      </c>
      <c r="I628" s="1016" t="s">
        <v>6899</v>
      </c>
    </row>
    <row r="629" spans="2:9" ht="15.75" x14ac:dyDescent="0.25">
      <c r="B629" s="1365" t="s">
        <v>7169</v>
      </c>
      <c r="C629" s="1013" t="s">
        <v>4472</v>
      </c>
      <c r="D629" s="1013" t="s">
        <v>4473</v>
      </c>
      <c r="E629" s="1014">
        <v>4230</v>
      </c>
      <c r="F629" s="1013" t="s">
        <v>5058</v>
      </c>
      <c r="G629" s="1014" t="s">
        <v>3</v>
      </c>
      <c r="H629" s="1015">
        <v>758207</v>
      </c>
      <c r="I629" s="1016" t="s">
        <v>6899</v>
      </c>
    </row>
    <row r="630" spans="2:9" ht="15.75" x14ac:dyDescent="0.25">
      <c r="B630" s="1365" t="s">
        <v>7169</v>
      </c>
      <c r="C630" s="1013" t="s">
        <v>4775</v>
      </c>
      <c r="D630" s="1013" t="s">
        <v>4775</v>
      </c>
      <c r="E630" s="1014">
        <v>4232</v>
      </c>
      <c r="F630" s="1013" t="s">
        <v>5059</v>
      </c>
      <c r="G630" s="1014" t="s">
        <v>6</v>
      </c>
      <c r="H630" s="1015">
        <v>7266</v>
      </c>
      <c r="I630" s="1016" t="s">
        <v>6899</v>
      </c>
    </row>
    <row r="631" spans="2:9" ht="15.75" x14ac:dyDescent="0.25">
      <c r="B631" s="1365" t="s">
        <v>7169</v>
      </c>
      <c r="C631" s="1013" t="s">
        <v>4775</v>
      </c>
      <c r="D631" s="1013" t="s">
        <v>4775</v>
      </c>
      <c r="E631" s="1014">
        <v>4233</v>
      </c>
      <c r="F631" s="1013" t="s">
        <v>5060</v>
      </c>
      <c r="G631" s="1014" t="s">
        <v>6</v>
      </c>
      <c r="H631" s="1015">
        <v>7266</v>
      </c>
      <c r="I631" s="1016" t="s">
        <v>6899</v>
      </c>
    </row>
    <row r="632" spans="2:9" ht="15.75" x14ac:dyDescent="0.25">
      <c r="B632" s="1365" t="s">
        <v>7169</v>
      </c>
      <c r="C632" s="1013" t="s">
        <v>4775</v>
      </c>
      <c r="D632" s="1013" t="s">
        <v>4775</v>
      </c>
      <c r="E632" s="1014">
        <v>4234</v>
      </c>
      <c r="F632" s="1013" t="s">
        <v>5061</v>
      </c>
      <c r="G632" s="1014" t="s">
        <v>6</v>
      </c>
      <c r="H632" s="1015">
        <v>7266</v>
      </c>
      <c r="I632" s="1016" t="s">
        <v>6899</v>
      </c>
    </row>
    <row r="633" spans="2:9" ht="15.75" x14ac:dyDescent="0.25">
      <c r="B633" s="1365" t="s">
        <v>7169</v>
      </c>
      <c r="C633" s="1013" t="s">
        <v>4775</v>
      </c>
      <c r="D633" s="1013" t="s">
        <v>4775</v>
      </c>
      <c r="E633" s="1014">
        <v>4235</v>
      </c>
      <c r="F633" s="1013" t="s">
        <v>5062</v>
      </c>
      <c r="G633" s="1014" t="s">
        <v>6</v>
      </c>
      <c r="H633" s="1015">
        <v>7266</v>
      </c>
      <c r="I633" s="1016" t="s">
        <v>6899</v>
      </c>
    </row>
    <row r="634" spans="2:9" ht="15.75" x14ac:dyDescent="0.25">
      <c r="B634" s="1365" t="s">
        <v>7169</v>
      </c>
      <c r="C634" s="1013" t="s">
        <v>4775</v>
      </c>
      <c r="D634" s="1013" t="s">
        <v>4775</v>
      </c>
      <c r="E634" s="1014">
        <v>4236</v>
      </c>
      <c r="F634" s="1013" t="s">
        <v>5063</v>
      </c>
      <c r="G634" s="1014" t="s">
        <v>6</v>
      </c>
      <c r="H634" s="1015">
        <v>7266</v>
      </c>
      <c r="I634" s="1016" t="s">
        <v>6899</v>
      </c>
    </row>
    <row r="635" spans="2:9" ht="15.75" x14ac:dyDescent="0.25">
      <c r="B635" s="1365" t="s">
        <v>7169</v>
      </c>
      <c r="C635" s="1013" t="s">
        <v>4775</v>
      </c>
      <c r="D635" s="1013" t="s">
        <v>4775</v>
      </c>
      <c r="E635" s="1014">
        <v>4237</v>
      </c>
      <c r="F635" s="1013" t="s">
        <v>5064</v>
      </c>
      <c r="G635" s="1014" t="s">
        <v>6</v>
      </c>
      <c r="H635" s="1015">
        <v>7266</v>
      </c>
      <c r="I635" s="1016" t="s">
        <v>6899</v>
      </c>
    </row>
    <row r="636" spans="2:9" ht="15.75" x14ac:dyDescent="0.25">
      <c r="B636" s="1365" t="s">
        <v>7169</v>
      </c>
      <c r="C636" s="1013" t="s">
        <v>4775</v>
      </c>
      <c r="D636" s="1013" t="s">
        <v>4775</v>
      </c>
      <c r="E636" s="1014">
        <v>4238</v>
      </c>
      <c r="F636" s="1013" t="s">
        <v>5065</v>
      </c>
      <c r="G636" s="1014" t="s">
        <v>6</v>
      </c>
      <c r="H636" s="1015">
        <v>7266</v>
      </c>
      <c r="I636" s="1016" t="s">
        <v>6899</v>
      </c>
    </row>
    <row r="637" spans="2:9" ht="15.75" x14ac:dyDescent="0.25">
      <c r="B637" s="1365" t="s">
        <v>7169</v>
      </c>
      <c r="C637" s="1013" t="s">
        <v>4472</v>
      </c>
      <c r="D637" s="1013" t="s">
        <v>4812</v>
      </c>
      <c r="E637" s="1014">
        <v>4239</v>
      </c>
      <c r="F637" s="1013" t="s">
        <v>344</v>
      </c>
      <c r="G637" s="1014" t="s">
        <v>13</v>
      </c>
      <c r="H637" s="1015">
        <v>6268</v>
      </c>
      <c r="I637" s="1016" t="s">
        <v>6899</v>
      </c>
    </row>
    <row r="638" spans="2:9" ht="15.75" x14ac:dyDescent="0.25">
      <c r="B638" s="1365" t="s">
        <v>7169</v>
      </c>
      <c r="C638" s="1013" t="s">
        <v>4454</v>
      </c>
      <c r="D638" s="1013" t="s">
        <v>4455</v>
      </c>
      <c r="E638" s="1014">
        <v>4240</v>
      </c>
      <c r="F638" s="1013" t="s">
        <v>5066</v>
      </c>
      <c r="G638" s="1014" t="s">
        <v>13</v>
      </c>
      <c r="H638" s="1015">
        <v>16824</v>
      </c>
      <c r="I638" s="1016" t="s">
        <v>3538</v>
      </c>
    </row>
    <row r="639" spans="2:9" ht="15.75" x14ac:dyDescent="0.25">
      <c r="B639" s="1365" t="s">
        <v>7169</v>
      </c>
      <c r="C639" s="1013" t="s">
        <v>4454</v>
      </c>
      <c r="D639" s="1013" t="s">
        <v>4455</v>
      </c>
      <c r="E639" s="1014">
        <v>4241</v>
      </c>
      <c r="F639" s="1013" t="s">
        <v>5067</v>
      </c>
      <c r="G639" s="1014" t="s">
        <v>13</v>
      </c>
      <c r="H639" s="1015">
        <v>16824</v>
      </c>
      <c r="I639" s="1016" t="s">
        <v>3538</v>
      </c>
    </row>
    <row r="640" spans="2:9" ht="15.75" x14ac:dyDescent="0.25">
      <c r="B640" s="1365" t="s">
        <v>7169</v>
      </c>
      <c r="C640" s="1013" t="s">
        <v>4454</v>
      </c>
      <c r="D640" s="1013" t="s">
        <v>4455</v>
      </c>
      <c r="E640" s="1014">
        <v>4242</v>
      </c>
      <c r="F640" s="1013" t="s">
        <v>5068</v>
      </c>
      <c r="G640" s="1014" t="s">
        <v>13</v>
      </c>
      <c r="H640" s="1015">
        <v>21029</v>
      </c>
      <c r="I640" s="1016" t="s">
        <v>3538</v>
      </c>
    </row>
    <row r="641" spans="2:9" ht="15.75" x14ac:dyDescent="0.25">
      <c r="B641" s="1365" t="s">
        <v>7169</v>
      </c>
      <c r="C641" s="1013" t="s">
        <v>4454</v>
      </c>
      <c r="D641" s="1013" t="s">
        <v>4455</v>
      </c>
      <c r="E641" s="1014">
        <v>4243</v>
      </c>
      <c r="F641" s="1013" t="s">
        <v>5069</v>
      </c>
      <c r="G641" s="1014" t="s">
        <v>13</v>
      </c>
      <c r="H641" s="1015">
        <v>21029</v>
      </c>
      <c r="I641" s="1016" t="s">
        <v>3538</v>
      </c>
    </row>
    <row r="642" spans="2:9" ht="15.75" x14ac:dyDescent="0.25">
      <c r="B642" s="1365" t="s">
        <v>7169</v>
      </c>
      <c r="C642" s="1013" t="s">
        <v>4454</v>
      </c>
      <c r="D642" s="1013" t="s">
        <v>4455</v>
      </c>
      <c r="E642" s="1014">
        <v>4244</v>
      </c>
      <c r="F642" s="1013" t="s">
        <v>5070</v>
      </c>
      <c r="G642" s="1014" t="s">
        <v>266</v>
      </c>
      <c r="H642" s="1015">
        <v>211690</v>
      </c>
      <c r="I642" s="1016" t="s">
        <v>3538</v>
      </c>
    </row>
    <row r="643" spans="2:9" ht="15.75" x14ac:dyDescent="0.25">
      <c r="B643" s="1365" t="s">
        <v>7169</v>
      </c>
      <c r="C643" s="1013" t="s">
        <v>4454</v>
      </c>
      <c r="D643" s="1013" t="s">
        <v>4455</v>
      </c>
      <c r="E643" s="1014">
        <v>4245</v>
      </c>
      <c r="F643" s="1013" t="s">
        <v>5071</v>
      </c>
      <c r="G643" s="1014" t="s">
        <v>266</v>
      </c>
      <c r="H643" s="1015">
        <v>305619</v>
      </c>
      <c r="I643" s="1016" t="s">
        <v>3538</v>
      </c>
    </row>
    <row r="644" spans="2:9" ht="15.75" x14ac:dyDescent="0.25">
      <c r="B644" s="1365" t="s">
        <v>7169</v>
      </c>
      <c r="C644" s="1013" t="s">
        <v>4454</v>
      </c>
      <c r="D644" s="1013" t="s">
        <v>4455</v>
      </c>
      <c r="E644" s="1014">
        <v>4246</v>
      </c>
      <c r="F644" s="1013" t="s">
        <v>5072</v>
      </c>
      <c r="G644" s="1014" t="s">
        <v>266</v>
      </c>
      <c r="H644" s="1015">
        <v>168231</v>
      </c>
      <c r="I644" s="1016" t="s">
        <v>3538</v>
      </c>
    </row>
    <row r="645" spans="2:9" ht="15.75" x14ac:dyDescent="0.25">
      <c r="B645" s="1365" t="s">
        <v>7169</v>
      </c>
      <c r="C645" s="1013" t="s">
        <v>4454</v>
      </c>
      <c r="D645" s="1013" t="s">
        <v>4455</v>
      </c>
      <c r="E645" s="1014">
        <v>4247</v>
      </c>
      <c r="F645" s="1013" t="s">
        <v>5073</v>
      </c>
      <c r="G645" s="1014" t="s">
        <v>12</v>
      </c>
      <c r="H645" s="1015">
        <v>140192</v>
      </c>
      <c r="I645" s="1016" t="s">
        <v>3538</v>
      </c>
    </row>
    <row r="646" spans="2:9" ht="15.75" x14ac:dyDescent="0.25">
      <c r="B646" s="1365" t="s">
        <v>7169</v>
      </c>
      <c r="C646" s="1013" t="s">
        <v>4454</v>
      </c>
      <c r="D646" s="1013" t="s">
        <v>4455</v>
      </c>
      <c r="E646" s="1014">
        <v>4248</v>
      </c>
      <c r="F646" s="1013" t="s">
        <v>5074</v>
      </c>
      <c r="G646" s="1014" t="s">
        <v>12</v>
      </c>
      <c r="H646" s="1015">
        <v>140192</v>
      </c>
      <c r="I646" s="1016" t="s">
        <v>3538</v>
      </c>
    </row>
    <row r="647" spans="2:9" ht="15.75" x14ac:dyDescent="0.25">
      <c r="B647" s="1365" t="s">
        <v>7169</v>
      </c>
      <c r="C647" s="1013" t="s">
        <v>4454</v>
      </c>
      <c r="D647" s="1013" t="s">
        <v>4455</v>
      </c>
      <c r="E647" s="1014">
        <v>4249</v>
      </c>
      <c r="F647" s="1013" t="s">
        <v>5075</v>
      </c>
      <c r="G647" s="1014" t="s">
        <v>13</v>
      </c>
      <c r="H647" s="1015">
        <v>21029</v>
      </c>
      <c r="I647" s="1016" t="s">
        <v>3538</v>
      </c>
    </row>
    <row r="648" spans="2:9" ht="15.75" x14ac:dyDescent="0.25">
      <c r="B648" s="1365" t="s">
        <v>7169</v>
      </c>
      <c r="C648" s="1013" t="s">
        <v>4420</v>
      </c>
      <c r="D648" s="1013" t="s">
        <v>4420</v>
      </c>
      <c r="E648" s="1014">
        <v>4252</v>
      </c>
      <c r="F648" s="1013" t="s">
        <v>5076</v>
      </c>
      <c r="G648" s="1014" t="s">
        <v>266</v>
      </c>
      <c r="H648" s="1015">
        <v>2031014</v>
      </c>
      <c r="I648" s="1016" t="s">
        <v>6899</v>
      </c>
    </row>
    <row r="649" spans="2:9" ht="15.75" x14ac:dyDescent="0.25">
      <c r="B649" s="1365" t="s">
        <v>7169</v>
      </c>
      <c r="C649" s="1013" t="s">
        <v>4420</v>
      </c>
      <c r="D649" s="1013" t="s">
        <v>4420</v>
      </c>
      <c r="E649" s="1014">
        <v>4253</v>
      </c>
      <c r="F649" s="1013" t="s">
        <v>5077</v>
      </c>
      <c r="G649" s="1014" t="s">
        <v>266</v>
      </c>
      <c r="H649" s="1015">
        <v>891409</v>
      </c>
      <c r="I649" s="1016" t="s">
        <v>6899</v>
      </c>
    </row>
    <row r="650" spans="2:9" ht="15.75" x14ac:dyDescent="0.25">
      <c r="B650" s="1365" t="s">
        <v>7169</v>
      </c>
      <c r="C650" s="1013" t="s">
        <v>4468</v>
      </c>
      <c r="D650" s="1013" t="s">
        <v>4650</v>
      </c>
      <c r="E650" s="1014">
        <v>4261</v>
      </c>
      <c r="F650" s="1013" t="s">
        <v>5078</v>
      </c>
      <c r="G650" s="1014" t="s">
        <v>3</v>
      </c>
      <c r="H650" s="1015">
        <v>687068</v>
      </c>
      <c r="I650" s="1016" t="s">
        <v>6899</v>
      </c>
    </row>
    <row r="651" spans="2:9" ht="15.75" x14ac:dyDescent="0.25">
      <c r="B651" s="1365" t="s">
        <v>7169</v>
      </c>
      <c r="C651" s="1013" t="s">
        <v>4396</v>
      </c>
      <c r="D651" s="1013" t="s">
        <v>4399</v>
      </c>
      <c r="E651" s="1014">
        <v>4262</v>
      </c>
      <c r="F651" s="1013" t="s">
        <v>5079</v>
      </c>
      <c r="G651" s="1014" t="s">
        <v>3</v>
      </c>
      <c r="H651" s="1015">
        <v>5499</v>
      </c>
      <c r="I651" s="1016" t="s">
        <v>4398</v>
      </c>
    </row>
    <row r="652" spans="2:9" ht="15.75" x14ac:dyDescent="0.25">
      <c r="B652" s="1365" t="s">
        <v>7169</v>
      </c>
      <c r="C652" s="1013" t="s">
        <v>4420</v>
      </c>
      <c r="D652" s="1013" t="s">
        <v>4420</v>
      </c>
      <c r="E652" s="1014">
        <v>4264</v>
      </c>
      <c r="F652" s="1013" t="s">
        <v>5080</v>
      </c>
      <c r="G652" s="1014" t="s">
        <v>13</v>
      </c>
      <c r="H652" s="1015">
        <v>58758</v>
      </c>
      <c r="I652" s="1016" t="s">
        <v>6899</v>
      </c>
    </row>
    <row r="653" spans="2:9" ht="15.75" x14ac:dyDescent="0.25">
      <c r="B653" s="1365" t="s">
        <v>7169</v>
      </c>
      <c r="C653" s="1013" t="s">
        <v>4420</v>
      </c>
      <c r="D653" s="1013" t="s">
        <v>4420</v>
      </c>
      <c r="E653" s="1014">
        <v>4265</v>
      </c>
      <c r="F653" s="1013" t="s">
        <v>5081</v>
      </c>
      <c r="G653" s="1014" t="s">
        <v>13</v>
      </c>
      <c r="H653" s="1015">
        <v>132652</v>
      </c>
      <c r="I653" s="1016" t="s">
        <v>6899</v>
      </c>
    </row>
    <row r="654" spans="2:9" ht="15.75" x14ac:dyDescent="0.25">
      <c r="B654" s="1365" t="s">
        <v>7169</v>
      </c>
      <c r="C654" s="1013" t="s">
        <v>4396</v>
      </c>
      <c r="D654" s="1013" t="s">
        <v>4399</v>
      </c>
      <c r="E654" s="1014">
        <v>4266</v>
      </c>
      <c r="F654" s="1013" t="s">
        <v>5082</v>
      </c>
      <c r="G654" s="1014" t="s">
        <v>3</v>
      </c>
      <c r="H654" s="1015">
        <v>54475</v>
      </c>
      <c r="I654" s="1016" t="s">
        <v>4398</v>
      </c>
    </row>
    <row r="655" spans="2:9" ht="15.75" x14ac:dyDescent="0.25">
      <c r="B655" s="1365" t="s">
        <v>7169</v>
      </c>
      <c r="C655" s="1013" t="s">
        <v>4799</v>
      </c>
      <c r="D655" s="1013" t="s">
        <v>4800</v>
      </c>
      <c r="E655" s="1014">
        <v>4273</v>
      </c>
      <c r="F655" s="1013" t="s">
        <v>5083</v>
      </c>
      <c r="G655" s="1014" t="s">
        <v>342</v>
      </c>
      <c r="H655" s="1015">
        <v>174532</v>
      </c>
      <c r="I655" s="1016" t="s">
        <v>4398</v>
      </c>
    </row>
    <row r="656" spans="2:9" ht="15.75" x14ac:dyDescent="0.25">
      <c r="B656" s="1365" t="s">
        <v>7169</v>
      </c>
      <c r="C656" s="1013" t="s">
        <v>4799</v>
      </c>
      <c r="D656" s="1013" t="s">
        <v>4800</v>
      </c>
      <c r="E656" s="1014">
        <v>4274</v>
      </c>
      <c r="F656" s="1013" t="s">
        <v>5084</v>
      </c>
      <c r="G656" s="1014" t="s">
        <v>342</v>
      </c>
      <c r="H656" s="1015">
        <v>246112</v>
      </c>
      <c r="I656" s="1016" t="s">
        <v>4398</v>
      </c>
    </row>
    <row r="657" spans="2:9" ht="15.75" x14ac:dyDescent="0.25">
      <c r="B657" s="1365" t="s">
        <v>7169</v>
      </c>
      <c r="C657" s="1013" t="s">
        <v>4799</v>
      </c>
      <c r="D657" s="1013" t="s">
        <v>4800</v>
      </c>
      <c r="E657" s="1014">
        <v>4275</v>
      </c>
      <c r="F657" s="1013" t="s">
        <v>347</v>
      </c>
      <c r="G657" s="1014" t="s">
        <v>342</v>
      </c>
      <c r="H657" s="1015">
        <v>190218</v>
      </c>
      <c r="I657" s="1016" t="s">
        <v>4398</v>
      </c>
    </row>
    <row r="658" spans="2:9" ht="15.75" x14ac:dyDescent="0.25">
      <c r="B658" s="1365" t="s">
        <v>7169</v>
      </c>
      <c r="C658" s="1013" t="s">
        <v>4799</v>
      </c>
      <c r="D658" s="1013" t="s">
        <v>4800</v>
      </c>
      <c r="E658" s="1014">
        <v>4276</v>
      </c>
      <c r="F658" s="1013" t="s">
        <v>5085</v>
      </c>
      <c r="G658" s="1014" t="s">
        <v>342</v>
      </c>
      <c r="H658" s="1015">
        <v>261798</v>
      </c>
      <c r="I658" s="1016" t="s">
        <v>4398</v>
      </c>
    </row>
    <row r="659" spans="2:9" ht="15.75" x14ac:dyDescent="0.25">
      <c r="B659" s="1365" t="s">
        <v>7169</v>
      </c>
      <c r="C659" s="1013" t="s">
        <v>4799</v>
      </c>
      <c r="D659" s="1013" t="s">
        <v>4800</v>
      </c>
      <c r="E659" s="1014">
        <v>4277</v>
      </c>
      <c r="F659" s="1013" t="s">
        <v>5086</v>
      </c>
      <c r="G659" s="1014" t="s">
        <v>342</v>
      </c>
      <c r="H659" s="1015">
        <v>190218</v>
      </c>
      <c r="I659" s="1016" t="s">
        <v>4398</v>
      </c>
    </row>
    <row r="660" spans="2:9" ht="15.75" x14ac:dyDescent="0.25">
      <c r="B660" s="1365" t="s">
        <v>7169</v>
      </c>
      <c r="C660" s="1013" t="s">
        <v>4799</v>
      </c>
      <c r="D660" s="1013" t="s">
        <v>4800</v>
      </c>
      <c r="E660" s="1014">
        <v>4278</v>
      </c>
      <c r="F660" s="1013" t="s">
        <v>345</v>
      </c>
      <c r="G660" s="1014" t="s">
        <v>202</v>
      </c>
      <c r="H660" s="1015">
        <v>22281</v>
      </c>
      <c r="I660" s="1016" t="s">
        <v>4398</v>
      </c>
    </row>
    <row r="661" spans="2:9" ht="15.75" x14ac:dyDescent="0.25">
      <c r="B661" s="1365" t="s">
        <v>7169</v>
      </c>
      <c r="C661" s="1013" t="s">
        <v>4799</v>
      </c>
      <c r="D661" s="1013" t="s">
        <v>4800</v>
      </c>
      <c r="E661" s="1014">
        <v>4279</v>
      </c>
      <c r="F661" s="1013" t="s">
        <v>346</v>
      </c>
      <c r="G661" s="1014" t="s">
        <v>202</v>
      </c>
      <c r="H661" s="1015">
        <v>31419</v>
      </c>
      <c r="I661" s="1016" t="s">
        <v>4398</v>
      </c>
    </row>
    <row r="662" spans="2:9" ht="15.75" x14ac:dyDescent="0.25">
      <c r="B662" s="1365" t="s">
        <v>7169</v>
      </c>
      <c r="C662" s="1013" t="s">
        <v>4799</v>
      </c>
      <c r="D662" s="1013" t="s">
        <v>4800</v>
      </c>
      <c r="E662" s="1014">
        <v>4280</v>
      </c>
      <c r="F662" s="1013" t="s">
        <v>5087</v>
      </c>
      <c r="G662" s="1014" t="s">
        <v>202</v>
      </c>
      <c r="H662" s="1015">
        <v>24284</v>
      </c>
      <c r="I662" s="1016" t="s">
        <v>4398</v>
      </c>
    </row>
    <row r="663" spans="2:9" ht="15.75" x14ac:dyDescent="0.25">
      <c r="B663" s="1365" t="s">
        <v>7169</v>
      </c>
      <c r="C663" s="1013" t="s">
        <v>4799</v>
      </c>
      <c r="D663" s="1013" t="s">
        <v>4800</v>
      </c>
      <c r="E663" s="1014">
        <v>4281</v>
      </c>
      <c r="F663" s="1013" t="s">
        <v>348</v>
      </c>
      <c r="G663" s="1014" t="s">
        <v>202</v>
      </c>
      <c r="H663" s="1015">
        <v>33422</v>
      </c>
      <c r="I663" s="1016" t="s">
        <v>4398</v>
      </c>
    </row>
    <row r="664" spans="2:9" ht="15.75" x14ac:dyDescent="0.25">
      <c r="B664" s="1365" t="s">
        <v>7169</v>
      </c>
      <c r="C664" s="1013" t="s">
        <v>4799</v>
      </c>
      <c r="D664" s="1013" t="s">
        <v>4800</v>
      </c>
      <c r="E664" s="1014">
        <v>4282</v>
      </c>
      <c r="F664" s="1013" t="s">
        <v>349</v>
      </c>
      <c r="G664" s="1014" t="s">
        <v>202</v>
      </c>
      <c r="H664" s="1015">
        <v>24284</v>
      </c>
      <c r="I664" s="1016" t="s">
        <v>4398</v>
      </c>
    </row>
    <row r="665" spans="2:9" ht="15.75" x14ac:dyDescent="0.25">
      <c r="B665" s="1365" t="s">
        <v>7169</v>
      </c>
      <c r="C665" s="1013" t="s">
        <v>4799</v>
      </c>
      <c r="D665" s="1013" t="s">
        <v>4800</v>
      </c>
      <c r="E665" s="1014">
        <v>4283</v>
      </c>
      <c r="F665" s="1013" t="s">
        <v>350</v>
      </c>
      <c r="G665" s="1014" t="s">
        <v>342</v>
      </c>
      <c r="H665" s="1015">
        <v>261798</v>
      </c>
      <c r="I665" s="1016" t="s">
        <v>4398</v>
      </c>
    </row>
    <row r="666" spans="2:9" ht="15.75" x14ac:dyDescent="0.25">
      <c r="B666" s="1365" t="s">
        <v>7169</v>
      </c>
      <c r="C666" s="1013" t="s">
        <v>4799</v>
      </c>
      <c r="D666" s="1013" t="s">
        <v>4800</v>
      </c>
      <c r="E666" s="1014">
        <v>4284</v>
      </c>
      <c r="F666" s="1013" t="s">
        <v>5088</v>
      </c>
      <c r="G666" s="1014" t="s">
        <v>202</v>
      </c>
      <c r="H666" s="1015">
        <v>49692</v>
      </c>
      <c r="I666" s="1016" t="s">
        <v>4398</v>
      </c>
    </row>
    <row r="667" spans="2:9" ht="15.75" x14ac:dyDescent="0.25">
      <c r="B667" s="1365" t="s">
        <v>7169</v>
      </c>
      <c r="C667" s="1013" t="s">
        <v>4799</v>
      </c>
      <c r="D667" s="1013" t="s">
        <v>4800</v>
      </c>
      <c r="E667" s="1014">
        <v>4285</v>
      </c>
      <c r="F667" s="1013" t="s">
        <v>351</v>
      </c>
      <c r="G667" s="1014" t="s">
        <v>342</v>
      </c>
      <c r="H667" s="1015">
        <v>389272</v>
      </c>
      <c r="I667" s="1016" t="s">
        <v>4398</v>
      </c>
    </row>
    <row r="668" spans="2:9" ht="15.75" x14ac:dyDescent="0.25">
      <c r="B668" s="1365" t="s">
        <v>7169</v>
      </c>
      <c r="C668" s="1013" t="s">
        <v>4799</v>
      </c>
      <c r="D668" s="1013" t="s">
        <v>4800</v>
      </c>
      <c r="E668" s="1014">
        <v>4286</v>
      </c>
      <c r="F668" s="1013" t="s">
        <v>5089</v>
      </c>
      <c r="G668" s="1014" t="s">
        <v>342</v>
      </c>
      <c r="H668" s="1015">
        <v>738334</v>
      </c>
      <c r="I668" s="1016" t="s">
        <v>4398</v>
      </c>
    </row>
    <row r="669" spans="2:9" ht="15.75" x14ac:dyDescent="0.25">
      <c r="B669" s="1365" t="s">
        <v>7169</v>
      </c>
      <c r="C669" s="1013" t="s">
        <v>4799</v>
      </c>
      <c r="D669" s="1013" t="s">
        <v>4800</v>
      </c>
      <c r="E669" s="1014">
        <v>4287</v>
      </c>
      <c r="F669" s="1013" t="s">
        <v>353</v>
      </c>
      <c r="G669" s="1014" t="s">
        <v>202</v>
      </c>
      <c r="H669" s="1015">
        <v>40557</v>
      </c>
      <c r="I669" s="1016" t="s">
        <v>4398</v>
      </c>
    </row>
    <row r="670" spans="2:9" ht="15.75" x14ac:dyDescent="0.25">
      <c r="B670" s="1365" t="s">
        <v>7169</v>
      </c>
      <c r="C670" s="1013" t="s">
        <v>4799</v>
      </c>
      <c r="D670" s="1013" t="s">
        <v>4800</v>
      </c>
      <c r="E670" s="1014">
        <v>4288</v>
      </c>
      <c r="F670" s="1013" t="s">
        <v>5090</v>
      </c>
      <c r="G670" s="1014" t="s">
        <v>342</v>
      </c>
      <c r="H670" s="1015">
        <v>317692</v>
      </c>
      <c r="I670" s="1016" t="s">
        <v>4398</v>
      </c>
    </row>
    <row r="671" spans="2:9" ht="15.75" x14ac:dyDescent="0.25">
      <c r="B671" s="1365" t="s">
        <v>7169</v>
      </c>
      <c r="C671" s="1013" t="s">
        <v>4401</v>
      </c>
      <c r="D671" s="1013" t="s">
        <v>4401</v>
      </c>
      <c r="E671" s="1014">
        <v>4289</v>
      </c>
      <c r="F671" s="1013" t="s">
        <v>5091</v>
      </c>
      <c r="G671" s="1014" t="s">
        <v>12</v>
      </c>
      <c r="H671" s="1015">
        <v>26126</v>
      </c>
      <c r="I671" s="1016" t="s">
        <v>4398</v>
      </c>
    </row>
    <row r="672" spans="2:9" ht="15.75" x14ac:dyDescent="0.25">
      <c r="B672" s="1365" t="s">
        <v>7169</v>
      </c>
      <c r="C672" s="1013" t="s">
        <v>4401</v>
      </c>
      <c r="D672" s="1013" t="s">
        <v>4401</v>
      </c>
      <c r="E672" s="1014">
        <v>4290</v>
      </c>
      <c r="F672" s="1013" t="s">
        <v>5092</v>
      </c>
      <c r="G672" s="1014" t="s">
        <v>12</v>
      </c>
      <c r="H672" s="1015">
        <v>36905</v>
      </c>
      <c r="I672" s="1016" t="s">
        <v>4398</v>
      </c>
    </row>
    <row r="673" spans="2:9" ht="15.75" x14ac:dyDescent="0.25">
      <c r="B673" s="1365" t="s">
        <v>7169</v>
      </c>
      <c r="C673" s="1013" t="s">
        <v>4461</v>
      </c>
      <c r="D673" s="1013" t="s">
        <v>4461</v>
      </c>
      <c r="E673" s="1014">
        <v>4291</v>
      </c>
      <c r="F673" s="1013" t="s">
        <v>5093</v>
      </c>
      <c r="G673" s="1014" t="s">
        <v>13</v>
      </c>
      <c r="H673" s="1015">
        <v>603648</v>
      </c>
      <c r="I673" s="1016" t="s">
        <v>6899</v>
      </c>
    </row>
    <row r="674" spans="2:9" ht="15.75" x14ac:dyDescent="0.25">
      <c r="B674" s="1365" t="s">
        <v>7169</v>
      </c>
      <c r="C674" s="1013" t="s">
        <v>4461</v>
      </c>
      <c r="D674" s="1013" t="s">
        <v>4461</v>
      </c>
      <c r="E674" s="1014">
        <v>4292</v>
      </c>
      <c r="F674" s="1013" t="s">
        <v>354</v>
      </c>
      <c r="G674" s="1014" t="s">
        <v>13</v>
      </c>
      <c r="H674" s="1015">
        <v>629273</v>
      </c>
      <c r="I674" s="1016" t="s">
        <v>6899</v>
      </c>
    </row>
    <row r="675" spans="2:9" ht="15.75" x14ac:dyDescent="0.25">
      <c r="B675" s="1365" t="s">
        <v>7169</v>
      </c>
      <c r="C675" s="1013" t="s">
        <v>4461</v>
      </c>
      <c r="D675" s="1013" t="s">
        <v>4461</v>
      </c>
      <c r="E675" s="1014">
        <v>4294</v>
      </c>
      <c r="F675" s="1013" t="s">
        <v>355</v>
      </c>
      <c r="G675" s="1014" t="s">
        <v>13</v>
      </c>
      <c r="H675" s="1015">
        <v>764731</v>
      </c>
      <c r="I675" s="1016" t="s">
        <v>6899</v>
      </c>
    </row>
    <row r="676" spans="2:9" ht="15.75" x14ac:dyDescent="0.25">
      <c r="B676" s="1365" t="s">
        <v>7169</v>
      </c>
      <c r="C676" s="1013" t="s">
        <v>4461</v>
      </c>
      <c r="D676" s="1013" t="s">
        <v>4461</v>
      </c>
      <c r="E676" s="1014">
        <v>4295</v>
      </c>
      <c r="F676" s="1013" t="s">
        <v>356</v>
      </c>
      <c r="G676" s="1014" t="s">
        <v>13</v>
      </c>
      <c r="H676" s="1015">
        <v>791847</v>
      </c>
      <c r="I676" s="1016" t="s">
        <v>6899</v>
      </c>
    </row>
    <row r="677" spans="2:9" ht="15.75" x14ac:dyDescent="0.25">
      <c r="B677" s="1365" t="s">
        <v>7169</v>
      </c>
      <c r="C677" s="1013" t="s">
        <v>4461</v>
      </c>
      <c r="D677" s="1013" t="s">
        <v>4461</v>
      </c>
      <c r="E677" s="1014">
        <v>4296</v>
      </c>
      <c r="F677" s="1013" t="s">
        <v>357</v>
      </c>
      <c r="G677" s="1014" t="s">
        <v>13</v>
      </c>
      <c r="H677" s="1015">
        <v>829948</v>
      </c>
      <c r="I677" s="1016" t="s">
        <v>6899</v>
      </c>
    </row>
    <row r="678" spans="2:9" ht="15.75" x14ac:dyDescent="0.25">
      <c r="B678" s="1365" t="s">
        <v>7169</v>
      </c>
      <c r="C678" s="1013" t="s">
        <v>4461</v>
      </c>
      <c r="D678" s="1013" t="s">
        <v>4461</v>
      </c>
      <c r="E678" s="1014">
        <v>4297</v>
      </c>
      <c r="F678" s="1013" t="s">
        <v>358</v>
      </c>
      <c r="G678" s="1014" t="s">
        <v>13</v>
      </c>
      <c r="H678" s="1015">
        <v>1102382</v>
      </c>
      <c r="I678" s="1016" t="s">
        <v>6899</v>
      </c>
    </row>
    <row r="679" spans="2:9" ht="15.75" x14ac:dyDescent="0.25">
      <c r="B679" s="1365" t="s">
        <v>7169</v>
      </c>
      <c r="C679" s="1013" t="s">
        <v>4461</v>
      </c>
      <c r="D679" s="1013" t="s">
        <v>4461</v>
      </c>
      <c r="E679" s="1014">
        <v>4298</v>
      </c>
      <c r="F679" s="1013" t="s">
        <v>359</v>
      </c>
      <c r="G679" s="1014" t="s">
        <v>13</v>
      </c>
      <c r="H679" s="1015">
        <v>1489388</v>
      </c>
      <c r="I679" s="1016" t="s">
        <v>6899</v>
      </c>
    </row>
    <row r="680" spans="2:9" ht="15.75" x14ac:dyDescent="0.25">
      <c r="B680" s="1365" t="s">
        <v>7169</v>
      </c>
      <c r="C680" s="1013" t="s">
        <v>4461</v>
      </c>
      <c r="D680" s="1013" t="s">
        <v>4461</v>
      </c>
      <c r="E680" s="1014">
        <v>4299</v>
      </c>
      <c r="F680" s="1013" t="s">
        <v>360</v>
      </c>
      <c r="G680" s="1014" t="s">
        <v>13</v>
      </c>
      <c r="H680" s="1015">
        <v>1668231</v>
      </c>
      <c r="I680" s="1016" t="s">
        <v>6899</v>
      </c>
    </row>
    <row r="681" spans="2:9" ht="15.75" x14ac:dyDescent="0.25">
      <c r="B681" s="1365" t="s">
        <v>7169</v>
      </c>
      <c r="C681" s="1013" t="s">
        <v>4431</v>
      </c>
      <c r="D681" s="1013" t="s">
        <v>5094</v>
      </c>
      <c r="E681" s="1014">
        <v>4300</v>
      </c>
      <c r="F681" s="1013" t="s">
        <v>361</v>
      </c>
      <c r="G681" s="1014" t="s">
        <v>13</v>
      </c>
      <c r="H681" s="1015">
        <v>392911</v>
      </c>
      <c r="I681" s="1016" t="s">
        <v>6899</v>
      </c>
    </row>
    <row r="682" spans="2:9" ht="15.75" x14ac:dyDescent="0.25">
      <c r="B682" s="1365" t="s">
        <v>7169</v>
      </c>
      <c r="C682" s="1013" t="s">
        <v>4431</v>
      </c>
      <c r="D682" s="1013" t="s">
        <v>5094</v>
      </c>
      <c r="E682" s="1014">
        <v>4301</v>
      </c>
      <c r="F682" s="1013" t="s">
        <v>362</v>
      </c>
      <c r="G682" s="1014" t="s">
        <v>13</v>
      </c>
      <c r="H682" s="1015">
        <v>435242</v>
      </c>
      <c r="I682" s="1016" t="s">
        <v>6899</v>
      </c>
    </row>
    <row r="683" spans="2:9" ht="15.75" x14ac:dyDescent="0.25">
      <c r="B683" s="1365" t="s">
        <v>7169</v>
      </c>
      <c r="C683" s="1013" t="s">
        <v>4431</v>
      </c>
      <c r="D683" s="1013" t="s">
        <v>5094</v>
      </c>
      <c r="E683" s="1014">
        <v>4302</v>
      </c>
      <c r="F683" s="1013" t="s">
        <v>363</v>
      </c>
      <c r="G683" s="1014" t="s">
        <v>13</v>
      </c>
      <c r="H683" s="1015">
        <v>508173</v>
      </c>
      <c r="I683" s="1016" t="s">
        <v>6899</v>
      </c>
    </row>
    <row r="684" spans="2:9" ht="15.75" x14ac:dyDescent="0.25">
      <c r="B684" s="1365" t="s">
        <v>7169</v>
      </c>
      <c r="C684" s="1013" t="s">
        <v>4431</v>
      </c>
      <c r="D684" s="1013" t="s">
        <v>5094</v>
      </c>
      <c r="E684" s="1014">
        <v>4303</v>
      </c>
      <c r="F684" s="1013" t="s">
        <v>364</v>
      </c>
      <c r="G684" s="1014" t="s">
        <v>13</v>
      </c>
      <c r="H684" s="1015">
        <v>580687</v>
      </c>
      <c r="I684" s="1016" t="s">
        <v>6899</v>
      </c>
    </row>
    <row r="685" spans="2:9" ht="15.75" x14ac:dyDescent="0.25">
      <c r="B685" s="1365" t="s">
        <v>7169</v>
      </c>
      <c r="C685" s="1013" t="s">
        <v>4431</v>
      </c>
      <c r="D685" s="1013" t="s">
        <v>5094</v>
      </c>
      <c r="E685" s="1014">
        <v>4304</v>
      </c>
      <c r="F685" s="1013" t="s">
        <v>365</v>
      </c>
      <c r="G685" s="1014" t="s">
        <v>13</v>
      </c>
      <c r="H685" s="1015">
        <v>602504</v>
      </c>
      <c r="I685" s="1016" t="s">
        <v>6899</v>
      </c>
    </row>
    <row r="686" spans="2:9" ht="15.75" x14ac:dyDescent="0.25">
      <c r="B686" s="1365" t="s">
        <v>7169</v>
      </c>
      <c r="C686" s="1013" t="s">
        <v>4431</v>
      </c>
      <c r="D686" s="1013" t="s">
        <v>5094</v>
      </c>
      <c r="E686" s="1014">
        <v>4305</v>
      </c>
      <c r="F686" s="1013" t="s">
        <v>5095</v>
      </c>
      <c r="G686" s="1014" t="s">
        <v>266</v>
      </c>
      <c r="H686" s="1015">
        <v>420169</v>
      </c>
      <c r="I686" s="1016" t="s">
        <v>6899</v>
      </c>
    </row>
    <row r="687" spans="2:9" ht="15.75" x14ac:dyDescent="0.25">
      <c r="B687" s="1365" t="s">
        <v>7169</v>
      </c>
      <c r="C687" s="1013" t="s">
        <v>4431</v>
      </c>
      <c r="D687" s="1013" t="s">
        <v>5094</v>
      </c>
      <c r="E687" s="1014">
        <v>4306</v>
      </c>
      <c r="F687" s="1013" t="s">
        <v>5096</v>
      </c>
      <c r="G687" s="1014" t="s">
        <v>266</v>
      </c>
      <c r="H687" s="1015">
        <v>994926</v>
      </c>
      <c r="I687" s="1016" t="s">
        <v>6899</v>
      </c>
    </row>
    <row r="688" spans="2:9" ht="15.75" x14ac:dyDescent="0.25">
      <c r="B688" s="1365" t="s">
        <v>7169</v>
      </c>
      <c r="C688" s="1013" t="s">
        <v>4431</v>
      </c>
      <c r="D688" s="1013" t="s">
        <v>5094</v>
      </c>
      <c r="E688" s="1014">
        <v>4307</v>
      </c>
      <c r="F688" s="1013" t="s">
        <v>5097</v>
      </c>
      <c r="G688" s="1014" t="s">
        <v>266</v>
      </c>
      <c r="H688" s="1015">
        <v>610704</v>
      </c>
      <c r="I688" s="1016" t="s">
        <v>6899</v>
      </c>
    </row>
    <row r="689" spans="2:9" ht="15.75" x14ac:dyDescent="0.25">
      <c r="B689" s="1365" t="s">
        <v>7169</v>
      </c>
      <c r="C689" s="1013" t="s">
        <v>4431</v>
      </c>
      <c r="D689" s="1013" t="s">
        <v>5094</v>
      </c>
      <c r="E689" s="1014">
        <v>4308</v>
      </c>
      <c r="F689" s="1013" t="s">
        <v>366</v>
      </c>
      <c r="G689" s="1014" t="s">
        <v>266</v>
      </c>
      <c r="H689" s="1015">
        <v>5418181</v>
      </c>
      <c r="I689" s="1016" t="s">
        <v>6899</v>
      </c>
    </row>
    <row r="690" spans="2:9" ht="15.75" x14ac:dyDescent="0.25">
      <c r="B690" s="1365" t="s">
        <v>7169</v>
      </c>
      <c r="C690" s="1013" t="s">
        <v>4431</v>
      </c>
      <c r="D690" s="1013" t="s">
        <v>5094</v>
      </c>
      <c r="E690" s="1014">
        <v>4309</v>
      </c>
      <c r="F690" s="1013" t="s">
        <v>367</v>
      </c>
      <c r="G690" s="1014" t="s">
        <v>266</v>
      </c>
      <c r="H690" s="1015">
        <v>5418181</v>
      </c>
      <c r="I690" s="1016" t="s">
        <v>6899</v>
      </c>
    </row>
    <row r="691" spans="2:9" ht="15.75" x14ac:dyDescent="0.25">
      <c r="B691" s="1365" t="s">
        <v>7169</v>
      </c>
      <c r="C691" s="1013" t="s">
        <v>4431</v>
      </c>
      <c r="D691" s="1013" t="s">
        <v>5094</v>
      </c>
      <c r="E691" s="1014">
        <v>4310</v>
      </c>
      <c r="F691" s="1013" t="s">
        <v>368</v>
      </c>
      <c r="G691" s="1014" t="s">
        <v>266</v>
      </c>
      <c r="H691" s="1015">
        <v>5810104</v>
      </c>
      <c r="I691" s="1016" t="s">
        <v>6899</v>
      </c>
    </row>
    <row r="692" spans="2:9" ht="15.75" x14ac:dyDescent="0.25">
      <c r="B692" s="1365" t="s">
        <v>7169</v>
      </c>
      <c r="C692" s="1013" t="s">
        <v>4431</v>
      </c>
      <c r="D692" s="1013" t="s">
        <v>5094</v>
      </c>
      <c r="E692" s="1014">
        <v>4311</v>
      </c>
      <c r="F692" s="1013" t="s">
        <v>369</v>
      </c>
      <c r="G692" s="1014" t="s">
        <v>266</v>
      </c>
      <c r="H692" s="1015">
        <v>5417241</v>
      </c>
      <c r="I692" s="1016" t="s">
        <v>6899</v>
      </c>
    </row>
    <row r="693" spans="2:9" ht="15.75" x14ac:dyDescent="0.25">
      <c r="B693" s="1365" t="s">
        <v>7169</v>
      </c>
      <c r="C693" s="1013" t="s">
        <v>4431</v>
      </c>
      <c r="D693" s="1013" t="s">
        <v>5094</v>
      </c>
      <c r="E693" s="1014">
        <v>4312</v>
      </c>
      <c r="F693" s="1013" t="s">
        <v>370</v>
      </c>
      <c r="G693" s="1014" t="s">
        <v>266</v>
      </c>
      <c r="H693" s="1015">
        <v>5417241</v>
      </c>
      <c r="I693" s="1016" t="s">
        <v>6899</v>
      </c>
    </row>
    <row r="694" spans="2:9" ht="15.75" x14ac:dyDescent="0.25">
      <c r="B694" s="1365" t="s">
        <v>7169</v>
      </c>
      <c r="C694" s="1013" t="s">
        <v>4431</v>
      </c>
      <c r="D694" s="1013" t="s">
        <v>5094</v>
      </c>
      <c r="E694" s="1014">
        <v>4313</v>
      </c>
      <c r="F694" s="1013" t="s">
        <v>371</v>
      </c>
      <c r="G694" s="1014" t="s">
        <v>266</v>
      </c>
      <c r="H694" s="1015">
        <v>5416301</v>
      </c>
      <c r="I694" s="1016" t="s">
        <v>6899</v>
      </c>
    </row>
    <row r="695" spans="2:9" ht="15.75" x14ac:dyDescent="0.25">
      <c r="B695" s="1365" t="s">
        <v>7169</v>
      </c>
      <c r="C695" s="1013" t="s">
        <v>4431</v>
      </c>
      <c r="D695" s="1013" t="s">
        <v>5094</v>
      </c>
      <c r="E695" s="1014">
        <v>4314</v>
      </c>
      <c r="F695" s="1013" t="s">
        <v>372</v>
      </c>
      <c r="G695" s="1014" t="s">
        <v>266</v>
      </c>
      <c r="H695" s="1015">
        <v>4909220</v>
      </c>
      <c r="I695" s="1016" t="s">
        <v>6899</v>
      </c>
    </row>
    <row r="696" spans="2:9" ht="15.75" x14ac:dyDescent="0.25">
      <c r="B696" s="1365" t="s">
        <v>7169</v>
      </c>
      <c r="C696" s="1013" t="s">
        <v>4431</v>
      </c>
      <c r="D696" s="1013" t="s">
        <v>5094</v>
      </c>
      <c r="E696" s="1014">
        <v>4315</v>
      </c>
      <c r="F696" s="1013" t="s">
        <v>373</v>
      </c>
      <c r="G696" s="1014" t="s">
        <v>266</v>
      </c>
      <c r="H696" s="1015">
        <v>4909220</v>
      </c>
      <c r="I696" s="1016" t="s">
        <v>6899</v>
      </c>
    </row>
    <row r="697" spans="2:9" ht="15.75" x14ac:dyDescent="0.25">
      <c r="B697" s="1365" t="s">
        <v>7169</v>
      </c>
      <c r="C697" s="1013" t="s">
        <v>4431</v>
      </c>
      <c r="D697" s="1013" t="s">
        <v>5094</v>
      </c>
      <c r="E697" s="1014">
        <v>4316</v>
      </c>
      <c r="F697" s="1013" t="s">
        <v>374</v>
      </c>
      <c r="G697" s="1014" t="s">
        <v>266</v>
      </c>
      <c r="H697" s="1015">
        <v>5339375</v>
      </c>
      <c r="I697" s="1016" t="s">
        <v>6899</v>
      </c>
    </row>
    <row r="698" spans="2:9" ht="15.75" x14ac:dyDescent="0.25">
      <c r="B698" s="1365" t="s">
        <v>7169</v>
      </c>
      <c r="C698" s="1013" t="s">
        <v>4431</v>
      </c>
      <c r="D698" s="1013" t="s">
        <v>5094</v>
      </c>
      <c r="E698" s="1014">
        <v>4317</v>
      </c>
      <c r="F698" s="1013" t="s">
        <v>375</v>
      </c>
      <c r="G698" s="1014" t="s">
        <v>266</v>
      </c>
      <c r="H698" s="1015">
        <v>4895712</v>
      </c>
      <c r="I698" s="1016" t="s">
        <v>6899</v>
      </c>
    </row>
    <row r="699" spans="2:9" ht="15.75" x14ac:dyDescent="0.25">
      <c r="B699" s="1365" t="s">
        <v>7169</v>
      </c>
      <c r="C699" s="1013" t="s">
        <v>4431</v>
      </c>
      <c r="D699" s="1013" t="s">
        <v>5094</v>
      </c>
      <c r="E699" s="1014">
        <v>4318</v>
      </c>
      <c r="F699" s="1013" t="s">
        <v>376</v>
      </c>
      <c r="G699" s="1014" t="s">
        <v>266</v>
      </c>
      <c r="H699" s="1015">
        <v>4895712</v>
      </c>
      <c r="I699" s="1016" t="s">
        <v>6899</v>
      </c>
    </row>
    <row r="700" spans="2:9" ht="15.75" x14ac:dyDescent="0.25">
      <c r="B700" s="1365" t="s">
        <v>7169</v>
      </c>
      <c r="C700" s="1013" t="s">
        <v>4431</v>
      </c>
      <c r="D700" s="1013" t="s">
        <v>5094</v>
      </c>
      <c r="E700" s="1014">
        <v>4319</v>
      </c>
      <c r="F700" s="1013" t="s">
        <v>377</v>
      </c>
      <c r="G700" s="1014" t="s">
        <v>266</v>
      </c>
      <c r="H700" s="1015">
        <v>4892460</v>
      </c>
      <c r="I700" s="1016" t="s">
        <v>6899</v>
      </c>
    </row>
    <row r="701" spans="2:9" ht="15.75" x14ac:dyDescent="0.25">
      <c r="B701" s="1365" t="s">
        <v>7169</v>
      </c>
      <c r="C701" s="1013" t="s">
        <v>4431</v>
      </c>
      <c r="D701" s="1013" t="s">
        <v>5094</v>
      </c>
      <c r="E701" s="1014">
        <v>4320</v>
      </c>
      <c r="F701" s="1013" t="s">
        <v>378</v>
      </c>
      <c r="G701" s="1014" t="s">
        <v>266</v>
      </c>
      <c r="H701" s="1015">
        <v>4135564</v>
      </c>
      <c r="I701" s="1016" t="s">
        <v>6899</v>
      </c>
    </row>
    <row r="702" spans="2:9" ht="15.75" x14ac:dyDescent="0.25">
      <c r="B702" s="1365" t="s">
        <v>7169</v>
      </c>
      <c r="C702" s="1013" t="s">
        <v>4431</v>
      </c>
      <c r="D702" s="1013" t="s">
        <v>5094</v>
      </c>
      <c r="E702" s="1014">
        <v>4321</v>
      </c>
      <c r="F702" s="1013" t="s">
        <v>379</v>
      </c>
      <c r="G702" s="1014" t="s">
        <v>266</v>
      </c>
      <c r="H702" s="1015">
        <v>4135564</v>
      </c>
      <c r="I702" s="1016" t="s">
        <v>6899</v>
      </c>
    </row>
    <row r="703" spans="2:9" ht="15.75" x14ac:dyDescent="0.25">
      <c r="B703" s="1365" t="s">
        <v>7169</v>
      </c>
      <c r="C703" s="1013" t="s">
        <v>4431</v>
      </c>
      <c r="D703" s="1013" t="s">
        <v>5094</v>
      </c>
      <c r="E703" s="1014">
        <v>4322</v>
      </c>
      <c r="F703" s="1013" t="s">
        <v>380</v>
      </c>
      <c r="G703" s="1014" t="s">
        <v>266</v>
      </c>
      <c r="H703" s="1015">
        <v>4135564</v>
      </c>
      <c r="I703" s="1016" t="s">
        <v>6899</v>
      </c>
    </row>
    <row r="704" spans="2:9" ht="15.75" x14ac:dyDescent="0.25">
      <c r="B704" s="1365" t="s">
        <v>7169</v>
      </c>
      <c r="C704" s="1013" t="s">
        <v>4431</v>
      </c>
      <c r="D704" s="1013" t="s">
        <v>5094</v>
      </c>
      <c r="E704" s="1014">
        <v>4323</v>
      </c>
      <c r="F704" s="1013" t="s">
        <v>381</v>
      </c>
      <c r="G704" s="1014" t="s">
        <v>266</v>
      </c>
      <c r="H704" s="1015">
        <v>4116464</v>
      </c>
      <c r="I704" s="1016" t="s">
        <v>6899</v>
      </c>
    </row>
    <row r="705" spans="2:9" ht="15.75" x14ac:dyDescent="0.25">
      <c r="B705" s="1365" t="s">
        <v>7169</v>
      </c>
      <c r="C705" s="1013" t="s">
        <v>4431</v>
      </c>
      <c r="D705" s="1013" t="s">
        <v>5094</v>
      </c>
      <c r="E705" s="1014">
        <v>4324</v>
      </c>
      <c r="F705" s="1013" t="s">
        <v>382</v>
      </c>
      <c r="G705" s="1014" t="s">
        <v>266</v>
      </c>
      <c r="H705" s="1015">
        <v>4116464</v>
      </c>
      <c r="I705" s="1016" t="s">
        <v>6899</v>
      </c>
    </row>
    <row r="706" spans="2:9" ht="15.75" x14ac:dyDescent="0.25">
      <c r="B706" s="1365" t="s">
        <v>7169</v>
      </c>
      <c r="C706" s="1013" t="s">
        <v>4431</v>
      </c>
      <c r="D706" s="1013" t="s">
        <v>5094</v>
      </c>
      <c r="E706" s="1014">
        <v>4325</v>
      </c>
      <c r="F706" s="1013" t="s">
        <v>383</v>
      </c>
      <c r="G706" s="1014" t="s">
        <v>266</v>
      </c>
      <c r="H706" s="1015">
        <v>4113212</v>
      </c>
      <c r="I706" s="1016" t="s">
        <v>6899</v>
      </c>
    </row>
    <row r="707" spans="2:9" ht="15.75" x14ac:dyDescent="0.25">
      <c r="B707" s="1365" t="s">
        <v>7169</v>
      </c>
      <c r="C707" s="1013" t="s">
        <v>4431</v>
      </c>
      <c r="D707" s="1013" t="s">
        <v>5094</v>
      </c>
      <c r="E707" s="1014">
        <v>4326</v>
      </c>
      <c r="F707" s="1013" t="s">
        <v>384</v>
      </c>
      <c r="G707" s="1014" t="s">
        <v>266</v>
      </c>
      <c r="H707" s="1015">
        <v>6922408</v>
      </c>
      <c r="I707" s="1016" t="s">
        <v>6899</v>
      </c>
    </row>
    <row r="708" spans="2:9" ht="15.75" x14ac:dyDescent="0.25">
      <c r="B708" s="1365" t="s">
        <v>7169</v>
      </c>
      <c r="C708" s="1013" t="s">
        <v>4431</v>
      </c>
      <c r="D708" s="1013" t="s">
        <v>5094</v>
      </c>
      <c r="E708" s="1014">
        <v>4327</v>
      </c>
      <c r="F708" s="1013" t="s">
        <v>385</v>
      </c>
      <c r="G708" s="1014" t="s">
        <v>266</v>
      </c>
      <c r="H708" s="1015">
        <v>6863738</v>
      </c>
      <c r="I708" s="1016" t="s">
        <v>6899</v>
      </c>
    </row>
    <row r="709" spans="2:9" ht="15.75" x14ac:dyDescent="0.25">
      <c r="B709" s="1365" t="s">
        <v>7169</v>
      </c>
      <c r="C709" s="1013" t="s">
        <v>4431</v>
      </c>
      <c r="D709" s="1013" t="s">
        <v>5094</v>
      </c>
      <c r="E709" s="1014">
        <v>4328</v>
      </c>
      <c r="F709" s="1013" t="s">
        <v>386</v>
      </c>
      <c r="G709" s="1014" t="s">
        <v>266</v>
      </c>
      <c r="H709" s="1015">
        <v>3754967</v>
      </c>
      <c r="I709" s="1016" t="s">
        <v>6899</v>
      </c>
    </row>
    <row r="710" spans="2:9" ht="15.75" x14ac:dyDescent="0.25">
      <c r="B710" s="1365" t="s">
        <v>7169</v>
      </c>
      <c r="C710" s="1013" t="s">
        <v>4431</v>
      </c>
      <c r="D710" s="1013" t="s">
        <v>5094</v>
      </c>
      <c r="E710" s="1014">
        <v>4329</v>
      </c>
      <c r="F710" s="1013" t="s">
        <v>387</v>
      </c>
      <c r="G710" s="1014" t="s">
        <v>266</v>
      </c>
      <c r="H710" s="1015">
        <v>805007</v>
      </c>
      <c r="I710" s="1016" t="s">
        <v>6899</v>
      </c>
    </row>
    <row r="711" spans="2:9" ht="15.75" x14ac:dyDescent="0.25">
      <c r="B711" s="1365" t="s">
        <v>7169</v>
      </c>
      <c r="C711" s="1013" t="s">
        <v>4431</v>
      </c>
      <c r="D711" s="1013" t="s">
        <v>5094</v>
      </c>
      <c r="E711" s="1014">
        <v>4330</v>
      </c>
      <c r="F711" s="1013" t="s">
        <v>388</v>
      </c>
      <c r="G711" s="1014" t="s">
        <v>266</v>
      </c>
      <c r="H711" s="1015">
        <v>971931</v>
      </c>
      <c r="I711" s="1016" t="s">
        <v>6899</v>
      </c>
    </row>
    <row r="712" spans="2:9" ht="15.75" x14ac:dyDescent="0.25">
      <c r="B712" s="1365" t="s">
        <v>7169</v>
      </c>
      <c r="C712" s="1013" t="s">
        <v>4431</v>
      </c>
      <c r="D712" s="1013" t="s">
        <v>5094</v>
      </c>
      <c r="E712" s="1014">
        <v>4331</v>
      </c>
      <c r="F712" s="1013" t="s">
        <v>5098</v>
      </c>
      <c r="G712" s="1014" t="s">
        <v>266</v>
      </c>
      <c r="H712" s="1015">
        <v>1010710</v>
      </c>
      <c r="I712" s="1016" t="s">
        <v>6899</v>
      </c>
    </row>
    <row r="713" spans="2:9" ht="15.75" x14ac:dyDescent="0.25">
      <c r="B713" s="1365" t="s">
        <v>7169</v>
      </c>
      <c r="C713" s="1013" t="s">
        <v>4431</v>
      </c>
      <c r="D713" s="1013" t="s">
        <v>5094</v>
      </c>
      <c r="E713" s="1014">
        <v>4332</v>
      </c>
      <c r="F713" s="1013" t="s">
        <v>389</v>
      </c>
      <c r="G713" s="1014" t="s">
        <v>266</v>
      </c>
      <c r="H713" s="1015">
        <v>3538657</v>
      </c>
      <c r="I713" s="1016" t="s">
        <v>6899</v>
      </c>
    </row>
    <row r="714" spans="2:9" ht="15.75" x14ac:dyDescent="0.25">
      <c r="B714" s="1365" t="s">
        <v>7169</v>
      </c>
      <c r="C714" s="1013" t="s">
        <v>4431</v>
      </c>
      <c r="D714" s="1013" t="s">
        <v>5094</v>
      </c>
      <c r="E714" s="1014">
        <v>4333</v>
      </c>
      <c r="F714" s="1013" t="s">
        <v>390</v>
      </c>
      <c r="G714" s="1014" t="s">
        <v>266</v>
      </c>
      <c r="H714" s="1015">
        <v>3519997</v>
      </c>
      <c r="I714" s="1016" t="s">
        <v>6899</v>
      </c>
    </row>
    <row r="715" spans="2:9" ht="15.75" x14ac:dyDescent="0.25">
      <c r="B715" s="1365" t="s">
        <v>7169</v>
      </c>
      <c r="C715" s="1013" t="s">
        <v>4431</v>
      </c>
      <c r="D715" s="1013" t="s">
        <v>5094</v>
      </c>
      <c r="E715" s="1014">
        <v>4334</v>
      </c>
      <c r="F715" s="1013" t="s">
        <v>391</v>
      </c>
      <c r="G715" s="1014" t="s">
        <v>266</v>
      </c>
      <c r="H715" s="1015">
        <v>3542382</v>
      </c>
      <c r="I715" s="1016" t="s">
        <v>6899</v>
      </c>
    </row>
    <row r="716" spans="2:9" ht="15.75" x14ac:dyDescent="0.25">
      <c r="B716" s="1365" t="s">
        <v>7169</v>
      </c>
      <c r="C716" s="1013" t="s">
        <v>4431</v>
      </c>
      <c r="D716" s="1013" t="s">
        <v>5094</v>
      </c>
      <c r="E716" s="1014">
        <v>4335</v>
      </c>
      <c r="F716" s="1013" t="s">
        <v>392</v>
      </c>
      <c r="G716" s="1014" t="s">
        <v>266</v>
      </c>
      <c r="H716" s="1015">
        <v>3528857</v>
      </c>
      <c r="I716" s="1016" t="s">
        <v>6899</v>
      </c>
    </row>
    <row r="717" spans="2:9" ht="15.75" x14ac:dyDescent="0.25">
      <c r="B717" s="1365" t="s">
        <v>7169</v>
      </c>
      <c r="C717" s="1013" t="s">
        <v>4431</v>
      </c>
      <c r="D717" s="1013" t="s">
        <v>5094</v>
      </c>
      <c r="E717" s="1014">
        <v>4336</v>
      </c>
      <c r="F717" s="1013" t="s">
        <v>393</v>
      </c>
      <c r="G717" s="1014" t="s">
        <v>266</v>
      </c>
      <c r="H717" s="1015">
        <v>2188553</v>
      </c>
      <c r="I717" s="1016" t="s">
        <v>6899</v>
      </c>
    </row>
    <row r="718" spans="2:9" ht="15.75" x14ac:dyDescent="0.25">
      <c r="B718" s="1365" t="s">
        <v>7169</v>
      </c>
      <c r="C718" s="1013" t="s">
        <v>4431</v>
      </c>
      <c r="D718" s="1013" t="s">
        <v>5094</v>
      </c>
      <c r="E718" s="1014">
        <v>4337</v>
      </c>
      <c r="F718" s="1013" t="s">
        <v>394</v>
      </c>
      <c r="G718" s="1014" t="s">
        <v>266</v>
      </c>
      <c r="H718" s="1015">
        <v>415347</v>
      </c>
      <c r="I718" s="1016" t="s">
        <v>6899</v>
      </c>
    </row>
    <row r="719" spans="2:9" ht="15.75" x14ac:dyDescent="0.25">
      <c r="B719" s="1365" t="s">
        <v>7169</v>
      </c>
      <c r="C719" s="1013" t="s">
        <v>4431</v>
      </c>
      <c r="D719" s="1013" t="s">
        <v>5094</v>
      </c>
      <c r="E719" s="1014">
        <v>4338</v>
      </c>
      <c r="F719" s="1013" t="s">
        <v>395</v>
      </c>
      <c r="G719" s="1014" t="s">
        <v>266</v>
      </c>
      <c r="H719" s="1015">
        <v>3519997</v>
      </c>
      <c r="I719" s="1016" t="s">
        <v>6899</v>
      </c>
    </row>
    <row r="720" spans="2:9" ht="15.75" x14ac:dyDescent="0.25">
      <c r="B720" s="1365" t="s">
        <v>7169</v>
      </c>
      <c r="C720" s="1013" t="s">
        <v>4431</v>
      </c>
      <c r="D720" s="1013" t="s">
        <v>4432</v>
      </c>
      <c r="E720" s="1014">
        <v>4340</v>
      </c>
      <c r="F720" s="1013" t="s">
        <v>396</v>
      </c>
      <c r="G720" s="1014" t="s">
        <v>13</v>
      </c>
      <c r="H720" s="1015">
        <v>3789</v>
      </c>
      <c r="I720" s="1016" t="s">
        <v>4398</v>
      </c>
    </row>
    <row r="721" spans="2:9" ht="15.75" x14ac:dyDescent="0.25">
      <c r="B721" s="1365" t="s">
        <v>7169</v>
      </c>
      <c r="C721" s="1013" t="s">
        <v>4405</v>
      </c>
      <c r="D721" s="1013" t="s">
        <v>5099</v>
      </c>
      <c r="E721" s="1014">
        <v>4341</v>
      </c>
      <c r="F721" s="1013" t="s">
        <v>397</v>
      </c>
      <c r="G721" s="1014" t="s">
        <v>13</v>
      </c>
      <c r="H721" s="1015">
        <v>228971</v>
      </c>
      <c r="I721" s="1016" t="s">
        <v>6899</v>
      </c>
    </row>
    <row r="722" spans="2:9" ht="15.75" x14ac:dyDescent="0.25">
      <c r="B722" s="1365" t="s">
        <v>7169</v>
      </c>
      <c r="C722" s="1013" t="s">
        <v>4405</v>
      </c>
      <c r="D722" s="1013" t="s">
        <v>5099</v>
      </c>
      <c r="E722" s="1014">
        <v>4342</v>
      </c>
      <c r="F722" s="1013" t="s">
        <v>398</v>
      </c>
      <c r="G722" s="1014" t="s">
        <v>13</v>
      </c>
      <c r="H722" s="1015">
        <v>301270</v>
      </c>
      <c r="I722" s="1016" t="s">
        <v>6899</v>
      </c>
    </row>
    <row r="723" spans="2:9" ht="15.75" x14ac:dyDescent="0.25">
      <c r="B723" s="1365" t="s">
        <v>7169</v>
      </c>
      <c r="C723" s="1013" t="s">
        <v>4405</v>
      </c>
      <c r="D723" s="1013" t="s">
        <v>5099</v>
      </c>
      <c r="E723" s="1014">
        <v>4343</v>
      </c>
      <c r="F723" s="1013" t="s">
        <v>399</v>
      </c>
      <c r="G723" s="1014" t="s">
        <v>13</v>
      </c>
      <c r="H723" s="1015">
        <v>494622</v>
      </c>
      <c r="I723" s="1016" t="s">
        <v>6899</v>
      </c>
    </row>
    <row r="724" spans="2:9" ht="15.75" x14ac:dyDescent="0.25">
      <c r="B724" s="1365" t="s">
        <v>7169</v>
      </c>
      <c r="C724" s="1013" t="s">
        <v>4405</v>
      </c>
      <c r="D724" s="1013" t="s">
        <v>5099</v>
      </c>
      <c r="E724" s="1014">
        <v>4344</v>
      </c>
      <c r="F724" s="1013" t="s">
        <v>400</v>
      </c>
      <c r="G724" s="1014" t="s">
        <v>13</v>
      </c>
      <c r="H724" s="1015">
        <v>551145</v>
      </c>
      <c r="I724" s="1016" t="s">
        <v>6899</v>
      </c>
    </row>
    <row r="725" spans="2:9" ht="15.75" x14ac:dyDescent="0.25">
      <c r="B725" s="1365" t="s">
        <v>7169</v>
      </c>
      <c r="C725" s="1013" t="s">
        <v>4405</v>
      </c>
      <c r="D725" s="1013" t="s">
        <v>5099</v>
      </c>
      <c r="E725" s="1014">
        <v>4345</v>
      </c>
      <c r="F725" s="1013" t="s">
        <v>401</v>
      </c>
      <c r="G725" s="1014" t="s">
        <v>13</v>
      </c>
      <c r="H725" s="1015">
        <v>576584</v>
      </c>
      <c r="I725" s="1016" t="s">
        <v>6899</v>
      </c>
    </row>
    <row r="726" spans="2:9" ht="15.75" x14ac:dyDescent="0.25">
      <c r="B726" s="1365" t="s">
        <v>7169</v>
      </c>
      <c r="C726" s="1013" t="s">
        <v>4405</v>
      </c>
      <c r="D726" s="1013" t="s">
        <v>5099</v>
      </c>
      <c r="E726" s="1014">
        <v>4346</v>
      </c>
      <c r="F726" s="1013" t="s">
        <v>402</v>
      </c>
      <c r="G726" s="1014" t="s">
        <v>13</v>
      </c>
      <c r="H726" s="1015">
        <v>779672</v>
      </c>
      <c r="I726" s="1016" t="s">
        <v>6899</v>
      </c>
    </row>
    <row r="727" spans="2:9" ht="15.75" x14ac:dyDescent="0.25">
      <c r="B727" s="1365" t="s">
        <v>7169</v>
      </c>
      <c r="C727" s="1013" t="s">
        <v>4405</v>
      </c>
      <c r="D727" s="1013" t="s">
        <v>5099</v>
      </c>
      <c r="E727" s="1014">
        <v>4347</v>
      </c>
      <c r="F727" s="1013" t="s">
        <v>403</v>
      </c>
      <c r="G727" s="1014" t="s">
        <v>13</v>
      </c>
      <c r="H727" s="1015">
        <v>1017595</v>
      </c>
      <c r="I727" s="1016" t="s">
        <v>6899</v>
      </c>
    </row>
    <row r="728" spans="2:9" ht="15.75" x14ac:dyDescent="0.25">
      <c r="B728" s="1365" t="s">
        <v>7169</v>
      </c>
      <c r="C728" s="1013" t="s">
        <v>4405</v>
      </c>
      <c r="D728" s="1013" t="s">
        <v>5099</v>
      </c>
      <c r="E728" s="1014">
        <v>4348</v>
      </c>
      <c r="F728" s="1013" t="s">
        <v>404</v>
      </c>
      <c r="G728" s="1014" t="s">
        <v>13</v>
      </c>
      <c r="H728" s="1015">
        <v>1075671</v>
      </c>
      <c r="I728" s="1016" t="s">
        <v>6899</v>
      </c>
    </row>
    <row r="729" spans="2:9" ht="15.75" x14ac:dyDescent="0.25">
      <c r="B729" s="1365" t="s">
        <v>7169</v>
      </c>
      <c r="C729" s="1013" t="s">
        <v>4405</v>
      </c>
      <c r="D729" s="1013" t="s">
        <v>5099</v>
      </c>
      <c r="E729" s="1014">
        <v>4349</v>
      </c>
      <c r="F729" s="1013" t="s">
        <v>405</v>
      </c>
      <c r="G729" s="1014" t="s">
        <v>13</v>
      </c>
      <c r="H729" s="1015">
        <v>1249265</v>
      </c>
      <c r="I729" s="1016" t="s">
        <v>6899</v>
      </c>
    </row>
    <row r="730" spans="2:9" ht="15.75" x14ac:dyDescent="0.25">
      <c r="B730" s="1365" t="s">
        <v>7169</v>
      </c>
      <c r="C730" s="1013" t="s">
        <v>4405</v>
      </c>
      <c r="D730" s="1013" t="s">
        <v>5099</v>
      </c>
      <c r="E730" s="1014">
        <v>4350</v>
      </c>
      <c r="F730" s="1013" t="s">
        <v>406</v>
      </c>
      <c r="G730" s="1014" t="s">
        <v>13</v>
      </c>
      <c r="H730" s="1015">
        <v>1797869</v>
      </c>
      <c r="I730" s="1016" t="s">
        <v>6899</v>
      </c>
    </row>
    <row r="731" spans="2:9" ht="15.75" x14ac:dyDescent="0.25">
      <c r="B731" s="1365" t="s">
        <v>7169</v>
      </c>
      <c r="C731" s="1013" t="s">
        <v>4405</v>
      </c>
      <c r="D731" s="1013" t="s">
        <v>5099</v>
      </c>
      <c r="E731" s="1014">
        <v>4351</v>
      </c>
      <c r="F731" s="1013" t="s">
        <v>407</v>
      </c>
      <c r="G731" s="1014" t="s">
        <v>13</v>
      </c>
      <c r="H731" s="1015">
        <v>322772</v>
      </c>
      <c r="I731" s="1016" t="s">
        <v>6899</v>
      </c>
    </row>
    <row r="732" spans="2:9" ht="15.75" x14ac:dyDescent="0.25">
      <c r="B732" s="1365" t="s">
        <v>7169</v>
      </c>
      <c r="C732" s="1013" t="s">
        <v>4405</v>
      </c>
      <c r="D732" s="1013" t="s">
        <v>5099</v>
      </c>
      <c r="E732" s="1014">
        <v>4352</v>
      </c>
      <c r="F732" s="1013" t="s">
        <v>408</v>
      </c>
      <c r="G732" s="1014" t="s">
        <v>13</v>
      </c>
      <c r="H732" s="1015">
        <v>344704</v>
      </c>
      <c r="I732" s="1016" t="s">
        <v>6899</v>
      </c>
    </row>
    <row r="733" spans="2:9" ht="15.75" x14ac:dyDescent="0.25">
      <c r="B733" s="1365" t="s">
        <v>7169</v>
      </c>
      <c r="C733" s="1013" t="s">
        <v>4405</v>
      </c>
      <c r="D733" s="1013" t="s">
        <v>5099</v>
      </c>
      <c r="E733" s="1014">
        <v>4353</v>
      </c>
      <c r="F733" s="1013" t="s">
        <v>409</v>
      </c>
      <c r="G733" s="1014" t="s">
        <v>13</v>
      </c>
      <c r="H733" s="1015">
        <v>475623</v>
      </c>
      <c r="I733" s="1016" t="s">
        <v>6899</v>
      </c>
    </row>
    <row r="734" spans="2:9" ht="15.75" x14ac:dyDescent="0.25">
      <c r="B734" s="1365" t="s">
        <v>7169</v>
      </c>
      <c r="C734" s="1013" t="s">
        <v>4405</v>
      </c>
      <c r="D734" s="1013" t="s">
        <v>5099</v>
      </c>
      <c r="E734" s="1014">
        <v>4354</v>
      </c>
      <c r="F734" s="1013" t="s">
        <v>410</v>
      </c>
      <c r="G734" s="1014" t="s">
        <v>13</v>
      </c>
      <c r="H734" s="1015">
        <v>629574</v>
      </c>
      <c r="I734" s="1016" t="s">
        <v>6899</v>
      </c>
    </row>
    <row r="735" spans="2:9" ht="15.75" x14ac:dyDescent="0.25">
      <c r="B735" s="1365" t="s">
        <v>7169</v>
      </c>
      <c r="C735" s="1013" t="s">
        <v>4405</v>
      </c>
      <c r="D735" s="1013" t="s">
        <v>5099</v>
      </c>
      <c r="E735" s="1014">
        <v>4355</v>
      </c>
      <c r="F735" s="1013" t="s">
        <v>411</v>
      </c>
      <c r="G735" s="1014" t="s">
        <v>13</v>
      </c>
      <c r="H735" s="1015">
        <v>604061</v>
      </c>
      <c r="I735" s="1016" t="s">
        <v>6899</v>
      </c>
    </row>
    <row r="736" spans="2:9" ht="15.75" x14ac:dyDescent="0.25">
      <c r="B736" s="1365" t="s">
        <v>7169</v>
      </c>
      <c r="C736" s="1013" t="s">
        <v>4405</v>
      </c>
      <c r="D736" s="1013" t="s">
        <v>5099</v>
      </c>
      <c r="E736" s="1014">
        <v>4356</v>
      </c>
      <c r="F736" s="1013" t="s">
        <v>412</v>
      </c>
      <c r="G736" s="1014" t="s">
        <v>13</v>
      </c>
      <c r="H736" s="1015">
        <v>793562</v>
      </c>
      <c r="I736" s="1016" t="s">
        <v>6899</v>
      </c>
    </row>
    <row r="737" spans="2:9" ht="15.75" x14ac:dyDescent="0.25">
      <c r="B737" s="1365" t="s">
        <v>7169</v>
      </c>
      <c r="C737" s="1013" t="s">
        <v>4405</v>
      </c>
      <c r="D737" s="1013" t="s">
        <v>5099</v>
      </c>
      <c r="E737" s="1014">
        <v>4357</v>
      </c>
      <c r="F737" s="1013" t="s">
        <v>413</v>
      </c>
      <c r="G737" s="1014" t="s">
        <v>13</v>
      </c>
      <c r="H737" s="1015">
        <v>453200</v>
      </c>
      <c r="I737" s="1016" t="s">
        <v>6899</v>
      </c>
    </row>
    <row r="738" spans="2:9" ht="15.75" x14ac:dyDescent="0.25">
      <c r="B738" s="1365" t="s">
        <v>7169</v>
      </c>
      <c r="C738" s="1013" t="s">
        <v>4405</v>
      </c>
      <c r="D738" s="1013" t="s">
        <v>5099</v>
      </c>
      <c r="E738" s="1014">
        <v>4358</v>
      </c>
      <c r="F738" s="1013" t="s">
        <v>414</v>
      </c>
      <c r="G738" s="1014" t="s">
        <v>13</v>
      </c>
      <c r="H738" s="1015">
        <v>607047</v>
      </c>
      <c r="I738" s="1016" t="s">
        <v>6899</v>
      </c>
    </row>
    <row r="739" spans="2:9" ht="15.75" x14ac:dyDescent="0.25">
      <c r="B739" s="1365" t="s">
        <v>7169</v>
      </c>
      <c r="C739" s="1013" t="s">
        <v>4405</v>
      </c>
      <c r="D739" s="1013" t="s">
        <v>5099</v>
      </c>
      <c r="E739" s="1014">
        <v>4359</v>
      </c>
      <c r="F739" s="1013" t="s">
        <v>415</v>
      </c>
      <c r="G739" s="1014" t="s">
        <v>13</v>
      </c>
      <c r="H739" s="1015">
        <v>473554</v>
      </c>
      <c r="I739" s="1016" t="s">
        <v>6899</v>
      </c>
    </row>
    <row r="740" spans="2:9" ht="15.75" x14ac:dyDescent="0.25">
      <c r="B740" s="1365" t="s">
        <v>7169</v>
      </c>
      <c r="C740" s="1013" t="s">
        <v>4405</v>
      </c>
      <c r="D740" s="1013" t="s">
        <v>5099</v>
      </c>
      <c r="E740" s="1014">
        <v>4360</v>
      </c>
      <c r="F740" s="1013" t="s">
        <v>416</v>
      </c>
      <c r="G740" s="1014" t="s">
        <v>13</v>
      </c>
      <c r="H740" s="1015">
        <v>686475</v>
      </c>
      <c r="I740" s="1016" t="s">
        <v>6899</v>
      </c>
    </row>
    <row r="741" spans="2:9" ht="15.75" x14ac:dyDescent="0.25">
      <c r="B741" s="1365" t="s">
        <v>7169</v>
      </c>
      <c r="C741" s="1013" t="s">
        <v>4405</v>
      </c>
      <c r="D741" s="1013" t="s">
        <v>5099</v>
      </c>
      <c r="E741" s="1014">
        <v>4361</v>
      </c>
      <c r="F741" s="1013" t="s">
        <v>417</v>
      </c>
      <c r="G741" s="1014" t="s">
        <v>13</v>
      </c>
      <c r="H741" s="1015">
        <v>708895</v>
      </c>
      <c r="I741" s="1016" t="s">
        <v>6899</v>
      </c>
    </row>
    <row r="742" spans="2:9" ht="15.75" x14ac:dyDescent="0.25">
      <c r="B742" s="1365" t="s">
        <v>7169</v>
      </c>
      <c r="C742" s="1013" t="s">
        <v>4405</v>
      </c>
      <c r="D742" s="1013" t="s">
        <v>5099</v>
      </c>
      <c r="E742" s="1014">
        <v>4362</v>
      </c>
      <c r="F742" s="1013" t="s">
        <v>418</v>
      </c>
      <c r="G742" s="1014" t="s">
        <v>13</v>
      </c>
      <c r="H742" s="1015">
        <v>910222</v>
      </c>
      <c r="I742" s="1016" t="s">
        <v>6899</v>
      </c>
    </row>
    <row r="743" spans="2:9" ht="15.75" x14ac:dyDescent="0.25">
      <c r="B743" s="1365" t="s">
        <v>7169</v>
      </c>
      <c r="C743" s="1013" t="s">
        <v>4405</v>
      </c>
      <c r="D743" s="1013" t="s">
        <v>5099</v>
      </c>
      <c r="E743" s="1014">
        <v>4363</v>
      </c>
      <c r="F743" s="1013" t="s">
        <v>419</v>
      </c>
      <c r="G743" s="1014" t="s">
        <v>13</v>
      </c>
      <c r="H743" s="1015">
        <v>735275</v>
      </c>
      <c r="I743" s="1016" t="s">
        <v>6899</v>
      </c>
    </row>
    <row r="744" spans="2:9" ht="15.75" x14ac:dyDescent="0.25">
      <c r="B744" s="1365" t="s">
        <v>7169</v>
      </c>
      <c r="C744" s="1013" t="s">
        <v>4461</v>
      </c>
      <c r="D744" s="1013" t="s">
        <v>4461</v>
      </c>
      <c r="E744" s="1014">
        <v>4384</v>
      </c>
      <c r="F744" s="1013" t="s">
        <v>5100</v>
      </c>
      <c r="G744" s="1014" t="s">
        <v>266</v>
      </c>
      <c r="H744" s="1015">
        <v>170131</v>
      </c>
      <c r="I744" s="1016" t="s">
        <v>4398</v>
      </c>
    </row>
    <row r="745" spans="2:9" ht="15.75" x14ac:dyDescent="0.25">
      <c r="B745" s="1365" t="s">
        <v>7169</v>
      </c>
      <c r="C745" s="1013" t="s">
        <v>4461</v>
      </c>
      <c r="D745" s="1013" t="s">
        <v>4461</v>
      </c>
      <c r="E745" s="1014">
        <v>4385</v>
      </c>
      <c r="F745" s="1013" t="s">
        <v>5101</v>
      </c>
      <c r="G745" s="1014" t="s">
        <v>266</v>
      </c>
      <c r="H745" s="1015">
        <v>181339</v>
      </c>
      <c r="I745" s="1016" t="s">
        <v>4398</v>
      </c>
    </row>
    <row r="746" spans="2:9" ht="15.75" x14ac:dyDescent="0.25">
      <c r="B746" s="1365" t="s">
        <v>7169</v>
      </c>
      <c r="C746" s="1013" t="s">
        <v>4461</v>
      </c>
      <c r="D746" s="1013" t="s">
        <v>4461</v>
      </c>
      <c r="E746" s="1014">
        <v>4386</v>
      </c>
      <c r="F746" s="1013" t="s">
        <v>5102</v>
      </c>
      <c r="G746" s="1014" t="s">
        <v>266</v>
      </c>
      <c r="H746" s="1015">
        <v>333234</v>
      </c>
      <c r="I746" s="1016" t="s">
        <v>4398</v>
      </c>
    </row>
    <row r="747" spans="2:9" ht="15.75" x14ac:dyDescent="0.25">
      <c r="B747" s="1365" t="s">
        <v>7169</v>
      </c>
      <c r="C747" s="1013" t="s">
        <v>4461</v>
      </c>
      <c r="D747" s="1013" t="s">
        <v>4461</v>
      </c>
      <c r="E747" s="1014">
        <v>4387</v>
      </c>
      <c r="F747" s="1013" t="s">
        <v>5103</v>
      </c>
      <c r="G747" s="1014" t="s">
        <v>266</v>
      </c>
      <c r="H747" s="1015">
        <v>429034</v>
      </c>
      <c r="I747" s="1016" t="s">
        <v>4398</v>
      </c>
    </row>
    <row r="748" spans="2:9" ht="15.75" x14ac:dyDescent="0.25">
      <c r="B748" s="1365" t="s">
        <v>7169</v>
      </c>
      <c r="C748" s="1013" t="s">
        <v>4461</v>
      </c>
      <c r="D748" s="1013" t="s">
        <v>4461</v>
      </c>
      <c r="E748" s="1014">
        <v>4388</v>
      </c>
      <c r="F748" s="1013" t="s">
        <v>5104</v>
      </c>
      <c r="G748" s="1014" t="s">
        <v>266</v>
      </c>
      <c r="H748" s="1015">
        <v>657323</v>
      </c>
      <c r="I748" s="1016" t="s">
        <v>4398</v>
      </c>
    </row>
    <row r="749" spans="2:9" ht="15.75" x14ac:dyDescent="0.25">
      <c r="B749" s="1365" t="s">
        <v>7169</v>
      </c>
      <c r="C749" s="1013" t="s">
        <v>4461</v>
      </c>
      <c r="D749" s="1013" t="s">
        <v>4461</v>
      </c>
      <c r="E749" s="1014">
        <v>4389</v>
      </c>
      <c r="F749" s="1013" t="s">
        <v>5105</v>
      </c>
      <c r="G749" s="1014" t="s">
        <v>266</v>
      </c>
      <c r="H749" s="1015">
        <v>956675</v>
      </c>
      <c r="I749" s="1016" t="s">
        <v>4398</v>
      </c>
    </row>
    <row r="750" spans="2:9" ht="15.75" x14ac:dyDescent="0.25">
      <c r="B750" s="1365" t="s">
        <v>7169</v>
      </c>
      <c r="C750" s="1013" t="s">
        <v>4396</v>
      </c>
      <c r="D750" s="1013" t="s">
        <v>4397</v>
      </c>
      <c r="E750" s="1014">
        <v>4390</v>
      </c>
      <c r="F750" s="1013" t="s">
        <v>420</v>
      </c>
      <c r="G750" s="1014" t="s">
        <v>3</v>
      </c>
      <c r="H750" s="1015">
        <v>99146</v>
      </c>
      <c r="I750" s="1016" t="s">
        <v>6899</v>
      </c>
    </row>
    <row r="751" spans="2:9" ht="15.75" x14ac:dyDescent="0.25">
      <c r="B751" s="1365" t="s">
        <v>7169</v>
      </c>
      <c r="C751" s="1013" t="s">
        <v>4410</v>
      </c>
      <c r="D751" s="1013" t="s">
        <v>4642</v>
      </c>
      <c r="E751" s="1014">
        <v>4391</v>
      </c>
      <c r="F751" s="1013" t="s">
        <v>5106</v>
      </c>
      <c r="G751" s="1014" t="s">
        <v>3</v>
      </c>
      <c r="H751" s="1015">
        <v>153836</v>
      </c>
      <c r="I751" s="1016" t="s">
        <v>6899</v>
      </c>
    </row>
    <row r="752" spans="2:9" ht="15.75" x14ac:dyDescent="0.25">
      <c r="B752" s="1365" t="s">
        <v>7169</v>
      </c>
      <c r="C752" s="1013" t="s">
        <v>4799</v>
      </c>
      <c r="D752" s="1013" t="s">
        <v>4800</v>
      </c>
      <c r="E752" s="1014">
        <v>4392</v>
      </c>
      <c r="F752" s="1013" t="s">
        <v>421</v>
      </c>
      <c r="G752" s="1014" t="s">
        <v>202</v>
      </c>
      <c r="H752" s="1015">
        <v>67967</v>
      </c>
      <c r="I752" s="1016" t="s">
        <v>4398</v>
      </c>
    </row>
    <row r="753" spans="2:9" ht="15.75" x14ac:dyDescent="0.25">
      <c r="B753" s="1365" t="s">
        <v>7169</v>
      </c>
      <c r="C753" s="1013" t="s">
        <v>4799</v>
      </c>
      <c r="D753" s="1013" t="s">
        <v>4800</v>
      </c>
      <c r="E753" s="1014">
        <v>4393</v>
      </c>
      <c r="F753" s="1013" t="s">
        <v>352</v>
      </c>
      <c r="G753" s="1014" t="s">
        <v>202</v>
      </c>
      <c r="H753" s="1015">
        <v>94254</v>
      </c>
      <c r="I753" s="1016" t="s">
        <v>4398</v>
      </c>
    </row>
    <row r="754" spans="2:9" ht="15.75" x14ac:dyDescent="0.25">
      <c r="B754" s="1365" t="s">
        <v>7169</v>
      </c>
      <c r="C754" s="1013" t="s">
        <v>4472</v>
      </c>
      <c r="D754" s="1013" t="s">
        <v>4985</v>
      </c>
      <c r="E754" s="1014">
        <v>4394</v>
      </c>
      <c r="F754" s="1013" t="s">
        <v>5107</v>
      </c>
      <c r="G754" s="1014" t="s">
        <v>12</v>
      </c>
      <c r="H754" s="1015">
        <v>112343</v>
      </c>
      <c r="I754" s="1016" t="s">
        <v>6899</v>
      </c>
    </row>
    <row r="755" spans="2:9" ht="15.75" x14ac:dyDescent="0.25">
      <c r="B755" s="1365" t="s">
        <v>7169</v>
      </c>
      <c r="C755" s="1013" t="s">
        <v>4472</v>
      </c>
      <c r="D755" s="1013" t="s">
        <v>4985</v>
      </c>
      <c r="E755" s="1014">
        <v>4395</v>
      </c>
      <c r="F755" s="1013" t="s">
        <v>5108</v>
      </c>
      <c r="G755" s="1014" t="s">
        <v>12</v>
      </c>
      <c r="H755" s="1015">
        <v>99863</v>
      </c>
      <c r="I755" s="1016" t="s">
        <v>6899</v>
      </c>
    </row>
    <row r="756" spans="2:9" ht="15.75" x14ac:dyDescent="0.25">
      <c r="B756" s="1365" t="s">
        <v>7169</v>
      </c>
      <c r="C756" s="1013" t="s">
        <v>4472</v>
      </c>
      <c r="D756" s="1013" t="s">
        <v>4985</v>
      </c>
      <c r="E756" s="1014">
        <v>4396</v>
      </c>
      <c r="F756" s="1013" t="s">
        <v>5109</v>
      </c>
      <c r="G756" s="1014" t="s">
        <v>12</v>
      </c>
      <c r="H756" s="1015">
        <v>77503</v>
      </c>
      <c r="I756" s="1016" t="s">
        <v>6899</v>
      </c>
    </row>
    <row r="757" spans="2:9" ht="15.75" x14ac:dyDescent="0.25">
      <c r="B757" s="1365" t="s">
        <v>7169</v>
      </c>
      <c r="C757" s="1013" t="s">
        <v>4461</v>
      </c>
      <c r="D757" s="1013" t="s">
        <v>4461</v>
      </c>
      <c r="E757" s="1014">
        <v>4402</v>
      </c>
      <c r="F757" s="1013" t="s">
        <v>5110</v>
      </c>
      <c r="G757" s="1014" t="s">
        <v>266</v>
      </c>
      <c r="H757" s="1015">
        <v>1080978</v>
      </c>
      <c r="I757" s="1016" t="s">
        <v>4398</v>
      </c>
    </row>
    <row r="758" spans="2:9" ht="15.75" x14ac:dyDescent="0.25">
      <c r="B758" s="1365" t="s">
        <v>7169</v>
      </c>
      <c r="C758" s="1013" t="s">
        <v>4461</v>
      </c>
      <c r="D758" s="1013" t="s">
        <v>4461</v>
      </c>
      <c r="E758" s="1014">
        <v>4403</v>
      </c>
      <c r="F758" s="1013" t="s">
        <v>5111</v>
      </c>
      <c r="G758" s="1014" t="s">
        <v>266</v>
      </c>
      <c r="H758" s="1015">
        <v>5928732</v>
      </c>
      <c r="I758" s="1016" t="s">
        <v>4398</v>
      </c>
    </row>
    <row r="759" spans="2:9" ht="15.75" x14ac:dyDescent="0.25">
      <c r="B759" s="1365" t="s">
        <v>7169</v>
      </c>
      <c r="C759" s="1013" t="s">
        <v>4461</v>
      </c>
      <c r="D759" s="1013" t="s">
        <v>4461</v>
      </c>
      <c r="E759" s="1014">
        <v>4404</v>
      </c>
      <c r="F759" s="1013" t="s">
        <v>5112</v>
      </c>
      <c r="G759" s="1014" t="s">
        <v>266</v>
      </c>
      <c r="H759" s="1015">
        <v>128156</v>
      </c>
      <c r="I759" s="1016" t="s">
        <v>4398</v>
      </c>
    </row>
    <row r="760" spans="2:9" ht="15.75" x14ac:dyDescent="0.25">
      <c r="B760" s="1365" t="s">
        <v>7169</v>
      </c>
      <c r="C760" s="1013" t="s">
        <v>4461</v>
      </c>
      <c r="D760" s="1013" t="s">
        <v>4461</v>
      </c>
      <c r="E760" s="1014">
        <v>4405</v>
      </c>
      <c r="F760" s="1013" t="s">
        <v>5113</v>
      </c>
      <c r="G760" s="1014" t="s">
        <v>266</v>
      </c>
      <c r="H760" s="1015">
        <v>201973</v>
      </c>
      <c r="I760" s="1016" t="s">
        <v>4398</v>
      </c>
    </row>
    <row r="761" spans="2:9" ht="15.75" x14ac:dyDescent="0.25">
      <c r="B761" s="1365" t="s">
        <v>7169</v>
      </c>
      <c r="C761" s="1013" t="s">
        <v>4461</v>
      </c>
      <c r="D761" s="1013" t="s">
        <v>4461</v>
      </c>
      <c r="E761" s="1014">
        <v>4406</v>
      </c>
      <c r="F761" s="1013" t="s">
        <v>5114</v>
      </c>
      <c r="G761" s="1014" t="s">
        <v>266</v>
      </c>
      <c r="H761" s="1015">
        <v>459675</v>
      </c>
      <c r="I761" s="1016" t="s">
        <v>4398</v>
      </c>
    </row>
    <row r="762" spans="2:9" ht="15.75" x14ac:dyDescent="0.25">
      <c r="B762" s="1365" t="s">
        <v>7169</v>
      </c>
      <c r="C762" s="1013" t="s">
        <v>4461</v>
      </c>
      <c r="D762" s="1013" t="s">
        <v>4461</v>
      </c>
      <c r="E762" s="1014">
        <v>4407</v>
      </c>
      <c r="F762" s="1013" t="s">
        <v>5115</v>
      </c>
      <c r="G762" s="1014" t="s">
        <v>266</v>
      </c>
      <c r="H762" s="1015">
        <v>276099</v>
      </c>
      <c r="I762" s="1016" t="s">
        <v>4398</v>
      </c>
    </row>
    <row r="763" spans="2:9" ht="15.75" x14ac:dyDescent="0.25">
      <c r="B763" s="1365" t="s">
        <v>7169</v>
      </c>
      <c r="C763" s="1013" t="s">
        <v>4461</v>
      </c>
      <c r="D763" s="1013" t="s">
        <v>4461</v>
      </c>
      <c r="E763" s="1014">
        <v>4408</v>
      </c>
      <c r="F763" s="1013" t="s">
        <v>5116</v>
      </c>
      <c r="G763" s="1014" t="s">
        <v>266</v>
      </c>
      <c r="H763" s="1015">
        <v>677628</v>
      </c>
      <c r="I763" s="1016" t="s">
        <v>4398</v>
      </c>
    </row>
    <row r="764" spans="2:9" ht="15.75" x14ac:dyDescent="0.25">
      <c r="B764" s="1365" t="s">
        <v>7169</v>
      </c>
      <c r="C764" s="1013" t="s">
        <v>4461</v>
      </c>
      <c r="D764" s="1013" t="s">
        <v>4461</v>
      </c>
      <c r="E764" s="1014">
        <v>4409</v>
      </c>
      <c r="F764" s="1013" t="s">
        <v>5117</v>
      </c>
      <c r="G764" s="1014" t="s">
        <v>266</v>
      </c>
      <c r="H764" s="1015">
        <v>123174</v>
      </c>
      <c r="I764" s="1016" t="s">
        <v>4398</v>
      </c>
    </row>
    <row r="765" spans="2:9" ht="15.75" x14ac:dyDescent="0.25">
      <c r="B765" s="1365" t="s">
        <v>7169</v>
      </c>
      <c r="C765" s="1013" t="s">
        <v>4461</v>
      </c>
      <c r="D765" s="1013" t="s">
        <v>4461</v>
      </c>
      <c r="E765" s="1014">
        <v>4410</v>
      </c>
      <c r="F765" s="1013" t="s">
        <v>5118</v>
      </c>
      <c r="G765" s="1014" t="s">
        <v>266</v>
      </c>
      <c r="H765" s="1015">
        <v>142214</v>
      </c>
      <c r="I765" s="1016" t="s">
        <v>4398</v>
      </c>
    </row>
    <row r="766" spans="2:9" ht="15.75" x14ac:dyDescent="0.25">
      <c r="B766" s="1365" t="s">
        <v>7169</v>
      </c>
      <c r="C766" s="1013" t="s">
        <v>4461</v>
      </c>
      <c r="D766" s="1013" t="s">
        <v>4461</v>
      </c>
      <c r="E766" s="1014">
        <v>4411</v>
      </c>
      <c r="F766" s="1013" t="s">
        <v>5119</v>
      </c>
      <c r="G766" s="1014" t="s">
        <v>266</v>
      </c>
      <c r="H766" s="1015">
        <v>336601</v>
      </c>
      <c r="I766" s="1016" t="s">
        <v>4398</v>
      </c>
    </row>
    <row r="767" spans="2:9" ht="15.75" x14ac:dyDescent="0.25">
      <c r="B767" s="1365" t="s">
        <v>7169</v>
      </c>
      <c r="C767" s="1013" t="s">
        <v>4461</v>
      </c>
      <c r="D767" s="1013" t="s">
        <v>4461</v>
      </c>
      <c r="E767" s="1014">
        <v>4412</v>
      </c>
      <c r="F767" s="1013" t="s">
        <v>5120</v>
      </c>
      <c r="G767" s="1014" t="s">
        <v>266</v>
      </c>
      <c r="H767" s="1015">
        <v>394253</v>
      </c>
      <c r="I767" s="1016" t="s">
        <v>4398</v>
      </c>
    </row>
    <row r="768" spans="2:9" ht="15.75" x14ac:dyDescent="0.25">
      <c r="B768" s="1365" t="s">
        <v>7169</v>
      </c>
      <c r="C768" s="1013" t="s">
        <v>4461</v>
      </c>
      <c r="D768" s="1013" t="s">
        <v>4461</v>
      </c>
      <c r="E768" s="1014">
        <v>4413</v>
      </c>
      <c r="F768" s="1013" t="s">
        <v>5121</v>
      </c>
      <c r="G768" s="1014" t="s">
        <v>266</v>
      </c>
      <c r="H768" s="1015">
        <v>1278497</v>
      </c>
      <c r="I768" s="1016" t="s">
        <v>4398</v>
      </c>
    </row>
    <row r="769" spans="2:9" ht="15.75" x14ac:dyDescent="0.25">
      <c r="B769" s="1365" t="s">
        <v>7169</v>
      </c>
      <c r="C769" s="1013" t="s">
        <v>4461</v>
      </c>
      <c r="D769" s="1013" t="s">
        <v>4461</v>
      </c>
      <c r="E769" s="1014">
        <v>4414</v>
      </c>
      <c r="F769" s="1013" t="s">
        <v>5122</v>
      </c>
      <c r="G769" s="1014" t="s">
        <v>266</v>
      </c>
      <c r="H769" s="1015">
        <v>1278497</v>
      </c>
      <c r="I769" s="1016" t="s">
        <v>4398</v>
      </c>
    </row>
    <row r="770" spans="2:9" ht="15.75" x14ac:dyDescent="0.25">
      <c r="B770" s="1365" t="s">
        <v>7169</v>
      </c>
      <c r="C770" s="1013" t="s">
        <v>4461</v>
      </c>
      <c r="D770" s="1013" t="s">
        <v>4461</v>
      </c>
      <c r="E770" s="1014">
        <v>4415</v>
      </c>
      <c r="F770" s="1013" t="s">
        <v>5123</v>
      </c>
      <c r="G770" s="1014" t="s">
        <v>266</v>
      </c>
      <c r="H770" s="1015">
        <v>70387</v>
      </c>
      <c r="I770" s="1016" t="s">
        <v>4398</v>
      </c>
    </row>
    <row r="771" spans="2:9" ht="15.75" x14ac:dyDescent="0.25">
      <c r="B771" s="1365" t="s">
        <v>7169</v>
      </c>
      <c r="C771" s="1013" t="s">
        <v>4461</v>
      </c>
      <c r="D771" s="1013" t="s">
        <v>4461</v>
      </c>
      <c r="E771" s="1014">
        <v>4416</v>
      </c>
      <c r="F771" s="1013" t="s">
        <v>5124</v>
      </c>
      <c r="G771" s="1014" t="s">
        <v>266</v>
      </c>
      <c r="H771" s="1015">
        <v>89733</v>
      </c>
      <c r="I771" s="1016" t="s">
        <v>4398</v>
      </c>
    </row>
    <row r="772" spans="2:9" ht="15.75" x14ac:dyDescent="0.25">
      <c r="B772" s="1365" t="s">
        <v>7169</v>
      </c>
      <c r="C772" s="1013" t="s">
        <v>4461</v>
      </c>
      <c r="D772" s="1013" t="s">
        <v>4461</v>
      </c>
      <c r="E772" s="1014">
        <v>4417</v>
      </c>
      <c r="F772" s="1013" t="s">
        <v>5125</v>
      </c>
      <c r="G772" s="1014" t="s">
        <v>266</v>
      </c>
      <c r="H772" s="1015">
        <v>199817</v>
      </c>
      <c r="I772" s="1016" t="s">
        <v>4398</v>
      </c>
    </row>
    <row r="773" spans="2:9" ht="15.75" x14ac:dyDescent="0.25">
      <c r="B773" s="1365" t="s">
        <v>7169</v>
      </c>
      <c r="C773" s="1013" t="s">
        <v>4461</v>
      </c>
      <c r="D773" s="1013" t="s">
        <v>4461</v>
      </c>
      <c r="E773" s="1014">
        <v>4418</v>
      </c>
      <c r="F773" s="1013" t="s">
        <v>5126</v>
      </c>
      <c r="G773" s="1014" t="s">
        <v>266</v>
      </c>
      <c r="H773" s="1015">
        <v>44185</v>
      </c>
      <c r="I773" s="1016" t="s">
        <v>4398</v>
      </c>
    </row>
    <row r="774" spans="2:9" ht="15.75" x14ac:dyDescent="0.25">
      <c r="B774" s="1365" t="s">
        <v>7169</v>
      </c>
      <c r="C774" s="1013" t="s">
        <v>4461</v>
      </c>
      <c r="D774" s="1013" t="s">
        <v>4461</v>
      </c>
      <c r="E774" s="1014">
        <v>4419</v>
      </c>
      <c r="F774" s="1013" t="s">
        <v>5127</v>
      </c>
      <c r="G774" s="1014" t="s">
        <v>266</v>
      </c>
      <c r="H774" s="1015">
        <v>67706</v>
      </c>
      <c r="I774" s="1016" t="s">
        <v>4398</v>
      </c>
    </row>
    <row r="775" spans="2:9" ht="15.75" x14ac:dyDescent="0.25">
      <c r="B775" s="1365" t="s">
        <v>7169</v>
      </c>
      <c r="C775" s="1013" t="s">
        <v>4461</v>
      </c>
      <c r="D775" s="1013" t="s">
        <v>4461</v>
      </c>
      <c r="E775" s="1014">
        <v>4420</v>
      </c>
      <c r="F775" s="1013" t="s">
        <v>5128</v>
      </c>
      <c r="G775" s="1014" t="s">
        <v>266</v>
      </c>
      <c r="H775" s="1015">
        <v>102785</v>
      </c>
      <c r="I775" s="1016" t="s">
        <v>4398</v>
      </c>
    </row>
    <row r="776" spans="2:9" ht="15.75" x14ac:dyDescent="0.25">
      <c r="B776" s="1365" t="s">
        <v>7169</v>
      </c>
      <c r="C776" s="1013" t="s">
        <v>4461</v>
      </c>
      <c r="D776" s="1013" t="s">
        <v>4461</v>
      </c>
      <c r="E776" s="1014">
        <v>4421</v>
      </c>
      <c r="F776" s="1013" t="s">
        <v>5129</v>
      </c>
      <c r="G776" s="1014" t="s">
        <v>266</v>
      </c>
      <c r="H776" s="1015">
        <v>177599</v>
      </c>
      <c r="I776" s="1016" t="s">
        <v>4398</v>
      </c>
    </row>
    <row r="777" spans="2:9" ht="15.75" x14ac:dyDescent="0.25">
      <c r="B777" s="1365" t="s">
        <v>7169</v>
      </c>
      <c r="C777" s="1013" t="s">
        <v>4461</v>
      </c>
      <c r="D777" s="1013" t="s">
        <v>4461</v>
      </c>
      <c r="E777" s="1014">
        <v>4422</v>
      </c>
      <c r="F777" s="1013" t="s">
        <v>5130</v>
      </c>
      <c r="G777" s="1014" t="s">
        <v>266</v>
      </c>
      <c r="H777" s="1015">
        <v>197447</v>
      </c>
      <c r="I777" s="1016" t="s">
        <v>4398</v>
      </c>
    </row>
    <row r="778" spans="2:9" ht="15.75" x14ac:dyDescent="0.25">
      <c r="B778" s="1365" t="s">
        <v>7169</v>
      </c>
      <c r="C778" s="1013" t="s">
        <v>4461</v>
      </c>
      <c r="D778" s="1013" t="s">
        <v>4461</v>
      </c>
      <c r="E778" s="1014">
        <v>4423</v>
      </c>
      <c r="F778" s="1013" t="s">
        <v>5131</v>
      </c>
      <c r="G778" s="1014" t="s">
        <v>266</v>
      </c>
      <c r="H778" s="1015">
        <v>346746</v>
      </c>
      <c r="I778" s="1016" t="s">
        <v>4398</v>
      </c>
    </row>
    <row r="779" spans="2:9" ht="15.75" x14ac:dyDescent="0.25">
      <c r="B779" s="1365" t="s">
        <v>7169</v>
      </c>
      <c r="C779" s="1013" t="s">
        <v>4461</v>
      </c>
      <c r="D779" s="1013" t="s">
        <v>4461</v>
      </c>
      <c r="E779" s="1014">
        <v>4424</v>
      </c>
      <c r="F779" s="1013" t="s">
        <v>5132</v>
      </c>
      <c r="G779" s="1014" t="s">
        <v>266</v>
      </c>
      <c r="H779" s="1015">
        <v>532694</v>
      </c>
      <c r="I779" s="1016" t="s">
        <v>4398</v>
      </c>
    </row>
    <row r="780" spans="2:9" ht="15.75" x14ac:dyDescent="0.25">
      <c r="B780" s="1365" t="s">
        <v>7169</v>
      </c>
      <c r="C780" s="1013" t="s">
        <v>4461</v>
      </c>
      <c r="D780" s="1013" t="s">
        <v>4461</v>
      </c>
      <c r="E780" s="1014">
        <v>4425</v>
      </c>
      <c r="F780" s="1013" t="s">
        <v>5133</v>
      </c>
      <c r="G780" s="1014" t="s">
        <v>266</v>
      </c>
      <c r="H780" s="1015">
        <v>878081</v>
      </c>
      <c r="I780" s="1016" t="s">
        <v>4398</v>
      </c>
    </row>
    <row r="781" spans="2:9" ht="15.75" x14ac:dyDescent="0.25">
      <c r="B781" s="1365" t="s">
        <v>7169</v>
      </c>
      <c r="C781" s="1013" t="s">
        <v>4461</v>
      </c>
      <c r="D781" s="1013" t="s">
        <v>4461</v>
      </c>
      <c r="E781" s="1014">
        <v>4426</v>
      </c>
      <c r="F781" s="1013" t="s">
        <v>5134</v>
      </c>
      <c r="G781" s="1014" t="s">
        <v>266</v>
      </c>
      <c r="H781" s="1015">
        <v>975326</v>
      </c>
      <c r="I781" s="1016" t="s">
        <v>4398</v>
      </c>
    </row>
    <row r="782" spans="2:9" ht="15.75" x14ac:dyDescent="0.25">
      <c r="B782" s="1365" t="s">
        <v>7169</v>
      </c>
      <c r="C782" s="1013" t="s">
        <v>4468</v>
      </c>
      <c r="D782" s="1013" t="s">
        <v>4469</v>
      </c>
      <c r="E782" s="1014">
        <v>4427</v>
      </c>
      <c r="F782" s="1013" t="s">
        <v>5135</v>
      </c>
      <c r="G782" s="1014" t="s">
        <v>3</v>
      </c>
      <c r="H782" s="1015">
        <v>763019</v>
      </c>
      <c r="I782" s="1016" t="s">
        <v>6899</v>
      </c>
    </row>
    <row r="783" spans="2:9" ht="15.75" x14ac:dyDescent="0.25">
      <c r="B783" s="1365" t="s">
        <v>7169</v>
      </c>
      <c r="C783" s="1013" t="s">
        <v>4468</v>
      </c>
      <c r="D783" s="1013" t="s">
        <v>4469</v>
      </c>
      <c r="E783" s="1014">
        <v>4428</v>
      </c>
      <c r="F783" s="1013" t="s">
        <v>5136</v>
      </c>
      <c r="G783" s="1014" t="s">
        <v>13</v>
      </c>
      <c r="H783" s="1015">
        <v>47003</v>
      </c>
      <c r="I783" s="1016" t="s">
        <v>6899</v>
      </c>
    </row>
    <row r="784" spans="2:9" ht="15.75" x14ac:dyDescent="0.25">
      <c r="B784" s="1365" t="s">
        <v>7169</v>
      </c>
      <c r="C784" s="1013" t="s">
        <v>4468</v>
      </c>
      <c r="D784" s="1013" t="s">
        <v>4469</v>
      </c>
      <c r="E784" s="1014">
        <v>4429</v>
      </c>
      <c r="F784" s="1013" t="s">
        <v>5137</v>
      </c>
      <c r="G784" s="1014" t="s">
        <v>13</v>
      </c>
      <c r="H784" s="1015">
        <v>55715</v>
      </c>
      <c r="I784" s="1016" t="s">
        <v>6899</v>
      </c>
    </row>
    <row r="785" spans="2:9" ht="15.75" x14ac:dyDescent="0.25">
      <c r="B785" s="1365" t="s">
        <v>7169</v>
      </c>
      <c r="C785" s="1013" t="s">
        <v>4468</v>
      </c>
      <c r="D785" s="1013" t="s">
        <v>4650</v>
      </c>
      <c r="E785" s="1014">
        <v>4431</v>
      </c>
      <c r="F785" s="1013" t="s">
        <v>5138</v>
      </c>
      <c r="G785" s="1014" t="s">
        <v>12</v>
      </c>
      <c r="H785" s="1015">
        <v>28391</v>
      </c>
      <c r="I785" s="1016" t="s">
        <v>6899</v>
      </c>
    </row>
    <row r="786" spans="2:9" ht="15.75" x14ac:dyDescent="0.25">
      <c r="B786" s="1365" t="s">
        <v>7169</v>
      </c>
      <c r="C786" s="1013" t="s">
        <v>4405</v>
      </c>
      <c r="D786" s="1013" t="s">
        <v>5099</v>
      </c>
      <c r="E786" s="1014">
        <v>4433</v>
      </c>
      <c r="F786" s="1013" t="s">
        <v>422</v>
      </c>
      <c r="G786" s="1014" t="s">
        <v>13</v>
      </c>
      <c r="H786" s="1015">
        <v>897923</v>
      </c>
      <c r="I786" s="1016" t="s">
        <v>6899</v>
      </c>
    </row>
    <row r="787" spans="2:9" ht="15.75" x14ac:dyDescent="0.25">
      <c r="B787" s="1365" t="s">
        <v>7169</v>
      </c>
      <c r="C787" s="1013" t="s">
        <v>4405</v>
      </c>
      <c r="D787" s="1013" t="s">
        <v>5099</v>
      </c>
      <c r="E787" s="1014">
        <v>4434</v>
      </c>
      <c r="F787" s="1013" t="s">
        <v>423</v>
      </c>
      <c r="G787" s="1014" t="s">
        <v>13</v>
      </c>
      <c r="H787" s="1015">
        <v>901105</v>
      </c>
      <c r="I787" s="1016" t="s">
        <v>6899</v>
      </c>
    </row>
    <row r="788" spans="2:9" ht="15.75" x14ac:dyDescent="0.25">
      <c r="B788" s="1365" t="s">
        <v>7169</v>
      </c>
      <c r="C788" s="1013" t="s">
        <v>4405</v>
      </c>
      <c r="D788" s="1013" t="s">
        <v>5099</v>
      </c>
      <c r="E788" s="1014">
        <v>4435</v>
      </c>
      <c r="F788" s="1013" t="s">
        <v>424</v>
      </c>
      <c r="G788" s="1014" t="s">
        <v>13</v>
      </c>
      <c r="H788" s="1015">
        <v>1151546</v>
      </c>
      <c r="I788" s="1016" t="s">
        <v>6899</v>
      </c>
    </row>
    <row r="789" spans="2:9" ht="15.75" x14ac:dyDescent="0.25">
      <c r="B789" s="1365" t="s">
        <v>7169</v>
      </c>
      <c r="C789" s="1013" t="s">
        <v>4405</v>
      </c>
      <c r="D789" s="1013" t="s">
        <v>5099</v>
      </c>
      <c r="E789" s="1014">
        <v>4436</v>
      </c>
      <c r="F789" s="1013" t="s">
        <v>425</v>
      </c>
      <c r="G789" s="1014" t="s">
        <v>13</v>
      </c>
      <c r="H789" s="1015">
        <v>1000739</v>
      </c>
      <c r="I789" s="1016" t="s">
        <v>6899</v>
      </c>
    </row>
    <row r="790" spans="2:9" ht="15.75" x14ac:dyDescent="0.25">
      <c r="B790" s="1365" t="s">
        <v>7169</v>
      </c>
      <c r="C790" s="1013" t="s">
        <v>4405</v>
      </c>
      <c r="D790" s="1013" t="s">
        <v>5099</v>
      </c>
      <c r="E790" s="1014">
        <v>4437</v>
      </c>
      <c r="F790" s="1013" t="s">
        <v>426</v>
      </c>
      <c r="G790" s="1014" t="s">
        <v>13</v>
      </c>
      <c r="H790" s="1015">
        <v>1212507</v>
      </c>
      <c r="I790" s="1016" t="s">
        <v>6899</v>
      </c>
    </row>
    <row r="791" spans="2:9" ht="15.75" x14ac:dyDescent="0.25">
      <c r="B791" s="1365" t="s">
        <v>7169</v>
      </c>
      <c r="C791" s="1013" t="s">
        <v>4405</v>
      </c>
      <c r="D791" s="1013" t="s">
        <v>5099</v>
      </c>
      <c r="E791" s="1014">
        <v>4438</v>
      </c>
      <c r="F791" s="1013" t="s">
        <v>427</v>
      </c>
      <c r="G791" s="1014" t="s">
        <v>13</v>
      </c>
      <c r="H791" s="1015">
        <v>1284829</v>
      </c>
      <c r="I791" s="1016" t="s">
        <v>6899</v>
      </c>
    </row>
    <row r="792" spans="2:9" ht="15.75" x14ac:dyDescent="0.25">
      <c r="B792" s="1365" t="s">
        <v>7169</v>
      </c>
      <c r="C792" s="1013" t="s">
        <v>4405</v>
      </c>
      <c r="D792" s="1013" t="s">
        <v>5099</v>
      </c>
      <c r="E792" s="1014">
        <v>4439</v>
      </c>
      <c r="F792" s="1013" t="s">
        <v>428</v>
      </c>
      <c r="G792" s="1014" t="s">
        <v>13</v>
      </c>
      <c r="H792" s="1015">
        <v>1548975</v>
      </c>
      <c r="I792" s="1016" t="s">
        <v>6899</v>
      </c>
    </row>
    <row r="793" spans="2:9" ht="15.75" x14ac:dyDescent="0.25">
      <c r="B793" s="1365" t="s">
        <v>7169</v>
      </c>
      <c r="C793" s="1013" t="s">
        <v>4405</v>
      </c>
      <c r="D793" s="1013" t="s">
        <v>5099</v>
      </c>
      <c r="E793" s="1014">
        <v>4440</v>
      </c>
      <c r="F793" s="1013" t="s">
        <v>429</v>
      </c>
      <c r="G793" s="1014" t="s">
        <v>13</v>
      </c>
      <c r="H793" s="1015">
        <v>1291489</v>
      </c>
      <c r="I793" s="1016" t="s">
        <v>6899</v>
      </c>
    </row>
    <row r="794" spans="2:9" ht="15.75" x14ac:dyDescent="0.25">
      <c r="B794" s="1365" t="s">
        <v>7169</v>
      </c>
      <c r="C794" s="1013" t="s">
        <v>4405</v>
      </c>
      <c r="D794" s="1013" t="s">
        <v>5099</v>
      </c>
      <c r="E794" s="1014">
        <v>4441</v>
      </c>
      <c r="F794" s="1013" t="s">
        <v>430</v>
      </c>
      <c r="G794" s="1014" t="s">
        <v>13</v>
      </c>
      <c r="H794" s="1015">
        <v>1667323</v>
      </c>
      <c r="I794" s="1016" t="s">
        <v>6899</v>
      </c>
    </row>
    <row r="795" spans="2:9" ht="15.75" x14ac:dyDescent="0.25">
      <c r="B795" s="1365" t="s">
        <v>7169</v>
      </c>
      <c r="C795" s="1013" t="s">
        <v>4405</v>
      </c>
      <c r="D795" s="1013" t="s">
        <v>5099</v>
      </c>
      <c r="E795" s="1014">
        <v>4442</v>
      </c>
      <c r="F795" s="1013" t="s">
        <v>431</v>
      </c>
      <c r="G795" s="1014" t="s">
        <v>13</v>
      </c>
      <c r="H795" s="1015">
        <v>405429</v>
      </c>
      <c r="I795" s="1016" t="s">
        <v>6899</v>
      </c>
    </row>
    <row r="796" spans="2:9" ht="15.75" x14ac:dyDescent="0.25">
      <c r="B796" s="1365" t="s">
        <v>7169</v>
      </c>
      <c r="C796" s="1013" t="s">
        <v>4405</v>
      </c>
      <c r="D796" s="1013" t="s">
        <v>5099</v>
      </c>
      <c r="E796" s="1014">
        <v>4447</v>
      </c>
      <c r="F796" s="1013" t="s">
        <v>432</v>
      </c>
      <c r="G796" s="1014" t="s">
        <v>13</v>
      </c>
      <c r="H796" s="1015">
        <v>563910</v>
      </c>
      <c r="I796" s="1016" t="s">
        <v>6899</v>
      </c>
    </row>
    <row r="797" spans="2:9" ht="15.75" x14ac:dyDescent="0.25">
      <c r="B797" s="1365" t="s">
        <v>7169</v>
      </c>
      <c r="C797" s="1013" t="s">
        <v>4405</v>
      </c>
      <c r="D797" s="1013" t="s">
        <v>5099</v>
      </c>
      <c r="E797" s="1014">
        <v>4461</v>
      </c>
      <c r="F797" s="1013" t="s">
        <v>433</v>
      </c>
      <c r="G797" s="1014" t="s">
        <v>13</v>
      </c>
      <c r="H797" s="1015">
        <v>475342</v>
      </c>
      <c r="I797" s="1016" t="s">
        <v>6899</v>
      </c>
    </row>
    <row r="798" spans="2:9" ht="15.75" x14ac:dyDescent="0.25">
      <c r="B798" s="1365" t="s">
        <v>7169</v>
      </c>
      <c r="C798" s="1013" t="s">
        <v>4410</v>
      </c>
      <c r="D798" s="1013" t="s">
        <v>4642</v>
      </c>
      <c r="E798" s="1014">
        <v>4477</v>
      </c>
      <c r="F798" s="1013" t="s">
        <v>5139</v>
      </c>
      <c r="G798" s="1014" t="s">
        <v>3</v>
      </c>
      <c r="H798" s="1015">
        <v>99831</v>
      </c>
      <c r="I798" s="1016" t="s">
        <v>6899</v>
      </c>
    </row>
    <row r="799" spans="2:9" ht="15.75" x14ac:dyDescent="0.25">
      <c r="B799" s="1365" t="s">
        <v>7169</v>
      </c>
      <c r="C799" s="1013" t="s">
        <v>4799</v>
      </c>
      <c r="D799" s="1013" t="s">
        <v>4800</v>
      </c>
      <c r="E799" s="1014">
        <v>4478</v>
      </c>
      <c r="F799" s="1013" t="s">
        <v>5140</v>
      </c>
      <c r="G799" s="1014" t="s">
        <v>342</v>
      </c>
      <c r="H799" s="1015">
        <v>143160</v>
      </c>
      <c r="I799" s="1016" t="s">
        <v>4398</v>
      </c>
    </row>
    <row r="800" spans="2:9" ht="15.75" x14ac:dyDescent="0.25">
      <c r="B800" s="1365" t="s">
        <v>7169</v>
      </c>
      <c r="C800" s="1013" t="s">
        <v>4799</v>
      </c>
      <c r="D800" s="1013" t="s">
        <v>4800</v>
      </c>
      <c r="E800" s="1014">
        <v>4479</v>
      </c>
      <c r="F800" s="1013" t="s">
        <v>434</v>
      </c>
      <c r="G800" s="1014" t="s">
        <v>202</v>
      </c>
      <c r="H800" s="1015">
        <v>18276</v>
      </c>
      <c r="I800" s="1016" t="s">
        <v>4398</v>
      </c>
    </row>
    <row r="801" spans="2:9" ht="15.75" x14ac:dyDescent="0.25">
      <c r="B801" s="1365" t="s">
        <v>7169</v>
      </c>
      <c r="C801" s="1013" t="s">
        <v>4431</v>
      </c>
      <c r="D801" s="1013" t="s">
        <v>4432</v>
      </c>
      <c r="E801" s="1014">
        <v>4481</v>
      </c>
      <c r="F801" s="1013" t="s">
        <v>435</v>
      </c>
      <c r="G801" s="1014" t="s">
        <v>13</v>
      </c>
      <c r="H801" s="1015">
        <v>312269</v>
      </c>
      <c r="I801" s="1016" t="s">
        <v>6899</v>
      </c>
    </row>
    <row r="802" spans="2:9" ht="15.75" x14ac:dyDescent="0.25">
      <c r="B802" s="1365" t="s">
        <v>7169</v>
      </c>
      <c r="C802" s="1013" t="s">
        <v>4472</v>
      </c>
      <c r="D802" s="1013" t="s">
        <v>4817</v>
      </c>
      <c r="E802" s="1014">
        <v>4485</v>
      </c>
      <c r="F802" s="1013" t="s">
        <v>7173</v>
      </c>
      <c r="G802" s="1014" t="s">
        <v>3</v>
      </c>
      <c r="H802" s="1015">
        <v>1121377</v>
      </c>
      <c r="I802" s="1016" t="s">
        <v>6899</v>
      </c>
    </row>
    <row r="803" spans="2:9" ht="15.75" x14ac:dyDescent="0.25">
      <c r="B803" s="1365" t="s">
        <v>7169</v>
      </c>
      <c r="C803" s="1013" t="s">
        <v>4472</v>
      </c>
      <c r="D803" s="1013" t="s">
        <v>4817</v>
      </c>
      <c r="E803" s="1014">
        <v>4486</v>
      </c>
      <c r="F803" s="1013" t="s">
        <v>7174</v>
      </c>
      <c r="G803" s="1014" t="s">
        <v>3</v>
      </c>
      <c r="H803" s="1015">
        <v>1194982</v>
      </c>
      <c r="I803" s="1016" t="s">
        <v>6899</v>
      </c>
    </row>
    <row r="804" spans="2:9" ht="15.75" x14ac:dyDescent="0.25">
      <c r="B804" s="1365" t="s">
        <v>7169</v>
      </c>
      <c r="C804" s="1013" t="s">
        <v>4410</v>
      </c>
      <c r="D804" s="1013" t="s">
        <v>4642</v>
      </c>
      <c r="E804" s="1014">
        <v>4487</v>
      </c>
      <c r="F804" s="1013" t="s">
        <v>5141</v>
      </c>
      <c r="G804" s="1014" t="s">
        <v>3</v>
      </c>
      <c r="H804" s="1015">
        <v>175309</v>
      </c>
      <c r="I804" s="1016" t="s">
        <v>6899</v>
      </c>
    </row>
    <row r="805" spans="2:9" ht="15.75" x14ac:dyDescent="0.25">
      <c r="B805" s="1365" t="s">
        <v>7169</v>
      </c>
      <c r="C805" s="1013" t="s">
        <v>4410</v>
      </c>
      <c r="D805" s="1013" t="s">
        <v>4642</v>
      </c>
      <c r="E805" s="1014">
        <v>4488</v>
      </c>
      <c r="F805" s="1013" t="s">
        <v>5142</v>
      </c>
      <c r="G805" s="1014" t="s">
        <v>3</v>
      </c>
      <c r="H805" s="1015">
        <v>184591</v>
      </c>
      <c r="I805" s="1016" t="s">
        <v>6899</v>
      </c>
    </row>
    <row r="806" spans="2:9" ht="15.75" x14ac:dyDescent="0.25">
      <c r="B806" s="1365" t="s">
        <v>7169</v>
      </c>
      <c r="C806" s="1013" t="s">
        <v>4410</v>
      </c>
      <c r="D806" s="1013" t="s">
        <v>4642</v>
      </c>
      <c r="E806" s="1014">
        <v>4489</v>
      </c>
      <c r="F806" s="1013" t="s">
        <v>5143</v>
      </c>
      <c r="G806" s="1014" t="s">
        <v>3</v>
      </c>
      <c r="H806" s="1015">
        <v>166027</v>
      </c>
      <c r="I806" s="1016" t="s">
        <v>6899</v>
      </c>
    </row>
    <row r="807" spans="2:9" ht="15.75" x14ac:dyDescent="0.25">
      <c r="B807" s="1365" t="s">
        <v>7169</v>
      </c>
      <c r="C807" s="1013" t="s">
        <v>4791</v>
      </c>
      <c r="D807" s="1013" t="s">
        <v>5144</v>
      </c>
      <c r="E807" s="1014">
        <v>4490</v>
      </c>
      <c r="F807" s="1013" t="s">
        <v>5145</v>
      </c>
      <c r="G807" s="1014" t="s">
        <v>12</v>
      </c>
      <c r="H807" s="1015">
        <v>226064</v>
      </c>
      <c r="I807" s="1016" t="s">
        <v>6899</v>
      </c>
    </row>
    <row r="808" spans="2:9" ht="15.75" x14ac:dyDescent="0.25">
      <c r="B808" s="1365" t="s">
        <v>6897</v>
      </c>
      <c r="C808" s="1013" t="s">
        <v>4791</v>
      </c>
      <c r="D808" s="1013" t="s">
        <v>5144</v>
      </c>
      <c r="E808" s="1014">
        <v>4491</v>
      </c>
      <c r="F808" s="1013" t="s">
        <v>5146</v>
      </c>
      <c r="G808" s="1014" t="s">
        <v>12</v>
      </c>
      <c r="H808" s="1015">
        <v>291543</v>
      </c>
      <c r="I808" s="1016" t="s">
        <v>6899</v>
      </c>
    </row>
    <row r="809" spans="2:9" ht="15.75" x14ac:dyDescent="0.25">
      <c r="B809" s="1365" t="s">
        <v>7169</v>
      </c>
      <c r="C809" s="1013" t="s">
        <v>4791</v>
      </c>
      <c r="D809" s="1013" t="s">
        <v>5144</v>
      </c>
      <c r="E809" s="1014">
        <v>4501</v>
      </c>
      <c r="F809" s="1013" t="s">
        <v>5147</v>
      </c>
      <c r="G809" s="1014" t="s">
        <v>12</v>
      </c>
      <c r="H809" s="1015">
        <v>159088</v>
      </c>
      <c r="I809" s="1016" t="s">
        <v>6899</v>
      </c>
    </row>
    <row r="810" spans="2:9" ht="15.75" x14ac:dyDescent="0.25">
      <c r="B810" s="1365" t="s">
        <v>7169</v>
      </c>
      <c r="C810" s="1013" t="s">
        <v>4791</v>
      </c>
      <c r="D810" s="1013" t="s">
        <v>5144</v>
      </c>
      <c r="E810" s="1014">
        <v>4502</v>
      </c>
      <c r="F810" s="1013" t="s">
        <v>5148</v>
      </c>
      <c r="G810" s="1014" t="s">
        <v>12</v>
      </c>
      <c r="H810" s="1015">
        <v>263673</v>
      </c>
      <c r="I810" s="1016" t="s">
        <v>6899</v>
      </c>
    </row>
    <row r="811" spans="2:9" ht="15.75" x14ac:dyDescent="0.25">
      <c r="B811" s="1365" t="s">
        <v>6897</v>
      </c>
      <c r="C811" s="1013" t="s">
        <v>4791</v>
      </c>
      <c r="D811" s="1013" t="s">
        <v>5144</v>
      </c>
      <c r="E811" s="1014">
        <v>4503</v>
      </c>
      <c r="F811" s="1013" t="s">
        <v>5149</v>
      </c>
      <c r="G811" s="1014" t="s">
        <v>12</v>
      </c>
      <c r="H811" s="1015">
        <v>290620</v>
      </c>
      <c r="I811" s="1016" t="s">
        <v>6899</v>
      </c>
    </row>
    <row r="812" spans="2:9" ht="15.75" x14ac:dyDescent="0.25">
      <c r="B812" s="1365" t="s">
        <v>6897</v>
      </c>
      <c r="C812" s="1013" t="s">
        <v>4791</v>
      </c>
      <c r="D812" s="1013" t="s">
        <v>5144</v>
      </c>
      <c r="E812" s="1014">
        <v>4504</v>
      </c>
      <c r="F812" s="1013" t="s">
        <v>5150</v>
      </c>
      <c r="G812" s="1014" t="s">
        <v>12</v>
      </c>
      <c r="H812" s="1015">
        <v>339248</v>
      </c>
      <c r="I812" s="1016" t="s">
        <v>6899</v>
      </c>
    </row>
    <row r="813" spans="2:9" ht="15.75" x14ac:dyDescent="0.25">
      <c r="B813" s="1365" t="s">
        <v>7169</v>
      </c>
      <c r="C813" s="1013" t="s">
        <v>4791</v>
      </c>
      <c r="D813" s="1013" t="s">
        <v>5151</v>
      </c>
      <c r="E813" s="1014">
        <v>4505</v>
      </c>
      <c r="F813" s="1013" t="s">
        <v>5152</v>
      </c>
      <c r="G813" s="1014" t="s">
        <v>12</v>
      </c>
      <c r="H813" s="1015">
        <v>143070</v>
      </c>
      <c r="I813" s="1016" t="s">
        <v>6899</v>
      </c>
    </row>
    <row r="814" spans="2:9" ht="15.75" x14ac:dyDescent="0.25">
      <c r="B814" s="1365" t="s">
        <v>7169</v>
      </c>
      <c r="C814" s="1013" t="s">
        <v>4791</v>
      </c>
      <c r="D814" s="1013" t="s">
        <v>5151</v>
      </c>
      <c r="E814" s="1014">
        <v>4506</v>
      </c>
      <c r="F814" s="1013" t="s">
        <v>5153</v>
      </c>
      <c r="G814" s="1014" t="s">
        <v>12</v>
      </c>
      <c r="H814" s="1015">
        <v>209716</v>
      </c>
      <c r="I814" s="1016" t="s">
        <v>6899</v>
      </c>
    </row>
    <row r="815" spans="2:9" ht="15.75" x14ac:dyDescent="0.25">
      <c r="B815" s="1365" t="s">
        <v>6897</v>
      </c>
      <c r="C815" s="1013" t="s">
        <v>4791</v>
      </c>
      <c r="D815" s="1013" t="s">
        <v>5151</v>
      </c>
      <c r="E815" s="1014">
        <v>4507</v>
      </c>
      <c r="F815" s="1013" t="s">
        <v>5154</v>
      </c>
      <c r="G815" s="1014" t="s">
        <v>12</v>
      </c>
      <c r="H815" s="1015">
        <v>262881</v>
      </c>
      <c r="I815" s="1016" t="s">
        <v>6899</v>
      </c>
    </row>
    <row r="816" spans="2:9" ht="15.75" x14ac:dyDescent="0.25">
      <c r="B816" s="1365" t="s">
        <v>6897</v>
      </c>
      <c r="C816" s="1013" t="s">
        <v>4791</v>
      </c>
      <c r="D816" s="1013" t="s">
        <v>5151</v>
      </c>
      <c r="E816" s="1014">
        <v>4508</v>
      </c>
      <c r="F816" s="1013" t="s">
        <v>5155</v>
      </c>
      <c r="G816" s="1014" t="s">
        <v>12</v>
      </c>
      <c r="H816" s="1015">
        <v>252537</v>
      </c>
      <c r="I816" s="1016" t="s">
        <v>6899</v>
      </c>
    </row>
    <row r="817" spans="2:9" ht="15.75" x14ac:dyDescent="0.25">
      <c r="B817" s="1365" t="s">
        <v>6897</v>
      </c>
      <c r="C817" s="1013" t="s">
        <v>4791</v>
      </c>
      <c r="D817" s="1013" t="s">
        <v>5151</v>
      </c>
      <c r="E817" s="1014">
        <v>4509</v>
      </c>
      <c r="F817" s="1013" t="s">
        <v>5156</v>
      </c>
      <c r="G817" s="1014" t="s">
        <v>12</v>
      </c>
      <c r="H817" s="1015">
        <v>313508</v>
      </c>
      <c r="I817" s="1016" t="s">
        <v>6899</v>
      </c>
    </row>
    <row r="818" spans="2:9" ht="15.75" x14ac:dyDescent="0.25">
      <c r="B818" s="1365" t="s">
        <v>7169</v>
      </c>
      <c r="C818" s="1013" t="s">
        <v>4791</v>
      </c>
      <c r="D818" s="1013" t="s">
        <v>5151</v>
      </c>
      <c r="E818" s="1014">
        <v>4510</v>
      </c>
      <c r="F818" s="1013" t="s">
        <v>5157</v>
      </c>
      <c r="G818" s="1014" t="s">
        <v>12</v>
      </c>
      <c r="H818" s="1015">
        <v>134730</v>
      </c>
      <c r="I818" s="1016" t="s">
        <v>6899</v>
      </c>
    </row>
    <row r="819" spans="2:9" ht="15.75" x14ac:dyDescent="0.25">
      <c r="B819" s="1365" t="s">
        <v>6897</v>
      </c>
      <c r="C819" s="1013" t="s">
        <v>4791</v>
      </c>
      <c r="D819" s="1013" t="s">
        <v>5151</v>
      </c>
      <c r="E819" s="1014">
        <v>4511</v>
      </c>
      <c r="F819" s="1013" t="s">
        <v>5158</v>
      </c>
      <c r="G819" s="1014" t="s">
        <v>12</v>
      </c>
      <c r="H819" s="1015">
        <v>311828</v>
      </c>
      <c r="I819" s="1016" t="s">
        <v>6899</v>
      </c>
    </row>
    <row r="820" spans="2:9" ht="15.75" x14ac:dyDescent="0.25">
      <c r="B820" s="1365" t="s">
        <v>6897</v>
      </c>
      <c r="C820" s="1013" t="s">
        <v>4791</v>
      </c>
      <c r="D820" s="1013" t="s">
        <v>5151</v>
      </c>
      <c r="E820" s="1014">
        <v>4512</v>
      </c>
      <c r="F820" s="1013" t="s">
        <v>5159</v>
      </c>
      <c r="G820" s="1014" t="s">
        <v>12</v>
      </c>
      <c r="H820" s="1015">
        <v>347439</v>
      </c>
      <c r="I820" s="1016" t="s">
        <v>6899</v>
      </c>
    </row>
    <row r="821" spans="2:9" ht="15.75" x14ac:dyDescent="0.25">
      <c r="B821" s="1365" t="s">
        <v>7169</v>
      </c>
      <c r="C821" s="1013" t="s">
        <v>4410</v>
      </c>
      <c r="D821" s="1013" t="s">
        <v>4642</v>
      </c>
      <c r="E821" s="1014">
        <v>4513</v>
      </c>
      <c r="F821" s="1013" t="s">
        <v>5160</v>
      </c>
      <c r="G821" s="1014" t="s">
        <v>3</v>
      </c>
      <c r="H821" s="1015">
        <v>169121</v>
      </c>
      <c r="I821" s="1016" t="s">
        <v>6899</v>
      </c>
    </row>
    <row r="822" spans="2:9" ht="15.75" x14ac:dyDescent="0.25">
      <c r="B822" s="1365" t="s">
        <v>7169</v>
      </c>
      <c r="C822" s="1013" t="s">
        <v>4791</v>
      </c>
      <c r="D822" s="1013" t="s">
        <v>4792</v>
      </c>
      <c r="E822" s="1014">
        <v>4514</v>
      </c>
      <c r="F822" s="1013" t="s">
        <v>5161</v>
      </c>
      <c r="G822" s="1014" t="s">
        <v>12</v>
      </c>
      <c r="H822" s="1015">
        <v>190211</v>
      </c>
      <c r="I822" s="1016" t="s">
        <v>6899</v>
      </c>
    </row>
    <row r="823" spans="2:9" ht="15.75" x14ac:dyDescent="0.25">
      <c r="B823" s="1365" t="s">
        <v>7169</v>
      </c>
      <c r="C823" s="1013" t="s">
        <v>4791</v>
      </c>
      <c r="D823" s="1013" t="s">
        <v>4792</v>
      </c>
      <c r="E823" s="1014">
        <v>4515</v>
      </c>
      <c r="F823" s="1013" t="s">
        <v>5162</v>
      </c>
      <c r="G823" s="1014" t="s">
        <v>12</v>
      </c>
      <c r="H823" s="1015">
        <v>247538</v>
      </c>
      <c r="I823" s="1016" t="s">
        <v>6899</v>
      </c>
    </row>
    <row r="824" spans="2:9" ht="15.75" x14ac:dyDescent="0.25">
      <c r="B824" s="1365" t="s">
        <v>7169</v>
      </c>
      <c r="C824" s="1013" t="s">
        <v>4791</v>
      </c>
      <c r="D824" s="1013" t="s">
        <v>4792</v>
      </c>
      <c r="E824" s="1014">
        <v>4516</v>
      </c>
      <c r="F824" s="1013" t="s">
        <v>5163</v>
      </c>
      <c r="G824" s="1014" t="s">
        <v>12</v>
      </c>
      <c r="H824" s="1015">
        <v>183447</v>
      </c>
      <c r="I824" s="1016" t="s">
        <v>6899</v>
      </c>
    </row>
    <row r="825" spans="2:9" ht="15.75" x14ac:dyDescent="0.25">
      <c r="B825" s="1365" t="s">
        <v>6897</v>
      </c>
      <c r="C825" s="1013" t="s">
        <v>4791</v>
      </c>
      <c r="D825" s="1013" t="s">
        <v>4792</v>
      </c>
      <c r="E825" s="1014">
        <v>4517</v>
      </c>
      <c r="F825" s="1013" t="s">
        <v>5164</v>
      </c>
      <c r="G825" s="1014" t="s">
        <v>12</v>
      </c>
      <c r="H825" s="1015">
        <v>284558</v>
      </c>
      <c r="I825" s="1016" t="s">
        <v>6899</v>
      </c>
    </row>
    <row r="826" spans="2:9" ht="15.75" x14ac:dyDescent="0.25">
      <c r="B826" s="1365" t="s">
        <v>7169</v>
      </c>
      <c r="C826" s="1013" t="s">
        <v>4791</v>
      </c>
      <c r="D826" s="1013" t="s">
        <v>5165</v>
      </c>
      <c r="E826" s="1014">
        <v>4518</v>
      </c>
      <c r="F826" s="1013" t="s">
        <v>5166</v>
      </c>
      <c r="G826" s="1014" t="s">
        <v>12</v>
      </c>
      <c r="H826" s="1015">
        <v>51320</v>
      </c>
      <c r="I826" s="1016" t="s">
        <v>6899</v>
      </c>
    </row>
    <row r="827" spans="2:9" ht="15.75" x14ac:dyDescent="0.25">
      <c r="B827" s="1365" t="s">
        <v>7169</v>
      </c>
      <c r="C827" s="1013" t="s">
        <v>4791</v>
      </c>
      <c r="D827" s="1013" t="s">
        <v>5165</v>
      </c>
      <c r="E827" s="1014">
        <v>4519</v>
      </c>
      <c r="F827" s="1013" t="s">
        <v>5167</v>
      </c>
      <c r="G827" s="1014" t="s">
        <v>12</v>
      </c>
      <c r="H827" s="1015">
        <v>68904</v>
      </c>
      <c r="I827" s="1016" t="s">
        <v>6899</v>
      </c>
    </row>
    <row r="828" spans="2:9" ht="15.75" x14ac:dyDescent="0.25">
      <c r="B828" s="1365" t="s">
        <v>7169</v>
      </c>
      <c r="C828" s="1013" t="s">
        <v>4791</v>
      </c>
      <c r="D828" s="1013" t="s">
        <v>5165</v>
      </c>
      <c r="E828" s="1014">
        <v>4520</v>
      </c>
      <c r="F828" s="1013" t="s">
        <v>5168</v>
      </c>
      <c r="G828" s="1014" t="s">
        <v>12</v>
      </c>
      <c r="H828" s="1015">
        <v>87470</v>
      </c>
      <c r="I828" s="1016" t="s">
        <v>6899</v>
      </c>
    </row>
    <row r="829" spans="2:9" ht="15.75" x14ac:dyDescent="0.25">
      <c r="B829" s="1365" t="s">
        <v>7169</v>
      </c>
      <c r="C829" s="1013" t="s">
        <v>4791</v>
      </c>
      <c r="D829" s="1013" t="s">
        <v>5165</v>
      </c>
      <c r="E829" s="1014">
        <v>4522</v>
      </c>
      <c r="F829" s="1013" t="s">
        <v>5169</v>
      </c>
      <c r="G829" s="1014" t="s">
        <v>12</v>
      </c>
      <c r="H829" s="1015">
        <v>231622</v>
      </c>
      <c r="I829" s="1016" t="s">
        <v>6899</v>
      </c>
    </row>
    <row r="830" spans="2:9" ht="15.75" x14ac:dyDescent="0.25">
      <c r="B830" s="1365" t="s">
        <v>6897</v>
      </c>
      <c r="C830" s="1013" t="s">
        <v>4791</v>
      </c>
      <c r="D830" s="1013" t="s">
        <v>5165</v>
      </c>
      <c r="E830" s="1014">
        <v>4523</v>
      </c>
      <c r="F830" s="1013" t="s">
        <v>436</v>
      </c>
      <c r="G830" s="1014" t="s">
        <v>12</v>
      </c>
      <c r="H830" s="1015">
        <v>240528</v>
      </c>
      <c r="I830" s="1016" t="s">
        <v>6899</v>
      </c>
    </row>
    <row r="831" spans="2:9" ht="15.75" x14ac:dyDescent="0.25">
      <c r="B831" s="1365" t="s">
        <v>6897</v>
      </c>
      <c r="C831" s="1013" t="s">
        <v>4791</v>
      </c>
      <c r="D831" s="1013" t="s">
        <v>5165</v>
      </c>
      <c r="E831" s="1014">
        <v>4524</v>
      </c>
      <c r="F831" s="1013" t="s">
        <v>437</v>
      </c>
      <c r="G831" s="1014" t="s">
        <v>12</v>
      </c>
      <c r="H831" s="1015">
        <v>247294</v>
      </c>
      <c r="I831" s="1016" t="s">
        <v>6899</v>
      </c>
    </row>
    <row r="832" spans="2:9" ht="15.75" x14ac:dyDescent="0.25">
      <c r="B832" s="1365" t="s">
        <v>7169</v>
      </c>
      <c r="C832" s="1013" t="s">
        <v>4472</v>
      </c>
      <c r="D832" s="1013" t="s">
        <v>4812</v>
      </c>
      <c r="E832" s="1014">
        <v>4525</v>
      </c>
      <c r="F832" s="1013" t="s">
        <v>5170</v>
      </c>
      <c r="G832" s="1014" t="s">
        <v>13</v>
      </c>
      <c r="H832" s="1015">
        <v>6947</v>
      </c>
      <c r="I832" s="1016" t="s">
        <v>6899</v>
      </c>
    </row>
    <row r="833" spans="2:9" ht="15.75" x14ac:dyDescent="0.25">
      <c r="B833" s="1365" t="s">
        <v>7169</v>
      </c>
      <c r="C833" s="1013" t="s">
        <v>4791</v>
      </c>
      <c r="D833" s="1013" t="s">
        <v>5144</v>
      </c>
      <c r="E833" s="1014">
        <v>4541</v>
      </c>
      <c r="F833" s="1013" t="s">
        <v>5171</v>
      </c>
      <c r="G833" s="1014" t="s">
        <v>3</v>
      </c>
      <c r="H833" s="1015">
        <v>1295310</v>
      </c>
      <c r="I833" s="1016" t="s">
        <v>6899</v>
      </c>
    </row>
    <row r="834" spans="2:9" ht="15.75" x14ac:dyDescent="0.25">
      <c r="B834" s="1365" t="s">
        <v>7169</v>
      </c>
      <c r="C834" s="1013" t="s">
        <v>4791</v>
      </c>
      <c r="D834" s="1013" t="s">
        <v>5144</v>
      </c>
      <c r="E834" s="1014">
        <v>4542</v>
      </c>
      <c r="F834" s="1013" t="s">
        <v>5172</v>
      </c>
      <c r="G834" s="1014" t="s">
        <v>3</v>
      </c>
      <c r="H834" s="1015">
        <v>1295298</v>
      </c>
      <c r="I834" s="1016" t="s">
        <v>6899</v>
      </c>
    </row>
    <row r="835" spans="2:9" ht="15.75" x14ac:dyDescent="0.25">
      <c r="B835" s="1365" t="s">
        <v>7169</v>
      </c>
      <c r="C835" s="1013" t="s">
        <v>4417</v>
      </c>
      <c r="D835" s="1013" t="s">
        <v>4418</v>
      </c>
      <c r="E835" s="1014">
        <v>4543</v>
      </c>
      <c r="F835" s="1013" t="s">
        <v>5173</v>
      </c>
      <c r="G835" s="1014" t="s">
        <v>13</v>
      </c>
      <c r="H835" s="1015">
        <v>62351</v>
      </c>
      <c r="I835" s="1016" t="s">
        <v>6899</v>
      </c>
    </row>
    <row r="836" spans="2:9" ht="15.75" x14ac:dyDescent="0.25">
      <c r="B836" s="1365" t="s">
        <v>7169</v>
      </c>
      <c r="C836" s="1013" t="s">
        <v>4417</v>
      </c>
      <c r="D836" s="1013" t="s">
        <v>4418</v>
      </c>
      <c r="E836" s="1014">
        <v>4544</v>
      </c>
      <c r="F836" s="1013" t="s">
        <v>5174</v>
      </c>
      <c r="G836" s="1014" t="s">
        <v>13</v>
      </c>
      <c r="H836" s="1015">
        <v>63691</v>
      </c>
      <c r="I836" s="1016" t="s">
        <v>6899</v>
      </c>
    </row>
    <row r="837" spans="2:9" ht="15.75" x14ac:dyDescent="0.25">
      <c r="B837" s="1365" t="s">
        <v>7169</v>
      </c>
      <c r="C837" s="1013" t="s">
        <v>4417</v>
      </c>
      <c r="D837" s="1013" t="s">
        <v>4418</v>
      </c>
      <c r="E837" s="1014">
        <v>4545</v>
      </c>
      <c r="F837" s="1013" t="s">
        <v>5175</v>
      </c>
      <c r="G837" s="1014" t="s">
        <v>13</v>
      </c>
      <c r="H837" s="1015">
        <v>60022</v>
      </c>
      <c r="I837" s="1016" t="s">
        <v>6899</v>
      </c>
    </row>
    <row r="838" spans="2:9" ht="15.75" x14ac:dyDescent="0.25">
      <c r="B838" s="1365" t="s">
        <v>7169</v>
      </c>
      <c r="C838" s="1013" t="s">
        <v>4420</v>
      </c>
      <c r="D838" s="1013" t="s">
        <v>4420</v>
      </c>
      <c r="E838" s="1014">
        <v>4549</v>
      </c>
      <c r="F838" s="1013" t="s">
        <v>438</v>
      </c>
      <c r="G838" s="1014" t="s">
        <v>266</v>
      </c>
      <c r="H838" s="1015">
        <v>7363003</v>
      </c>
      <c r="I838" s="1016" t="s">
        <v>6899</v>
      </c>
    </row>
    <row r="839" spans="2:9" ht="15.75" x14ac:dyDescent="0.25">
      <c r="B839" s="1365" t="s">
        <v>7169</v>
      </c>
      <c r="C839" s="1013" t="s">
        <v>4420</v>
      </c>
      <c r="D839" s="1013" t="s">
        <v>4420</v>
      </c>
      <c r="E839" s="1014">
        <v>4550</v>
      </c>
      <c r="F839" s="1013" t="s">
        <v>439</v>
      </c>
      <c r="G839" s="1014" t="s">
        <v>266</v>
      </c>
      <c r="H839" s="1015">
        <v>5202660</v>
      </c>
      <c r="I839" s="1016" t="s">
        <v>6899</v>
      </c>
    </row>
    <row r="840" spans="2:9" ht="15.75" x14ac:dyDescent="0.25">
      <c r="B840" s="1365" t="s">
        <v>7169</v>
      </c>
      <c r="C840" s="1013" t="s">
        <v>4420</v>
      </c>
      <c r="D840" s="1013" t="s">
        <v>4420</v>
      </c>
      <c r="E840" s="1014">
        <v>4551</v>
      </c>
      <c r="F840" s="1013" t="s">
        <v>440</v>
      </c>
      <c r="G840" s="1014" t="s">
        <v>266</v>
      </c>
      <c r="H840" s="1015">
        <v>5796779</v>
      </c>
      <c r="I840" s="1016" t="s">
        <v>6899</v>
      </c>
    </row>
    <row r="841" spans="2:9" ht="15.75" x14ac:dyDescent="0.25">
      <c r="B841" s="1365" t="s">
        <v>7169</v>
      </c>
      <c r="C841" s="1013" t="s">
        <v>4420</v>
      </c>
      <c r="D841" s="1013" t="s">
        <v>4420</v>
      </c>
      <c r="E841" s="1014">
        <v>4553</v>
      </c>
      <c r="F841" s="1013" t="s">
        <v>441</v>
      </c>
      <c r="G841" s="1014" t="s">
        <v>266</v>
      </c>
      <c r="H841" s="1015">
        <v>3800289</v>
      </c>
      <c r="I841" s="1016" t="s">
        <v>6899</v>
      </c>
    </row>
    <row r="842" spans="2:9" ht="15.75" x14ac:dyDescent="0.25">
      <c r="B842" s="1365" t="s">
        <v>7169</v>
      </c>
      <c r="C842" s="1013" t="s">
        <v>4472</v>
      </c>
      <c r="D842" s="1013" t="s">
        <v>4473</v>
      </c>
      <c r="E842" s="1014">
        <v>4555</v>
      </c>
      <c r="F842" s="1013" t="s">
        <v>442</v>
      </c>
      <c r="G842" s="1014" t="s">
        <v>3</v>
      </c>
      <c r="H842" s="1015">
        <v>913050</v>
      </c>
      <c r="I842" s="1016" t="s">
        <v>6899</v>
      </c>
    </row>
    <row r="843" spans="2:9" ht="15.75" x14ac:dyDescent="0.25">
      <c r="B843" s="1365" t="s">
        <v>7169</v>
      </c>
      <c r="C843" s="1013" t="s">
        <v>4410</v>
      </c>
      <c r="D843" s="1013" t="s">
        <v>4642</v>
      </c>
      <c r="E843" s="1014">
        <v>4556</v>
      </c>
      <c r="F843" s="1013" t="s">
        <v>5176</v>
      </c>
      <c r="G843" s="1014" t="s">
        <v>3</v>
      </c>
      <c r="H843" s="1015">
        <v>159839</v>
      </c>
      <c r="I843" s="1016" t="s">
        <v>6899</v>
      </c>
    </row>
    <row r="844" spans="2:9" ht="15.75" x14ac:dyDescent="0.25">
      <c r="B844" s="1365" t="s">
        <v>7169</v>
      </c>
      <c r="C844" s="1013" t="s">
        <v>4410</v>
      </c>
      <c r="D844" s="1013" t="s">
        <v>4642</v>
      </c>
      <c r="E844" s="1014">
        <v>4557</v>
      </c>
      <c r="F844" s="1013" t="s">
        <v>5177</v>
      </c>
      <c r="G844" s="1014" t="s">
        <v>3</v>
      </c>
      <c r="H844" s="1015">
        <v>156745</v>
      </c>
      <c r="I844" s="1016" t="s">
        <v>6899</v>
      </c>
    </row>
    <row r="845" spans="2:9" ht="15.75" x14ac:dyDescent="0.25">
      <c r="B845" s="1365" t="s">
        <v>7169</v>
      </c>
      <c r="C845" s="1013" t="s">
        <v>4420</v>
      </c>
      <c r="D845" s="1013" t="s">
        <v>4420</v>
      </c>
      <c r="E845" s="1014">
        <v>4558</v>
      </c>
      <c r="F845" s="1013" t="s">
        <v>443</v>
      </c>
      <c r="G845" s="1014" t="s">
        <v>266</v>
      </c>
      <c r="H845" s="1015">
        <v>7365963</v>
      </c>
      <c r="I845" s="1016" t="s">
        <v>6899</v>
      </c>
    </row>
    <row r="846" spans="2:9" ht="15.75" x14ac:dyDescent="0.25">
      <c r="B846" s="1365" t="s">
        <v>7169</v>
      </c>
      <c r="C846" s="1013" t="s">
        <v>4468</v>
      </c>
      <c r="D846" s="1013" t="s">
        <v>4650</v>
      </c>
      <c r="E846" s="1014">
        <v>4559</v>
      </c>
      <c r="F846" s="1013" t="s">
        <v>5178</v>
      </c>
      <c r="G846" s="1014" t="s">
        <v>3</v>
      </c>
      <c r="H846" s="1015">
        <v>414200</v>
      </c>
      <c r="I846" s="1016" t="s">
        <v>6899</v>
      </c>
    </row>
    <row r="847" spans="2:9" ht="15.75" x14ac:dyDescent="0.25">
      <c r="B847" s="1365" t="s">
        <v>7169</v>
      </c>
      <c r="C847" s="1013" t="s">
        <v>4468</v>
      </c>
      <c r="D847" s="1013" t="s">
        <v>4650</v>
      </c>
      <c r="E847" s="1014">
        <v>4560</v>
      </c>
      <c r="F847" s="1013" t="s">
        <v>5179</v>
      </c>
      <c r="G847" s="1014" t="s">
        <v>3</v>
      </c>
      <c r="H847" s="1015">
        <v>450774</v>
      </c>
      <c r="I847" s="1016" t="s">
        <v>6899</v>
      </c>
    </row>
    <row r="848" spans="2:9" ht="15.75" x14ac:dyDescent="0.25">
      <c r="B848" s="1365" t="s">
        <v>7169</v>
      </c>
      <c r="C848" s="1013" t="s">
        <v>4468</v>
      </c>
      <c r="D848" s="1013" t="s">
        <v>4650</v>
      </c>
      <c r="E848" s="1014">
        <v>4561</v>
      </c>
      <c r="F848" s="1013" t="s">
        <v>5180</v>
      </c>
      <c r="G848" s="1014" t="s">
        <v>3</v>
      </c>
      <c r="H848" s="1015">
        <v>526524</v>
      </c>
      <c r="I848" s="1016" t="s">
        <v>6899</v>
      </c>
    </row>
    <row r="849" spans="2:9" ht="15.75" x14ac:dyDescent="0.25">
      <c r="B849" s="1365" t="s">
        <v>7169</v>
      </c>
      <c r="C849" s="1013" t="s">
        <v>4410</v>
      </c>
      <c r="D849" s="1013" t="s">
        <v>4415</v>
      </c>
      <c r="E849" s="1014">
        <v>4562</v>
      </c>
      <c r="F849" s="1013" t="s">
        <v>5181</v>
      </c>
      <c r="G849" s="1014" t="s">
        <v>3</v>
      </c>
      <c r="H849" s="1015">
        <v>133540</v>
      </c>
      <c r="I849" s="1016" t="s">
        <v>6899</v>
      </c>
    </row>
    <row r="850" spans="2:9" ht="15.75" x14ac:dyDescent="0.25">
      <c r="B850" s="1365" t="s">
        <v>7169</v>
      </c>
      <c r="C850" s="1013" t="s">
        <v>4410</v>
      </c>
      <c r="D850" s="1013" t="s">
        <v>4415</v>
      </c>
      <c r="E850" s="1014">
        <v>4563</v>
      </c>
      <c r="F850" s="1013" t="s">
        <v>5182</v>
      </c>
      <c r="G850" s="1014" t="s">
        <v>3</v>
      </c>
      <c r="H850" s="1015">
        <v>97959</v>
      </c>
      <c r="I850" s="1016" t="s">
        <v>6899</v>
      </c>
    </row>
    <row r="851" spans="2:9" ht="15.75" x14ac:dyDescent="0.25">
      <c r="B851" s="1365" t="s">
        <v>7169</v>
      </c>
      <c r="C851" s="1013" t="s">
        <v>4468</v>
      </c>
      <c r="D851" s="1013" t="s">
        <v>4650</v>
      </c>
      <c r="E851" s="1014">
        <v>4564</v>
      </c>
      <c r="F851" s="1013" t="s">
        <v>5183</v>
      </c>
      <c r="G851" s="1014" t="s">
        <v>3</v>
      </c>
      <c r="H851" s="1015">
        <v>460606</v>
      </c>
      <c r="I851" s="1016" t="s">
        <v>6899</v>
      </c>
    </row>
    <row r="852" spans="2:9" ht="15.75" x14ac:dyDescent="0.25">
      <c r="B852" s="1365" t="s">
        <v>7169</v>
      </c>
      <c r="C852" s="1013" t="s">
        <v>4468</v>
      </c>
      <c r="D852" s="1013" t="s">
        <v>4650</v>
      </c>
      <c r="E852" s="1014">
        <v>4565</v>
      </c>
      <c r="F852" s="1013" t="s">
        <v>5184</v>
      </c>
      <c r="G852" s="1014" t="s">
        <v>3</v>
      </c>
      <c r="H852" s="1015">
        <v>525950</v>
      </c>
      <c r="I852" s="1016" t="s">
        <v>6899</v>
      </c>
    </row>
    <row r="853" spans="2:9" ht="15.75" x14ac:dyDescent="0.25">
      <c r="B853" s="1365" t="s">
        <v>7169</v>
      </c>
      <c r="C853" s="1013" t="s">
        <v>4468</v>
      </c>
      <c r="D853" s="1013" t="s">
        <v>4650</v>
      </c>
      <c r="E853" s="1014">
        <v>4566</v>
      </c>
      <c r="F853" s="1013" t="s">
        <v>5185</v>
      </c>
      <c r="G853" s="1014" t="s">
        <v>3</v>
      </c>
      <c r="H853" s="1015">
        <v>542030</v>
      </c>
      <c r="I853" s="1016" t="s">
        <v>6899</v>
      </c>
    </row>
    <row r="854" spans="2:9" ht="15.75" x14ac:dyDescent="0.25">
      <c r="B854" s="1365" t="s">
        <v>7169</v>
      </c>
      <c r="C854" s="1013" t="s">
        <v>4472</v>
      </c>
      <c r="D854" s="1013" t="s">
        <v>4817</v>
      </c>
      <c r="E854" s="1014">
        <v>4567</v>
      </c>
      <c r="F854" s="1013" t="s">
        <v>7175</v>
      </c>
      <c r="G854" s="1014" t="s">
        <v>3</v>
      </c>
      <c r="H854" s="1015">
        <v>1134105</v>
      </c>
      <c r="I854" s="1016" t="s">
        <v>6899</v>
      </c>
    </row>
    <row r="855" spans="2:9" ht="15.75" x14ac:dyDescent="0.25">
      <c r="B855" s="1365" t="s">
        <v>7169</v>
      </c>
      <c r="C855" s="1013" t="s">
        <v>4472</v>
      </c>
      <c r="D855" s="1013" t="s">
        <v>4817</v>
      </c>
      <c r="E855" s="1014">
        <v>4568</v>
      </c>
      <c r="F855" s="1013" t="s">
        <v>5186</v>
      </c>
      <c r="G855" s="1014" t="s">
        <v>3</v>
      </c>
      <c r="H855" s="1015">
        <v>1134105</v>
      </c>
      <c r="I855" s="1016" t="s">
        <v>6899</v>
      </c>
    </row>
    <row r="856" spans="2:9" ht="15.75" x14ac:dyDescent="0.25">
      <c r="B856" s="1365" t="s">
        <v>7169</v>
      </c>
      <c r="C856" s="1013" t="s">
        <v>4454</v>
      </c>
      <c r="D856" s="1013" t="s">
        <v>4455</v>
      </c>
      <c r="E856" s="1014">
        <v>4569</v>
      </c>
      <c r="F856" s="1013" t="s">
        <v>5187</v>
      </c>
      <c r="G856" s="1014" t="s">
        <v>266</v>
      </c>
      <c r="H856" s="1015">
        <v>10701</v>
      </c>
      <c r="I856" s="1016" t="s">
        <v>6899</v>
      </c>
    </row>
    <row r="857" spans="2:9" ht="15.75" x14ac:dyDescent="0.25">
      <c r="B857" s="1365" t="s">
        <v>6897</v>
      </c>
      <c r="C857" s="1013" t="s">
        <v>5188</v>
      </c>
      <c r="D857" s="1013" t="s">
        <v>5189</v>
      </c>
      <c r="E857" s="1014">
        <v>4575</v>
      </c>
      <c r="F857" s="1013" t="s">
        <v>444</v>
      </c>
      <c r="G857" s="1014" t="s">
        <v>12</v>
      </c>
      <c r="H857" s="1015">
        <v>203045</v>
      </c>
      <c r="I857" s="1016" t="s">
        <v>6899</v>
      </c>
    </row>
    <row r="858" spans="2:9" ht="15.75" x14ac:dyDescent="0.25">
      <c r="B858" s="1365" t="s">
        <v>6897</v>
      </c>
      <c r="C858" s="1013" t="s">
        <v>5188</v>
      </c>
      <c r="D858" s="1013" t="s">
        <v>5189</v>
      </c>
      <c r="E858" s="1014">
        <v>4576</v>
      </c>
      <c r="F858" s="1013" t="s">
        <v>445</v>
      </c>
      <c r="G858" s="1014" t="s">
        <v>12</v>
      </c>
      <c r="H858" s="1015">
        <v>201624</v>
      </c>
      <c r="I858" s="1016" t="s">
        <v>6899</v>
      </c>
    </row>
    <row r="859" spans="2:9" ht="15.75" x14ac:dyDescent="0.25">
      <c r="B859" s="1365" t="s">
        <v>6897</v>
      </c>
      <c r="C859" s="1013" t="s">
        <v>5188</v>
      </c>
      <c r="D859" s="1013" t="s">
        <v>5190</v>
      </c>
      <c r="E859" s="1014">
        <v>4577</v>
      </c>
      <c r="F859" s="1013" t="s">
        <v>446</v>
      </c>
      <c r="G859" s="1014" t="s">
        <v>12</v>
      </c>
      <c r="H859" s="1015">
        <v>168381</v>
      </c>
      <c r="I859" s="1016" t="s">
        <v>6899</v>
      </c>
    </row>
    <row r="860" spans="2:9" ht="15.75" x14ac:dyDescent="0.25">
      <c r="B860" s="1365" t="s">
        <v>7169</v>
      </c>
      <c r="C860" s="1013" t="s">
        <v>5188</v>
      </c>
      <c r="D860" s="1013" t="s">
        <v>5189</v>
      </c>
      <c r="E860" s="1014">
        <v>4578</v>
      </c>
      <c r="F860" s="1013" t="s">
        <v>447</v>
      </c>
      <c r="G860" s="1014" t="s">
        <v>13</v>
      </c>
      <c r="H860" s="1015">
        <v>92521</v>
      </c>
      <c r="I860" s="1016" t="s">
        <v>6899</v>
      </c>
    </row>
    <row r="861" spans="2:9" ht="15.75" x14ac:dyDescent="0.25">
      <c r="B861" s="1365" t="s">
        <v>6897</v>
      </c>
      <c r="C861" s="1013" t="s">
        <v>5188</v>
      </c>
      <c r="D861" s="1013" t="s">
        <v>5191</v>
      </c>
      <c r="E861" s="1014">
        <v>4579</v>
      </c>
      <c r="F861" s="1013" t="s">
        <v>448</v>
      </c>
      <c r="G861" s="1014" t="s">
        <v>12</v>
      </c>
      <c r="H861" s="1015">
        <v>159676</v>
      </c>
      <c r="I861" s="1016" t="s">
        <v>6899</v>
      </c>
    </row>
    <row r="862" spans="2:9" ht="15.75" x14ac:dyDescent="0.25">
      <c r="B862" s="1365" t="s">
        <v>7169</v>
      </c>
      <c r="C862" s="1013" t="s">
        <v>4417</v>
      </c>
      <c r="D862" s="1013" t="s">
        <v>4438</v>
      </c>
      <c r="E862" s="1014">
        <v>4581</v>
      </c>
      <c r="F862" s="1013" t="s">
        <v>449</v>
      </c>
      <c r="G862" s="1014" t="s">
        <v>12</v>
      </c>
      <c r="H862" s="1015">
        <v>2697</v>
      </c>
      <c r="I862" s="1016" t="s">
        <v>4398</v>
      </c>
    </row>
    <row r="863" spans="2:9" ht="15.75" x14ac:dyDescent="0.25">
      <c r="B863" s="1365" t="s">
        <v>6897</v>
      </c>
      <c r="C863" s="1013" t="s">
        <v>5188</v>
      </c>
      <c r="D863" s="1013" t="s">
        <v>5189</v>
      </c>
      <c r="E863" s="1014">
        <v>4582</v>
      </c>
      <c r="F863" s="1013" t="s">
        <v>450</v>
      </c>
      <c r="G863" s="1014" t="s">
        <v>12</v>
      </c>
      <c r="H863" s="1015">
        <v>141779</v>
      </c>
      <c r="I863" s="1016" t="s">
        <v>6899</v>
      </c>
    </row>
    <row r="864" spans="2:9" ht="15.75" x14ac:dyDescent="0.25">
      <c r="B864" s="1365" t="s">
        <v>6897</v>
      </c>
      <c r="C864" s="1013" t="s">
        <v>5188</v>
      </c>
      <c r="D864" s="1013" t="s">
        <v>5189</v>
      </c>
      <c r="E864" s="1014">
        <v>4583</v>
      </c>
      <c r="F864" s="1013" t="s">
        <v>5192</v>
      </c>
      <c r="G864" s="1014" t="s">
        <v>12</v>
      </c>
      <c r="H864" s="1015">
        <v>29616</v>
      </c>
      <c r="I864" s="1016" t="s">
        <v>6899</v>
      </c>
    </row>
    <row r="865" spans="2:9" ht="15.75" x14ac:dyDescent="0.25">
      <c r="B865" s="1365" t="s">
        <v>6897</v>
      </c>
      <c r="C865" s="1013" t="s">
        <v>5188</v>
      </c>
      <c r="D865" s="1013" t="s">
        <v>5190</v>
      </c>
      <c r="E865" s="1014">
        <v>4584</v>
      </c>
      <c r="F865" s="1013" t="s">
        <v>451</v>
      </c>
      <c r="G865" s="1014" t="s">
        <v>12</v>
      </c>
      <c r="H865" s="1015">
        <v>110348</v>
      </c>
      <c r="I865" s="1016" t="s">
        <v>6899</v>
      </c>
    </row>
    <row r="866" spans="2:9" ht="15.75" x14ac:dyDescent="0.25">
      <c r="B866" s="1365" t="s">
        <v>6897</v>
      </c>
      <c r="C866" s="1013" t="s">
        <v>5193</v>
      </c>
      <c r="D866" s="1013" t="s">
        <v>5193</v>
      </c>
      <c r="E866" s="1014">
        <v>4585</v>
      </c>
      <c r="F866" s="1013" t="s">
        <v>5194</v>
      </c>
      <c r="G866" s="1014" t="s">
        <v>12</v>
      </c>
      <c r="H866" s="1015">
        <v>242571</v>
      </c>
      <c r="I866" s="1016" t="s">
        <v>6899</v>
      </c>
    </row>
    <row r="867" spans="2:9" ht="15.75" x14ac:dyDescent="0.25">
      <c r="B867" s="1365" t="s">
        <v>6897</v>
      </c>
      <c r="C867" s="1013" t="s">
        <v>4791</v>
      </c>
      <c r="D867" s="1013" t="s">
        <v>5165</v>
      </c>
      <c r="E867" s="1014">
        <v>4586</v>
      </c>
      <c r="F867" s="1013" t="s">
        <v>452</v>
      </c>
      <c r="G867" s="1014" t="s">
        <v>12</v>
      </c>
      <c r="H867" s="1015">
        <v>124126</v>
      </c>
      <c r="I867" s="1016" t="s">
        <v>6899</v>
      </c>
    </row>
    <row r="868" spans="2:9" ht="15.75" x14ac:dyDescent="0.25">
      <c r="B868" s="1365" t="s">
        <v>7169</v>
      </c>
      <c r="C868" s="1013" t="s">
        <v>5188</v>
      </c>
      <c r="D868" s="1013" t="s">
        <v>5195</v>
      </c>
      <c r="E868" s="1014">
        <v>4588</v>
      </c>
      <c r="F868" s="1013" t="s">
        <v>5196</v>
      </c>
      <c r="G868" s="1014" t="s">
        <v>12</v>
      </c>
      <c r="H868" s="1015">
        <v>430222</v>
      </c>
      <c r="I868" s="1016" t="s">
        <v>6899</v>
      </c>
    </row>
    <row r="869" spans="2:9" ht="15.75" x14ac:dyDescent="0.25">
      <c r="B869" s="1365" t="s">
        <v>6897</v>
      </c>
      <c r="C869" s="1013" t="s">
        <v>5188</v>
      </c>
      <c r="D869" s="1013" t="s">
        <v>5189</v>
      </c>
      <c r="E869" s="1014">
        <v>4589</v>
      </c>
      <c r="F869" s="1013" t="s">
        <v>453</v>
      </c>
      <c r="G869" s="1014" t="s">
        <v>12</v>
      </c>
      <c r="H869" s="1015">
        <v>2160</v>
      </c>
      <c r="I869" s="1016" t="s">
        <v>6899</v>
      </c>
    </row>
    <row r="870" spans="2:9" ht="15.75" x14ac:dyDescent="0.25">
      <c r="B870" s="1365" t="s">
        <v>7169</v>
      </c>
      <c r="C870" s="1013" t="s">
        <v>4417</v>
      </c>
      <c r="D870" s="1013" t="s">
        <v>4438</v>
      </c>
      <c r="E870" s="1014">
        <v>4592</v>
      </c>
      <c r="F870" s="1013" t="s">
        <v>454</v>
      </c>
      <c r="G870" s="1014" t="s">
        <v>12</v>
      </c>
      <c r="H870" s="1015">
        <v>1648</v>
      </c>
      <c r="I870" s="1016" t="s">
        <v>4398</v>
      </c>
    </row>
    <row r="871" spans="2:9" ht="15.75" x14ac:dyDescent="0.25">
      <c r="B871" s="1365" t="s">
        <v>7169</v>
      </c>
      <c r="C871" s="1013" t="s">
        <v>4472</v>
      </c>
      <c r="D871" s="1013" t="s">
        <v>4985</v>
      </c>
      <c r="E871" s="1014">
        <v>4593</v>
      </c>
      <c r="F871" s="1013" t="s">
        <v>5197</v>
      </c>
      <c r="G871" s="1014" t="s">
        <v>12</v>
      </c>
      <c r="H871" s="1015">
        <v>100840</v>
      </c>
      <c r="I871" s="1016" t="s">
        <v>6899</v>
      </c>
    </row>
    <row r="872" spans="2:9" ht="15.75" x14ac:dyDescent="0.25">
      <c r="B872" s="1365" t="s">
        <v>6897</v>
      </c>
      <c r="C872" s="1013" t="s">
        <v>5188</v>
      </c>
      <c r="D872" s="1013" t="s">
        <v>5189</v>
      </c>
      <c r="E872" s="1014">
        <v>4594</v>
      </c>
      <c r="F872" s="1013" t="s">
        <v>455</v>
      </c>
      <c r="G872" s="1014" t="s">
        <v>12</v>
      </c>
      <c r="H872" s="1015">
        <v>138719</v>
      </c>
      <c r="I872" s="1016" t="s">
        <v>6899</v>
      </c>
    </row>
    <row r="873" spans="2:9" ht="15.75" x14ac:dyDescent="0.25">
      <c r="B873" s="1365" t="s">
        <v>6897</v>
      </c>
      <c r="C873" s="1013" t="s">
        <v>5188</v>
      </c>
      <c r="D873" s="1013" t="s">
        <v>5189</v>
      </c>
      <c r="E873" s="1014">
        <v>4595</v>
      </c>
      <c r="F873" s="1013" t="s">
        <v>5198</v>
      </c>
      <c r="G873" s="1014" t="s">
        <v>12</v>
      </c>
      <c r="H873" s="1015">
        <v>107934</v>
      </c>
      <c r="I873" s="1016" t="s">
        <v>6899</v>
      </c>
    </row>
    <row r="874" spans="2:9" ht="15.75" x14ac:dyDescent="0.25">
      <c r="B874" s="1365" t="s">
        <v>6897</v>
      </c>
      <c r="C874" s="1013" t="s">
        <v>5188</v>
      </c>
      <c r="D874" s="1013" t="s">
        <v>5189</v>
      </c>
      <c r="E874" s="1014">
        <v>4596</v>
      </c>
      <c r="F874" s="1013" t="s">
        <v>456</v>
      </c>
      <c r="G874" s="1014" t="s">
        <v>12</v>
      </c>
      <c r="H874" s="1015">
        <v>83548</v>
      </c>
      <c r="I874" s="1016" t="s">
        <v>6899</v>
      </c>
    </row>
    <row r="875" spans="2:9" ht="15.75" x14ac:dyDescent="0.25">
      <c r="B875" s="1365" t="s">
        <v>6897</v>
      </c>
      <c r="C875" s="1013" t="s">
        <v>5188</v>
      </c>
      <c r="D875" s="1013" t="s">
        <v>5190</v>
      </c>
      <c r="E875" s="1014">
        <v>4597</v>
      </c>
      <c r="F875" s="1013" t="s">
        <v>457</v>
      </c>
      <c r="G875" s="1014" t="s">
        <v>12</v>
      </c>
      <c r="H875" s="1015">
        <v>17028</v>
      </c>
      <c r="I875" s="1016" t="s">
        <v>6899</v>
      </c>
    </row>
    <row r="876" spans="2:9" ht="15.75" x14ac:dyDescent="0.25">
      <c r="B876" s="1365" t="s">
        <v>7169</v>
      </c>
      <c r="C876" s="1013" t="s">
        <v>4799</v>
      </c>
      <c r="D876" s="1013" t="s">
        <v>5199</v>
      </c>
      <c r="E876" s="1014">
        <v>4598</v>
      </c>
      <c r="F876" s="1013" t="s">
        <v>458</v>
      </c>
      <c r="G876" s="1014" t="s">
        <v>13</v>
      </c>
      <c r="H876" s="1015">
        <v>9716</v>
      </c>
      <c r="I876" s="1016" t="s">
        <v>6899</v>
      </c>
    </row>
    <row r="877" spans="2:9" ht="15.75" x14ac:dyDescent="0.25">
      <c r="B877" s="1365" t="s">
        <v>7169</v>
      </c>
      <c r="C877" s="1013" t="s">
        <v>4799</v>
      </c>
      <c r="D877" s="1013" t="s">
        <v>5199</v>
      </c>
      <c r="E877" s="1014">
        <v>4599</v>
      </c>
      <c r="F877" s="1013" t="s">
        <v>459</v>
      </c>
      <c r="G877" s="1014" t="s">
        <v>12</v>
      </c>
      <c r="H877" s="1015">
        <v>58110</v>
      </c>
      <c r="I877" s="1016" t="s">
        <v>6899</v>
      </c>
    </row>
    <row r="878" spans="2:9" ht="15.75" x14ac:dyDescent="0.25">
      <c r="B878" s="1365" t="s">
        <v>7169</v>
      </c>
      <c r="C878" s="1013" t="s">
        <v>4799</v>
      </c>
      <c r="D878" s="1013" t="s">
        <v>5199</v>
      </c>
      <c r="E878" s="1014">
        <v>4600</v>
      </c>
      <c r="F878" s="1013" t="s">
        <v>460</v>
      </c>
      <c r="G878" s="1014" t="s">
        <v>12</v>
      </c>
      <c r="H878" s="1015">
        <v>128072</v>
      </c>
      <c r="I878" s="1016" t="s">
        <v>6899</v>
      </c>
    </row>
    <row r="879" spans="2:9" ht="15.75" x14ac:dyDescent="0.25">
      <c r="B879" s="1365" t="s">
        <v>7169</v>
      </c>
      <c r="C879" s="1013" t="s">
        <v>4799</v>
      </c>
      <c r="D879" s="1013" t="s">
        <v>5199</v>
      </c>
      <c r="E879" s="1014">
        <v>4601</v>
      </c>
      <c r="F879" s="1013" t="s">
        <v>5200</v>
      </c>
      <c r="G879" s="1014" t="s">
        <v>12</v>
      </c>
      <c r="H879" s="1015">
        <v>58150</v>
      </c>
      <c r="I879" s="1016" t="s">
        <v>6899</v>
      </c>
    </row>
    <row r="880" spans="2:9" ht="15.75" x14ac:dyDescent="0.25">
      <c r="B880" s="1365" t="s">
        <v>7169</v>
      </c>
      <c r="C880" s="1013" t="s">
        <v>4799</v>
      </c>
      <c r="D880" s="1013" t="s">
        <v>5199</v>
      </c>
      <c r="E880" s="1014">
        <v>4602</v>
      </c>
      <c r="F880" s="1013" t="s">
        <v>461</v>
      </c>
      <c r="G880" s="1014" t="s">
        <v>12</v>
      </c>
      <c r="H880" s="1015">
        <v>151312</v>
      </c>
      <c r="I880" s="1016" t="s">
        <v>6899</v>
      </c>
    </row>
    <row r="881" spans="2:9" ht="15.75" x14ac:dyDescent="0.25">
      <c r="B881" s="1365" t="s">
        <v>6897</v>
      </c>
      <c r="C881" s="1013" t="s">
        <v>4799</v>
      </c>
      <c r="D881" s="1013" t="s">
        <v>5199</v>
      </c>
      <c r="E881" s="1014">
        <v>4603</v>
      </c>
      <c r="F881" s="1013" t="s">
        <v>462</v>
      </c>
      <c r="G881" s="1014" t="s">
        <v>12</v>
      </c>
      <c r="H881" s="1015">
        <v>1698</v>
      </c>
      <c r="I881" s="1016" t="s">
        <v>6899</v>
      </c>
    </row>
    <row r="882" spans="2:9" ht="15.75" x14ac:dyDescent="0.25">
      <c r="B882" s="1365" t="s">
        <v>7169</v>
      </c>
      <c r="C882" s="1013" t="s">
        <v>4396</v>
      </c>
      <c r="D882" s="1013" t="s">
        <v>4397</v>
      </c>
      <c r="E882" s="1014">
        <v>4604</v>
      </c>
      <c r="F882" s="1013" t="s">
        <v>5201</v>
      </c>
      <c r="G882" s="1014" t="s">
        <v>12</v>
      </c>
      <c r="H882" s="1015">
        <v>6636</v>
      </c>
      <c r="I882" s="1016" t="s">
        <v>6899</v>
      </c>
    </row>
    <row r="883" spans="2:9" ht="15.75" x14ac:dyDescent="0.25">
      <c r="B883" s="1365" t="s">
        <v>6897</v>
      </c>
      <c r="C883" s="1013" t="s">
        <v>4791</v>
      </c>
      <c r="D883" s="1013" t="s">
        <v>5144</v>
      </c>
      <c r="E883" s="1014">
        <v>4605</v>
      </c>
      <c r="F883" s="1013" t="s">
        <v>5202</v>
      </c>
      <c r="G883" s="1014" t="s">
        <v>12</v>
      </c>
      <c r="H883" s="1015">
        <v>282312</v>
      </c>
      <c r="I883" s="1016" t="s">
        <v>6899</v>
      </c>
    </row>
    <row r="884" spans="2:9" ht="15.75" x14ac:dyDescent="0.25">
      <c r="B884" s="1365" t="s">
        <v>7169</v>
      </c>
      <c r="C884" s="1013" t="s">
        <v>4410</v>
      </c>
      <c r="D884" s="1013" t="s">
        <v>4415</v>
      </c>
      <c r="E884" s="1014">
        <v>4606</v>
      </c>
      <c r="F884" s="1013" t="s">
        <v>5203</v>
      </c>
      <c r="G884" s="1014" t="s">
        <v>12</v>
      </c>
      <c r="H884" s="1015">
        <v>27670</v>
      </c>
      <c r="I884" s="1016" t="s">
        <v>6899</v>
      </c>
    </row>
    <row r="885" spans="2:9" ht="15.75" x14ac:dyDescent="0.25">
      <c r="B885" s="1365" t="s">
        <v>6897</v>
      </c>
      <c r="C885" s="1013" t="s">
        <v>4799</v>
      </c>
      <c r="D885" s="1013" t="s">
        <v>5199</v>
      </c>
      <c r="E885" s="1014">
        <v>4607</v>
      </c>
      <c r="F885" s="1013" t="s">
        <v>5204</v>
      </c>
      <c r="G885" s="1014" t="s">
        <v>12</v>
      </c>
      <c r="H885" s="1015">
        <v>64524</v>
      </c>
      <c r="I885" s="1016" t="s">
        <v>6899</v>
      </c>
    </row>
    <row r="886" spans="2:9" ht="15.75" x14ac:dyDescent="0.25">
      <c r="B886" s="1365" t="s">
        <v>6897</v>
      </c>
      <c r="C886" s="1013" t="s">
        <v>4799</v>
      </c>
      <c r="D886" s="1013" t="s">
        <v>5199</v>
      </c>
      <c r="E886" s="1014">
        <v>4608</v>
      </c>
      <c r="F886" s="1013" t="s">
        <v>5205</v>
      </c>
      <c r="G886" s="1014" t="s">
        <v>12</v>
      </c>
      <c r="H886" s="1015">
        <v>32263</v>
      </c>
      <c r="I886" s="1016" t="s">
        <v>6899</v>
      </c>
    </row>
    <row r="887" spans="2:9" ht="15.75" x14ac:dyDescent="0.25">
      <c r="B887" s="1365" t="s">
        <v>6897</v>
      </c>
      <c r="C887" s="1013" t="s">
        <v>4799</v>
      </c>
      <c r="D887" s="1013" t="s">
        <v>5199</v>
      </c>
      <c r="E887" s="1014">
        <v>4609</v>
      </c>
      <c r="F887" s="1013" t="s">
        <v>5206</v>
      </c>
      <c r="G887" s="1014" t="s">
        <v>12</v>
      </c>
      <c r="H887" s="1015">
        <v>123887</v>
      </c>
      <c r="I887" s="1016" t="s">
        <v>6899</v>
      </c>
    </row>
    <row r="888" spans="2:9" ht="15.75" x14ac:dyDescent="0.25">
      <c r="B888" s="1365" t="s">
        <v>6897</v>
      </c>
      <c r="C888" s="1013" t="s">
        <v>4799</v>
      </c>
      <c r="D888" s="1013" t="s">
        <v>5199</v>
      </c>
      <c r="E888" s="1014">
        <v>4610</v>
      </c>
      <c r="F888" s="1013" t="s">
        <v>5207</v>
      </c>
      <c r="G888" s="1014" t="s">
        <v>12</v>
      </c>
      <c r="H888" s="1015">
        <v>60621</v>
      </c>
      <c r="I888" s="1016" t="s">
        <v>6899</v>
      </c>
    </row>
    <row r="889" spans="2:9" ht="15.75" x14ac:dyDescent="0.25">
      <c r="B889" s="1365" t="s">
        <v>7169</v>
      </c>
      <c r="C889" s="1013" t="s">
        <v>4461</v>
      </c>
      <c r="D889" s="1013" t="s">
        <v>4461</v>
      </c>
      <c r="E889" s="1014">
        <v>4611</v>
      </c>
      <c r="F889" s="1013" t="s">
        <v>5208</v>
      </c>
      <c r="G889" s="1014" t="s">
        <v>13</v>
      </c>
      <c r="H889" s="1015">
        <v>188697</v>
      </c>
      <c r="I889" s="1016" t="s">
        <v>6899</v>
      </c>
    </row>
    <row r="890" spans="2:9" ht="15.75" x14ac:dyDescent="0.25">
      <c r="B890" s="1365" t="s">
        <v>7169</v>
      </c>
      <c r="C890" s="1013" t="s">
        <v>4461</v>
      </c>
      <c r="D890" s="1013" t="s">
        <v>4461</v>
      </c>
      <c r="E890" s="1014">
        <v>4612</v>
      </c>
      <c r="F890" s="1013" t="s">
        <v>5209</v>
      </c>
      <c r="G890" s="1014" t="s">
        <v>13</v>
      </c>
      <c r="H890" s="1015">
        <v>189344</v>
      </c>
      <c r="I890" s="1016" t="s">
        <v>6899</v>
      </c>
    </row>
    <row r="891" spans="2:9" ht="15.75" x14ac:dyDescent="0.25">
      <c r="B891" s="1365" t="s">
        <v>7169</v>
      </c>
      <c r="C891" s="1013" t="s">
        <v>4408</v>
      </c>
      <c r="D891" s="1013" t="s">
        <v>4408</v>
      </c>
      <c r="E891" s="1014">
        <v>4613</v>
      </c>
      <c r="F891" s="1013" t="s">
        <v>5210</v>
      </c>
      <c r="G891" s="1014" t="s">
        <v>3</v>
      </c>
      <c r="H891" s="1015">
        <v>56280</v>
      </c>
      <c r="I891" s="1016" t="s">
        <v>6899</v>
      </c>
    </row>
    <row r="892" spans="2:9" ht="15.75" x14ac:dyDescent="0.25">
      <c r="B892" s="1365" t="s">
        <v>7169</v>
      </c>
      <c r="C892" s="1013" t="s">
        <v>4461</v>
      </c>
      <c r="D892" s="1013" t="s">
        <v>4461</v>
      </c>
      <c r="E892" s="1014">
        <v>4614</v>
      </c>
      <c r="F892" s="1013" t="s">
        <v>5211</v>
      </c>
      <c r="G892" s="1014" t="s">
        <v>13</v>
      </c>
      <c r="H892" s="1015">
        <v>189981</v>
      </c>
      <c r="I892" s="1016" t="s">
        <v>6899</v>
      </c>
    </row>
    <row r="893" spans="2:9" ht="15.75" x14ac:dyDescent="0.25">
      <c r="B893" s="1365" t="s">
        <v>7169</v>
      </c>
      <c r="C893" s="1013" t="s">
        <v>4461</v>
      </c>
      <c r="D893" s="1013" t="s">
        <v>4461</v>
      </c>
      <c r="E893" s="1014">
        <v>4615</v>
      </c>
      <c r="F893" s="1013" t="s">
        <v>5212</v>
      </c>
      <c r="G893" s="1014" t="s">
        <v>13</v>
      </c>
      <c r="H893" s="1015">
        <v>243699</v>
      </c>
      <c r="I893" s="1016" t="s">
        <v>6899</v>
      </c>
    </row>
    <row r="894" spans="2:9" ht="15.75" x14ac:dyDescent="0.25">
      <c r="B894" s="1365" t="s">
        <v>7169</v>
      </c>
      <c r="C894" s="1013" t="s">
        <v>4461</v>
      </c>
      <c r="D894" s="1013" t="s">
        <v>4461</v>
      </c>
      <c r="E894" s="1014">
        <v>4616</v>
      </c>
      <c r="F894" s="1013" t="s">
        <v>5213</v>
      </c>
      <c r="G894" s="1014" t="s">
        <v>13</v>
      </c>
      <c r="H894" s="1015">
        <v>244343</v>
      </c>
      <c r="I894" s="1016" t="s">
        <v>6899</v>
      </c>
    </row>
    <row r="895" spans="2:9" ht="15.75" x14ac:dyDescent="0.25">
      <c r="B895" s="1365" t="s">
        <v>7169</v>
      </c>
      <c r="C895" s="1013" t="s">
        <v>4461</v>
      </c>
      <c r="D895" s="1013" t="s">
        <v>4461</v>
      </c>
      <c r="E895" s="1014">
        <v>4617</v>
      </c>
      <c r="F895" s="1013" t="s">
        <v>5214</v>
      </c>
      <c r="G895" s="1014" t="s">
        <v>13</v>
      </c>
      <c r="H895" s="1015">
        <v>291050</v>
      </c>
      <c r="I895" s="1016" t="s">
        <v>6899</v>
      </c>
    </row>
    <row r="896" spans="2:9" ht="15.75" x14ac:dyDescent="0.25">
      <c r="B896" s="1365" t="s">
        <v>7169</v>
      </c>
      <c r="C896" s="1013" t="s">
        <v>4461</v>
      </c>
      <c r="D896" s="1013" t="s">
        <v>4461</v>
      </c>
      <c r="E896" s="1014">
        <v>4618</v>
      </c>
      <c r="F896" s="1013" t="s">
        <v>5215</v>
      </c>
      <c r="G896" s="1014" t="s">
        <v>13</v>
      </c>
      <c r="H896" s="1015">
        <v>302896</v>
      </c>
      <c r="I896" s="1016" t="s">
        <v>6899</v>
      </c>
    </row>
    <row r="897" spans="2:9" ht="15.75" x14ac:dyDescent="0.25">
      <c r="B897" s="1365" t="s">
        <v>7169</v>
      </c>
      <c r="C897" s="1013" t="s">
        <v>4461</v>
      </c>
      <c r="D897" s="1013" t="s">
        <v>4461</v>
      </c>
      <c r="E897" s="1014">
        <v>4619</v>
      </c>
      <c r="F897" s="1013" t="s">
        <v>5216</v>
      </c>
      <c r="G897" s="1014" t="s">
        <v>13</v>
      </c>
      <c r="H897" s="1015">
        <v>332334</v>
      </c>
      <c r="I897" s="1016" t="s">
        <v>6899</v>
      </c>
    </row>
    <row r="898" spans="2:9" ht="15.75" x14ac:dyDescent="0.25">
      <c r="B898" s="1365" t="s">
        <v>7169</v>
      </c>
      <c r="C898" s="1013" t="s">
        <v>4461</v>
      </c>
      <c r="D898" s="1013" t="s">
        <v>4461</v>
      </c>
      <c r="E898" s="1014">
        <v>4620</v>
      </c>
      <c r="F898" s="1013" t="s">
        <v>5217</v>
      </c>
      <c r="G898" s="1014" t="s">
        <v>13</v>
      </c>
      <c r="H898" s="1015">
        <v>359334</v>
      </c>
      <c r="I898" s="1016" t="s">
        <v>6899</v>
      </c>
    </row>
    <row r="899" spans="2:9" ht="15.75" x14ac:dyDescent="0.25">
      <c r="B899" s="1365" t="s">
        <v>7169</v>
      </c>
      <c r="C899" s="1013" t="s">
        <v>4461</v>
      </c>
      <c r="D899" s="1013" t="s">
        <v>4461</v>
      </c>
      <c r="E899" s="1014">
        <v>4621</v>
      </c>
      <c r="F899" s="1013" t="s">
        <v>5218</v>
      </c>
      <c r="G899" s="1014" t="s">
        <v>13</v>
      </c>
      <c r="H899" s="1015">
        <v>398900</v>
      </c>
      <c r="I899" s="1016" t="s">
        <v>6899</v>
      </c>
    </row>
    <row r="900" spans="2:9" ht="15.75" x14ac:dyDescent="0.25">
      <c r="B900" s="1365" t="s">
        <v>7169</v>
      </c>
      <c r="C900" s="1013" t="s">
        <v>4461</v>
      </c>
      <c r="D900" s="1013" t="s">
        <v>4461</v>
      </c>
      <c r="E900" s="1014">
        <v>4622</v>
      </c>
      <c r="F900" s="1013" t="s">
        <v>5219</v>
      </c>
      <c r="G900" s="1014" t="s">
        <v>13</v>
      </c>
      <c r="H900" s="1015">
        <v>419912</v>
      </c>
      <c r="I900" s="1016" t="s">
        <v>6899</v>
      </c>
    </row>
    <row r="901" spans="2:9" ht="15.75" x14ac:dyDescent="0.25">
      <c r="B901" s="1365" t="s">
        <v>7169</v>
      </c>
      <c r="C901" s="1013" t="s">
        <v>4461</v>
      </c>
      <c r="D901" s="1013" t="s">
        <v>4461</v>
      </c>
      <c r="E901" s="1014">
        <v>4624</v>
      </c>
      <c r="F901" s="1013" t="s">
        <v>5220</v>
      </c>
      <c r="G901" s="1014" t="s">
        <v>13</v>
      </c>
      <c r="H901" s="1015">
        <v>402615</v>
      </c>
      <c r="I901" s="1016" t="s">
        <v>6899</v>
      </c>
    </row>
    <row r="902" spans="2:9" ht="15.75" x14ac:dyDescent="0.25">
      <c r="B902" s="1365" t="s">
        <v>7169</v>
      </c>
      <c r="C902" s="1013" t="s">
        <v>4461</v>
      </c>
      <c r="D902" s="1013" t="s">
        <v>4461</v>
      </c>
      <c r="E902" s="1014">
        <v>4625</v>
      </c>
      <c r="F902" s="1013" t="s">
        <v>5221</v>
      </c>
      <c r="G902" s="1014" t="s">
        <v>13</v>
      </c>
      <c r="H902" s="1015">
        <v>494565</v>
      </c>
      <c r="I902" s="1016" t="s">
        <v>6899</v>
      </c>
    </row>
    <row r="903" spans="2:9" ht="15.75" x14ac:dyDescent="0.25">
      <c r="B903" s="1365" t="s">
        <v>7169</v>
      </c>
      <c r="C903" s="1013" t="s">
        <v>4461</v>
      </c>
      <c r="D903" s="1013" t="s">
        <v>4461</v>
      </c>
      <c r="E903" s="1014">
        <v>4626</v>
      </c>
      <c r="F903" s="1013" t="s">
        <v>5222</v>
      </c>
      <c r="G903" s="1014" t="s">
        <v>13</v>
      </c>
      <c r="H903" s="1015">
        <v>630209</v>
      </c>
      <c r="I903" s="1016" t="s">
        <v>6899</v>
      </c>
    </row>
    <row r="904" spans="2:9" ht="15.75" x14ac:dyDescent="0.25">
      <c r="B904" s="1365" t="s">
        <v>7169</v>
      </c>
      <c r="C904" s="1013" t="s">
        <v>4461</v>
      </c>
      <c r="D904" s="1013" t="s">
        <v>4461</v>
      </c>
      <c r="E904" s="1014">
        <v>4627</v>
      </c>
      <c r="F904" s="1013" t="s">
        <v>5223</v>
      </c>
      <c r="G904" s="1014" t="s">
        <v>13</v>
      </c>
      <c r="H904" s="1015">
        <v>693188</v>
      </c>
      <c r="I904" s="1016" t="s">
        <v>6899</v>
      </c>
    </row>
    <row r="905" spans="2:9" ht="15.75" x14ac:dyDescent="0.25">
      <c r="B905" s="1365" t="s">
        <v>7169</v>
      </c>
      <c r="C905" s="1013" t="s">
        <v>4461</v>
      </c>
      <c r="D905" s="1013" t="s">
        <v>4461</v>
      </c>
      <c r="E905" s="1014">
        <v>4628</v>
      </c>
      <c r="F905" s="1013" t="s">
        <v>5224</v>
      </c>
      <c r="G905" s="1014" t="s">
        <v>13</v>
      </c>
      <c r="H905" s="1015">
        <v>855951</v>
      </c>
      <c r="I905" s="1016" t="s">
        <v>6899</v>
      </c>
    </row>
    <row r="906" spans="2:9" ht="15.75" x14ac:dyDescent="0.25">
      <c r="B906" s="1365" t="s">
        <v>7169</v>
      </c>
      <c r="C906" s="1013" t="s">
        <v>4461</v>
      </c>
      <c r="D906" s="1013" t="s">
        <v>4461</v>
      </c>
      <c r="E906" s="1014">
        <v>4629</v>
      </c>
      <c r="F906" s="1013" t="s">
        <v>5225</v>
      </c>
      <c r="G906" s="1014" t="s">
        <v>13</v>
      </c>
      <c r="H906" s="1015">
        <v>996224</v>
      </c>
      <c r="I906" s="1016" t="s">
        <v>6899</v>
      </c>
    </row>
    <row r="907" spans="2:9" ht="15.75" x14ac:dyDescent="0.25">
      <c r="B907" s="1365" t="s">
        <v>7169</v>
      </c>
      <c r="C907" s="1013" t="s">
        <v>4461</v>
      </c>
      <c r="D907" s="1013" t="s">
        <v>4461</v>
      </c>
      <c r="E907" s="1014">
        <v>4630</v>
      </c>
      <c r="F907" s="1013" t="s">
        <v>5226</v>
      </c>
      <c r="G907" s="1014" t="s">
        <v>13</v>
      </c>
      <c r="H907" s="1015">
        <v>1248019</v>
      </c>
      <c r="I907" s="1016" t="s">
        <v>6899</v>
      </c>
    </row>
    <row r="908" spans="2:9" ht="15.75" x14ac:dyDescent="0.25">
      <c r="B908" s="1365" t="s">
        <v>7169</v>
      </c>
      <c r="C908" s="1013" t="s">
        <v>4461</v>
      </c>
      <c r="D908" s="1013" t="s">
        <v>4461</v>
      </c>
      <c r="E908" s="1014">
        <v>4631</v>
      </c>
      <c r="F908" s="1013" t="s">
        <v>5227</v>
      </c>
      <c r="G908" s="1014" t="s">
        <v>13</v>
      </c>
      <c r="H908" s="1015">
        <v>1560633</v>
      </c>
      <c r="I908" s="1016" t="s">
        <v>6899</v>
      </c>
    </row>
    <row r="909" spans="2:9" ht="15.75" x14ac:dyDescent="0.25">
      <c r="B909" s="1365" t="s">
        <v>7169</v>
      </c>
      <c r="C909" s="1013" t="s">
        <v>4461</v>
      </c>
      <c r="D909" s="1013" t="s">
        <v>4461</v>
      </c>
      <c r="E909" s="1014">
        <v>4632</v>
      </c>
      <c r="F909" s="1013" t="s">
        <v>5228</v>
      </c>
      <c r="G909" s="1014" t="s">
        <v>13</v>
      </c>
      <c r="H909" s="1015">
        <v>1768610</v>
      </c>
      <c r="I909" s="1016" t="s">
        <v>6899</v>
      </c>
    </row>
    <row r="910" spans="2:9" ht="15.75" x14ac:dyDescent="0.25">
      <c r="B910" s="1365" t="s">
        <v>7169</v>
      </c>
      <c r="C910" s="1013" t="s">
        <v>4461</v>
      </c>
      <c r="D910" s="1013" t="s">
        <v>4461</v>
      </c>
      <c r="E910" s="1014">
        <v>4633</v>
      </c>
      <c r="F910" s="1013" t="s">
        <v>5229</v>
      </c>
      <c r="G910" s="1014" t="s">
        <v>13</v>
      </c>
      <c r="H910" s="1015">
        <v>1952579</v>
      </c>
      <c r="I910" s="1016" t="s">
        <v>6899</v>
      </c>
    </row>
    <row r="911" spans="2:9" ht="15.75" x14ac:dyDescent="0.25">
      <c r="B911" s="1365" t="s">
        <v>7169</v>
      </c>
      <c r="C911" s="1013" t="s">
        <v>4461</v>
      </c>
      <c r="D911" s="1013" t="s">
        <v>4461</v>
      </c>
      <c r="E911" s="1014">
        <v>4634</v>
      </c>
      <c r="F911" s="1013" t="s">
        <v>5230</v>
      </c>
      <c r="G911" s="1014" t="s">
        <v>13</v>
      </c>
      <c r="H911" s="1015">
        <v>2192367</v>
      </c>
      <c r="I911" s="1016" t="s">
        <v>6899</v>
      </c>
    </row>
    <row r="912" spans="2:9" ht="15.75" x14ac:dyDescent="0.25">
      <c r="B912" s="1365" t="s">
        <v>7169</v>
      </c>
      <c r="C912" s="1013" t="s">
        <v>4461</v>
      </c>
      <c r="D912" s="1013" t="s">
        <v>4461</v>
      </c>
      <c r="E912" s="1014">
        <v>4635</v>
      </c>
      <c r="F912" s="1013" t="s">
        <v>5231</v>
      </c>
      <c r="G912" s="1014" t="s">
        <v>13</v>
      </c>
      <c r="H912" s="1015">
        <v>2779581</v>
      </c>
      <c r="I912" s="1016" t="s">
        <v>6899</v>
      </c>
    </row>
    <row r="913" spans="2:9" ht="15.75" x14ac:dyDescent="0.25">
      <c r="B913" s="1365" t="s">
        <v>7169</v>
      </c>
      <c r="C913" s="1013" t="s">
        <v>4461</v>
      </c>
      <c r="D913" s="1013" t="s">
        <v>4461</v>
      </c>
      <c r="E913" s="1014">
        <v>4636</v>
      </c>
      <c r="F913" s="1013" t="s">
        <v>5232</v>
      </c>
      <c r="G913" s="1014" t="s">
        <v>13</v>
      </c>
      <c r="H913" s="1015">
        <v>3080355</v>
      </c>
      <c r="I913" s="1016" t="s">
        <v>6899</v>
      </c>
    </row>
    <row r="914" spans="2:9" ht="15.75" x14ac:dyDescent="0.25">
      <c r="B914" s="1365" t="s">
        <v>7169</v>
      </c>
      <c r="C914" s="1013" t="s">
        <v>4461</v>
      </c>
      <c r="D914" s="1013" t="s">
        <v>4461</v>
      </c>
      <c r="E914" s="1014">
        <v>4637</v>
      </c>
      <c r="F914" s="1013" t="s">
        <v>5233</v>
      </c>
      <c r="G914" s="1014" t="s">
        <v>13</v>
      </c>
      <c r="H914" s="1015">
        <v>3398158</v>
      </c>
      <c r="I914" s="1016" t="s">
        <v>6899</v>
      </c>
    </row>
    <row r="915" spans="2:9" ht="15.75" x14ac:dyDescent="0.25">
      <c r="B915" s="1365" t="s">
        <v>7169</v>
      </c>
      <c r="C915" s="1013" t="s">
        <v>4461</v>
      </c>
      <c r="D915" s="1013" t="s">
        <v>4461</v>
      </c>
      <c r="E915" s="1014">
        <v>4638</v>
      </c>
      <c r="F915" s="1013" t="s">
        <v>5234</v>
      </c>
      <c r="G915" s="1014" t="s">
        <v>13</v>
      </c>
      <c r="H915" s="1015">
        <v>3725501</v>
      </c>
      <c r="I915" s="1016" t="s">
        <v>6899</v>
      </c>
    </row>
    <row r="916" spans="2:9" ht="15.75" x14ac:dyDescent="0.25">
      <c r="B916" s="1365" t="s">
        <v>7169</v>
      </c>
      <c r="C916" s="1013" t="s">
        <v>4791</v>
      </c>
      <c r="D916" s="1013" t="s">
        <v>4792</v>
      </c>
      <c r="E916" s="1014">
        <v>4639</v>
      </c>
      <c r="F916" s="1013" t="s">
        <v>5235</v>
      </c>
      <c r="G916" s="1014" t="s">
        <v>12</v>
      </c>
      <c r="H916" s="1015">
        <v>432756</v>
      </c>
      <c r="I916" s="1016" t="s">
        <v>6899</v>
      </c>
    </row>
    <row r="917" spans="2:9" ht="15.75" x14ac:dyDescent="0.25">
      <c r="B917" s="1365" t="s">
        <v>7169</v>
      </c>
      <c r="C917" s="1013" t="s">
        <v>4791</v>
      </c>
      <c r="D917" s="1013" t="s">
        <v>4792</v>
      </c>
      <c r="E917" s="1014">
        <v>4640</v>
      </c>
      <c r="F917" s="1013" t="s">
        <v>5236</v>
      </c>
      <c r="G917" s="1014" t="s">
        <v>12</v>
      </c>
      <c r="H917" s="1015">
        <v>404485</v>
      </c>
      <c r="I917" s="1016" t="s">
        <v>6899</v>
      </c>
    </row>
    <row r="918" spans="2:9" ht="15.75" x14ac:dyDescent="0.25">
      <c r="B918" s="1365" t="s">
        <v>7169</v>
      </c>
      <c r="C918" s="1013" t="s">
        <v>4461</v>
      </c>
      <c r="D918" s="1013" t="s">
        <v>4461</v>
      </c>
      <c r="E918" s="1014">
        <v>4641</v>
      </c>
      <c r="F918" s="1013" t="s">
        <v>7176</v>
      </c>
      <c r="G918" s="1014" t="s">
        <v>266</v>
      </c>
      <c r="H918" s="1015">
        <v>599158</v>
      </c>
      <c r="I918" s="1016" t="s">
        <v>6899</v>
      </c>
    </row>
    <row r="919" spans="2:9" ht="15.75" x14ac:dyDescent="0.25">
      <c r="B919" s="1365" t="s">
        <v>7169</v>
      </c>
      <c r="C919" s="1013" t="s">
        <v>4461</v>
      </c>
      <c r="D919" s="1013" t="s">
        <v>4461</v>
      </c>
      <c r="E919" s="1014">
        <v>4642</v>
      </c>
      <c r="F919" s="1013" t="s">
        <v>7177</v>
      </c>
      <c r="G919" s="1014" t="s">
        <v>266</v>
      </c>
      <c r="H919" s="1015">
        <v>621826</v>
      </c>
      <c r="I919" s="1016" t="s">
        <v>6899</v>
      </c>
    </row>
    <row r="920" spans="2:9" ht="15.75" x14ac:dyDescent="0.25">
      <c r="B920" s="1365" t="s">
        <v>7169</v>
      </c>
      <c r="C920" s="1013" t="s">
        <v>4461</v>
      </c>
      <c r="D920" s="1013" t="s">
        <v>4461</v>
      </c>
      <c r="E920" s="1014">
        <v>4643</v>
      </c>
      <c r="F920" s="1013" t="s">
        <v>7178</v>
      </c>
      <c r="G920" s="1014" t="s">
        <v>266</v>
      </c>
      <c r="H920" s="1015">
        <v>643555</v>
      </c>
      <c r="I920" s="1016" t="s">
        <v>6899</v>
      </c>
    </row>
    <row r="921" spans="2:9" ht="15.75" x14ac:dyDescent="0.25">
      <c r="B921" s="1365" t="s">
        <v>7169</v>
      </c>
      <c r="C921" s="1013" t="s">
        <v>4461</v>
      </c>
      <c r="D921" s="1013" t="s">
        <v>4461</v>
      </c>
      <c r="E921" s="1014">
        <v>4644</v>
      </c>
      <c r="F921" s="1013" t="s">
        <v>7179</v>
      </c>
      <c r="G921" s="1014" t="s">
        <v>266</v>
      </c>
      <c r="H921" s="1015">
        <v>678751</v>
      </c>
      <c r="I921" s="1016" t="s">
        <v>6899</v>
      </c>
    </row>
    <row r="922" spans="2:9" ht="15.75" x14ac:dyDescent="0.25">
      <c r="B922" s="1365" t="s">
        <v>7169</v>
      </c>
      <c r="C922" s="1013" t="s">
        <v>4461</v>
      </c>
      <c r="D922" s="1013" t="s">
        <v>4461</v>
      </c>
      <c r="E922" s="1014">
        <v>4645</v>
      </c>
      <c r="F922" s="1013" t="s">
        <v>7180</v>
      </c>
      <c r="G922" s="1014" t="s">
        <v>266</v>
      </c>
      <c r="H922" s="1015">
        <v>870548</v>
      </c>
      <c r="I922" s="1016" t="s">
        <v>6899</v>
      </c>
    </row>
    <row r="923" spans="2:9" ht="15.75" x14ac:dyDescent="0.25">
      <c r="B923" s="1365" t="s">
        <v>7169</v>
      </c>
      <c r="C923" s="1013" t="s">
        <v>4461</v>
      </c>
      <c r="D923" s="1013" t="s">
        <v>4461</v>
      </c>
      <c r="E923" s="1014">
        <v>4646</v>
      </c>
      <c r="F923" s="1013" t="s">
        <v>7181</v>
      </c>
      <c r="G923" s="1014" t="s">
        <v>266</v>
      </c>
      <c r="H923" s="1015">
        <v>930618</v>
      </c>
      <c r="I923" s="1016" t="s">
        <v>6899</v>
      </c>
    </row>
    <row r="924" spans="2:9" ht="15.75" x14ac:dyDescent="0.25">
      <c r="B924" s="1365" t="s">
        <v>7169</v>
      </c>
      <c r="C924" s="1013" t="s">
        <v>4461</v>
      </c>
      <c r="D924" s="1013" t="s">
        <v>4461</v>
      </c>
      <c r="E924" s="1014">
        <v>4647</v>
      </c>
      <c r="F924" s="1013" t="s">
        <v>7182</v>
      </c>
      <c r="G924" s="1014" t="s">
        <v>266</v>
      </c>
      <c r="H924" s="1015">
        <v>1005055</v>
      </c>
      <c r="I924" s="1016" t="s">
        <v>6899</v>
      </c>
    </row>
    <row r="925" spans="2:9" ht="15.75" x14ac:dyDescent="0.25">
      <c r="B925" s="1365" t="s">
        <v>7169</v>
      </c>
      <c r="C925" s="1013" t="s">
        <v>4461</v>
      </c>
      <c r="D925" s="1013" t="s">
        <v>4461</v>
      </c>
      <c r="E925" s="1014">
        <v>4648</v>
      </c>
      <c r="F925" s="1013" t="s">
        <v>7183</v>
      </c>
      <c r="G925" s="1014" t="s">
        <v>266</v>
      </c>
      <c r="H925" s="1015">
        <v>1081333</v>
      </c>
      <c r="I925" s="1016" t="s">
        <v>6899</v>
      </c>
    </row>
    <row r="926" spans="2:9" ht="15.75" x14ac:dyDescent="0.25">
      <c r="B926" s="1365" t="s">
        <v>7169</v>
      </c>
      <c r="C926" s="1013" t="s">
        <v>4461</v>
      </c>
      <c r="D926" s="1013" t="s">
        <v>4461</v>
      </c>
      <c r="E926" s="1014">
        <v>4649</v>
      </c>
      <c r="F926" s="1013" t="s">
        <v>7184</v>
      </c>
      <c r="G926" s="1014" t="s">
        <v>266</v>
      </c>
      <c r="H926" s="1015">
        <v>885564</v>
      </c>
      <c r="I926" s="1016" t="s">
        <v>6899</v>
      </c>
    </row>
    <row r="927" spans="2:9" ht="15.75" x14ac:dyDescent="0.25">
      <c r="B927" s="1365" t="s">
        <v>7169</v>
      </c>
      <c r="C927" s="1013" t="s">
        <v>4461</v>
      </c>
      <c r="D927" s="1013" t="s">
        <v>4461</v>
      </c>
      <c r="E927" s="1014">
        <v>4650</v>
      </c>
      <c r="F927" s="1013" t="s">
        <v>7185</v>
      </c>
      <c r="G927" s="1014" t="s">
        <v>266</v>
      </c>
      <c r="H927" s="1015">
        <v>924655</v>
      </c>
      <c r="I927" s="1016" t="s">
        <v>6899</v>
      </c>
    </row>
    <row r="928" spans="2:9" ht="15.75" x14ac:dyDescent="0.25">
      <c r="B928" s="1365" t="s">
        <v>7169</v>
      </c>
      <c r="C928" s="1013" t="s">
        <v>4461</v>
      </c>
      <c r="D928" s="1013" t="s">
        <v>4461</v>
      </c>
      <c r="E928" s="1014">
        <v>4651</v>
      </c>
      <c r="F928" s="1013" t="s">
        <v>7186</v>
      </c>
      <c r="G928" s="1014" t="s">
        <v>266</v>
      </c>
      <c r="H928" s="1015">
        <v>1031753</v>
      </c>
      <c r="I928" s="1016" t="s">
        <v>6899</v>
      </c>
    </row>
    <row r="929" spans="2:9" ht="15.75" x14ac:dyDescent="0.25">
      <c r="B929" s="1365" t="s">
        <v>7169</v>
      </c>
      <c r="C929" s="1013" t="s">
        <v>4461</v>
      </c>
      <c r="D929" s="1013" t="s">
        <v>4461</v>
      </c>
      <c r="E929" s="1014">
        <v>4652</v>
      </c>
      <c r="F929" s="1013" t="s">
        <v>7187</v>
      </c>
      <c r="G929" s="1014" t="s">
        <v>266</v>
      </c>
      <c r="H929" s="1015">
        <v>1249165</v>
      </c>
      <c r="I929" s="1016" t="s">
        <v>6899</v>
      </c>
    </row>
    <row r="930" spans="2:9" ht="15.75" x14ac:dyDescent="0.25">
      <c r="B930" s="1365" t="s">
        <v>7169</v>
      </c>
      <c r="C930" s="1013" t="s">
        <v>4461</v>
      </c>
      <c r="D930" s="1013" t="s">
        <v>4461</v>
      </c>
      <c r="E930" s="1014">
        <v>4653</v>
      </c>
      <c r="F930" s="1013" t="s">
        <v>7188</v>
      </c>
      <c r="G930" s="1014" t="s">
        <v>266</v>
      </c>
      <c r="H930" s="1015">
        <v>1307801</v>
      </c>
      <c r="I930" s="1016" t="s">
        <v>6899</v>
      </c>
    </row>
    <row r="931" spans="2:9" ht="15.75" x14ac:dyDescent="0.25">
      <c r="B931" s="1365" t="s">
        <v>7169</v>
      </c>
      <c r="C931" s="1013" t="s">
        <v>4461</v>
      </c>
      <c r="D931" s="1013" t="s">
        <v>4461</v>
      </c>
      <c r="E931" s="1014">
        <v>4654</v>
      </c>
      <c r="F931" s="1013" t="s">
        <v>7189</v>
      </c>
      <c r="G931" s="1014" t="s">
        <v>266</v>
      </c>
      <c r="H931" s="1015">
        <v>1400707</v>
      </c>
      <c r="I931" s="1016" t="s">
        <v>6899</v>
      </c>
    </row>
    <row r="932" spans="2:9" ht="15.75" x14ac:dyDescent="0.25">
      <c r="B932" s="1365" t="s">
        <v>7169</v>
      </c>
      <c r="C932" s="1013" t="s">
        <v>4461</v>
      </c>
      <c r="D932" s="1013" t="s">
        <v>4461</v>
      </c>
      <c r="E932" s="1014">
        <v>4655</v>
      </c>
      <c r="F932" s="1013" t="s">
        <v>7190</v>
      </c>
      <c r="G932" s="1014" t="s">
        <v>266</v>
      </c>
      <c r="H932" s="1015">
        <v>1579029</v>
      </c>
      <c r="I932" s="1016" t="s">
        <v>6899</v>
      </c>
    </row>
    <row r="933" spans="2:9" ht="15.75" x14ac:dyDescent="0.25">
      <c r="B933" s="1365" t="s">
        <v>7169</v>
      </c>
      <c r="C933" s="1013" t="s">
        <v>4461</v>
      </c>
      <c r="D933" s="1013" t="s">
        <v>4461</v>
      </c>
      <c r="E933" s="1014">
        <v>4656</v>
      </c>
      <c r="F933" s="1013" t="s">
        <v>7191</v>
      </c>
      <c r="G933" s="1014" t="s">
        <v>266</v>
      </c>
      <c r="H933" s="1015">
        <v>1637131</v>
      </c>
      <c r="I933" s="1016" t="s">
        <v>6899</v>
      </c>
    </row>
    <row r="934" spans="2:9" ht="15.75" x14ac:dyDescent="0.25">
      <c r="B934" s="1365" t="s">
        <v>7169</v>
      </c>
      <c r="C934" s="1013" t="s">
        <v>4461</v>
      </c>
      <c r="D934" s="1013" t="s">
        <v>4461</v>
      </c>
      <c r="E934" s="1014">
        <v>4657</v>
      </c>
      <c r="F934" s="1013" t="s">
        <v>7192</v>
      </c>
      <c r="G934" s="1014" t="s">
        <v>266</v>
      </c>
      <c r="H934" s="1015">
        <v>1898185</v>
      </c>
      <c r="I934" s="1016" t="s">
        <v>6899</v>
      </c>
    </row>
    <row r="935" spans="2:9" ht="15.75" x14ac:dyDescent="0.25">
      <c r="B935" s="1365" t="s">
        <v>7169</v>
      </c>
      <c r="C935" s="1013" t="s">
        <v>4461</v>
      </c>
      <c r="D935" s="1013" t="s">
        <v>4461</v>
      </c>
      <c r="E935" s="1014">
        <v>4658</v>
      </c>
      <c r="F935" s="1013" t="s">
        <v>7193</v>
      </c>
      <c r="G935" s="1014" t="s">
        <v>266</v>
      </c>
      <c r="H935" s="1015">
        <v>2019741</v>
      </c>
      <c r="I935" s="1016" t="s">
        <v>6899</v>
      </c>
    </row>
    <row r="936" spans="2:9" ht="15.75" x14ac:dyDescent="0.25">
      <c r="B936" s="1365" t="s">
        <v>7169</v>
      </c>
      <c r="C936" s="1013" t="s">
        <v>4461</v>
      </c>
      <c r="D936" s="1013" t="s">
        <v>4461</v>
      </c>
      <c r="E936" s="1014">
        <v>4659</v>
      </c>
      <c r="F936" s="1013" t="s">
        <v>5237</v>
      </c>
      <c r="G936" s="1014" t="s">
        <v>13</v>
      </c>
      <c r="H936" s="1015">
        <v>4097277</v>
      </c>
      <c r="I936" s="1016" t="s">
        <v>6899</v>
      </c>
    </row>
    <row r="937" spans="2:9" ht="15.75" x14ac:dyDescent="0.25">
      <c r="B937" s="1365" t="s">
        <v>7169</v>
      </c>
      <c r="C937" s="1013" t="s">
        <v>4461</v>
      </c>
      <c r="D937" s="1013" t="s">
        <v>4461</v>
      </c>
      <c r="E937" s="1014">
        <v>4660</v>
      </c>
      <c r="F937" s="1013" t="s">
        <v>5238</v>
      </c>
      <c r="G937" s="1014" t="s">
        <v>13</v>
      </c>
      <c r="H937" s="1015">
        <v>4824200</v>
      </c>
      <c r="I937" s="1016" t="s">
        <v>6899</v>
      </c>
    </row>
    <row r="938" spans="2:9" ht="15.75" x14ac:dyDescent="0.25">
      <c r="B938" s="1365" t="s">
        <v>7169</v>
      </c>
      <c r="C938" s="1013" t="s">
        <v>4461</v>
      </c>
      <c r="D938" s="1013" t="s">
        <v>4461</v>
      </c>
      <c r="E938" s="1014">
        <v>4661</v>
      </c>
      <c r="F938" s="1013" t="s">
        <v>5239</v>
      </c>
      <c r="G938" s="1014" t="s">
        <v>13</v>
      </c>
      <c r="H938" s="1015">
        <v>6526544</v>
      </c>
      <c r="I938" s="1016" t="s">
        <v>6899</v>
      </c>
    </row>
    <row r="939" spans="2:9" ht="15.75" x14ac:dyDescent="0.25">
      <c r="B939" s="1365" t="s">
        <v>7169</v>
      </c>
      <c r="C939" s="1013" t="s">
        <v>4461</v>
      </c>
      <c r="D939" s="1013" t="s">
        <v>4461</v>
      </c>
      <c r="E939" s="1014">
        <v>4662</v>
      </c>
      <c r="F939" s="1013" t="s">
        <v>7194</v>
      </c>
      <c r="G939" s="1014" t="s">
        <v>266</v>
      </c>
      <c r="H939" s="1015">
        <v>2325509</v>
      </c>
      <c r="I939" s="1016" t="s">
        <v>6899</v>
      </c>
    </row>
    <row r="940" spans="2:9" ht="15.75" x14ac:dyDescent="0.25">
      <c r="B940" s="1365" t="s">
        <v>7169</v>
      </c>
      <c r="C940" s="1013" t="s">
        <v>4791</v>
      </c>
      <c r="D940" s="1013" t="s">
        <v>5144</v>
      </c>
      <c r="E940" s="1014">
        <v>4663</v>
      </c>
      <c r="F940" s="1013" t="s">
        <v>5240</v>
      </c>
      <c r="G940" s="1014" t="s">
        <v>12</v>
      </c>
      <c r="H940" s="1015">
        <v>166641</v>
      </c>
      <c r="I940" s="1016" t="s">
        <v>6899</v>
      </c>
    </row>
    <row r="941" spans="2:9" ht="15.75" x14ac:dyDescent="0.25">
      <c r="B941" s="1365" t="s">
        <v>6897</v>
      </c>
      <c r="C941" s="1013" t="s">
        <v>4791</v>
      </c>
      <c r="D941" s="1013" t="s">
        <v>5144</v>
      </c>
      <c r="E941" s="1014">
        <v>4664</v>
      </c>
      <c r="F941" s="1013" t="s">
        <v>5241</v>
      </c>
      <c r="G941" s="1014" t="s">
        <v>12</v>
      </c>
      <c r="H941" s="1015">
        <v>356925</v>
      </c>
      <c r="I941" s="1016" t="s">
        <v>6899</v>
      </c>
    </row>
    <row r="942" spans="2:9" ht="15.75" x14ac:dyDescent="0.25">
      <c r="B942" s="1365" t="s">
        <v>6897</v>
      </c>
      <c r="C942" s="1013" t="s">
        <v>4791</v>
      </c>
      <c r="D942" s="1013" t="s">
        <v>4792</v>
      </c>
      <c r="E942" s="1014">
        <v>4665</v>
      </c>
      <c r="F942" s="1013" t="s">
        <v>5242</v>
      </c>
      <c r="G942" s="1014" t="s">
        <v>12</v>
      </c>
      <c r="H942" s="1015">
        <v>386106</v>
      </c>
      <c r="I942" s="1016" t="s">
        <v>6899</v>
      </c>
    </row>
    <row r="943" spans="2:9" ht="15.75" x14ac:dyDescent="0.25">
      <c r="B943" s="1365" t="s">
        <v>6897</v>
      </c>
      <c r="C943" s="1013" t="s">
        <v>4791</v>
      </c>
      <c r="D943" s="1013" t="s">
        <v>4792</v>
      </c>
      <c r="E943" s="1014">
        <v>4666</v>
      </c>
      <c r="F943" s="1013" t="s">
        <v>5243</v>
      </c>
      <c r="G943" s="1014" t="s">
        <v>12</v>
      </c>
      <c r="H943" s="1015">
        <v>298395</v>
      </c>
      <c r="I943" s="1016" t="s">
        <v>6899</v>
      </c>
    </row>
    <row r="944" spans="2:9" ht="15.75" x14ac:dyDescent="0.25">
      <c r="B944" s="1365" t="s">
        <v>6897</v>
      </c>
      <c r="C944" s="1013" t="s">
        <v>4791</v>
      </c>
      <c r="D944" s="1013" t="s">
        <v>4792</v>
      </c>
      <c r="E944" s="1014">
        <v>4667</v>
      </c>
      <c r="F944" s="1013" t="s">
        <v>5244</v>
      </c>
      <c r="G944" s="1014" t="s">
        <v>12</v>
      </c>
      <c r="H944" s="1015">
        <v>356164</v>
      </c>
      <c r="I944" s="1016" t="s">
        <v>6899</v>
      </c>
    </row>
    <row r="945" spans="2:9" ht="15.75" x14ac:dyDescent="0.25">
      <c r="B945" s="1365" t="s">
        <v>7169</v>
      </c>
      <c r="C945" s="1013" t="s">
        <v>1474</v>
      </c>
      <c r="D945" s="1013" t="s">
        <v>4940</v>
      </c>
      <c r="E945" s="1014">
        <v>4668</v>
      </c>
      <c r="F945" s="1013" t="s">
        <v>5245</v>
      </c>
      <c r="G945" s="1014" t="s">
        <v>12</v>
      </c>
      <c r="H945" s="1015">
        <v>6365</v>
      </c>
      <c r="I945" s="1016" t="s">
        <v>4398</v>
      </c>
    </row>
    <row r="946" spans="2:9" ht="15.75" x14ac:dyDescent="0.25">
      <c r="B946" s="1365" t="s">
        <v>7169</v>
      </c>
      <c r="C946" s="1013" t="s">
        <v>1474</v>
      </c>
      <c r="D946" s="1013" t="s">
        <v>4940</v>
      </c>
      <c r="E946" s="1014">
        <v>4669</v>
      </c>
      <c r="F946" s="1013" t="s">
        <v>5246</v>
      </c>
      <c r="G946" s="1014" t="s">
        <v>12</v>
      </c>
      <c r="H946" s="1015">
        <v>7585</v>
      </c>
      <c r="I946" s="1016" t="s">
        <v>4398</v>
      </c>
    </row>
    <row r="947" spans="2:9" ht="15.75" x14ac:dyDescent="0.25">
      <c r="B947" s="1365" t="s">
        <v>7169</v>
      </c>
      <c r="C947" s="1013" t="s">
        <v>1474</v>
      </c>
      <c r="D947" s="1013" t="s">
        <v>4940</v>
      </c>
      <c r="E947" s="1014">
        <v>4670</v>
      </c>
      <c r="F947" s="1013" t="s">
        <v>5247</v>
      </c>
      <c r="G947" s="1014" t="s">
        <v>12</v>
      </c>
      <c r="H947" s="1015">
        <v>7357</v>
      </c>
      <c r="I947" s="1016" t="s">
        <v>4398</v>
      </c>
    </row>
    <row r="948" spans="2:9" ht="15.75" x14ac:dyDescent="0.25">
      <c r="B948" s="1365" t="s">
        <v>7169</v>
      </c>
      <c r="C948" s="1013" t="s">
        <v>1474</v>
      </c>
      <c r="D948" s="1013" t="s">
        <v>4940</v>
      </c>
      <c r="E948" s="1014">
        <v>4671</v>
      </c>
      <c r="F948" s="1013" t="s">
        <v>5248</v>
      </c>
      <c r="G948" s="1014" t="s">
        <v>12</v>
      </c>
      <c r="H948" s="1015">
        <v>9083</v>
      </c>
      <c r="I948" s="1016" t="s">
        <v>6899</v>
      </c>
    </row>
    <row r="949" spans="2:9" ht="15.75" x14ac:dyDescent="0.25">
      <c r="B949" s="1365" t="s">
        <v>7169</v>
      </c>
      <c r="C949" s="1013" t="s">
        <v>1474</v>
      </c>
      <c r="D949" s="1013" t="s">
        <v>4940</v>
      </c>
      <c r="E949" s="1014">
        <v>4672</v>
      </c>
      <c r="F949" s="1013" t="s">
        <v>5249</v>
      </c>
      <c r="G949" s="1014" t="s">
        <v>12</v>
      </c>
      <c r="H949" s="1015">
        <v>6365</v>
      </c>
      <c r="I949" s="1016" t="s">
        <v>4398</v>
      </c>
    </row>
    <row r="950" spans="2:9" ht="15.75" x14ac:dyDescent="0.25">
      <c r="B950" s="1365" t="s">
        <v>7169</v>
      </c>
      <c r="C950" s="1013" t="s">
        <v>1474</v>
      </c>
      <c r="D950" s="1013" t="s">
        <v>4940</v>
      </c>
      <c r="E950" s="1014">
        <v>4673</v>
      </c>
      <c r="F950" s="1013" t="s">
        <v>5250</v>
      </c>
      <c r="G950" s="1014" t="s">
        <v>12</v>
      </c>
      <c r="H950" s="1015">
        <v>7585</v>
      </c>
      <c r="I950" s="1016" t="s">
        <v>4398</v>
      </c>
    </row>
    <row r="951" spans="2:9" ht="15.75" x14ac:dyDescent="0.25">
      <c r="B951" s="1365" t="s">
        <v>7169</v>
      </c>
      <c r="C951" s="1013" t="s">
        <v>1474</v>
      </c>
      <c r="D951" s="1013" t="s">
        <v>4940</v>
      </c>
      <c r="E951" s="1014">
        <v>4674</v>
      </c>
      <c r="F951" s="1013" t="s">
        <v>5251</v>
      </c>
      <c r="G951" s="1014" t="s">
        <v>12</v>
      </c>
      <c r="H951" s="1015">
        <v>8144</v>
      </c>
      <c r="I951" s="1016" t="s">
        <v>4398</v>
      </c>
    </row>
    <row r="952" spans="2:9" ht="15.75" x14ac:dyDescent="0.25">
      <c r="B952" s="1365" t="s">
        <v>7169</v>
      </c>
      <c r="C952" s="1013" t="s">
        <v>4451</v>
      </c>
      <c r="D952" s="1013" t="s">
        <v>4616</v>
      </c>
      <c r="E952" s="1014">
        <v>4675</v>
      </c>
      <c r="F952" s="1013" t="s">
        <v>5252</v>
      </c>
      <c r="G952" s="1014" t="s">
        <v>266</v>
      </c>
      <c r="H952" s="1015">
        <v>446989</v>
      </c>
      <c r="I952" s="1016" t="s">
        <v>6899</v>
      </c>
    </row>
    <row r="953" spans="2:9" ht="15.75" x14ac:dyDescent="0.25">
      <c r="B953" s="1365" t="s">
        <v>7169</v>
      </c>
      <c r="C953" s="1013" t="s">
        <v>1474</v>
      </c>
      <c r="D953" s="1013" t="s">
        <v>4940</v>
      </c>
      <c r="E953" s="1014">
        <v>4676</v>
      </c>
      <c r="F953" s="1013" t="s">
        <v>5253</v>
      </c>
      <c r="G953" s="1014" t="s">
        <v>12</v>
      </c>
      <c r="H953" s="1015">
        <v>9083</v>
      </c>
      <c r="I953" s="1016" t="s">
        <v>6899</v>
      </c>
    </row>
    <row r="954" spans="2:9" ht="15.75" x14ac:dyDescent="0.25">
      <c r="B954" s="1365" t="s">
        <v>6897</v>
      </c>
      <c r="C954" s="1013" t="s">
        <v>5188</v>
      </c>
      <c r="D954" s="1013" t="s">
        <v>5189</v>
      </c>
      <c r="E954" s="1014">
        <v>4677</v>
      </c>
      <c r="F954" s="1013" t="s">
        <v>5254</v>
      </c>
      <c r="G954" s="1014" t="s">
        <v>12</v>
      </c>
      <c r="H954" s="1015">
        <v>114590</v>
      </c>
      <c r="I954" s="1016" t="s">
        <v>6899</v>
      </c>
    </row>
    <row r="955" spans="2:9" ht="15.75" x14ac:dyDescent="0.25">
      <c r="B955" s="1365" t="s">
        <v>7169</v>
      </c>
      <c r="C955" s="1013" t="s">
        <v>4472</v>
      </c>
      <c r="D955" s="1013" t="s">
        <v>4985</v>
      </c>
      <c r="E955" s="1014">
        <v>4678</v>
      </c>
      <c r="F955" s="1013" t="s">
        <v>5255</v>
      </c>
      <c r="G955" s="1014" t="s">
        <v>12</v>
      </c>
      <c r="H955" s="1015">
        <v>107496</v>
      </c>
      <c r="I955" s="1016" t="s">
        <v>6899</v>
      </c>
    </row>
    <row r="956" spans="2:9" ht="15.75" x14ac:dyDescent="0.25">
      <c r="B956" s="1365" t="s">
        <v>6897</v>
      </c>
      <c r="C956" s="1013" t="s">
        <v>5188</v>
      </c>
      <c r="D956" s="1013" t="s">
        <v>5189</v>
      </c>
      <c r="E956" s="1014">
        <v>4679</v>
      </c>
      <c r="F956" s="1013" t="s">
        <v>463</v>
      </c>
      <c r="G956" s="1014" t="s">
        <v>12</v>
      </c>
      <c r="H956" s="1015">
        <v>90204</v>
      </c>
      <c r="I956" s="1016" t="s">
        <v>6899</v>
      </c>
    </row>
    <row r="957" spans="2:9" ht="15.75" x14ac:dyDescent="0.25">
      <c r="B957" s="1365" t="s">
        <v>6897</v>
      </c>
      <c r="C957" s="1013" t="s">
        <v>5188</v>
      </c>
      <c r="D957" s="1013" t="s">
        <v>5189</v>
      </c>
      <c r="E957" s="1014">
        <v>4680</v>
      </c>
      <c r="F957" s="1013" t="s">
        <v>464</v>
      </c>
      <c r="G957" s="1014" t="s">
        <v>12</v>
      </c>
      <c r="H957" s="1015">
        <v>105908</v>
      </c>
      <c r="I957" s="1016" t="s">
        <v>6899</v>
      </c>
    </row>
    <row r="958" spans="2:9" ht="15.75" x14ac:dyDescent="0.25">
      <c r="B958" s="1365" t="s">
        <v>6897</v>
      </c>
      <c r="C958" s="1013" t="s">
        <v>5188</v>
      </c>
      <c r="D958" s="1013" t="s">
        <v>5189</v>
      </c>
      <c r="E958" s="1014">
        <v>4681</v>
      </c>
      <c r="F958" s="1013" t="s">
        <v>5256</v>
      </c>
      <c r="G958" s="1014" t="s">
        <v>12</v>
      </c>
      <c r="H958" s="1015">
        <v>118388</v>
      </c>
      <c r="I958" s="1016" t="s">
        <v>6899</v>
      </c>
    </row>
    <row r="959" spans="2:9" ht="15.75" x14ac:dyDescent="0.25">
      <c r="B959" s="1365" t="s">
        <v>6897</v>
      </c>
      <c r="C959" s="1013" t="s">
        <v>5188</v>
      </c>
      <c r="D959" s="1013" t="s">
        <v>5189</v>
      </c>
      <c r="E959" s="1014">
        <v>4682</v>
      </c>
      <c r="F959" s="1013" t="s">
        <v>465</v>
      </c>
      <c r="G959" s="1014" t="s">
        <v>12</v>
      </c>
      <c r="H959" s="1015">
        <v>145375</v>
      </c>
      <c r="I959" s="1016" t="s">
        <v>6899</v>
      </c>
    </row>
    <row r="960" spans="2:9" ht="15.75" x14ac:dyDescent="0.25">
      <c r="B960" s="1365" t="s">
        <v>6897</v>
      </c>
      <c r="C960" s="1013" t="s">
        <v>5188</v>
      </c>
      <c r="D960" s="1013" t="s">
        <v>5189</v>
      </c>
      <c r="E960" s="1014">
        <v>4683</v>
      </c>
      <c r="F960" s="1013" t="s">
        <v>466</v>
      </c>
      <c r="G960" s="1014" t="s">
        <v>12</v>
      </c>
      <c r="H960" s="1015">
        <v>166332</v>
      </c>
      <c r="I960" s="1016" t="s">
        <v>6899</v>
      </c>
    </row>
    <row r="961" spans="2:9" ht="15.75" x14ac:dyDescent="0.25">
      <c r="B961" s="1365" t="s">
        <v>6897</v>
      </c>
      <c r="C961" s="1013" t="s">
        <v>5188</v>
      </c>
      <c r="D961" s="1013" t="s">
        <v>5189</v>
      </c>
      <c r="E961" s="1014">
        <v>4684</v>
      </c>
      <c r="F961" s="1013" t="s">
        <v>5257</v>
      </c>
      <c r="G961" s="1014" t="s">
        <v>12</v>
      </c>
      <c r="H961" s="1015">
        <v>173559</v>
      </c>
      <c r="I961" s="1016" t="s">
        <v>6899</v>
      </c>
    </row>
    <row r="962" spans="2:9" ht="15.75" x14ac:dyDescent="0.25">
      <c r="B962" s="1365" t="s">
        <v>6897</v>
      </c>
      <c r="C962" s="1013" t="s">
        <v>5188</v>
      </c>
      <c r="D962" s="1013" t="s">
        <v>5189</v>
      </c>
      <c r="E962" s="1014">
        <v>4685</v>
      </c>
      <c r="F962" s="1013" t="s">
        <v>467</v>
      </c>
      <c r="G962" s="1014" t="s">
        <v>12</v>
      </c>
      <c r="H962" s="1015">
        <v>161079</v>
      </c>
      <c r="I962" s="1016" t="s">
        <v>6899</v>
      </c>
    </row>
    <row r="963" spans="2:9" ht="15.75" x14ac:dyDescent="0.25">
      <c r="B963" s="1365" t="s">
        <v>7169</v>
      </c>
      <c r="C963" s="1013" t="s">
        <v>4451</v>
      </c>
      <c r="D963" s="1013" t="s">
        <v>4616</v>
      </c>
      <c r="E963" s="1014">
        <v>4686</v>
      </c>
      <c r="F963" s="1013" t="s">
        <v>468</v>
      </c>
      <c r="G963" s="1014" t="s">
        <v>266</v>
      </c>
      <c r="H963" s="1015">
        <v>233978</v>
      </c>
      <c r="I963" s="1016" t="s">
        <v>6899</v>
      </c>
    </row>
    <row r="964" spans="2:9" ht="15.75" x14ac:dyDescent="0.25">
      <c r="B964" s="1365" t="s">
        <v>7169</v>
      </c>
      <c r="C964" s="1013" t="s">
        <v>5188</v>
      </c>
      <c r="D964" s="1013" t="s">
        <v>5189</v>
      </c>
      <c r="E964" s="1014">
        <v>4687</v>
      </c>
      <c r="F964" s="1013" t="s">
        <v>469</v>
      </c>
      <c r="G964" s="1014" t="s">
        <v>266</v>
      </c>
      <c r="H964" s="1015">
        <v>159220</v>
      </c>
      <c r="I964" s="1016" t="s">
        <v>6899</v>
      </c>
    </row>
    <row r="965" spans="2:9" ht="15.75" x14ac:dyDescent="0.25">
      <c r="B965" s="1365" t="s">
        <v>7169</v>
      </c>
      <c r="C965" s="1013" t="s">
        <v>4451</v>
      </c>
      <c r="D965" s="1013" t="s">
        <v>4616</v>
      </c>
      <c r="E965" s="1014">
        <v>4688</v>
      </c>
      <c r="F965" s="1013" t="s">
        <v>470</v>
      </c>
      <c r="G965" s="1014" t="s">
        <v>266</v>
      </c>
      <c r="H965" s="1015">
        <v>259089</v>
      </c>
      <c r="I965" s="1016" t="s">
        <v>6899</v>
      </c>
    </row>
    <row r="966" spans="2:9" ht="15.75" x14ac:dyDescent="0.25">
      <c r="B966" s="1365" t="s">
        <v>7169</v>
      </c>
      <c r="C966" s="1013" t="s">
        <v>4451</v>
      </c>
      <c r="D966" s="1013" t="s">
        <v>4616</v>
      </c>
      <c r="E966" s="1014">
        <v>4689</v>
      </c>
      <c r="F966" s="1013" t="s">
        <v>5258</v>
      </c>
      <c r="G966" s="1014" t="s">
        <v>266</v>
      </c>
      <c r="H966" s="1015">
        <v>226261</v>
      </c>
      <c r="I966" s="1016" t="s">
        <v>6899</v>
      </c>
    </row>
    <row r="967" spans="2:9" ht="15.75" x14ac:dyDescent="0.25">
      <c r="B967" s="1365" t="s">
        <v>7169</v>
      </c>
      <c r="C967" s="1013" t="s">
        <v>4451</v>
      </c>
      <c r="D967" s="1013" t="s">
        <v>4616</v>
      </c>
      <c r="E967" s="1014">
        <v>4690</v>
      </c>
      <c r="F967" s="1013" t="s">
        <v>5259</v>
      </c>
      <c r="G967" s="1014" t="s">
        <v>266</v>
      </c>
      <c r="H967" s="1015">
        <v>228731</v>
      </c>
      <c r="I967" s="1016" t="s">
        <v>6899</v>
      </c>
    </row>
    <row r="968" spans="2:9" ht="15.75" x14ac:dyDescent="0.25">
      <c r="B968" s="1365" t="s">
        <v>7169</v>
      </c>
      <c r="C968" s="1013" t="s">
        <v>4451</v>
      </c>
      <c r="D968" s="1013" t="s">
        <v>4616</v>
      </c>
      <c r="E968" s="1014">
        <v>4691</v>
      </c>
      <c r="F968" s="1013" t="s">
        <v>5260</v>
      </c>
      <c r="G968" s="1014" t="s">
        <v>266</v>
      </c>
      <c r="H968" s="1015">
        <v>179771</v>
      </c>
      <c r="I968" s="1016" t="s">
        <v>6899</v>
      </c>
    </row>
    <row r="969" spans="2:9" ht="15.75" x14ac:dyDescent="0.25">
      <c r="B969" s="1365" t="s">
        <v>7169</v>
      </c>
      <c r="C969" s="1013" t="s">
        <v>4451</v>
      </c>
      <c r="D969" s="1013" t="s">
        <v>4616</v>
      </c>
      <c r="E969" s="1014">
        <v>4692</v>
      </c>
      <c r="F969" s="1013" t="s">
        <v>5261</v>
      </c>
      <c r="G969" s="1014" t="s">
        <v>266</v>
      </c>
      <c r="H969" s="1015">
        <v>197394</v>
      </c>
      <c r="I969" s="1016" t="s">
        <v>6899</v>
      </c>
    </row>
    <row r="970" spans="2:9" ht="15.75" x14ac:dyDescent="0.25">
      <c r="B970" s="1365" t="s">
        <v>7169</v>
      </c>
      <c r="C970" s="1013" t="s">
        <v>4451</v>
      </c>
      <c r="D970" s="1013" t="s">
        <v>4616</v>
      </c>
      <c r="E970" s="1014">
        <v>4693</v>
      </c>
      <c r="F970" s="1013" t="s">
        <v>5262</v>
      </c>
      <c r="G970" s="1014" t="s">
        <v>266</v>
      </c>
      <c r="H970" s="1015">
        <v>199864</v>
      </c>
      <c r="I970" s="1016" t="s">
        <v>6899</v>
      </c>
    </row>
    <row r="971" spans="2:9" ht="15.75" x14ac:dyDescent="0.25">
      <c r="B971" s="1365" t="s">
        <v>7169</v>
      </c>
      <c r="C971" s="1013" t="s">
        <v>4451</v>
      </c>
      <c r="D971" s="1013" t="s">
        <v>4616</v>
      </c>
      <c r="E971" s="1014">
        <v>4694</v>
      </c>
      <c r="F971" s="1013" t="s">
        <v>5263</v>
      </c>
      <c r="G971" s="1014" t="s">
        <v>266</v>
      </c>
      <c r="H971" s="1015">
        <v>157588</v>
      </c>
      <c r="I971" s="1016" t="s">
        <v>6899</v>
      </c>
    </row>
    <row r="972" spans="2:9" ht="15.75" x14ac:dyDescent="0.25">
      <c r="B972" s="1365" t="s">
        <v>7169</v>
      </c>
      <c r="C972" s="1013" t="s">
        <v>4468</v>
      </c>
      <c r="D972" s="1013" t="s">
        <v>4814</v>
      </c>
      <c r="E972" s="1014">
        <v>4695</v>
      </c>
      <c r="F972" s="1013" t="s">
        <v>471</v>
      </c>
      <c r="G972" s="1014" t="s">
        <v>6</v>
      </c>
      <c r="H972" s="1015">
        <v>2948</v>
      </c>
      <c r="I972" s="1016" t="s">
        <v>6899</v>
      </c>
    </row>
    <row r="973" spans="2:9" ht="15.75" x14ac:dyDescent="0.25">
      <c r="B973" s="1365" t="s">
        <v>7169</v>
      </c>
      <c r="C973" s="1013" t="s">
        <v>4468</v>
      </c>
      <c r="D973" s="1013" t="s">
        <v>4814</v>
      </c>
      <c r="E973" s="1014">
        <v>4696</v>
      </c>
      <c r="F973" s="1013" t="s">
        <v>472</v>
      </c>
      <c r="G973" s="1014" t="s">
        <v>6</v>
      </c>
      <c r="H973" s="1015">
        <v>3105</v>
      </c>
      <c r="I973" s="1016" t="s">
        <v>6899</v>
      </c>
    </row>
    <row r="974" spans="2:9" ht="15.75" x14ac:dyDescent="0.25">
      <c r="B974" s="1365" t="s">
        <v>7169</v>
      </c>
      <c r="C974" s="1013" t="s">
        <v>4451</v>
      </c>
      <c r="D974" s="1013" t="s">
        <v>4616</v>
      </c>
      <c r="E974" s="1014">
        <v>4697</v>
      </c>
      <c r="F974" s="1013" t="s">
        <v>5264</v>
      </c>
      <c r="G974" s="1014" t="s">
        <v>266</v>
      </c>
      <c r="H974" s="1015">
        <v>235217</v>
      </c>
      <c r="I974" s="1016" t="s">
        <v>6899</v>
      </c>
    </row>
    <row r="975" spans="2:9" ht="15.75" x14ac:dyDescent="0.25">
      <c r="B975" s="1365" t="s">
        <v>7169</v>
      </c>
      <c r="C975" s="1013" t="s">
        <v>4451</v>
      </c>
      <c r="D975" s="1013" t="s">
        <v>4616</v>
      </c>
      <c r="E975" s="1014">
        <v>4698</v>
      </c>
      <c r="F975" s="1013" t="s">
        <v>5265</v>
      </c>
      <c r="G975" s="1014" t="s">
        <v>266</v>
      </c>
      <c r="H975" s="1015">
        <v>234586</v>
      </c>
      <c r="I975" s="1016" t="s">
        <v>6899</v>
      </c>
    </row>
    <row r="976" spans="2:9" ht="15.75" x14ac:dyDescent="0.25">
      <c r="B976" s="1365" t="s">
        <v>7169</v>
      </c>
      <c r="C976" s="1013" t="s">
        <v>4451</v>
      </c>
      <c r="D976" s="1013" t="s">
        <v>4616</v>
      </c>
      <c r="E976" s="1014">
        <v>4699</v>
      </c>
      <c r="F976" s="1013" t="s">
        <v>5266</v>
      </c>
      <c r="G976" s="1014" t="s">
        <v>266</v>
      </c>
      <c r="H976" s="1015">
        <v>223109</v>
      </c>
      <c r="I976" s="1016" t="s">
        <v>6899</v>
      </c>
    </row>
    <row r="977" spans="2:9" ht="15.75" x14ac:dyDescent="0.25">
      <c r="B977" s="1365" t="s">
        <v>7169</v>
      </c>
      <c r="C977" s="1013" t="s">
        <v>4451</v>
      </c>
      <c r="D977" s="1013" t="s">
        <v>4616</v>
      </c>
      <c r="E977" s="1014">
        <v>4700</v>
      </c>
      <c r="F977" s="1013" t="s">
        <v>5267</v>
      </c>
      <c r="G977" s="1014" t="s">
        <v>266</v>
      </c>
      <c r="H977" s="1015">
        <v>216788</v>
      </c>
      <c r="I977" s="1016" t="s">
        <v>6899</v>
      </c>
    </row>
    <row r="978" spans="2:9" ht="15.75" x14ac:dyDescent="0.25">
      <c r="B978" s="1365" t="s">
        <v>6897</v>
      </c>
      <c r="C978" s="1013" t="s">
        <v>4791</v>
      </c>
      <c r="D978" s="1013" t="s">
        <v>5165</v>
      </c>
      <c r="E978" s="1014">
        <v>4702</v>
      </c>
      <c r="F978" s="1013" t="s">
        <v>473</v>
      </c>
      <c r="G978" s="1014" t="s">
        <v>12</v>
      </c>
      <c r="H978" s="1015">
        <v>3205</v>
      </c>
      <c r="I978" s="1016" t="s">
        <v>6899</v>
      </c>
    </row>
    <row r="979" spans="2:9" ht="15.75" x14ac:dyDescent="0.25">
      <c r="B979" s="1365" t="s">
        <v>7169</v>
      </c>
      <c r="C979" s="1013" t="s">
        <v>4417</v>
      </c>
      <c r="D979" s="1013" t="s">
        <v>4438</v>
      </c>
      <c r="E979" s="1014">
        <v>4703</v>
      </c>
      <c r="F979" s="1013" t="s">
        <v>474</v>
      </c>
      <c r="G979" s="1014" t="s">
        <v>12</v>
      </c>
      <c r="H979" s="1015">
        <v>2450</v>
      </c>
      <c r="I979" s="1016" t="s">
        <v>4398</v>
      </c>
    </row>
    <row r="980" spans="2:9" ht="15.75" x14ac:dyDescent="0.25">
      <c r="B980" s="1365" t="s">
        <v>7169</v>
      </c>
      <c r="C980" s="1013" t="s">
        <v>4417</v>
      </c>
      <c r="D980" s="1013" t="s">
        <v>4438</v>
      </c>
      <c r="E980" s="1014">
        <v>4704</v>
      </c>
      <c r="F980" s="1013" t="s">
        <v>475</v>
      </c>
      <c r="G980" s="1014" t="s">
        <v>12</v>
      </c>
      <c r="H980" s="1015">
        <v>2629</v>
      </c>
      <c r="I980" s="1016" t="s">
        <v>4398</v>
      </c>
    </row>
    <row r="981" spans="2:9" ht="15.75" x14ac:dyDescent="0.25">
      <c r="B981" s="1365" t="s">
        <v>6897</v>
      </c>
      <c r="C981" s="1013" t="s">
        <v>5188</v>
      </c>
      <c r="D981" s="1013" t="s">
        <v>5189</v>
      </c>
      <c r="E981" s="1014">
        <v>4705</v>
      </c>
      <c r="F981" s="1013" t="s">
        <v>5268</v>
      </c>
      <c r="G981" s="1014" t="s">
        <v>12</v>
      </c>
      <c r="H981" s="1015">
        <v>109490</v>
      </c>
      <c r="I981" s="1016" t="s">
        <v>6899</v>
      </c>
    </row>
    <row r="982" spans="2:9" ht="15.75" x14ac:dyDescent="0.25">
      <c r="B982" s="1365" t="s">
        <v>6897</v>
      </c>
      <c r="C982" s="1013" t="s">
        <v>5188</v>
      </c>
      <c r="D982" s="1013" t="s">
        <v>5189</v>
      </c>
      <c r="E982" s="1014">
        <v>4706</v>
      </c>
      <c r="F982" s="1013" t="s">
        <v>5269</v>
      </c>
      <c r="G982" s="1014" t="s">
        <v>12</v>
      </c>
      <c r="H982" s="1015">
        <v>109669</v>
      </c>
      <c r="I982" s="1016" t="s">
        <v>6899</v>
      </c>
    </row>
    <row r="983" spans="2:9" ht="15.75" x14ac:dyDescent="0.25">
      <c r="B983" s="1365" t="s">
        <v>6897</v>
      </c>
      <c r="C983" s="1013" t="s">
        <v>4791</v>
      </c>
      <c r="D983" s="1013" t="s">
        <v>4792</v>
      </c>
      <c r="E983" s="1014">
        <v>4708</v>
      </c>
      <c r="F983" s="1013" t="s">
        <v>5270</v>
      </c>
      <c r="G983" s="1014" t="s">
        <v>12</v>
      </c>
      <c r="H983" s="1015">
        <v>468471</v>
      </c>
      <c r="I983" s="1016" t="s">
        <v>6899</v>
      </c>
    </row>
    <row r="984" spans="2:9" ht="15.75" x14ac:dyDescent="0.25">
      <c r="B984" s="1365" t="s">
        <v>7169</v>
      </c>
      <c r="C984" s="1013" t="s">
        <v>4791</v>
      </c>
      <c r="D984" s="1013" t="s">
        <v>5151</v>
      </c>
      <c r="E984" s="1014">
        <v>4709</v>
      </c>
      <c r="F984" s="1013" t="s">
        <v>5271</v>
      </c>
      <c r="G984" s="1014" t="s">
        <v>12</v>
      </c>
      <c r="H984" s="1015">
        <v>140324</v>
      </c>
      <c r="I984" s="1016" t="s">
        <v>6899</v>
      </c>
    </row>
    <row r="985" spans="2:9" ht="15.75" x14ac:dyDescent="0.25">
      <c r="B985" s="1365" t="s">
        <v>7169</v>
      </c>
      <c r="C985" s="1013" t="s">
        <v>4454</v>
      </c>
      <c r="D985" s="1013" t="s">
        <v>4455</v>
      </c>
      <c r="E985" s="1014">
        <v>4710</v>
      </c>
      <c r="F985" s="1013" t="s">
        <v>476</v>
      </c>
      <c r="G985" s="1014" t="s">
        <v>13</v>
      </c>
      <c r="H985" s="1015">
        <v>14020</v>
      </c>
      <c r="I985" s="1016" t="s">
        <v>3538</v>
      </c>
    </row>
    <row r="986" spans="2:9" ht="15.75" x14ac:dyDescent="0.25">
      <c r="B986" s="1365" t="s">
        <v>7169</v>
      </c>
      <c r="C986" s="1013" t="s">
        <v>4454</v>
      </c>
      <c r="D986" s="1013" t="s">
        <v>4455</v>
      </c>
      <c r="E986" s="1014">
        <v>4711</v>
      </c>
      <c r="F986" s="1013" t="s">
        <v>477</v>
      </c>
      <c r="G986" s="1014" t="s">
        <v>266</v>
      </c>
      <c r="H986" s="1015">
        <v>41217</v>
      </c>
      <c r="I986" s="1016" t="s">
        <v>3538</v>
      </c>
    </row>
    <row r="987" spans="2:9" ht="15.75" x14ac:dyDescent="0.25">
      <c r="B987" s="1365" t="s">
        <v>7169</v>
      </c>
      <c r="C987" s="1013" t="s">
        <v>4472</v>
      </c>
      <c r="D987" s="1013" t="s">
        <v>4817</v>
      </c>
      <c r="E987" s="1014">
        <v>4712</v>
      </c>
      <c r="F987" s="1013" t="s">
        <v>5272</v>
      </c>
      <c r="G987" s="1014" t="s">
        <v>3</v>
      </c>
      <c r="H987" s="1015">
        <v>1514742</v>
      </c>
      <c r="I987" s="1016" t="s">
        <v>6899</v>
      </c>
    </row>
    <row r="988" spans="2:9" ht="15.75" x14ac:dyDescent="0.25">
      <c r="B988" s="1365" t="s">
        <v>7169</v>
      </c>
      <c r="C988" s="1013" t="s">
        <v>4468</v>
      </c>
      <c r="D988" s="1013" t="s">
        <v>4469</v>
      </c>
      <c r="E988" s="1014">
        <v>4737</v>
      </c>
      <c r="F988" s="1013" t="s">
        <v>5273</v>
      </c>
      <c r="G988" s="1014" t="s">
        <v>13</v>
      </c>
      <c r="H988" s="1015">
        <v>932924</v>
      </c>
      <c r="I988" s="1016" t="s">
        <v>6899</v>
      </c>
    </row>
    <row r="989" spans="2:9" ht="15.75" x14ac:dyDescent="0.25">
      <c r="B989" s="1365" t="s">
        <v>7169</v>
      </c>
      <c r="C989" s="1013" t="s">
        <v>4468</v>
      </c>
      <c r="D989" s="1013" t="s">
        <v>4469</v>
      </c>
      <c r="E989" s="1014">
        <v>4738</v>
      </c>
      <c r="F989" s="1013" t="s">
        <v>5274</v>
      </c>
      <c r="G989" s="1014" t="s">
        <v>13</v>
      </c>
      <c r="H989" s="1015">
        <v>773435</v>
      </c>
      <c r="I989" s="1016" t="s">
        <v>6899</v>
      </c>
    </row>
    <row r="990" spans="2:9" ht="15.75" x14ac:dyDescent="0.25">
      <c r="B990" s="1365" t="s">
        <v>7169</v>
      </c>
      <c r="C990" s="1013" t="s">
        <v>4468</v>
      </c>
      <c r="D990" s="1013" t="s">
        <v>4469</v>
      </c>
      <c r="E990" s="1014">
        <v>4739</v>
      </c>
      <c r="F990" s="1013" t="s">
        <v>5275</v>
      </c>
      <c r="G990" s="1014" t="s">
        <v>13</v>
      </c>
      <c r="H990" s="1015">
        <v>1207896</v>
      </c>
      <c r="I990" s="1016" t="s">
        <v>6899</v>
      </c>
    </row>
    <row r="991" spans="2:9" ht="15.75" x14ac:dyDescent="0.25">
      <c r="B991" s="1365" t="s">
        <v>7169</v>
      </c>
      <c r="C991" s="1013" t="s">
        <v>4468</v>
      </c>
      <c r="D991" s="1013" t="s">
        <v>4469</v>
      </c>
      <c r="E991" s="1014">
        <v>4740</v>
      </c>
      <c r="F991" s="1013" t="s">
        <v>5276</v>
      </c>
      <c r="G991" s="1014" t="s">
        <v>13</v>
      </c>
      <c r="H991" s="1015">
        <v>1287336</v>
      </c>
      <c r="I991" s="1016" t="s">
        <v>6899</v>
      </c>
    </row>
    <row r="992" spans="2:9" ht="15.75" x14ac:dyDescent="0.25">
      <c r="B992" s="1365" t="s">
        <v>7169</v>
      </c>
      <c r="C992" s="1013" t="s">
        <v>4468</v>
      </c>
      <c r="D992" s="1013" t="s">
        <v>4469</v>
      </c>
      <c r="E992" s="1014">
        <v>4741</v>
      </c>
      <c r="F992" s="1013" t="s">
        <v>5277</v>
      </c>
      <c r="G992" s="1014" t="s">
        <v>13</v>
      </c>
      <c r="H992" s="1015">
        <v>1482258</v>
      </c>
      <c r="I992" s="1016" t="s">
        <v>6899</v>
      </c>
    </row>
    <row r="993" spans="2:9" ht="15.75" x14ac:dyDescent="0.25">
      <c r="B993" s="1365" t="s">
        <v>7169</v>
      </c>
      <c r="C993" s="1013" t="s">
        <v>4468</v>
      </c>
      <c r="D993" s="1013" t="s">
        <v>4469</v>
      </c>
      <c r="E993" s="1014">
        <v>4742</v>
      </c>
      <c r="F993" s="1013" t="s">
        <v>5278</v>
      </c>
      <c r="G993" s="1014" t="s">
        <v>13</v>
      </c>
      <c r="H993" s="1015">
        <v>1688987</v>
      </c>
      <c r="I993" s="1016" t="s">
        <v>6899</v>
      </c>
    </row>
    <row r="994" spans="2:9" ht="15.75" x14ac:dyDescent="0.25">
      <c r="B994" s="1365" t="s">
        <v>7169</v>
      </c>
      <c r="C994" s="1013" t="s">
        <v>4410</v>
      </c>
      <c r="D994" s="1013" t="s">
        <v>4642</v>
      </c>
      <c r="E994" s="1014">
        <v>4743</v>
      </c>
      <c r="F994" s="1013" t="s">
        <v>5279</v>
      </c>
      <c r="G994" s="1014" t="s">
        <v>3</v>
      </c>
      <c r="H994" s="1015">
        <v>174193</v>
      </c>
      <c r="I994" s="1016" t="s">
        <v>6899</v>
      </c>
    </row>
    <row r="995" spans="2:9" ht="15.75" x14ac:dyDescent="0.25">
      <c r="B995" s="1365" t="s">
        <v>7169</v>
      </c>
      <c r="C995" s="1013" t="s">
        <v>4410</v>
      </c>
      <c r="D995" s="1013" t="s">
        <v>4642</v>
      </c>
      <c r="E995" s="1014">
        <v>4744</v>
      </c>
      <c r="F995" s="1013" t="s">
        <v>5280</v>
      </c>
      <c r="G995" s="1014" t="s">
        <v>3</v>
      </c>
      <c r="H995" s="1015">
        <v>182905</v>
      </c>
      <c r="I995" s="1016" t="s">
        <v>6899</v>
      </c>
    </row>
    <row r="996" spans="2:9" ht="15.75" x14ac:dyDescent="0.25">
      <c r="B996" s="1365" t="s">
        <v>7169</v>
      </c>
      <c r="C996" s="1013" t="s">
        <v>4410</v>
      </c>
      <c r="D996" s="1013" t="s">
        <v>4642</v>
      </c>
      <c r="E996" s="1014">
        <v>4745</v>
      </c>
      <c r="F996" s="1013" t="s">
        <v>5281</v>
      </c>
      <c r="G996" s="1014" t="s">
        <v>3</v>
      </c>
      <c r="H996" s="1015">
        <v>164805</v>
      </c>
      <c r="I996" s="1016" t="s">
        <v>6899</v>
      </c>
    </row>
    <row r="997" spans="2:9" ht="15.75" x14ac:dyDescent="0.25">
      <c r="B997" s="1365" t="s">
        <v>7169</v>
      </c>
      <c r="C997" s="1013" t="s">
        <v>4410</v>
      </c>
      <c r="D997" s="1013" t="s">
        <v>4642</v>
      </c>
      <c r="E997" s="1014">
        <v>4746</v>
      </c>
      <c r="F997" s="1013" t="s">
        <v>5282</v>
      </c>
      <c r="G997" s="1014" t="s">
        <v>3</v>
      </c>
      <c r="H997" s="1015">
        <v>161711</v>
      </c>
      <c r="I997" s="1016" t="s">
        <v>6899</v>
      </c>
    </row>
    <row r="998" spans="2:9" ht="15.75" x14ac:dyDescent="0.25">
      <c r="B998" s="1365" t="s">
        <v>7169</v>
      </c>
      <c r="C998" s="1013" t="s">
        <v>4410</v>
      </c>
      <c r="D998" s="1013" t="s">
        <v>4642</v>
      </c>
      <c r="E998" s="1014">
        <v>4747</v>
      </c>
      <c r="F998" s="1013" t="s">
        <v>5283</v>
      </c>
      <c r="G998" s="1014" t="s">
        <v>3</v>
      </c>
      <c r="H998" s="1015">
        <v>161711</v>
      </c>
      <c r="I998" s="1016" t="s">
        <v>6899</v>
      </c>
    </row>
    <row r="999" spans="2:9" ht="15.75" x14ac:dyDescent="0.25">
      <c r="B999" s="1365" t="s">
        <v>7169</v>
      </c>
      <c r="C999" s="1013" t="s">
        <v>4410</v>
      </c>
      <c r="D999" s="1013" t="s">
        <v>4642</v>
      </c>
      <c r="E999" s="1014">
        <v>4748</v>
      </c>
      <c r="F999" s="1013" t="s">
        <v>5284</v>
      </c>
      <c r="G999" s="1014" t="s">
        <v>3</v>
      </c>
      <c r="H999" s="1015">
        <v>153976</v>
      </c>
      <c r="I999" s="1016" t="s">
        <v>6899</v>
      </c>
    </row>
    <row r="1000" spans="2:9" ht="15.75" x14ac:dyDescent="0.25">
      <c r="B1000" s="1365" t="s">
        <v>7169</v>
      </c>
      <c r="C1000" s="1013" t="s">
        <v>4410</v>
      </c>
      <c r="D1000" s="1013" t="s">
        <v>4642</v>
      </c>
      <c r="E1000" s="1014">
        <v>4749</v>
      </c>
      <c r="F1000" s="1013" t="s">
        <v>5285</v>
      </c>
      <c r="G1000" s="1014" t="s">
        <v>3</v>
      </c>
      <c r="H1000" s="1015">
        <v>171708</v>
      </c>
      <c r="I1000" s="1016" t="s">
        <v>6899</v>
      </c>
    </row>
    <row r="1001" spans="2:9" ht="15.75" x14ac:dyDescent="0.25">
      <c r="B1001" s="1365" t="s">
        <v>6897</v>
      </c>
      <c r="C1001" s="1013" t="s">
        <v>4791</v>
      </c>
      <c r="D1001" s="1013" t="s">
        <v>5144</v>
      </c>
      <c r="E1001" s="1014">
        <v>4750</v>
      </c>
      <c r="F1001" s="1013" t="s">
        <v>478</v>
      </c>
      <c r="G1001" s="1014" t="s">
        <v>3</v>
      </c>
      <c r="H1001" s="1015">
        <v>505507</v>
      </c>
      <c r="I1001" s="1016" t="s">
        <v>6899</v>
      </c>
    </row>
    <row r="1002" spans="2:9" ht="15.75" x14ac:dyDescent="0.25">
      <c r="B1002" s="1365" t="s">
        <v>7169</v>
      </c>
      <c r="C1002" s="1013" t="s">
        <v>4417</v>
      </c>
      <c r="D1002" s="1013" t="s">
        <v>4631</v>
      </c>
      <c r="E1002" s="1014">
        <v>4751</v>
      </c>
      <c r="F1002" s="1013" t="s">
        <v>5286</v>
      </c>
      <c r="G1002" s="1014" t="s">
        <v>13</v>
      </c>
      <c r="H1002" s="1015">
        <v>14401</v>
      </c>
      <c r="I1002" s="1016" t="s">
        <v>6899</v>
      </c>
    </row>
    <row r="1003" spans="2:9" ht="15.75" x14ac:dyDescent="0.25">
      <c r="B1003" s="1365" t="s">
        <v>6897</v>
      </c>
      <c r="C1003" s="1013" t="s">
        <v>5188</v>
      </c>
      <c r="D1003" s="1013" t="s">
        <v>5189</v>
      </c>
      <c r="E1003" s="1014">
        <v>4752</v>
      </c>
      <c r="F1003" s="1013" t="s">
        <v>479</v>
      </c>
      <c r="G1003" s="1014" t="s">
        <v>12</v>
      </c>
      <c r="H1003" s="1015">
        <v>150502</v>
      </c>
      <c r="I1003" s="1016" t="s">
        <v>6899</v>
      </c>
    </row>
    <row r="1004" spans="2:9" ht="15.75" x14ac:dyDescent="0.25">
      <c r="B1004" s="1365" t="s">
        <v>7169</v>
      </c>
      <c r="C1004" s="1013" t="s">
        <v>4410</v>
      </c>
      <c r="D1004" s="1013" t="s">
        <v>4642</v>
      </c>
      <c r="E1004" s="1014">
        <v>4753</v>
      </c>
      <c r="F1004" s="1013" t="s">
        <v>5287</v>
      </c>
      <c r="G1004" s="1014" t="s">
        <v>3</v>
      </c>
      <c r="H1004" s="1015">
        <v>166027</v>
      </c>
      <c r="I1004" s="1016" t="s">
        <v>6899</v>
      </c>
    </row>
    <row r="1005" spans="2:9" ht="15.75" x14ac:dyDescent="0.25">
      <c r="B1005" s="1365" t="s">
        <v>7169</v>
      </c>
      <c r="C1005" s="1013" t="s">
        <v>4410</v>
      </c>
      <c r="D1005" s="1013" t="s">
        <v>4642</v>
      </c>
      <c r="E1005" s="1014">
        <v>4754</v>
      </c>
      <c r="F1005" s="1013" t="s">
        <v>5288</v>
      </c>
      <c r="G1005" s="1014" t="s">
        <v>3</v>
      </c>
      <c r="H1005" s="1015">
        <v>166027</v>
      </c>
      <c r="I1005" s="1016" t="s">
        <v>6899</v>
      </c>
    </row>
    <row r="1006" spans="2:9" ht="15.75" x14ac:dyDescent="0.25">
      <c r="B1006" s="1365" t="s">
        <v>7169</v>
      </c>
      <c r="C1006" s="1013" t="s">
        <v>4410</v>
      </c>
      <c r="D1006" s="1013" t="s">
        <v>4642</v>
      </c>
      <c r="E1006" s="1014">
        <v>4755</v>
      </c>
      <c r="F1006" s="1013" t="s">
        <v>5289</v>
      </c>
      <c r="G1006" s="1014" t="s">
        <v>3</v>
      </c>
      <c r="H1006" s="1015">
        <v>158292</v>
      </c>
      <c r="I1006" s="1016" t="s">
        <v>6899</v>
      </c>
    </row>
    <row r="1007" spans="2:9" ht="15.75" x14ac:dyDescent="0.25">
      <c r="B1007" s="1365" t="s">
        <v>6897</v>
      </c>
      <c r="C1007" s="1013" t="s">
        <v>5188</v>
      </c>
      <c r="D1007" s="1013" t="s">
        <v>5189</v>
      </c>
      <c r="E1007" s="1014">
        <v>4756</v>
      </c>
      <c r="F1007" s="1013" t="s">
        <v>5290</v>
      </c>
      <c r="G1007" s="1014" t="s">
        <v>12</v>
      </c>
      <c r="H1007" s="1015">
        <v>126327</v>
      </c>
      <c r="I1007" s="1016" t="s">
        <v>6899</v>
      </c>
    </row>
    <row r="1008" spans="2:9" ht="15.75" x14ac:dyDescent="0.25">
      <c r="B1008" s="1365" t="s">
        <v>6897</v>
      </c>
      <c r="C1008" s="1013" t="s">
        <v>5188</v>
      </c>
      <c r="D1008" s="1013" t="s">
        <v>5189</v>
      </c>
      <c r="E1008" s="1014">
        <v>4757</v>
      </c>
      <c r="F1008" s="1013" t="s">
        <v>5291</v>
      </c>
      <c r="G1008" s="1014" t="s">
        <v>12</v>
      </c>
      <c r="H1008" s="1015">
        <v>109148</v>
      </c>
      <c r="I1008" s="1016" t="s">
        <v>6899</v>
      </c>
    </row>
    <row r="1009" spans="2:9" ht="15.75" x14ac:dyDescent="0.25">
      <c r="B1009" s="1365" t="s">
        <v>7169</v>
      </c>
      <c r="C1009" s="1013" t="s">
        <v>4799</v>
      </c>
      <c r="D1009" s="1013" t="s">
        <v>5199</v>
      </c>
      <c r="E1009" s="1014">
        <v>4758</v>
      </c>
      <c r="F1009" s="1013" t="s">
        <v>480</v>
      </c>
      <c r="G1009" s="1014" t="s">
        <v>13</v>
      </c>
      <c r="H1009" s="1015">
        <v>8313</v>
      </c>
      <c r="I1009" s="1016" t="s">
        <v>6899</v>
      </c>
    </row>
    <row r="1010" spans="2:9" ht="15.75" x14ac:dyDescent="0.25">
      <c r="B1010" s="1365" t="s">
        <v>7169</v>
      </c>
      <c r="C1010" s="1013" t="s">
        <v>5292</v>
      </c>
      <c r="D1010" s="1013" t="s">
        <v>5293</v>
      </c>
      <c r="E1010" s="1014">
        <v>4759</v>
      </c>
      <c r="F1010" s="1013" t="s">
        <v>481</v>
      </c>
      <c r="G1010" s="1014" t="s">
        <v>13</v>
      </c>
      <c r="H1010" s="1015">
        <v>48236</v>
      </c>
      <c r="I1010" s="1016" t="s">
        <v>6899</v>
      </c>
    </row>
    <row r="1011" spans="2:9" ht="15.75" x14ac:dyDescent="0.25">
      <c r="B1011" s="1365" t="s">
        <v>7169</v>
      </c>
      <c r="C1011" s="1013" t="s">
        <v>5292</v>
      </c>
      <c r="D1011" s="1013" t="s">
        <v>5293</v>
      </c>
      <c r="E1011" s="1014">
        <v>4762</v>
      </c>
      <c r="F1011" s="1013" t="s">
        <v>482</v>
      </c>
      <c r="G1011" s="1014" t="s">
        <v>13</v>
      </c>
      <c r="H1011" s="1015">
        <v>41741</v>
      </c>
      <c r="I1011" s="1016" t="s">
        <v>4398</v>
      </c>
    </row>
    <row r="1012" spans="2:9" ht="15.75" x14ac:dyDescent="0.25">
      <c r="B1012" s="1365" t="s">
        <v>7169</v>
      </c>
      <c r="C1012" s="1013" t="s">
        <v>5292</v>
      </c>
      <c r="D1012" s="1013" t="s">
        <v>5293</v>
      </c>
      <c r="E1012" s="1014">
        <v>4764</v>
      </c>
      <c r="F1012" s="1013" t="s">
        <v>483</v>
      </c>
      <c r="G1012" s="1014" t="s">
        <v>266</v>
      </c>
      <c r="H1012" s="1015">
        <v>1772</v>
      </c>
      <c r="I1012" s="1016" t="s">
        <v>4398</v>
      </c>
    </row>
    <row r="1013" spans="2:9" ht="15.75" x14ac:dyDescent="0.25">
      <c r="B1013" s="1365" t="s">
        <v>7169</v>
      </c>
      <c r="C1013" s="1013" t="s">
        <v>5292</v>
      </c>
      <c r="D1013" s="1013" t="s">
        <v>5293</v>
      </c>
      <c r="E1013" s="1014">
        <v>4765</v>
      </c>
      <c r="F1013" s="1013" t="s">
        <v>484</v>
      </c>
      <c r="G1013" s="1014" t="s">
        <v>266</v>
      </c>
      <c r="H1013" s="1015">
        <v>2097</v>
      </c>
      <c r="I1013" s="1016" t="s">
        <v>6899</v>
      </c>
    </row>
    <row r="1014" spans="2:9" ht="15.75" x14ac:dyDescent="0.25">
      <c r="B1014" s="1365" t="s">
        <v>7169</v>
      </c>
      <c r="C1014" s="1013" t="s">
        <v>5294</v>
      </c>
      <c r="D1014" s="1013" t="s">
        <v>5295</v>
      </c>
      <c r="E1014" s="1014">
        <v>4776</v>
      </c>
      <c r="F1014" s="1013" t="s">
        <v>485</v>
      </c>
      <c r="G1014" s="1014" t="s">
        <v>12</v>
      </c>
      <c r="H1014" s="1015">
        <v>2463</v>
      </c>
      <c r="I1014" s="1016" t="s">
        <v>4398</v>
      </c>
    </row>
    <row r="1015" spans="2:9" ht="15.75" x14ac:dyDescent="0.25">
      <c r="B1015" s="1365" t="s">
        <v>7169</v>
      </c>
      <c r="C1015" s="1013" t="s">
        <v>5294</v>
      </c>
      <c r="D1015" s="1013" t="s">
        <v>5295</v>
      </c>
      <c r="E1015" s="1014">
        <v>4777</v>
      </c>
      <c r="F1015" s="1013" t="s">
        <v>486</v>
      </c>
      <c r="G1015" s="1014" t="s">
        <v>12</v>
      </c>
      <c r="H1015" s="1015">
        <v>9898</v>
      </c>
      <c r="I1015" s="1016" t="s">
        <v>4398</v>
      </c>
    </row>
    <row r="1016" spans="2:9" ht="15.75" x14ac:dyDescent="0.25">
      <c r="B1016" s="1365" t="s">
        <v>7169</v>
      </c>
      <c r="C1016" s="1013" t="s">
        <v>5294</v>
      </c>
      <c r="D1016" s="1013" t="s">
        <v>5295</v>
      </c>
      <c r="E1016" s="1014">
        <v>4778</v>
      </c>
      <c r="F1016" s="1013" t="s">
        <v>487</v>
      </c>
      <c r="G1016" s="1014" t="s">
        <v>266</v>
      </c>
      <c r="H1016" s="1015">
        <v>64962</v>
      </c>
      <c r="I1016" s="1016" t="s">
        <v>4398</v>
      </c>
    </row>
    <row r="1017" spans="2:9" ht="15.75" x14ac:dyDescent="0.25">
      <c r="B1017" s="1365" t="s">
        <v>7169</v>
      </c>
      <c r="C1017" s="1013" t="s">
        <v>5294</v>
      </c>
      <c r="D1017" s="1013" t="s">
        <v>5295</v>
      </c>
      <c r="E1017" s="1014">
        <v>4779</v>
      </c>
      <c r="F1017" s="1013" t="s">
        <v>488</v>
      </c>
      <c r="G1017" s="1014" t="s">
        <v>266</v>
      </c>
      <c r="H1017" s="1015">
        <v>147151</v>
      </c>
      <c r="I1017" s="1016" t="s">
        <v>4398</v>
      </c>
    </row>
    <row r="1018" spans="2:9" ht="15.75" x14ac:dyDescent="0.25">
      <c r="B1018" s="1365" t="s">
        <v>7169</v>
      </c>
      <c r="C1018" s="1013" t="s">
        <v>5294</v>
      </c>
      <c r="D1018" s="1013" t="s">
        <v>5295</v>
      </c>
      <c r="E1018" s="1014">
        <v>4780</v>
      </c>
      <c r="F1018" s="1013" t="s">
        <v>489</v>
      </c>
      <c r="G1018" s="1014" t="s">
        <v>490</v>
      </c>
      <c r="H1018" s="1015">
        <v>377029</v>
      </c>
      <c r="I1018" s="1016" t="s">
        <v>4398</v>
      </c>
    </row>
    <row r="1019" spans="2:9" ht="15.75" x14ac:dyDescent="0.25">
      <c r="B1019" s="1365" t="s">
        <v>7169</v>
      </c>
      <c r="C1019" s="1013" t="s">
        <v>5294</v>
      </c>
      <c r="D1019" s="1013" t="s">
        <v>5295</v>
      </c>
      <c r="E1019" s="1014">
        <v>4781</v>
      </c>
      <c r="F1019" s="1013" t="s">
        <v>491</v>
      </c>
      <c r="G1019" s="1014" t="s">
        <v>3</v>
      </c>
      <c r="H1019" s="1015">
        <v>14706</v>
      </c>
      <c r="I1019" s="1016" t="s">
        <v>4398</v>
      </c>
    </row>
    <row r="1020" spans="2:9" ht="15.75" x14ac:dyDescent="0.25">
      <c r="B1020" s="1365" t="s">
        <v>7169</v>
      </c>
      <c r="C1020" s="1013" t="s">
        <v>5294</v>
      </c>
      <c r="D1020" s="1013" t="s">
        <v>5295</v>
      </c>
      <c r="E1020" s="1014">
        <v>4782</v>
      </c>
      <c r="F1020" s="1013" t="s">
        <v>492</v>
      </c>
      <c r="G1020" s="1014" t="s">
        <v>12</v>
      </c>
      <c r="H1020" s="1015">
        <v>1182</v>
      </c>
      <c r="I1020" s="1016" t="s">
        <v>6899</v>
      </c>
    </row>
    <row r="1021" spans="2:9" ht="15.75" x14ac:dyDescent="0.25">
      <c r="B1021" s="1365" t="s">
        <v>7169</v>
      </c>
      <c r="C1021" s="1013" t="s">
        <v>5294</v>
      </c>
      <c r="D1021" s="1013" t="s">
        <v>5295</v>
      </c>
      <c r="E1021" s="1014">
        <v>4783</v>
      </c>
      <c r="F1021" s="1013" t="s">
        <v>493</v>
      </c>
      <c r="G1021" s="1014" t="s">
        <v>3</v>
      </c>
      <c r="H1021" s="1015">
        <v>708187</v>
      </c>
      <c r="I1021" s="1016" t="s">
        <v>6899</v>
      </c>
    </row>
    <row r="1022" spans="2:9" ht="15.75" x14ac:dyDescent="0.25">
      <c r="B1022" s="1365" t="s">
        <v>7169</v>
      </c>
      <c r="C1022" s="1013" t="s">
        <v>4799</v>
      </c>
      <c r="D1022" s="1013" t="s">
        <v>5199</v>
      </c>
      <c r="E1022" s="1014">
        <v>4784</v>
      </c>
      <c r="F1022" s="1013" t="s">
        <v>5296</v>
      </c>
      <c r="G1022" s="1014" t="s">
        <v>3</v>
      </c>
      <c r="H1022" s="1015">
        <v>22435</v>
      </c>
      <c r="I1022" s="1016" t="s">
        <v>6899</v>
      </c>
    </row>
    <row r="1023" spans="2:9" ht="15.75" x14ac:dyDescent="0.25">
      <c r="B1023" s="1365" t="s">
        <v>7169</v>
      </c>
      <c r="C1023" s="1013" t="s">
        <v>4420</v>
      </c>
      <c r="D1023" s="1013" t="s">
        <v>4420</v>
      </c>
      <c r="E1023" s="1014">
        <v>4786</v>
      </c>
      <c r="F1023" s="1013" t="s">
        <v>5297</v>
      </c>
      <c r="G1023" s="1014" t="s">
        <v>13</v>
      </c>
      <c r="H1023" s="1015">
        <v>272676</v>
      </c>
      <c r="I1023" s="1016" t="s">
        <v>6899</v>
      </c>
    </row>
    <row r="1024" spans="2:9" ht="15.75" x14ac:dyDescent="0.25">
      <c r="B1024" s="1365" t="s">
        <v>7169</v>
      </c>
      <c r="C1024" s="1013" t="s">
        <v>4461</v>
      </c>
      <c r="D1024" s="1013" t="s">
        <v>4461</v>
      </c>
      <c r="E1024" s="1014">
        <v>4787</v>
      </c>
      <c r="F1024" s="1013" t="s">
        <v>5298</v>
      </c>
      <c r="G1024" s="1014" t="s">
        <v>266</v>
      </c>
      <c r="H1024" s="1015">
        <v>16372</v>
      </c>
      <c r="I1024" s="1016" t="s">
        <v>6899</v>
      </c>
    </row>
    <row r="1025" spans="2:9" ht="15.75" x14ac:dyDescent="0.25">
      <c r="B1025" s="1365" t="s">
        <v>7169</v>
      </c>
      <c r="C1025" s="1013" t="s">
        <v>1474</v>
      </c>
      <c r="D1025" s="1013" t="s">
        <v>4940</v>
      </c>
      <c r="E1025" s="1014">
        <v>4788</v>
      </c>
      <c r="F1025" s="1013" t="s">
        <v>494</v>
      </c>
      <c r="G1025" s="1014" t="s">
        <v>13</v>
      </c>
      <c r="H1025" s="1015">
        <v>49233</v>
      </c>
      <c r="I1025" s="1016" t="s">
        <v>6899</v>
      </c>
    </row>
    <row r="1026" spans="2:9" ht="15.75" x14ac:dyDescent="0.25">
      <c r="B1026" s="1365" t="s">
        <v>7169</v>
      </c>
      <c r="C1026" s="1013" t="s">
        <v>4431</v>
      </c>
      <c r="D1026" s="1013" t="s">
        <v>4432</v>
      </c>
      <c r="E1026" s="1014">
        <v>4789</v>
      </c>
      <c r="F1026" s="1013" t="s">
        <v>495</v>
      </c>
      <c r="G1026" s="1014" t="s">
        <v>13</v>
      </c>
      <c r="H1026" s="1015">
        <v>11422</v>
      </c>
      <c r="I1026" s="1016" t="s">
        <v>4398</v>
      </c>
    </row>
    <row r="1027" spans="2:9" ht="15.75" x14ac:dyDescent="0.25">
      <c r="B1027" s="1365" t="s">
        <v>7169</v>
      </c>
      <c r="C1027" s="1013" t="s">
        <v>4405</v>
      </c>
      <c r="D1027" s="1013" t="s">
        <v>4579</v>
      </c>
      <c r="E1027" s="1014">
        <v>4790</v>
      </c>
      <c r="F1027" s="1013" t="s">
        <v>5299</v>
      </c>
      <c r="G1027" s="1014" t="s">
        <v>13</v>
      </c>
      <c r="H1027" s="1015">
        <v>11693</v>
      </c>
      <c r="I1027" s="1016" t="s">
        <v>4398</v>
      </c>
    </row>
    <row r="1028" spans="2:9" ht="15.75" x14ac:dyDescent="0.25">
      <c r="B1028" s="1365" t="s">
        <v>7169</v>
      </c>
      <c r="C1028" s="1013" t="s">
        <v>4405</v>
      </c>
      <c r="D1028" s="1013" t="s">
        <v>4579</v>
      </c>
      <c r="E1028" s="1014">
        <v>4791</v>
      </c>
      <c r="F1028" s="1013" t="s">
        <v>5300</v>
      </c>
      <c r="G1028" s="1014" t="s">
        <v>13</v>
      </c>
      <c r="H1028" s="1015">
        <v>27177</v>
      </c>
      <c r="I1028" s="1016" t="s">
        <v>4398</v>
      </c>
    </row>
    <row r="1029" spans="2:9" ht="15.75" x14ac:dyDescent="0.25">
      <c r="B1029" s="1365" t="s">
        <v>7169</v>
      </c>
      <c r="C1029" s="1013" t="s">
        <v>4410</v>
      </c>
      <c r="D1029" s="1013" t="s">
        <v>4415</v>
      </c>
      <c r="E1029" s="1014">
        <v>4792</v>
      </c>
      <c r="F1029" s="1013" t="s">
        <v>5301</v>
      </c>
      <c r="G1029" s="1014" t="s">
        <v>3</v>
      </c>
      <c r="H1029" s="1015">
        <v>95629</v>
      </c>
      <c r="I1029" s="1016" t="s">
        <v>6899</v>
      </c>
    </row>
    <row r="1030" spans="2:9" ht="15.75" x14ac:dyDescent="0.25">
      <c r="B1030" s="1365" t="s">
        <v>7169</v>
      </c>
      <c r="C1030" s="1013" t="s">
        <v>4451</v>
      </c>
      <c r="D1030" s="1013" t="s">
        <v>4452</v>
      </c>
      <c r="E1030" s="1014">
        <v>4794</v>
      </c>
      <c r="F1030" s="1013" t="s">
        <v>7195</v>
      </c>
      <c r="G1030" s="1014" t="s">
        <v>12</v>
      </c>
      <c r="H1030" s="1015">
        <v>67378</v>
      </c>
      <c r="I1030" s="1016" t="s">
        <v>6899</v>
      </c>
    </row>
    <row r="1031" spans="2:9" ht="15.75" x14ac:dyDescent="0.25">
      <c r="B1031" s="1365" t="s">
        <v>7169</v>
      </c>
      <c r="C1031" s="1013" t="s">
        <v>4451</v>
      </c>
      <c r="D1031" s="1013" t="s">
        <v>4452</v>
      </c>
      <c r="E1031" s="1014">
        <v>4795</v>
      </c>
      <c r="F1031" s="1013" t="s">
        <v>7196</v>
      </c>
      <c r="G1031" s="1014" t="s">
        <v>12</v>
      </c>
      <c r="H1031" s="1015">
        <v>61828</v>
      </c>
      <c r="I1031" s="1016" t="s">
        <v>6899</v>
      </c>
    </row>
    <row r="1032" spans="2:9" ht="15.75" x14ac:dyDescent="0.25">
      <c r="B1032" s="1365" t="s">
        <v>7169</v>
      </c>
      <c r="C1032" s="1013" t="s">
        <v>4451</v>
      </c>
      <c r="D1032" s="1013" t="s">
        <v>4452</v>
      </c>
      <c r="E1032" s="1014">
        <v>4797</v>
      </c>
      <c r="F1032" s="1013" t="s">
        <v>7197</v>
      </c>
      <c r="G1032" s="1014" t="s">
        <v>266</v>
      </c>
      <c r="H1032" s="1015">
        <v>224938</v>
      </c>
      <c r="I1032" s="1016" t="s">
        <v>6899</v>
      </c>
    </row>
    <row r="1033" spans="2:9" ht="15.75" x14ac:dyDescent="0.25">
      <c r="B1033" s="1365" t="s">
        <v>7169</v>
      </c>
      <c r="C1033" s="1013" t="s">
        <v>4451</v>
      </c>
      <c r="D1033" s="1013" t="s">
        <v>4452</v>
      </c>
      <c r="E1033" s="1014">
        <v>4798</v>
      </c>
      <c r="F1033" s="1013" t="s">
        <v>7198</v>
      </c>
      <c r="G1033" s="1014" t="s">
        <v>266</v>
      </c>
      <c r="H1033" s="1015">
        <v>170664</v>
      </c>
      <c r="I1033" s="1016" t="s">
        <v>6899</v>
      </c>
    </row>
    <row r="1034" spans="2:9" ht="15.75" x14ac:dyDescent="0.25">
      <c r="B1034" s="1365" t="s">
        <v>7169</v>
      </c>
      <c r="C1034" s="1013" t="s">
        <v>4451</v>
      </c>
      <c r="D1034" s="1013" t="s">
        <v>4452</v>
      </c>
      <c r="E1034" s="1014">
        <v>4800</v>
      </c>
      <c r="F1034" s="1013" t="s">
        <v>7199</v>
      </c>
      <c r="G1034" s="1014" t="s">
        <v>266</v>
      </c>
      <c r="H1034" s="1015">
        <v>226079</v>
      </c>
      <c r="I1034" s="1016" t="s">
        <v>6899</v>
      </c>
    </row>
    <row r="1035" spans="2:9" ht="15.75" x14ac:dyDescent="0.25">
      <c r="B1035" s="1365" t="s">
        <v>7169</v>
      </c>
      <c r="C1035" s="1013" t="s">
        <v>4461</v>
      </c>
      <c r="D1035" s="1013" t="s">
        <v>4461</v>
      </c>
      <c r="E1035" s="1014">
        <v>4801</v>
      </c>
      <c r="F1035" s="1013" t="s">
        <v>5302</v>
      </c>
      <c r="G1035" s="1014" t="s">
        <v>13</v>
      </c>
      <c r="H1035" s="1015">
        <v>17022</v>
      </c>
      <c r="I1035" s="1016" t="s">
        <v>6899</v>
      </c>
    </row>
    <row r="1036" spans="2:9" ht="15.75" x14ac:dyDescent="0.25">
      <c r="B1036" s="1365" t="s">
        <v>7169</v>
      </c>
      <c r="C1036" s="1013" t="s">
        <v>4451</v>
      </c>
      <c r="D1036" s="1013" t="s">
        <v>4452</v>
      </c>
      <c r="E1036" s="1014">
        <v>4802</v>
      </c>
      <c r="F1036" s="1013" t="s">
        <v>5303</v>
      </c>
      <c r="G1036" s="1014" t="s">
        <v>266</v>
      </c>
      <c r="H1036" s="1015">
        <v>1000000</v>
      </c>
      <c r="I1036" s="1016" t="s">
        <v>3538</v>
      </c>
    </row>
    <row r="1037" spans="2:9" ht="15.75" x14ac:dyDescent="0.25">
      <c r="B1037" s="1365" t="s">
        <v>7169</v>
      </c>
      <c r="C1037" s="1013" t="s">
        <v>4451</v>
      </c>
      <c r="D1037" s="1013" t="s">
        <v>4452</v>
      </c>
      <c r="E1037" s="1014">
        <v>4803</v>
      </c>
      <c r="F1037" s="1013" t="s">
        <v>5304</v>
      </c>
      <c r="G1037" s="1014" t="s">
        <v>266</v>
      </c>
      <c r="H1037" s="1015">
        <v>1500000</v>
      </c>
      <c r="I1037" s="1016" t="s">
        <v>3538</v>
      </c>
    </row>
    <row r="1038" spans="2:9" ht="15.75" x14ac:dyDescent="0.25">
      <c r="B1038" s="1365" t="s">
        <v>7169</v>
      </c>
      <c r="C1038" s="1013" t="s">
        <v>4451</v>
      </c>
      <c r="D1038" s="1013" t="s">
        <v>4452</v>
      </c>
      <c r="E1038" s="1014">
        <v>4804</v>
      </c>
      <c r="F1038" s="1013" t="s">
        <v>5305</v>
      </c>
      <c r="G1038" s="1014" t="s">
        <v>266</v>
      </c>
      <c r="H1038" s="1015">
        <v>2000000</v>
      </c>
      <c r="I1038" s="1016" t="s">
        <v>3538</v>
      </c>
    </row>
    <row r="1039" spans="2:9" ht="15.75" x14ac:dyDescent="0.25">
      <c r="B1039" s="1365" t="s">
        <v>7169</v>
      </c>
      <c r="C1039" s="1013" t="s">
        <v>4461</v>
      </c>
      <c r="D1039" s="1013" t="s">
        <v>4461</v>
      </c>
      <c r="E1039" s="1014">
        <v>4805</v>
      </c>
      <c r="F1039" s="1013" t="s">
        <v>496</v>
      </c>
      <c r="G1039" s="1014" t="s">
        <v>13</v>
      </c>
      <c r="H1039" s="1015">
        <v>150234</v>
      </c>
      <c r="I1039" s="1016" t="s">
        <v>4398</v>
      </c>
    </row>
    <row r="1040" spans="2:9" ht="15.75" x14ac:dyDescent="0.25">
      <c r="B1040" s="1365" t="s">
        <v>7169</v>
      </c>
      <c r="C1040" s="1013" t="s">
        <v>4799</v>
      </c>
      <c r="D1040" s="1013" t="s">
        <v>4800</v>
      </c>
      <c r="E1040" s="1014">
        <v>4806</v>
      </c>
      <c r="F1040" s="1013" t="s">
        <v>5306</v>
      </c>
      <c r="G1040" s="1014" t="s">
        <v>342</v>
      </c>
      <c r="H1040" s="1015">
        <v>404958</v>
      </c>
      <c r="I1040" s="1016" t="s">
        <v>4398</v>
      </c>
    </row>
    <row r="1041" spans="2:9" ht="15.75" x14ac:dyDescent="0.25">
      <c r="B1041" s="1365" t="s">
        <v>7169</v>
      </c>
      <c r="C1041" s="1013" t="s">
        <v>4799</v>
      </c>
      <c r="D1041" s="1013" t="s">
        <v>4800</v>
      </c>
      <c r="E1041" s="1014">
        <v>4807</v>
      </c>
      <c r="F1041" s="1013" t="s">
        <v>497</v>
      </c>
      <c r="G1041" s="1014" t="s">
        <v>202</v>
      </c>
      <c r="H1041" s="1015">
        <v>51695</v>
      </c>
      <c r="I1041" s="1016" t="s">
        <v>4398</v>
      </c>
    </row>
    <row r="1042" spans="2:9" ht="15.75" x14ac:dyDescent="0.25">
      <c r="B1042" s="1365" t="s">
        <v>7169</v>
      </c>
      <c r="C1042" s="1013" t="s">
        <v>4461</v>
      </c>
      <c r="D1042" s="1013" t="s">
        <v>4461</v>
      </c>
      <c r="E1042" s="1014">
        <v>4808</v>
      </c>
      <c r="F1042" s="1013" t="s">
        <v>498</v>
      </c>
      <c r="G1042" s="1014" t="s">
        <v>13</v>
      </c>
      <c r="H1042" s="1015">
        <v>189504</v>
      </c>
      <c r="I1042" s="1016" t="s">
        <v>4398</v>
      </c>
    </row>
    <row r="1043" spans="2:9" ht="15.75" x14ac:dyDescent="0.25">
      <c r="B1043" s="1365" t="s">
        <v>7169</v>
      </c>
      <c r="C1043" s="1013" t="s">
        <v>4461</v>
      </c>
      <c r="D1043" s="1013" t="s">
        <v>4461</v>
      </c>
      <c r="E1043" s="1014">
        <v>4809</v>
      </c>
      <c r="F1043" s="1013" t="s">
        <v>499</v>
      </c>
      <c r="G1043" s="1014" t="s">
        <v>13</v>
      </c>
      <c r="H1043" s="1015">
        <v>377512</v>
      </c>
      <c r="I1043" s="1016" t="s">
        <v>4398</v>
      </c>
    </row>
    <row r="1044" spans="2:9" ht="15.75" x14ac:dyDescent="0.25">
      <c r="B1044" s="1365" t="s">
        <v>7169</v>
      </c>
      <c r="C1044" s="1013" t="s">
        <v>4461</v>
      </c>
      <c r="D1044" s="1013" t="s">
        <v>4461</v>
      </c>
      <c r="E1044" s="1014">
        <v>4810</v>
      </c>
      <c r="F1044" s="1013" t="s">
        <v>500</v>
      </c>
      <c r="G1044" s="1014" t="s">
        <v>13</v>
      </c>
      <c r="H1044" s="1015">
        <v>639070</v>
      </c>
      <c r="I1044" s="1016" t="s">
        <v>4398</v>
      </c>
    </row>
    <row r="1045" spans="2:9" ht="15.75" x14ac:dyDescent="0.25">
      <c r="B1045" s="1365" t="s">
        <v>7169</v>
      </c>
      <c r="C1045" s="1013" t="s">
        <v>4417</v>
      </c>
      <c r="D1045" s="1013" t="s">
        <v>4418</v>
      </c>
      <c r="E1045" s="1014">
        <v>4812</v>
      </c>
      <c r="F1045" s="1013" t="s">
        <v>501</v>
      </c>
      <c r="G1045" s="1014" t="s">
        <v>13</v>
      </c>
      <c r="H1045" s="1015">
        <v>151586</v>
      </c>
      <c r="I1045" s="1016" t="s">
        <v>6899</v>
      </c>
    </row>
    <row r="1046" spans="2:9" ht="15.75" x14ac:dyDescent="0.25">
      <c r="B1046" s="1365" t="s">
        <v>7169</v>
      </c>
      <c r="C1046" s="1013" t="s">
        <v>4451</v>
      </c>
      <c r="D1046" s="1013" t="s">
        <v>4616</v>
      </c>
      <c r="E1046" s="1014">
        <v>4813</v>
      </c>
      <c r="F1046" s="1013" t="s">
        <v>5307</v>
      </c>
      <c r="G1046" s="1014" t="s">
        <v>266</v>
      </c>
      <c r="H1046" s="1015">
        <v>28950</v>
      </c>
      <c r="I1046" s="1016" t="s">
        <v>6899</v>
      </c>
    </row>
    <row r="1047" spans="2:9" ht="15.75" x14ac:dyDescent="0.25">
      <c r="B1047" s="1365" t="s">
        <v>7169</v>
      </c>
      <c r="C1047" s="1013" t="s">
        <v>4417</v>
      </c>
      <c r="D1047" s="1013" t="s">
        <v>4631</v>
      </c>
      <c r="E1047" s="1014">
        <v>4814</v>
      </c>
      <c r="F1047" s="1013" t="s">
        <v>502</v>
      </c>
      <c r="G1047" s="1014" t="s">
        <v>13</v>
      </c>
      <c r="H1047" s="1015">
        <v>11673</v>
      </c>
      <c r="I1047" s="1016" t="s">
        <v>6899</v>
      </c>
    </row>
    <row r="1048" spans="2:9" ht="15.75" x14ac:dyDescent="0.25">
      <c r="B1048" s="1365" t="s">
        <v>6897</v>
      </c>
      <c r="C1048" s="1013" t="s">
        <v>5188</v>
      </c>
      <c r="D1048" s="1013" t="s">
        <v>5189</v>
      </c>
      <c r="E1048" s="1014">
        <v>4815</v>
      </c>
      <c r="F1048" s="1013" t="s">
        <v>5308</v>
      </c>
      <c r="G1048" s="1014" t="s">
        <v>12</v>
      </c>
      <c r="H1048" s="1015">
        <v>3479</v>
      </c>
      <c r="I1048" s="1016" t="s">
        <v>6899</v>
      </c>
    </row>
    <row r="1049" spans="2:9" ht="15.75" x14ac:dyDescent="0.25">
      <c r="B1049" s="1365" t="s">
        <v>6897</v>
      </c>
      <c r="C1049" s="1013" t="s">
        <v>5188</v>
      </c>
      <c r="D1049" s="1013" t="s">
        <v>5190</v>
      </c>
      <c r="E1049" s="1014">
        <v>4816</v>
      </c>
      <c r="F1049" s="1013" t="s">
        <v>503</v>
      </c>
      <c r="G1049" s="1014" t="s">
        <v>13</v>
      </c>
      <c r="H1049" s="1015">
        <v>25127</v>
      </c>
      <c r="I1049" s="1016" t="s">
        <v>6899</v>
      </c>
    </row>
    <row r="1050" spans="2:9" ht="15.75" x14ac:dyDescent="0.25">
      <c r="B1050" s="1365" t="s">
        <v>6897</v>
      </c>
      <c r="C1050" s="1013" t="s">
        <v>5188</v>
      </c>
      <c r="D1050" s="1013" t="s">
        <v>5189</v>
      </c>
      <c r="E1050" s="1014">
        <v>4817</v>
      </c>
      <c r="F1050" s="1013" t="s">
        <v>5309</v>
      </c>
      <c r="G1050" s="1014" t="s">
        <v>12</v>
      </c>
      <c r="H1050" s="1015">
        <v>10096</v>
      </c>
      <c r="I1050" s="1016" t="s">
        <v>6899</v>
      </c>
    </row>
    <row r="1051" spans="2:9" ht="15.75" x14ac:dyDescent="0.25">
      <c r="B1051" s="1365" t="s">
        <v>6897</v>
      </c>
      <c r="C1051" s="1013" t="s">
        <v>5188</v>
      </c>
      <c r="D1051" s="1013" t="s">
        <v>5189</v>
      </c>
      <c r="E1051" s="1014">
        <v>4818</v>
      </c>
      <c r="F1051" s="1013" t="s">
        <v>5310</v>
      </c>
      <c r="G1051" s="1014" t="s">
        <v>12</v>
      </c>
      <c r="H1051" s="1015">
        <v>94792</v>
      </c>
      <c r="I1051" s="1016" t="s">
        <v>6899</v>
      </c>
    </row>
    <row r="1052" spans="2:9" ht="15.75" x14ac:dyDescent="0.25">
      <c r="B1052" s="1365" t="s">
        <v>6897</v>
      </c>
      <c r="C1052" s="1013" t="s">
        <v>5188</v>
      </c>
      <c r="D1052" s="1013" t="s">
        <v>5190</v>
      </c>
      <c r="E1052" s="1014">
        <v>4819</v>
      </c>
      <c r="F1052" s="1013" t="s">
        <v>504</v>
      </c>
      <c r="G1052" s="1014" t="s">
        <v>13</v>
      </c>
      <c r="H1052" s="1015">
        <v>167852</v>
      </c>
      <c r="I1052" s="1016" t="s">
        <v>6899</v>
      </c>
    </row>
    <row r="1053" spans="2:9" ht="15.75" x14ac:dyDescent="0.25">
      <c r="B1053" s="1365" t="s">
        <v>6897</v>
      </c>
      <c r="C1053" s="1013" t="s">
        <v>5188</v>
      </c>
      <c r="D1053" s="1013" t="s">
        <v>5189</v>
      </c>
      <c r="E1053" s="1014">
        <v>4820</v>
      </c>
      <c r="F1053" s="1013" t="s">
        <v>505</v>
      </c>
      <c r="G1053" s="1014" t="s">
        <v>12</v>
      </c>
      <c r="H1053" s="1015">
        <v>174105</v>
      </c>
      <c r="I1053" s="1016" t="s">
        <v>6899</v>
      </c>
    </row>
    <row r="1054" spans="2:9" ht="15.75" x14ac:dyDescent="0.25">
      <c r="B1054" s="1365" t="s">
        <v>6897</v>
      </c>
      <c r="C1054" s="1013" t="s">
        <v>5188</v>
      </c>
      <c r="D1054" s="1013" t="s">
        <v>5189</v>
      </c>
      <c r="E1054" s="1014">
        <v>4821</v>
      </c>
      <c r="F1054" s="1013" t="s">
        <v>506</v>
      </c>
      <c r="G1054" s="1014" t="s">
        <v>12</v>
      </c>
      <c r="H1054" s="1015">
        <v>197376</v>
      </c>
      <c r="I1054" s="1016" t="s">
        <v>6899</v>
      </c>
    </row>
    <row r="1055" spans="2:9" ht="15.75" x14ac:dyDescent="0.25">
      <c r="B1055" s="1365" t="s">
        <v>6897</v>
      </c>
      <c r="C1055" s="1013" t="s">
        <v>5188</v>
      </c>
      <c r="D1055" s="1013" t="s">
        <v>5189</v>
      </c>
      <c r="E1055" s="1014">
        <v>4822</v>
      </c>
      <c r="F1055" s="1013" t="s">
        <v>507</v>
      </c>
      <c r="G1055" s="1014" t="s">
        <v>12</v>
      </c>
      <c r="H1055" s="1015">
        <v>191911</v>
      </c>
      <c r="I1055" s="1016" t="s">
        <v>6899</v>
      </c>
    </row>
    <row r="1056" spans="2:9" ht="15.75" x14ac:dyDescent="0.25">
      <c r="B1056" s="1365" t="s">
        <v>6897</v>
      </c>
      <c r="C1056" s="1013" t="s">
        <v>5188</v>
      </c>
      <c r="D1056" s="1013" t="s">
        <v>5189</v>
      </c>
      <c r="E1056" s="1014">
        <v>4823</v>
      </c>
      <c r="F1056" s="1013" t="s">
        <v>508</v>
      </c>
      <c r="G1056" s="1014" t="s">
        <v>12</v>
      </c>
      <c r="H1056" s="1015">
        <v>211535</v>
      </c>
      <c r="I1056" s="1016" t="s">
        <v>6899</v>
      </c>
    </row>
    <row r="1057" spans="2:9" ht="15.75" x14ac:dyDescent="0.25">
      <c r="B1057" s="1365" t="s">
        <v>6897</v>
      </c>
      <c r="C1057" s="1013" t="s">
        <v>5188</v>
      </c>
      <c r="D1057" s="1013" t="s">
        <v>5189</v>
      </c>
      <c r="E1057" s="1014">
        <v>4824</v>
      </c>
      <c r="F1057" s="1013" t="s">
        <v>509</v>
      </c>
      <c r="G1057" s="1014" t="s">
        <v>12</v>
      </c>
      <c r="H1057" s="1015">
        <v>185071</v>
      </c>
      <c r="I1057" s="1016" t="s">
        <v>6899</v>
      </c>
    </row>
    <row r="1058" spans="2:9" ht="15.75" x14ac:dyDescent="0.25">
      <c r="B1058" s="1365" t="s">
        <v>6897</v>
      </c>
      <c r="C1058" s="1013" t="s">
        <v>5188</v>
      </c>
      <c r="D1058" s="1013" t="s">
        <v>5190</v>
      </c>
      <c r="E1058" s="1014">
        <v>4825</v>
      </c>
      <c r="F1058" s="1013" t="s">
        <v>510</v>
      </c>
      <c r="G1058" s="1014" t="s">
        <v>13</v>
      </c>
      <c r="H1058" s="1015">
        <v>371326</v>
      </c>
      <c r="I1058" s="1016" t="s">
        <v>6899</v>
      </c>
    </row>
    <row r="1059" spans="2:9" ht="15.75" x14ac:dyDescent="0.25">
      <c r="B1059" s="1365" t="s">
        <v>7169</v>
      </c>
      <c r="C1059" s="1013" t="s">
        <v>4454</v>
      </c>
      <c r="D1059" s="1013" t="s">
        <v>4455</v>
      </c>
      <c r="E1059" s="1014">
        <v>4826</v>
      </c>
      <c r="F1059" s="1013" t="s">
        <v>5311</v>
      </c>
      <c r="G1059" s="1014" t="s">
        <v>266</v>
      </c>
      <c r="H1059" s="1015">
        <v>134585</v>
      </c>
      <c r="I1059" s="1016" t="s">
        <v>3538</v>
      </c>
    </row>
    <row r="1060" spans="2:9" ht="15.75" x14ac:dyDescent="0.25">
      <c r="B1060" s="1365" t="s">
        <v>7169</v>
      </c>
      <c r="C1060" s="1013" t="s">
        <v>4454</v>
      </c>
      <c r="D1060" s="1013" t="s">
        <v>4455</v>
      </c>
      <c r="E1060" s="1014">
        <v>4827</v>
      </c>
      <c r="F1060" s="1013" t="s">
        <v>5312</v>
      </c>
      <c r="G1060" s="1014" t="s">
        <v>266</v>
      </c>
      <c r="H1060" s="1015">
        <v>6343</v>
      </c>
      <c r="I1060" s="1016" t="s">
        <v>3538</v>
      </c>
    </row>
    <row r="1061" spans="2:9" ht="15.75" x14ac:dyDescent="0.25">
      <c r="B1061" s="1365" t="s">
        <v>7169</v>
      </c>
      <c r="C1061" s="1013" t="s">
        <v>4468</v>
      </c>
      <c r="D1061" s="1013" t="s">
        <v>4814</v>
      </c>
      <c r="E1061" s="1014">
        <v>4828</v>
      </c>
      <c r="F1061" s="1013" t="s">
        <v>5313</v>
      </c>
      <c r="G1061" s="1014" t="s">
        <v>13</v>
      </c>
      <c r="H1061" s="1015">
        <v>36031</v>
      </c>
      <c r="I1061" s="1016" t="s">
        <v>4398</v>
      </c>
    </row>
    <row r="1062" spans="2:9" ht="15.75" x14ac:dyDescent="0.25">
      <c r="B1062" s="1365" t="s">
        <v>7169</v>
      </c>
      <c r="C1062" s="1013" t="s">
        <v>4468</v>
      </c>
      <c r="D1062" s="1013" t="s">
        <v>4469</v>
      </c>
      <c r="E1062" s="1014">
        <v>4829</v>
      </c>
      <c r="F1062" s="1013" t="s">
        <v>511</v>
      </c>
      <c r="G1062" s="1014" t="s">
        <v>3</v>
      </c>
      <c r="H1062" s="1015">
        <v>1084106</v>
      </c>
      <c r="I1062" s="1016" t="s">
        <v>6899</v>
      </c>
    </row>
    <row r="1063" spans="2:9" ht="15.75" x14ac:dyDescent="0.25">
      <c r="B1063" s="1365" t="s">
        <v>6897</v>
      </c>
      <c r="C1063" s="1013" t="s">
        <v>5292</v>
      </c>
      <c r="D1063" s="1013" t="s">
        <v>5292</v>
      </c>
      <c r="E1063" s="1014">
        <v>4830</v>
      </c>
      <c r="F1063" s="1013" t="s">
        <v>512</v>
      </c>
      <c r="G1063" s="1014" t="s">
        <v>12</v>
      </c>
      <c r="H1063" s="1015">
        <v>10518</v>
      </c>
      <c r="I1063" s="1016" t="s">
        <v>6899</v>
      </c>
    </row>
    <row r="1064" spans="2:9" ht="15.75" x14ac:dyDescent="0.25">
      <c r="B1064" s="1365" t="s">
        <v>6897</v>
      </c>
      <c r="C1064" s="1013" t="s">
        <v>5292</v>
      </c>
      <c r="D1064" s="1013" t="s">
        <v>5292</v>
      </c>
      <c r="E1064" s="1014">
        <v>4831</v>
      </c>
      <c r="F1064" s="1013" t="s">
        <v>513</v>
      </c>
      <c r="G1064" s="1014" t="s">
        <v>12</v>
      </c>
      <c r="H1064" s="1015">
        <v>174289</v>
      </c>
      <c r="I1064" s="1016" t="s">
        <v>6899</v>
      </c>
    </row>
    <row r="1065" spans="2:9" ht="15.75" x14ac:dyDescent="0.25">
      <c r="B1065" s="1365" t="s">
        <v>7169</v>
      </c>
      <c r="C1065" s="1013" t="s">
        <v>4454</v>
      </c>
      <c r="D1065" s="1013" t="s">
        <v>4455</v>
      </c>
      <c r="E1065" s="1014">
        <v>4832</v>
      </c>
      <c r="F1065" s="1013" t="s">
        <v>5314</v>
      </c>
      <c r="G1065" s="1014" t="s">
        <v>266</v>
      </c>
      <c r="H1065" s="1015">
        <v>51019</v>
      </c>
      <c r="I1065" s="1016" t="s">
        <v>6899</v>
      </c>
    </row>
    <row r="1066" spans="2:9" ht="15.75" x14ac:dyDescent="0.25">
      <c r="B1066" s="1365" t="s">
        <v>7169</v>
      </c>
      <c r="C1066" s="1013" t="s">
        <v>4451</v>
      </c>
      <c r="D1066" s="1013" t="s">
        <v>4616</v>
      </c>
      <c r="E1066" s="1014">
        <v>4833</v>
      </c>
      <c r="F1066" s="1013" t="s">
        <v>5315</v>
      </c>
      <c r="G1066" s="1014" t="s">
        <v>266</v>
      </c>
      <c r="H1066" s="1015">
        <v>12214</v>
      </c>
      <c r="I1066" s="1016" t="s">
        <v>6899</v>
      </c>
    </row>
    <row r="1067" spans="2:9" ht="15.75" x14ac:dyDescent="0.25">
      <c r="B1067" s="1365" t="s">
        <v>7169</v>
      </c>
      <c r="C1067" s="1013" t="s">
        <v>4417</v>
      </c>
      <c r="D1067" s="1013" t="s">
        <v>4418</v>
      </c>
      <c r="E1067" s="1014">
        <v>4834</v>
      </c>
      <c r="F1067" s="1013" t="s">
        <v>514</v>
      </c>
      <c r="G1067" s="1014" t="s">
        <v>266</v>
      </c>
      <c r="H1067" s="1015">
        <v>143406</v>
      </c>
      <c r="I1067" s="1016" t="s">
        <v>6899</v>
      </c>
    </row>
    <row r="1068" spans="2:9" ht="15.75" x14ac:dyDescent="0.25">
      <c r="B1068" s="1365" t="s">
        <v>7169</v>
      </c>
      <c r="C1068" s="1013" t="s">
        <v>4410</v>
      </c>
      <c r="D1068" s="1013" t="s">
        <v>4642</v>
      </c>
      <c r="E1068" s="1014">
        <v>4835</v>
      </c>
      <c r="F1068" s="1013" t="s">
        <v>515</v>
      </c>
      <c r="G1068" s="1014" t="s">
        <v>3</v>
      </c>
      <c r="H1068" s="1015">
        <v>288285</v>
      </c>
      <c r="I1068" s="1016" t="s">
        <v>6899</v>
      </c>
    </row>
    <row r="1069" spans="2:9" ht="15.75" x14ac:dyDescent="0.25">
      <c r="B1069" s="1365" t="s">
        <v>7169</v>
      </c>
      <c r="C1069" s="1013" t="s">
        <v>4410</v>
      </c>
      <c r="D1069" s="1013" t="s">
        <v>4642</v>
      </c>
      <c r="E1069" s="1014">
        <v>4836</v>
      </c>
      <c r="F1069" s="1013" t="s">
        <v>5316</v>
      </c>
      <c r="G1069" s="1014" t="s">
        <v>3</v>
      </c>
      <c r="H1069" s="1015">
        <v>446593</v>
      </c>
      <c r="I1069" s="1016" t="s">
        <v>6899</v>
      </c>
    </row>
    <row r="1070" spans="2:9" ht="15.75" x14ac:dyDescent="0.25">
      <c r="B1070" s="1365" t="s">
        <v>7169</v>
      </c>
      <c r="C1070" s="1013" t="s">
        <v>4410</v>
      </c>
      <c r="D1070" s="1013" t="s">
        <v>4415</v>
      </c>
      <c r="E1070" s="1014">
        <v>4837</v>
      </c>
      <c r="F1070" s="1013" t="s">
        <v>516</v>
      </c>
      <c r="G1070" s="1014" t="s">
        <v>3</v>
      </c>
      <c r="H1070" s="1015">
        <v>207172</v>
      </c>
      <c r="I1070" s="1016" t="s">
        <v>6899</v>
      </c>
    </row>
    <row r="1071" spans="2:9" ht="15.75" x14ac:dyDescent="0.25">
      <c r="B1071" s="1365" t="s">
        <v>7169</v>
      </c>
      <c r="C1071" s="1013" t="s">
        <v>4410</v>
      </c>
      <c r="D1071" s="1013" t="s">
        <v>4642</v>
      </c>
      <c r="E1071" s="1014">
        <v>4838</v>
      </c>
      <c r="F1071" s="1013" t="s">
        <v>517</v>
      </c>
      <c r="G1071" s="1014" t="s">
        <v>3</v>
      </c>
      <c r="H1071" s="1015">
        <v>178164</v>
      </c>
      <c r="I1071" s="1016" t="s">
        <v>6899</v>
      </c>
    </row>
    <row r="1072" spans="2:9" ht="15.75" x14ac:dyDescent="0.25">
      <c r="B1072" s="1365" t="s">
        <v>7169</v>
      </c>
      <c r="C1072" s="1013" t="s">
        <v>4461</v>
      </c>
      <c r="D1072" s="1013" t="s">
        <v>4461</v>
      </c>
      <c r="E1072" s="1014">
        <v>4839</v>
      </c>
      <c r="F1072" s="1013" t="s">
        <v>518</v>
      </c>
      <c r="G1072" s="1014" t="s">
        <v>266</v>
      </c>
      <c r="H1072" s="1015">
        <v>549108</v>
      </c>
      <c r="I1072" s="1016" t="s">
        <v>4398</v>
      </c>
    </row>
    <row r="1073" spans="2:9" ht="15.75" x14ac:dyDescent="0.25">
      <c r="B1073" s="1365" t="s">
        <v>7169</v>
      </c>
      <c r="C1073" s="1013" t="s">
        <v>4461</v>
      </c>
      <c r="D1073" s="1013" t="s">
        <v>4461</v>
      </c>
      <c r="E1073" s="1014">
        <v>4840</v>
      </c>
      <c r="F1073" s="1013" t="s">
        <v>519</v>
      </c>
      <c r="G1073" s="1014" t="s">
        <v>266</v>
      </c>
      <c r="H1073" s="1015">
        <v>168033</v>
      </c>
      <c r="I1073" s="1016" t="s">
        <v>4398</v>
      </c>
    </row>
    <row r="1074" spans="2:9" ht="15.75" x14ac:dyDescent="0.25">
      <c r="B1074" s="1365" t="s">
        <v>7169</v>
      </c>
      <c r="C1074" s="1013" t="s">
        <v>4461</v>
      </c>
      <c r="D1074" s="1013" t="s">
        <v>4461</v>
      </c>
      <c r="E1074" s="1014">
        <v>4841</v>
      </c>
      <c r="F1074" s="1013" t="s">
        <v>520</v>
      </c>
      <c r="G1074" s="1014" t="s">
        <v>266</v>
      </c>
      <c r="H1074" s="1015">
        <v>242014</v>
      </c>
      <c r="I1074" s="1016" t="s">
        <v>4398</v>
      </c>
    </row>
    <row r="1075" spans="2:9" ht="15.75" x14ac:dyDescent="0.25">
      <c r="B1075" s="1365" t="s">
        <v>7169</v>
      </c>
      <c r="C1075" s="1013" t="s">
        <v>4461</v>
      </c>
      <c r="D1075" s="1013" t="s">
        <v>4461</v>
      </c>
      <c r="E1075" s="1014">
        <v>4842</v>
      </c>
      <c r="F1075" s="1013" t="s">
        <v>521</v>
      </c>
      <c r="G1075" s="1014" t="s">
        <v>266</v>
      </c>
      <c r="H1075" s="1015">
        <v>394921</v>
      </c>
      <c r="I1075" s="1016" t="s">
        <v>4398</v>
      </c>
    </row>
    <row r="1076" spans="2:9" ht="15.75" x14ac:dyDescent="0.25">
      <c r="B1076" s="1365" t="s">
        <v>7169</v>
      </c>
      <c r="C1076" s="1013" t="s">
        <v>4461</v>
      </c>
      <c r="D1076" s="1013" t="s">
        <v>4461</v>
      </c>
      <c r="E1076" s="1014">
        <v>4843</v>
      </c>
      <c r="F1076" s="1013" t="s">
        <v>522</v>
      </c>
      <c r="G1076" s="1014" t="s">
        <v>266</v>
      </c>
      <c r="H1076" s="1015">
        <v>293392</v>
      </c>
      <c r="I1076" s="1016" t="s">
        <v>4398</v>
      </c>
    </row>
    <row r="1077" spans="2:9" ht="15.75" x14ac:dyDescent="0.25">
      <c r="B1077" s="1365" t="s">
        <v>7169</v>
      </c>
      <c r="C1077" s="1013" t="s">
        <v>4461</v>
      </c>
      <c r="D1077" s="1013" t="s">
        <v>4461</v>
      </c>
      <c r="E1077" s="1014">
        <v>4844</v>
      </c>
      <c r="F1077" s="1013" t="s">
        <v>523</v>
      </c>
      <c r="G1077" s="1014" t="s">
        <v>266</v>
      </c>
      <c r="H1077" s="1015">
        <v>2811556</v>
      </c>
      <c r="I1077" s="1016" t="s">
        <v>4398</v>
      </c>
    </row>
    <row r="1078" spans="2:9" ht="15.75" x14ac:dyDescent="0.25">
      <c r="B1078" s="1365" t="s">
        <v>7169</v>
      </c>
      <c r="C1078" s="1013" t="s">
        <v>4461</v>
      </c>
      <c r="D1078" s="1013" t="s">
        <v>4461</v>
      </c>
      <c r="E1078" s="1014">
        <v>4845</v>
      </c>
      <c r="F1078" s="1013" t="s">
        <v>524</v>
      </c>
      <c r="G1078" s="1014" t="s">
        <v>266</v>
      </c>
      <c r="H1078" s="1015">
        <v>997474</v>
      </c>
      <c r="I1078" s="1016" t="s">
        <v>4398</v>
      </c>
    </row>
    <row r="1079" spans="2:9" ht="15.75" x14ac:dyDescent="0.25">
      <c r="B1079" s="1365" t="s">
        <v>7169</v>
      </c>
      <c r="C1079" s="1013" t="s">
        <v>4401</v>
      </c>
      <c r="D1079" s="1013" t="s">
        <v>4401</v>
      </c>
      <c r="E1079" s="1014">
        <v>4846</v>
      </c>
      <c r="F1079" s="1013" t="s">
        <v>525</v>
      </c>
      <c r="G1079" s="1014" t="s">
        <v>266</v>
      </c>
      <c r="H1079" s="1015">
        <v>149553</v>
      </c>
      <c r="I1079" s="1016" t="s">
        <v>4398</v>
      </c>
    </row>
    <row r="1080" spans="2:9" ht="15.75" x14ac:dyDescent="0.25">
      <c r="B1080" s="1365" t="s">
        <v>7169</v>
      </c>
      <c r="C1080" s="1013" t="s">
        <v>4401</v>
      </c>
      <c r="D1080" s="1013" t="s">
        <v>4401</v>
      </c>
      <c r="E1080" s="1014">
        <v>4848</v>
      </c>
      <c r="F1080" s="1013" t="s">
        <v>526</v>
      </c>
      <c r="G1080" s="1014" t="s">
        <v>13</v>
      </c>
      <c r="H1080" s="1015">
        <v>9860</v>
      </c>
      <c r="I1080" s="1016" t="s">
        <v>4398</v>
      </c>
    </row>
    <row r="1081" spans="2:9" ht="15.75" x14ac:dyDescent="0.25">
      <c r="B1081" s="1365" t="s">
        <v>7169</v>
      </c>
      <c r="C1081" s="1013" t="s">
        <v>4401</v>
      </c>
      <c r="D1081" s="1013" t="s">
        <v>4401</v>
      </c>
      <c r="E1081" s="1014">
        <v>4849</v>
      </c>
      <c r="F1081" s="1013" t="s">
        <v>527</v>
      </c>
      <c r="G1081" s="1014" t="s">
        <v>13</v>
      </c>
      <c r="H1081" s="1015">
        <v>2993</v>
      </c>
      <c r="I1081" s="1016" t="s">
        <v>4398</v>
      </c>
    </row>
    <row r="1082" spans="2:9" ht="15.75" x14ac:dyDescent="0.25">
      <c r="B1082" s="1365" t="s">
        <v>7169</v>
      </c>
      <c r="C1082" s="1013" t="s">
        <v>4401</v>
      </c>
      <c r="D1082" s="1013" t="s">
        <v>4401</v>
      </c>
      <c r="E1082" s="1014">
        <v>4850</v>
      </c>
      <c r="F1082" s="1013" t="s">
        <v>528</v>
      </c>
      <c r="G1082" s="1014" t="s">
        <v>3</v>
      </c>
      <c r="H1082" s="1015">
        <v>285407</v>
      </c>
      <c r="I1082" s="1016" t="s">
        <v>6899</v>
      </c>
    </row>
    <row r="1083" spans="2:9" ht="15.75" x14ac:dyDescent="0.25">
      <c r="B1083" s="1365" t="s">
        <v>7169</v>
      </c>
      <c r="C1083" s="1013" t="s">
        <v>4461</v>
      </c>
      <c r="D1083" s="1013" t="s">
        <v>4461</v>
      </c>
      <c r="E1083" s="1014">
        <v>4851</v>
      </c>
      <c r="F1083" s="1013" t="s">
        <v>529</v>
      </c>
      <c r="G1083" s="1014" t="s">
        <v>266</v>
      </c>
      <c r="H1083" s="1015">
        <v>29059</v>
      </c>
      <c r="I1083" s="1016" t="s">
        <v>4398</v>
      </c>
    </row>
    <row r="1084" spans="2:9" ht="15.75" x14ac:dyDescent="0.25">
      <c r="B1084" s="1365" t="s">
        <v>7169</v>
      </c>
      <c r="C1084" s="1013" t="s">
        <v>4468</v>
      </c>
      <c r="D1084" s="1013" t="s">
        <v>4469</v>
      </c>
      <c r="E1084" s="1014">
        <v>4853</v>
      </c>
      <c r="F1084" s="1013" t="s">
        <v>5317</v>
      </c>
      <c r="G1084" s="1014" t="s">
        <v>3</v>
      </c>
      <c r="H1084" s="1015">
        <v>704992</v>
      </c>
      <c r="I1084" s="1016" t="s">
        <v>6899</v>
      </c>
    </row>
    <row r="1085" spans="2:9" ht="15.75" x14ac:dyDescent="0.25">
      <c r="B1085" s="1365" t="s">
        <v>7169</v>
      </c>
      <c r="C1085" s="1013" t="s">
        <v>4468</v>
      </c>
      <c r="D1085" s="1013" t="s">
        <v>4469</v>
      </c>
      <c r="E1085" s="1014">
        <v>4854</v>
      </c>
      <c r="F1085" s="1013" t="s">
        <v>5318</v>
      </c>
      <c r="G1085" s="1014" t="s">
        <v>3</v>
      </c>
      <c r="H1085" s="1015">
        <v>722784</v>
      </c>
      <c r="I1085" s="1016" t="s">
        <v>6899</v>
      </c>
    </row>
    <row r="1086" spans="2:9" ht="15.75" x14ac:dyDescent="0.25">
      <c r="B1086" s="1365" t="s">
        <v>7169</v>
      </c>
      <c r="C1086" s="1013" t="s">
        <v>4417</v>
      </c>
      <c r="D1086" s="1013" t="s">
        <v>4631</v>
      </c>
      <c r="E1086" s="1014">
        <v>4855</v>
      </c>
      <c r="F1086" s="1013" t="s">
        <v>5319</v>
      </c>
      <c r="G1086" s="1014" t="s">
        <v>12</v>
      </c>
      <c r="H1086" s="1015">
        <v>59423</v>
      </c>
      <c r="I1086" s="1016" t="s">
        <v>6899</v>
      </c>
    </row>
    <row r="1087" spans="2:9" ht="15.75" x14ac:dyDescent="0.25">
      <c r="B1087" s="1365" t="s">
        <v>7169</v>
      </c>
      <c r="C1087" s="1013" t="s">
        <v>4417</v>
      </c>
      <c r="D1087" s="1013" t="s">
        <v>4438</v>
      </c>
      <c r="E1087" s="1014">
        <v>4856</v>
      </c>
      <c r="F1087" s="1013" t="s">
        <v>5320</v>
      </c>
      <c r="G1087" s="1014" t="s">
        <v>12</v>
      </c>
      <c r="H1087" s="1015">
        <v>113317</v>
      </c>
      <c r="I1087" s="1016" t="s">
        <v>6899</v>
      </c>
    </row>
    <row r="1088" spans="2:9" ht="15.75" x14ac:dyDescent="0.25">
      <c r="B1088" s="1365" t="s">
        <v>7169</v>
      </c>
      <c r="C1088" s="1013" t="s">
        <v>4472</v>
      </c>
      <c r="D1088" s="1013" t="s">
        <v>4817</v>
      </c>
      <c r="E1088" s="1014">
        <v>4857</v>
      </c>
      <c r="F1088" s="1013" t="s">
        <v>5321</v>
      </c>
      <c r="G1088" s="1014" t="s">
        <v>12</v>
      </c>
      <c r="H1088" s="1015">
        <v>3472</v>
      </c>
      <c r="I1088" s="1016" t="s">
        <v>6899</v>
      </c>
    </row>
    <row r="1089" spans="2:9" ht="15.75" x14ac:dyDescent="0.25">
      <c r="B1089" s="1365" t="s">
        <v>7169</v>
      </c>
      <c r="C1089" s="1013" t="s">
        <v>4461</v>
      </c>
      <c r="D1089" s="1013" t="s">
        <v>4461</v>
      </c>
      <c r="E1089" s="1014">
        <v>4858</v>
      </c>
      <c r="F1089" s="1013" t="s">
        <v>5322</v>
      </c>
      <c r="G1089" s="1014" t="s">
        <v>266</v>
      </c>
      <c r="H1089" s="1015">
        <v>1113815</v>
      </c>
      <c r="I1089" s="1016" t="s">
        <v>4398</v>
      </c>
    </row>
    <row r="1090" spans="2:9" ht="15.75" x14ac:dyDescent="0.25">
      <c r="B1090" s="1365" t="s">
        <v>7169</v>
      </c>
      <c r="C1090" s="1013" t="s">
        <v>4417</v>
      </c>
      <c r="D1090" s="1013" t="s">
        <v>4418</v>
      </c>
      <c r="E1090" s="1014">
        <v>4859</v>
      </c>
      <c r="F1090" s="1013" t="s">
        <v>5323</v>
      </c>
      <c r="G1090" s="1014" t="s">
        <v>13</v>
      </c>
      <c r="H1090" s="1015">
        <v>42202</v>
      </c>
      <c r="I1090" s="1016" t="s">
        <v>6899</v>
      </c>
    </row>
    <row r="1091" spans="2:9" ht="15.75" x14ac:dyDescent="0.25">
      <c r="B1091" s="1365" t="s">
        <v>7169</v>
      </c>
      <c r="C1091" s="1013" t="s">
        <v>4454</v>
      </c>
      <c r="D1091" s="1013" t="s">
        <v>4455</v>
      </c>
      <c r="E1091" s="1014">
        <v>4860</v>
      </c>
      <c r="F1091" s="1013" t="s">
        <v>5324</v>
      </c>
      <c r="G1091" s="1014" t="s">
        <v>266</v>
      </c>
      <c r="H1091" s="1015">
        <v>201036</v>
      </c>
      <c r="I1091" s="1016" t="s">
        <v>3538</v>
      </c>
    </row>
    <row r="1092" spans="2:9" ht="15.75" x14ac:dyDescent="0.25">
      <c r="B1092" s="1365" t="s">
        <v>7169</v>
      </c>
      <c r="C1092" s="1013" t="s">
        <v>4468</v>
      </c>
      <c r="D1092" s="1013" t="s">
        <v>4650</v>
      </c>
      <c r="E1092" s="1014">
        <v>4861</v>
      </c>
      <c r="F1092" s="1013" t="s">
        <v>5325</v>
      </c>
      <c r="G1092" s="1014" t="s">
        <v>12</v>
      </c>
      <c r="H1092" s="1015">
        <v>135096</v>
      </c>
      <c r="I1092" s="1016" t="s">
        <v>6899</v>
      </c>
    </row>
    <row r="1093" spans="2:9" ht="15.75" x14ac:dyDescent="0.25">
      <c r="B1093" s="1365" t="s">
        <v>7169</v>
      </c>
      <c r="C1093" s="1013" t="s">
        <v>4420</v>
      </c>
      <c r="D1093" s="1013" t="s">
        <v>4420</v>
      </c>
      <c r="E1093" s="1014">
        <v>4862</v>
      </c>
      <c r="F1093" s="1013" t="s">
        <v>530</v>
      </c>
      <c r="G1093" s="1014" t="s">
        <v>13</v>
      </c>
      <c r="H1093" s="1015">
        <v>1186234</v>
      </c>
      <c r="I1093" s="1016" t="s">
        <v>6899</v>
      </c>
    </row>
    <row r="1094" spans="2:9" ht="15.75" x14ac:dyDescent="0.25">
      <c r="B1094" s="1365" t="s">
        <v>7169</v>
      </c>
      <c r="C1094" s="1013" t="s">
        <v>4454</v>
      </c>
      <c r="D1094" s="1013" t="s">
        <v>4455</v>
      </c>
      <c r="E1094" s="1014">
        <v>4863</v>
      </c>
      <c r="F1094" s="1013" t="s">
        <v>5326</v>
      </c>
      <c r="G1094" s="1014" t="s">
        <v>13</v>
      </c>
      <c r="H1094" s="1015">
        <v>42058</v>
      </c>
      <c r="I1094" s="1016" t="s">
        <v>3538</v>
      </c>
    </row>
    <row r="1095" spans="2:9" ht="15.75" x14ac:dyDescent="0.25">
      <c r="B1095" s="1365" t="s">
        <v>7169</v>
      </c>
      <c r="C1095" s="1013" t="s">
        <v>4454</v>
      </c>
      <c r="D1095" s="1013" t="s">
        <v>4455</v>
      </c>
      <c r="E1095" s="1014">
        <v>4864</v>
      </c>
      <c r="F1095" s="1013" t="s">
        <v>5327</v>
      </c>
      <c r="G1095" s="1014" t="s">
        <v>13</v>
      </c>
      <c r="H1095" s="1015">
        <v>56077</v>
      </c>
      <c r="I1095" s="1016" t="s">
        <v>3538</v>
      </c>
    </row>
    <row r="1096" spans="2:9" ht="15.75" x14ac:dyDescent="0.25">
      <c r="B1096" s="1365" t="s">
        <v>7169</v>
      </c>
      <c r="C1096" s="1013" t="s">
        <v>4454</v>
      </c>
      <c r="D1096" s="1013" t="s">
        <v>4455</v>
      </c>
      <c r="E1096" s="1014">
        <v>4865</v>
      </c>
      <c r="F1096" s="1013" t="s">
        <v>5328</v>
      </c>
      <c r="G1096" s="1014" t="s">
        <v>13</v>
      </c>
      <c r="H1096" s="1015">
        <v>28039</v>
      </c>
      <c r="I1096" s="1016" t="s">
        <v>3538</v>
      </c>
    </row>
    <row r="1097" spans="2:9" ht="15.75" x14ac:dyDescent="0.25">
      <c r="B1097" s="1365" t="s">
        <v>7169</v>
      </c>
      <c r="C1097" s="1013" t="s">
        <v>4454</v>
      </c>
      <c r="D1097" s="1013" t="s">
        <v>4455</v>
      </c>
      <c r="E1097" s="1014">
        <v>4866</v>
      </c>
      <c r="F1097" s="1013" t="s">
        <v>5329</v>
      </c>
      <c r="G1097" s="1014" t="s">
        <v>13</v>
      </c>
      <c r="H1097" s="1015">
        <v>56077</v>
      </c>
      <c r="I1097" s="1016" t="s">
        <v>3538</v>
      </c>
    </row>
    <row r="1098" spans="2:9" ht="15.75" x14ac:dyDescent="0.25">
      <c r="B1098" s="1365" t="s">
        <v>7169</v>
      </c>
      <c r="C1098" s="1013" t="s">
        <v>4454</v>
      </c>
      <c r="D1098" s="1013" t="s">
        <v>4455</v>
      </c>
      <c r="E1098" s="1014">
        <v>4867</v>
      </c>
      <c r="F1098" s="1013" t="s">
        <v>5330</v>
      </c>
      <c r="G1098" s="1014" t="s">
        <v>13</v>
      </c>
      <c r="H1098" s="1015">
        <v>84116</v>
      </c>
      <c r="I1098" s="1016" t="s">
        <v>3538</v>
      </c>
    </row>
    <row r="1099" spans="2:9" ht="15.75" x14ac:dyDescent="0.25">
      <c r="B1099" s="1365" t="s">
        <v>7169</v>
      </c>
      <c r="C1099" s="1013" t="s">
        <v>4401</v>
      </c>
      <c r="D1099" s="1013" t="s">
        <v>4401</v>
      </c>
      <c r="E1099" s="1014">
        <v>4869</v>
      </c>
      <c r="F1099" s="1013" t="s">
        <v>531</v>
      </c>
      <c r="G1099" s="1014" t="s">
        <v>266</v>
      </c>
      <c r="H1099" s="1015">
        <v>74778</v>
      </c>
      <c r="I1099" s="1016" t="s">
        <v>4398</v>
      </c>
    </row>
    <row r="1100" spans="2:9" ht="15.75" x14ac:dyDescent="0.25">
      <c r="B1100" s="1365" t="s">
        <v>7169</v>
      </c>
      <c r="C1100" s="1013" t="s">
        <v>4401</v>
      </c>
      <c r="D1100" s="1013" t="s">
        <v>4401</v>
      </c>
      <c r="E1100" s="1014">
        <v>4870</v>
      </c>
      <c r="F1100" s="1013" t="s">
        <v>532</v>
      </c>
      <c r="G1100" s="1014" t="s">
        <v>266</v>
      </c>
      <c r="H1100" s="1015">
        <v>74778</v>
      </c>
      <c r="I1100" s="1016" t="s">
        <v>4398</v>
      </c>
    </row>
    <row r="1101" spans="2:9" ht="15.75" x14ac:dyDescent="0.25">
      <c r="B1101" s="1365" t="s">
        <v>7169</v>
      </c>
      <c r="C1101" s="1013" t="s">
        <v>4401</v>
      </c>
      <c r="D1101" s="1013" t="s">
        <v>4401</v>
      </c>
      <c r="E1101" s="1014">
        <v>4871</v>
      </c>
      <c r="F1101" s="1013" t="s">
        <v>533</v>
      </c>
      <c r="G1101" s="1014" t="s">
        <v>266</v>
      </c>
      <c r="H1101" s="1015">
        <v>37390</v>
      </c>
      <c r="I1101" s="1016" t="s">
        <v>4398</v>
      </c>
    </row>
    <row r="1102" spans="2:9" ht="15.75" x14ac:dyDescent="0.25">
      <c r="B1102" s="1365" t="s">
        <v>7169</v>
      </c>
      <c r="C1102" s="1013" t="s">
        <v>4461</v>
      </c>
      <c r="D1102" s="1013" t="s">
        <v>4461</v>
      </c>
      <c r="E1102" s="1014">
        <v>4872</v>
      </c>
      <c r="F1102" s="1013" t="s">
        <v>5331</v>
      </c>
      <c r="G1102" s="1014" t="s">
        <v>266</v>
      </c>
      <c r="H1102" s="1015">
        <v>204256</v>
      </c>
      <c r="I1102" s="1016" t="s">
        <v>4398</v>
      </c>
    </row>
    <row r="1103" spans="2:9" ht="15.75" x14ac:dyDescent="0.25">
      <c r="B1103" s="1365" t="s">
        <v>7169</v>
      </c>
      <c r="C1103" s="1013" t="s">
        <v>4461</v>
      </c>
      <c r="D1103" s="1013" t="s">
        <v>4461</v>
      </c>
      <c r="E1103" s="1014">
        <v>4873</v>
      </c>
      <c r="F1103" s="1013" t="s">
        <v>5332</v>
      </c>
      <c r="G1103" s="1014" t="s">
        <v>266</v>
      </c>
      <c r="H1103" s="1015">
        <v>538974</v>
      </c>
      <c r="I1103" s="1016" t="s">
        <v>4398</v>
      </c>
    </row>
    <row r="1104" spans="2:9" ht="15.75" x14ac:dyDescent="0.25">
      <c r="B1104" s="1365" t="s">
        <v>7169</v>
      </c>
      <c r="C1104" s="1013" t="s">
        <v>4461</v>
      </c>
      <c r="D1104" s="1013" t="s">
        <v>4461</v>
      </c>
      <c r="E1104" s="1014">
        <v>4874</v>
      </c>
      <c r="F1104" s="1013" t="s">
        <v>5333</v>
      </c>
      <c r="G1104" s="1014" t="s">
        <v>266</v>
      </c>
      <c r="H1104" s="1015">
        <v>478196</v>
      </c>
      <c r="I1104" s="1016" t="s">
        <v>4398</v>
      </c>
    </row>
    <row r="1105" spans="2:9" ht="15.75" x14ac:dyDescent="0.25">
      <c r="B1105" s="1365" t="s">
        <v>7169</v>
      </c>
      <c r="C1105" s="1013" t="s">
        <v>4461</v>
      </c>
      <c r="D1105" s="1013" t="s">
        <v>4461</v>
      </c>
      <c r="E1105" s="1014">
        <v>4875</v>
      </c>
      <c r="F1105" s="1013" t="s">
        <v>5334</v>
      </c>
      <c r="G1105" s="1014" t="s">
        <v>266</v>
      </c>
      <c r="H1105" s="1015">
        <v>177220</v>
      </c>
      <c r="I1105" s="1016" t="s">
        <v>4398</v>
      </c>
    </row>
    <row r="1106" spans="2:9" ht="15.75" x14ac:dyDescent="0.25">
      <c r="B1106" s="1365" t="s">
        <v>7169</v>
      </c>
      <c r="C1106" s="1013" t="s">
        <v>4461</v>
      </c>
      <c r="D1106" s="1013" t="s">
        <v>4461</v>
      </c>
      <c r="E1106" s="1014">
        <v>4876</v>
      </c>
      <c r="F1106" s="1013" t="s">
        <v>5335</v>
      </c>
      <c r="G1106" s="1014" t="s">
        <v>266</v>
      </c>
      <c r="H1106" s="1015">
        <v>339814</v>
      </c>
      <c r="I1106" s="1016" t="s">
        <v>6899</v>
      </c>
    </row>
    <row r="1107" spans="2:9" ht="15.75" x14ac:dyDescent="0.25">
      <c r="B1107" s="1365" t="s">
        <v>7169</v>
      </c>
      <c r="C1107" s="1013" t="s">
        <v>4461</v>
      </c>
      <c r="D1107" s="1013" t="s">
        <v>4461</v>
      </c>
      <c r="E1107" s="1014">
        <v>4877</v>
      </c>
      <c r="F1107" s="1013" t="s">
        <v>5336</v>
      </c>
      <c r="G1107" s="1014" t="s">
        <v>266</v>
      </c>
      <c r="H1107" s="1015">
        <v>300758</v>
      </c>
      <c r="I1107" s="1016" t="s">
        <v>6899</v>
      </c>
    </row>
    <row r="1108" spans="2:9" ht="15.75" x14ac:dyDescent="0.25">
      <c r="B1108" s="1365" t="s">
        <v>7169</v>
      </c>
      <c r="C1108" s="1013" t="s">
        <v>4461</v>
      </c>
      <c r="D1108" s="1013" t="s">
        <v>4461</v>
      </c>
      <c r="E1108" s="1014">
        <v>4878</v>
      </c>
      <c r="F1108" s="1013" t="s">
        <v>5337</v>
      </c>
      <c r="G1108" s="1014" t="s">
        <v>266</v>
      </c>
      <c r="H1108" s="1015">
        <v>118672</v>
      </c>
      <c r="I1108" s="1016" t="s">
        <v>4398</v>
      </c>
    </row>
    <row r="1109" spans="2:9" ht="15.75" x14ac:dyDescent="0.25">
      <c r="B1109" s="1365" t="s">
        <v>7169</v>
      </c>
      <c r="C1109" s="1013" t="s">
        <v>4461</v>
      </c>
      <c r="D1109" s="1013" t="s">
        <v>4461</v>
      </c>
      <c r="E1109" s="1014">
        <v>4879</v>
      </c>
      <c r="F1109" s="1013" t="s">
        <v>5338</v>
      </c>
      <c r="G1109" s="1014" t="s">
        <v>266</v>
      </c>
      <c r="H1109" s="1015">
        <v>210433</v>
      </c>
      <c r="I1109" s="1016" t="s">
        <v>4398</v>
      </c>
    </row>
    <row r="1110" spans="2:9" ht="15.75" x14ac:dyDescent="0.25">
      <c r="B1110" s="1365" t="s">
        <v>7169</v>
      </c>
      <c r="C1110" s="1013" t="s">
        <v>4461</v>
      </c>
      <c r="D1110" s="1013" t="s">
        <v>4461</v>
      </c>
      <c r="E1110" s="1014">
        <v>4880</v>
      </c>
      <c r="F1110" s="1013" t="s">
        <v>534</v>
      </c>
      <c r="G1110" s="1014" t="s">
        <v>13</v>
      </c>
      <c r="H1110" s="1015">
        <v>660817</v>
      </c>
      <c r="I1110" s="1016" t="s">
        <v>4398</v>
      </c>
    </row>
    <row r="1111" spans="2:9" ht="15.75" x14ac:dyDescent="0.25">
      <c r="B1111" s="1365" t="s">
        <v>7169</v>
      </c>
      <c r="C1111" s="1013" t="s">
        <v>4451</v>
      </c>
      <c r="D1111" s="1013" t="s">
        <v>4452</v>
      </c>
      <c r="E1111" s="1014">
        <v>4882</v>
      </c>
      <c r="F1111" s="1013" t="s">
        <v>5339</v>
      </c>
      <c r="G1111" s="1014" t="s">
        <v>266</v>
      </c>
      <c r="H1111" s="1015">
        <v>240954</v>
      </c>
      <c r="I1111" s="1016" t="s">
        <v>6899</v>
      </c>
    </row>
    <row r="1112" spans="2:9" ht="15.75" x14ac:dyDescent="0.25">
      <c r="B1112" s="1365" t="s">
        <v>7169</v>
      </c>
      <c r="C1112" s="1013" t="s">
        <v>4451</v>
      </c>
      <c r="D1112" s="1013" t="s">
        <v>4452</v>
      </c>
      <c r="E1112" s="1014">
        <v>4883</v>
      </c>
      <c r="F1112" s="1013" t="s">
        <v>5340</v>
      </c>
      <c r="G1112" s="1014" t="s">
        <v>12</v>
      </c>
      <c r="H1112" s="1015">
        <v>10500</v>
      </c>
      <c r="I1112" s="1016" t="s">
        <v>3538</v>
      </c>
    </row>
    <row r="1113" spans="2:9" ht="15.75" x14ac:dyDescent="0.25">
      <c r="B1113" s="1365" t="s">
        <v>7169</v>
      </c>
      <c r="C1113" s="1013" t="s">
        <v>4451</v>
      </c>
      <c r="D1113" s="1013" t="s">
        <v>4452</v>
      </c>
      <c r="E1113" s="1014">
        <v>4884</v>
      </c>
      <c r="F1113" s="1013" t="s">
        <v>7200</v>
      </c>
      <c r="G1113" s="1014" t="s">
        <v>266</v>
      </c>
      <c r="H1113" s="1015">
        <v>202064</v>
      </c>
      <c r="I1113" s="1016" t="s">
        <v>6899</v>
      </c>
    </row>
    <row r="1114" spans="2:9" ht="15.75" x14ac:dyDescent="0.25">
      <c r="B1114" s="1365" t="s">
        <v>7169</v>
      </c>
      <c r="C1114" s="1013" t="s">
        <v>4451</v>
      </c>
      <c r="D1114" s="1013" t="s">
        <v>4452</v>
      </c>
      <c r="E1114" s="1014">
        <v>4885</v>
      </c>
      <c r="F1114" s="1013" t="s">
        <v>7201</v>
      </c>
      <c r="G1114" s="1014" t="s">
        <v>266</v>
      </c>
      <c r="H1114" s="1015">
        <v>208664</v>
      </c>
      <c r="I1114" s="1016" t="s">
        <v>6899</v>
      </c>
    </row>
    <row r="1115" spans="2:9" ht="15.75" x14ac:dyDescent="0.25">
      <c r="B1115" s="1365" t="s">
        <v>7169</v>
      </c>
      <c r="C1115" s="1013" t="s">
        <v>4451</v>
      </c>
      <c r="D1115" s="1013" t="s">
        <v>4452</v>
      </c>
      <c r="E1115" s="1014">
        <v>4886</v>
      </c>
      <c r="F1115" s="1013" t="s">
        <v>7202</v>
      </c>
      <c r="G1115" s="1014" t="s">
        <v>266</v>
      </c>
      <c r="H1115" s="1015">
        <v>237384</v>
      </c>
      <c r="I1115" s="1016" t="s">
        <v>6899</v>
      </c>
    </row>
    <row r="1116" spans="2:9" ht="15.75" x14ac:dyDescent="0.25">
      <c r="B1116" s="1365" t="s">
        <v>7169</v>
      </c>
      <c r="C1116" s="1013" t="s">
        <v>4451</v>
      </c>
      <c r="D1116" s="1013" t="s">
        <v>4452</v>
      </c>
      <c r="E1116" s="1014">
        <v>4887</v>
      </c>
      <c r="F1116" s="1013" t="s">
        <v>7203</v>
      </c>
      <c r="G1116" s="1014" t="s">
        <v>266</v>
      </c>
      <c r="H1116" s="1015">
        <v>498164</v>
      </c>
      <c r="I1116" s="1016" t="s">
        <v>6899</v>
      </c>
    </row>
    <row r="1117" spans="2:9" ht="15.75" x14ac:dyDescent="0.25">
      <c r="B1117" s="1365" t="s">
        <v>7169</v>
      </c>
      <c r="C1117" s="1013" t="s">
        <v>4451</v>
      </c>
      <c r="D1117" s="1013" t="s">
        <v>4452</v>
      </c>
      <c r="E1117" s="1014">
        <v>4888</v>
      </c>
      <c r="F1117" s="1013" t="s">
        <v>7204</v>
      </c>
      <c r="G1117" s="1014" t="s">
        <v>266</v>
      </c>
      <c r="H1117" s="1015">
        <v>228459</v>
      </c>
      <c r="I1117" s="1016" t="s">
        <v>6899</v>
      </c>
    </row>
    <row r="1118" spans="2:9" ht="15.75" x14ac:dyDescent="0.25">
      <c r="B1118" s="1365" t="s">
        <v>7169</v>
      </c>
      <c r="C1118" s="1013" t="s">
        <v>4405</v>
      </c>
      <c r="D1118" s="1013" t="s">
        <v>4579</v>
      </c>
      <c r="E1118" s="1014">
        <v>4889</v>
      </c>
      <c r="F1118" s="1013" t="s">
        <v>535</v>
      </c>
      <c r="G1118" s="1014" t="s">
        <v>266</v>
      </c>
      <c r="H1118" s="1015">
        <v>1575037</v>
      </c>
      <c r="I1118" s="1016" t="s">
        <v>6899</v>
      </c>
    </row>
    <row r="1119" spans="2:9" ht="15.75" x14ac:dyDescent="0.25">
      <c r="B1119" s="1365" t="s">
        <v>7169</v>
      </c>
      <c r="C1119" s="1013" t="s">
        <v>4405</v>
      </c>
      <c r="D1119" s="1013" t="s">
        <v>4579</v>
      </c>
      <c r="E1119" s="1014">
        <v>4890</v>
      </c>
      <c r="F1119" s="1013" t="s">
        <v>5341</v>
      </c>
      <c r="G1119" s="1014" t="s">
        <v>266</v>
      </c>
      <c r="H1119" s="1015">
        <v>519007</v>
      </c>
      <c r="I1119" s="1016" t="s">
        <v>6899</v>
      </c>
    </row>
    <row r="1120" spans="2:9" ht="15.75" x14ac:dyDescent="0.25">
      <c r="B1120" s="1365" t="s">
        <v>7169</v>
      </c>
      <c r="C1120" s="1013" t="s">
        <v>4405</v>
      </c>
      <c r="D1120" s="1013" t="s">
        <v>4579</v>
      </c>
      <c r="E1120" s="1014">
        <v>4891</v>
      </c>
      <c r="F1120" s="1013" t="s">
        <v>5342</v>
      </c>
      <c r="G1120" s="1014" t="s">
        <v>266</v>
      </c>
      <c r="H1120" s="1015">
        <v>795249</v>
      </c>
      <c r="I1120" s="1016" t="s">
        <v>6899</v>
      </c>
    </row>
    <row r="1121" spans="2:9" ht="15.75" x14ac:dyDescent="0.25">
      <c r="B1121" s="1365" t="s">
        <v>7169</v>
      </c>
      <c r="C1121" s="1013" t="s">
        <v>4420</v>
      </c>
      <c r="D1121" s="1013" t="s">
        <v>4420</v>
      </c>
      <c r="E1121" s="1014">
        <v>4892</v>
      </c>
      <c r="F1121" s="1013" t="s">
        <v>536</v>
      </c>
      <c r="G1121" s="1014" t="s">
        <v>13</v>
      </c>
      <c r="H1121" s="1015">
        <v>333450</v>
      </c>
      <c r="I1121" s="1016" t="s">
        <v>6899</v>
      </c>
    </row>
    <row r="1122" spans="2:9" ht="15.75" x14ac:dyDescent="0.25">
      <c r="B1122" s="1365" t="s">
        <v>7169</v>
      </c>
      <c r="C1122" s="1013" t="s">
        <v>4799</v>
      </c>
      <c r="D1122" s="1013" t="s">
        <v>4800</v>
      </c>
      <c r="E1122" s="1014">
        <v>4894</v>
      </c>
      <c r="F1122" s="1013" t="s">
        <v>5343</v>
      </c>
      <c r="G1122" s="1014" t="s">
        <v>342</v>
      </c>
      <c r="H1122" s="1015">
        <v>333378</v>
      </c>
      <c r="I1122" s="1016" t="s">
        <v>4398</v>
      </c>
    </row>
    <row r="1123" spans="2:9" ht="15.75" x14ac:dyDescent="0.25">
      <c r="B1123" s="1365" t="s">
        <v>7169</v>
      </c>
      <c r="C1123" s="1013" t="s">
        <v>4799</v>
      </c>
      <c r="D1123" s="1013" t="s">
        <v>4800</v>
      </c>
      <c r="E1123" s="1014">
        <v>4895</v>
      </c>
      <c r="F1123" s="1013" t="s">
        <v>537</v>
      </c>
      <c r="G1123" s="1014" t="s">
        <v>202</v>
      </c>
      <c r="H1123" s="1015">
        <v>42560</v>
      </c>
      <c r="I1123" s="1016" t="s">
        <v>4398</v>
      </c>
    </row>
    <row r="1124" spans="2:9" ht="15.75" x14ac:dyDescent="0.25">
      <c r="B1124" s="1365" t="s">
        <v>7169</v>
      </c>
      <c r="C1124" s="1013" t="s">
        <v>4420</v>
      </c>
      <c r="D1124" s="1013" t="s">
        <v>4420</v>
      </c>
      <c r="E1124" s="1014">
        <v>4896</v>
      </c>
      <c r="F1124" s="1013" t="s">
        <v>538</v>
      </c>
      <c r="G1124" s="1014" t="s">
        <v>13</v>
      </c>
      <c r="H1124" s="1015">
        <v>414964</v>
      </c>
      <c r="I1124" s="1016" t="s">
        <v>6899</v>
      </c>
    </row>
    <row r="1125" spans="2:9" ht="15.75" x14ac:dyDescent="0.25">
      <c r="B1125" s="1365" t="s">
        <v>7169</v>
      </c>
      <c r="C1125" s="1013" t="s">
        <v>4461</v>
      </c>
      <c r="D1125" s="1013" t="s">
        <v>4461</v>
      </c>
      <c r="E1125" s="1014">
        <v>4898</v>
      </c>
      <c r="F1125" s="1013" t="s">
        <v>5344</v>
      </c>
      <c r="G1125" s="1014" t="s">
        <v>266</v>
      </c>
      <c r="H1125" s="1015">
        <v>170693</v>
      </c>
      <c r="I1125" s="1016" t="s">
        <v>4398</v>
      </c>
    </row>
    <row r="1126" spans="2:9" ht="15.75" x14ac:dyDescent="0.25">
      <c r="B1126" s="1365" t="s">
        <v>7169</v>
      </c>
      <c r="C1126" s="1013" t="s">
        <v>4461</v>
      </c>
      <c r="D1126" s="1013" t="s">
        <v>4461</v>
      </c>
      <c r="E1126" s="1014">
        <v>4899</v>
      </c>
      <c r="F1126" s="1013" t="s">
        <v>5345</v>
      </c>
      <c r="G1126" s="1014" t="s">
        <v>266</v>
      </c>
      <c r="H1126" s="1015">
        <v>195683</v>
      </c>
      <c r="I1126" s="1016" t="s">
        <v>4398</v>
      </c>
    </row>
    <row r="1127" spans="2:9" ht="15.75" x14ac:dyDescent="0.25">
      <c r="B1127" s="1365" t="s">
        <v>7169</v>
      </c>
      <c r="C1127" s="1013" t="s">
        <v>4461</v>
      </c>
      <c r="D1127" s="1013" t="s">
        <v>4461</v>
      </c>
      <c r="E1127" s="1014">
        <v>4900</v>
      </c>
      <c r="F1127" s="1013" t="s">
        <v>5346</v>
      </c>
      <c r="G1127" s="1014" t="s">
        <v>266</v>
      </c>
      <c r="H1127" s="1015">
        <v>605043</v>
      </c>
      <c r="I1127" s="1016" t="s">
        <v>4398</v>
      </c>
    </row>
    <row r="1128" spans="2:9" ht="15.75" x14ac:dyDescent="0.25">
      <c r="B1128" s="1365" t="s">
        <v>7169</v>
      </c>
      <c r="C1128" s="1013" t="s">
        <v>4461</v>
      </c>
      <c r="D1128" s="1013" t="s">
        <v>4461</v>
      </c>
      <c r="E1128" s="1014">
        <v>4901</v>
      </c>
      <c r="F1128" s="1013" t="s">
        <v>5347</v>
      </c>
      <c r="G1128" s="1014" t="s">
        <v>266</v>
      </c>
      <c r="H1128" s="1015">
        <v>1006167</v>
      </c>
      <c r="I1128" s="1016" t="s">
        <v>4398</v>
      </c>
    </row>
    <row r="1129" spans="2:9" ht="15.75" x14ac:dyDescent="0.25">
      <c r="B1129" s="1365" t="s">
        <v>7169</v>
      </c>
      <c r="C1129" s="1013" t="s">
        <v>4417</v>
      </c>
      <c r="D1129" s="1013" t="s">
        <v>4438</v>
      </c>
      <c r="E1129" s="1014">
        <v>4902</v>
      </c>
      <c r="F1129" s="1013" t="s">
        <v>5348</v>
      </c>
      <c r="G1129" s="1014" t="s">
        <v>266</v>
      </c>
      <c r="H1129" s="1015">
        <v>1209886</v>
      </c>
      <c r="I1129" s="1016" t="s">
        <v>6899</v>
      </c>
    </row>
    <row r="1130" spans="2:9" ht="15.75" x14ac:dyDescent="0.25">
      <c r="B1130" s="1365" t="s">
        <v>7169</v>
      </c>
      <c r="C1130" s="1013" t="s">
        <v>4417</v>
      </c>
      <c r="D1130" s="1013" t="s">
        <v>4418</v>
      </c>
      <c r="E1130" s="1014">
        <v>4903</v>
      </c>
      <c r="F1130" s="1013" t="s">
        <v>539</v>
      </c>
      <c r="G1130" s="1014" t="s">
        <v>266</v>
      </c>
      <c r="H1130" s="1015">
        <v>128869</v>
      </c>
      <c r="I1130" s="1016" t="s">
        <v>6899</v>
      </c>
    </row>
    <row r="1131" spans="2:9" ht="15.75" x14ac:dyDescent="0.25">
      <c r="B1131" s="1365" t="s">
        <v>7169</v>
      </c>
      <c r="C1131" s="1013" t="s">
        <v>4417</v>
      </c>
      <c r="D1131" s="1013" t="s">
        <v>4438</v>
      </c>
      <c r="E1131" s="1014">
        <v>4904</v>
      </c>
      <c r="F1131" s="1013" t="s">
        <v>5349</v>
      </c>
      <c r="G1131" s="1014" t="s">
        <v>12</v>
      </c>
      <c r="H1131" s="1015">
        <v>218832</v>
      </c>
      <c r="I1131" s="1016" t="s">
        <v>6899</v>
      </c>
    </row>
    <row r="1132" spans="2:9" ht="15.75" x14ac:dyDescent="0.25">
      <c r="B1132" s="1365" t="s">
        <v>7169</v>
      </c>
      <c r="C1132" s="1013" t="s">
        <v>1474</v>
      </c>
      <c r="D1132" s="1013" t="s">
        <v>4940</v>
      </c>
      <c r="E1132" s="1014">
        <v>4905</v>
      </c>
      <c r="F1132" s="1013" t="s">
        <v>5350</v>
      </c>
      <c r="G1132" s="1014" t="s">
        <v>13</v>
      </c>
      <c r="H1132" s="1015">
        <v>114755</v>
      </c>
      <c r="I1132" s="1016" t="s">
        <v>6899</v>
      </c>
    </row>
    <row r="1133" spans="2:9" ht="15.75" x14ac:dyDescent="0.25">
      <c r="B1133" s="1365" t="s">
        <v>7169</v>
      </c>
      <c r="C1133" s="1013" t="s">
        <v>4410</v>
      </c>
      <c r="D1133" s="1013" t="s">
        <v>4642</v>
      </c>
      <c r="E1133" s="1014">
        <v>4907</v>
      </c>
      <c r="F1133" s="1013" t="s">
        <v>540</v>
      </c>
      <c r="G1133" s="1014" t="s">
        <v>3</v>
      </c>
      <c r="H1133" s="1015">
        <v>150775</v>
      </c>
      <c r="I1133" s="1016" t="s">
        <v>6899</v>
      </c>
    </row>
    <row r="1134" spans="2:9" ht="15.75" x14ac:dyDescent="0.25">
      <c r="B1134" s="1365" t="s">
        <v>7169</v>
      </c>
      <c r="C1134" s="1013" t="s">
        <v>4410</v>
      </c>
      <c r="D1134" s="1013" t="s">
        <v>4642</v>
      </c>
      <c r="E1134" s="1014">
        <v>4908</v>
      </c>
      <c r="F1134" s="1013" t="s">
        <v>541</v>
      </c>
      <c r="G1134" s="1014" t="s">
        <v>3</v>
      </c>
      <c r="H1134" s="1015">
        <v>104624</v>
      </c>
      <c r="I1134" s="1016" t="s">
        <v>6899</v>
      </c>
    </row>
    <row r="1135" spans="2:9" ht="15.75" x14ac:dyDescent="0.25">
      <c r="B1135" s="1365" t="s">
        <v>7169</v>
      </c>
      <c r="C1135" s="1013" t="s">
        <v>4451</v>
      </c>
      <c r="D1135" s="1013" t="s">
        <v>4616</v>
      </c>
      <c r="E1135" s="1014">
        <v>4909</v>
      </c>
      <c r="F1135" s="1013" t="s">
        <v>5351</v>
      </c>
      <c r="G1135" s="1014" t="s">
        <v>12</v>
      </c>
      <c r="H1135" s="1015">
        <v>183331</v>
      </c>
      <c r="I1135" s="1016" t="s">
        <v>6899</v>
      </c>
    </row>
    <row r="1136" spans="2:9" ht="15.75" x14ac:dyDescent="0.25">
      <c r="B1136" s="1365" t="s">
        <v>7169</v>
      </c>
      <c r="C1136" s="1013" t="s">
        <v>4472</v>
      </c>
      <c r="D1136" s="1013" t="s">
        <v>4473</v>
      </c>
      <c r="E1136" s="1014">
        <v>4910</v>
      </c>
      <c r="F1136" s="1013" t="s">
        <v>5352</v>
      </c>
      <c r="G1136" s="1014" t="s">
        <v>12</v>
      </c>
      <c r="H1136" s="1015">
        <v>162356</v>
      </c>
      <c r="I1136" s="1016" t="s">
        <v>6899</v>
      </c>
    </row>
    <row r="1137" spans="2:9" ht="15.75" x14ac:dyDescent="0.25">
      <c r="B1137" s="1365" t="s">
        <v>7169</v>
      </c>
      <c r="C1137" s="1013" t="s">
        <v>4417</v>
      </c>
      <c r="D1137" s="1013" t="s">
        <v>4418</v>
      </c>
      <c r="E1137" s="1014">
        <v>4911</v>
      </c>
      <c r="F1137" s="1013" t="s">
        <v>5353</v>
      </c>
      <c r="G1137" s="1014" t="s">
        <v>13</v>
      </c>
      <c r="H1137" s="1015">
        <v>66411</v>
      </c>
      <c r="I1137" s="1016" t="s">
        <v>6899</v>
      </c>
    </row>
    <row r="1138" spans="2:9" ht="15.75" x14ac:dyDescent="0.25">
      <c r="B1138" s="1365" t="s">
        <v>7169</v>
      </c>
      <c r="C1138" s="1013" t="s">
        <v>4431</v>
      </c>
      <c r="D1138" s="1013" t="s">
        <v>4432</v>
      </c>
      <c r="E1138" s="1014">
        <v>4912</v>
      </c>
      <c r="F1138" s="1013" t="s">
        <v>5354</v>
      </c>
      <c r="G1138" s="1014" t="s">
        <v>266</v>
      </c>
      <c r="H1138" s="1015">
        <v>2549051</v>
      </c>
      <c r="I1138" s="1016" t="s">
        <v>6899</v>
      </c>
    </row>
    <row r="1139" spans="2:9" ht="15.75" x14ac:dyDescent="0.25">
      <c r="B1139" s="1365" t="s">
        <v>7169</v>
      </c>
      <c r="C1139" s="1013" t="s">
        <v>4431</v>
      </c>
      <c r="D1139" s="1013" t="s">
        <v>4432</v>
      </c>
      <c r="E1139" s="1014">
        <v>4913</v>
      </c>
      <c r="F1139" s="1013" t="s">
        <v>5355</v>
      </c>
      <c r="G1139" s="1014" t="s">
        <v>266</v>
      </c>
      <c r="H1139" s="1015">
        <v>2210468</v>
      </c>
      <c r="I1139" s="1016" t="s">
        <v>6899</v>
      </c>
    </row>
    <row r="1140" spans="2:9" ht="15.75" x14ac:dyDescent="0.25">
      <c r="B1140" s="1365" t="s">
        <v>7169</v>
      </c>
      <c r="C1140" s="1013" t="s">
        <v>4431</v>
      </c>
      <c r="D1140" s="1013" t="s">
        <v>4432</v>
      </c>
      <c r="E1140" s="1014">
        <v>4914</v>
      </c>
      <c r="F1140" s="1013" t="s">
        <v>5356</v>
      </c>
      <c r="G1140" s="1014" t="s">
        <v>266</v>
      </c>
      <c r="H1140" s="1015">
        <v>1173685</v>
      </c>
      <c r="I1140" s="1016" t="s">
        <v>6899</v>
      </c>
    </row>
    <row r="1141" spans="2:9" ht="15.75" x14ac:dyDescent="0.25">
      <c r="B1141" s="1365" t="s">
        <v>7169</v>
      </c>
      <c r="C1141" s="1013" t="s">
        <v>4417</v>
      </c>
      <c r="D1141" s="1013" t="s">
        <v>4418</v>
      </c>
      <c r="E1141" s="1014">
        <v>4915</v>
      </c>
      <c r="F1141" s="1013" t="s">
        <v>5357</v>
      </c>
      <c r="G1141" s="1014" t="s">
        <v>13</v>
      </c>
      <c r="H1141" s="1015">
        <v>60709</v>
      </c>
      <c r="I1141" s="1016" t="s">
        <v>6899</v>
      </c>
    </row>
    <row r="1142" spans="2:9" ht="15.75" x14ac:dyDescent="0.25">
      <c r="B1142" s="1365" t="s">
        <v>7169</v>
      </c>
      <c r="C1142" s="1013" t="s">
        <v>4472</v>
      </c>
      <c r="D1142" s="1013" t="s">
        <v>4812</v>
      </c>
      <c r="E1142" s="1014">
        <v>4918</v>
      </c>
      <c r="F1142" s="1013" t="s">
        <v>5358</v>
      </c>
      <c r="G1142" s="1014" t="s">
        <v>13</v>
      </c>
      <c r="H1142" s="1015">
        <v>181616</v>
      </c>
      <c r="I1142" s="1016" t="s">
        <v>4398</v>
      </c>
    </row>
    <row r="1143" spans="2:9" ht="15.75" x14ac:dyDescent="0.25">
      <c r="B1143" s="1365" t="s">
        <v>7169</v>
      </c>
      <c r="C1143" s="1013" t="s">
        <v>4417</v>
      </c>
      <c r="D1143" s="1013" t="s">
        <v>4438</v>
      </c>
      <c r="E1143" s="1014">
        <v>4919</v>
      </c>
      <c r="F1143" s="1013" t="s">
        <v>5359</v>
      </c>
      <c r="G1143" s="1014" t="s">
        <v>12</v>
      </c>
      <c r="H1143" s="1015">
        <v>115898</v>
      </c>
      <c r="I1143" s="1016" t="s">
        <v>6899</v>
      </c>
    </row>
    <row r="1144" spans="2:9" ht="15.75" x14ac:dyDescent="0.25">
      <c r="B1144" s="1365" t="s">
        <v>7169</v>
      </c>
      <c r="C1144" s="1013" t="s">
        <v>4451</v>
      </c>
      <c r="D1144" s="1013" t="s">
        <v>4616</v>
      </c>
      <c r="E1144" s="1014">
        <v>4920</v>
      </c>
      <c r="F1144" s="1013" t="s">
        <v>542</v>
      </c>
      <c r="G1144" s="1014" t="s">
        <v>266</v>
      </c>
      <c r="H1144" s="1015">
        <v>873762</v>
      </c>
      <c r="I1144" s="1016" t="s">
        <v>6899</v>
      </c>
    </row>
    <row r="1145" spans="2:9" ht="15.75" x14ac:dyDescent="0.25">
      <c r="B1145" s="1365" t="s">
        <v>7169</v>
      </c>
      <c r="C1145" s="1013" t="s">
        <v>4454</v>
      </c>
      <c r="D1145" s="1013" t="s">
        <v>4634</v>
      </c>
      <c r="E1145" s="1014">
        <v>4921</v>
      </c>
      <c r="F1145" s="1013" t="s">
        <v>543</v>
      </c>
      <c r="G1145" s="1014" t="s">
        <v>266</v>
      </c>
      <c r="H1145" s="1015">
        <v>135806</v>
      </c>
      <c r="I1145" s="1016" t="s">
        <v>6899</v>
      </c>
    </row>
    <row r="1146" spans="2:9" ht="15.75" x14ac:dyDescent="0.25">
      <c r="B1146" s="1365" t="s">
        <v>7169</v>
      </c>
      <c r="C1146" s="1013" t="s">
        <v>4799</v>
      </c>
      <c r="D1146" s="1013" t="s">
        <v>4800</v>
      </c>
      <c r="E1146" s="1014">
        <v>4922</v>
      </c>
      <c r="F1146" s="1013" t="s">
        <v>544</v>
      </c>
      <c r="G1146" s="1014" t="s">
        <v>342</v>
      </c>
      <c r="H1146" s="1015">
        <v>214740</v>
      </c>
      <c r="I1146" s="1016" t="s">
        <v>4398</v>
      </c>
    </row>
    <row r="1147" spans="2:9" ht="15.75" x14ac:dyDescent="0.25">
      <c r="B1147" s="1365" t="s">
        <v>7169</v>
      </c>
      <c r="C1147" s="1013" t="s">
        <v>4799</v>
      </c>
      <c r="D1147" s="1013" t="s">
        <v>4800</v>
      </c>
      <c r="E1147" s="1014">
        <v>4923</v>
      </c>
      <c r="F1147" s="1013" t="s">
        <v>5360</v>
      </c>
      <c r="G1147" s="1014" t="s">
        <v>202</v>
      </c>
      <c r="H1147" s="1015">
        <v>27414</v>
      </c>
      <c r="I1147" s="1016" t="s">
        <v>4398</v>
      </c>
    </row>
    <row r="1148" spans="2:9" ht="15.75" x14ac:dyDescent="0.25">
      <c r="B1148" s="1365" t="s">
        <v>7169</v>
      </c>
      <c r="C1148" s="1013" t="s">
        <v>4472</v>
      </c>
      <c r="D1148" s="1013" t="s">
        <v>4817</v>
      </c>
      <c r="E1148" s="1014">
        <v>4925</v>
      </c>
      <c r="F1148" s="1013" t="s">
        <v>5361</v>
      </c>
      <c r="G1148" s="1014" t="s">
        <v>3</v>
      </c>
      <c r="H1148" s="1015">
        <v>321138</v>
      </c>
      <c r="I1148" s="1016" t="s">
        <v>6899</v>
      </c>
    </row>
    <row r="1149" spans="2:9" ht="15.75" x14ac:dyDescent="0.25">
      <c r="B1149" s="1365" t="s">
        <v>7169</v>
      </c>
      <c r="C1149" s="1013" t="s">
        <v>4472</v>
      </c>
      <c r="D1149" s="1013" t="s">
        <v>4817</v>
      </c>
      <c r="E1149" s="1014">
        <v>4926</v>
      </c>
      <c r="F1149" s="1013" t="s">
        <v>5362</v>
      </c>
      <c r="G1149" s="1014" t="s">
        <v>3</v>
      </c>
      <c r="H1149" s="1015">
        <v>268338</v>
      </c>
      <c r="I1149" s="1016" t="s">
        <v>6899</v>
      </c>
    </row>
    <row r="1150" spans="2:9" ht="15.75" x14ac:dyDescent="0.25">
      <c r="B1150" s="1365" t="s">
        <v>7169</v>
      </c>
      <c r="C1150" s="1013" t="s">
        <v>5363</v>
      </c>
      <c r="D1150" s="1013" t="s">
        <v>5363</v>
      </c>
      <c r="E1150" s="1014">
        <v>4928</v>
      </c>
      <c r="F1150" s="1013" t="s">
        <v>545</v>
      </c>
      <c r="G1150" s="1014" t="s">
        <v>546</v>
      </c>
      <c r="H1150" s="1015">
        <v>8780</v>
      </c>
      <c r="I1150" s="1016" t="s">
        <v>4398</v>
      </c>
    </row>
    <row r="1151" spans="2:9" ht="15.75" x14ac:dyDescent="0.25">
      <c r="B1151" s="1365" t="s">
        <v>7169</v>
      </c>
      <c r="C1151" s="1013" t="s">
        <v>4454</v>
      </c>
      <c r="D1151" s="1013" t="s">
        <v>4634</v>
      </c>
      <c r="E1151" s="1014">
        <v>4930</v>
      </c>
      <c r="F1151" s="1013" t="s">
        <v>547</v>
      </c>
      <c r="G1151" s="1014" t="s">
        <v>548</v>
      </c>
      <c r="H1151" s="1015">
        <v>2192505</v>
      </c>
      <c r="I1151" s="1016" t="s">
        <v>4398</v>
      </c>
    </row>
    <row r="1152" spans="2:9" ht="15.75" x14ac:dyDescent="0.25">
      <c r="B1152" s="1365" t="s">
        <v>7169</v>
      </c>
      <c r="C1152" s="1013" t="s">
        <v>5363</v>
      </c>
      <c r="D1152" s="1013" t="s">
        <v>5363</v>
      </c>
      <c r="E1152" s="1014">
        <v>4931</v>
      </c>
      <c r="F1152" s="1013" t="s">
        <v>5364</v>
      </c>
      <c r="G1152" s="1014" t="s">
        <v>546</v>
      </c>
      <c r="H1152" s="1015">
        <v>33407</v>
      </c>
      <c r="I1152" s="1016" t="s">
        <v>3538</v>
      </c>
    </row>
    <row r="1153" spans="2:9" ht="15.75" x14ac:dyDescent="0.25">
      <c r="B1153" s="1365" t="s">
        <v>7169</v>
      </c>
      <c r="C1153" s="1013" t="s">
        <v>5363</v>
      </c>
      <c r="D1153" s="1013" t="s">
        <v>5363</v>
      </c>
      <c r="E1153" s="1014">
        <v>4933</v>
      </c>
      <c r="F1153" s="1013" t="s">
        <v>5365</v>
      </c>
      <c r="G1153" s="1014" t="s">
        <v>266</v>
      </c>
      <c r="H1153" s="1015">
        <v>799680</v>
      </c>
      <c r="I1153" s="1016" t="s">
        <v>3538</v>
      </c>
    </row>
    <row r="1154" spans="2:9" ht="15.75" x14ac:dyDescent="0.25">
      <c r="B1154" s="1365" t="s">
        <v>7169</v>
      </c>
      <c r="C1154" s="1013" t="s">
        <v>5366</v>
      </c>
      <c r="D1154" s="1013" t="s">
        <v>5366</v>
      </c>
      <c r="E1154" s="1014">
        <v>4934</v>
      </c>
      <c r="F1154" s="1013" t="s">
        <v>5367</v>
      </c>
      <c r="G1154" s="1014" t="s">
        <v>546</v>
      </c>
      <c r="H1154" s="1015">
        <v>163756</v>
      </c>
      <c r="I1154" s="1016" t="s">
        <v>6899</v>
      </c>
    </row>
    <row r="1155" spans="2:9" ht="15.75" x14ac:dyDescent="0.25">
      <c r="B1155" s="1365" t="s">
        <v>7169</v>
      </c>
      <c r="C1155" s="1013" t="s">
        <v>5366</v>
      </c>
      <c r="D1155" s="1013" t="s">
        <v>5366</v>
      </c>
      <c r="E1155" s="1014">
        <v>4936</v>
      </c>
      <c r="F1155" s="1013" t="s">
        <v>549</v>
      </c>
      <c r="G1155" s="1014" t="s">
        <v>266</v>
      </c>
      <c r="H1155" s="1015">
        <v>36481</v>
      </c>
      <c r="I1155" s="1016" t="s">
        <v>6899</v>
      </c>
    </row>
    <row r="1156" spans="2:9" ht="15.75" x14ac:dyDescent="0.25">
      <c r="B1156" s="1365" t="s">
        <v>7169</v>
      </c>
      <c r="C1156" s="1013" t="s">
        <v>5366</v>
      </c>
      <c r="D1156" s="1013" t="s">
        <v>5366</v>
      </c>
      <c r="E1156" s="1014">
        <v>4937</v>
      </c>
      <c r="F1156" s="1013" t="s">
        <v>550</v>
      </c>
      <c r="G1156" s="1014" t="s">
        <v>12</v>
      </c>
      <c r="H1156" s="1015">
        <v>11197</v>
      </c>
      <c r="I1156" s="1016" t="s">
        <v>4398</v>
      </c>
    </row>
    <row r="1157" spans="2:9" ht="15.75" x14ac:dyDescent="0.25">
      <c r="B1157" s="1365" t="s">
        <v>7169</v>
      </c>
      <c r="C1157" s="1013" t="s">
        <v>5366</v>
      </c>
      <c r="D1157" s="1013" t="s">
        <v>5366</v>
      </c>
      <c r="E1157" s="1014">
        <v>4945</v>
      </c>
      <c r="F1157" s="1013" t="s">
        <v>551</v>
      </c>
      <c r="G1157" s="1014" t="s">
        <v>5368</v>
      </c>
      <c r="H1157" s="1015">
        <v>11534</v>
      </c>
      <c r="I1157" s="1016" t="s">
        <v>6899</v>
      </c>
    </row>
    <row r="1158" spans="2:9" ht="15.75" x14ac:dyDescent="0.25">
      <c r="B1158" s="1365" t="s">
        <v>7169</v>
      </c>
      <c r="C1158" s="1013" t="s">
        <v>5366</v>
      </c>
      <c r="D1158" s="1013" t="s">
        <v>5366</v>
      </c>
      <c r="E1158" s="1014">
        <v>4946</v>
      </c>
      <c r="F1158" s="1013" t="s">
        <v>5369</v>
      </c>
      <c r="G1158" s="1014" t="s">
        <v>5368</v>
      </c>
      <c r="H1158" s="1015">
        <v>30533</v>
      </c>
      <c r="I1158" s="1016" t="s">
        <v>6899</v>
      </c>
    </row>
    <row r="1159" spans="2:9" ht="15.75" x14ac:dyDescent="0.25">
      <c r="B1159" s="1365" t="s">
        <v>7169</v>
      </c>
      <c r="C1159" s="1013" t="s">
        <v>4799</v>
      </c>
      <c r="D1159" s="1013" t="s">
        <v>5199</v>
      </c>
      <c r="E1159" s="1014">
        <v>4947</v>
      </c>
      <c r="F1159" s="1013" t="s">
        <v>553</v>
      </c>
      <c r="G1159" s="1014" t="s">
        <v>12</v>
      </c>
      <c r="H1159" s="1015">
        <v>5545</v>
      </c>
      <c r="I1159" s="1016" t="s">
        <v>6899</v>
      </c>
    </row>
    <row r="1160" spans="2:9" ht="15.75" x14ac:dyDescent="0.25">
      <c r="B1160" s="1365" t="s">
        <v>7169</v>
      </c>
      <c r="C1160" s="1013" t="s">
        <v>4451</v>
      </c>
      <c r="D1160" s="1013" t="s">
        <v>4616</v>
      </c>
      <c r="E1160" s="1014">
        <v>4949</v>
      </c>
      <c r="F1160" s="1013" t="s">
        <v>5370</v>
      </c>
      <c r="G1160" s="1014" t="s">
        <v>266</v>
      </c>
      <c r="H1160" s="1015">
        <v>1018402</v>
      </c>
      <c r="I1160" s="1016" t="s">
        <v>6899</v>
      </c>
    </row>
    <row r="1161" spans="2:9" ht="15.75" x14ac:dyDescent="0.25">
      <c r="B1161" s="1365" t="s">
        <v>7169</v>
      </c>
      <c r="C1161" s="1013" t="s">
        <v>4431</v>
      </c>
      <c r="D1161" s="1013" t="s">
        <v>4432</v>
      </c>
      <c r="E1161" s="1014">
        <v>4950</v>
      </c>
      <c r="F1161" s="1013" t="s">
        <v>5371</v>
      </c>
      <c r="G1161" s="1014" t="s">
        <v>266</v>
      </c>
      <c r="H1161" s="1015">
        <v>4274895</v>
      </c>
      <c r="I1161" s="1016" t="s">
        <v>6899</v>
      </c>
    </row>
    <row r="1162" spans="2:9" ht="15.75" x14ac:dyDescent="0.25">
      <c r="B1162" s="1365" t="s">
        <v>7169</v>
      </c>
      <c r="C1162" s="1013" t="s">
        <v>4431</v>
      </c>
      <c r="D1162" s="1013" t="s">
        <v>4432</v>
      </c>
      <c r="E1162" s="1014">
        <v>4951</v>
      </c>
      <c r="F1162" s="1013" t="s">
        <v>5372</v>
      </c>
      <c r="G1162" s="1014" t="s">
        <v>266</v>
      </c>
      <c r="H1162" s="1015">
        <v>3021452</v>
      </c>
      <c r="I1162" s="1016" t="s">
        <v>6899</v>
      </c>
    </row>
    <row r="1163" spans="2:9" ht="15.75" x14ac:dyDescent="0.25">
      <c r="B1163" s="1365" t="s">
        <v>7169</v>
      </c>
      <c r="C1163" s="1013" t="s">
        <v>4431</v>
      </c>
      <c r="D1163" s="1013" t="s">
        <v>4432</v>
      </c>
      <c r="E1163" s="1014">
        <v>4952</v>
      </c>
      <c r="F1163" s="1013" t="s">
        <v>5373</v>
      </c>
      <c r="G1163" s="1014" t="s">
        <v>266</v>
      </c>
      <c r="H1163" s="1015">
        <v>2891348</v>
      </c>
      <c r="I1163" s="1016" t="s">
        <v>3538</v>
      </c>
    </row>
    <row r="1164" spans="2:9" ht="15.75" x14ac:dyDescent="0.25">
      <c r="B1164" s="1365" t="s">
        <v>7169</v>
      </c>
      <c r="C1164" s="1013" t="s">
        <v>4431</v>
      </c>
      <c r="D1164" s="1013" t="s">
        <v>4432</v>
      </c>
      <c r="E1164" s="1014">
        <v>4953</v>
      </c>
      <c r="F1164" s="1013" t="s">
        <v>5374</v>
      </c>
      <c r="G1164" s="1014" t="s">
        <v>266</v>
      </c>
      <c r="H1164" s="1015">
        <v>6427190</v>
      </c>
      <c r="I1164" s="1016" t="s">
        <v>6899</v>
      </c>
    </row>
    <row r="1165" spans="2:9" ht="15.75" x14ac:dyDescent="0.25">
      <c r="B1165" s="1365" t="s">
        <v>7169</v>
      </c>
      <c r="C1165" s="1013" t="s">
        <v>4775</v>
      </c>
      <c r="D1165" s="1013" t="s">
        <v>4775</v>
      </c>
      <c r="E1165" s="1014">
        <v>4959</v>
      </c>
      <c r="F1165" s="1013" t="s">
        <v>554</v>
      </c>
      <c r="G1165" s="1014" t="s">
        <v>6</v>
      </c>
      <c r="H1165" s="1015">
        <v>8306</v>
      </c>
      <c r="I1165" s="1016" t="s">
        <v>6899</v>
      </c>
    </row>
    <row r="1166" spans="2:9" ht="15.75" x14ac:dyDescent="0.25">
      <c r="B1166" s="1365" t="s">
        <v>7169</v>
      </c>
      <c r="C1166" s="1013" t="s">
        <v>4454</v>
      </c>
      <c r="D1166" s="1013" t="s">
        <v>4455</v>
      </c>
      <c r="E1166" s="1014">
        <v>4960</v>
      </c>
      <c r="F1166" s="1013" t="s">
        <v>5375</v>
      </c>
      <c r="G1166" s="1014" t="s">
        <v>266</v>
      </c>
      <c r="H1166" s="1015">
        <v>305619</v>
      </c>
      <c r="I1166" s="1016" t="s">
        <v>3538</v>
      </c>
    </row>
    <row r="1167" spans="2:9" ht="15.75" x14ac:dyDescent="0.25">
      <c r="B1167" s="1365" t="s">
        <v>7169</v>
      </c>
      <c r="C1167" s="1013" t="s">
        <v>4454</v>
      </c>
      <c r="D1167" s="1013" t="s">
        <v>4455</v>
      </c>
      <c r="E1167" s="1014">
        <v>4961</v>
      </c>
      <c r="F1167" s="1013" t="s">
        <v>5376</v>
      </c>
      <c r="G1167" s="1014" t="s">
        <v>13</v>
      </c>
      <c r="H1167" s="1015">
        <v>56077</v>
      </c>
      <c r="I1167" s="1016" t="s">
        <v>3538</v>
      </c>
    </row>
    <row r="1168" spans="2:9" ht="15.75" x14ac:dyDescent="0.25">
      <c r="B1168" s="1365" t="s">
        <v>7169</v>
      </c>
      <c r="C1168" s="1013" t="s">
        <v>4454</v>
      </c>
      <c r="D1168" s="1013" t="s">
        <v>4455</v>
      </c>
      <c r="E1168" s="1014">
        <v>4962</v>
      </c>
      <c r="F1168" s="1013" t="s">
        <v>5377</v>
      </c>
      <c r="G1168" s="1014" t="s">
        <v>13</v>
      </c>
      <c r="H1168" s="1015">
        <v>14020</v>
      </c>
      <c r="I1168" s="1016" t="s">
        <v>3538</v>
      </c>
    </row>
    <row r="1169" spans="2:9" ht="15.75" x14ac:dyDescent="0.25">
      <c r="B1169" s="1365" t="s">
        <v>7169</v>
      </c>
      <c r="C1169" s="1013" t="s">
        <v>4454</v>
      </c>
      <c r="D1169" s="1013" t="s">
        <v>4455</v>
      </c>
      <c r="E1169" s="1014">
        <v>4963</v>
      </c>
      <c r="F1169" s="1013" t="s">
        <v>5378</v>
      </c>
      <c r="G1169" s="1014" t="s">
        <v>13</v>
      </c>
      <c r="H1169" s="1015">
        <v>14020</v>
      </c>
      <c r="I1169" s="1016" t="s">
        <v>3538</v>
      </c>
    </row>
    <row r="1170" spans="2:9" ht="15.75" x14ac:dyDescent="0.25">
      <c r="B1170" s="1365" t="s">
        <v>7169</v>
      </c>
      <c r="C1170" s="1013" t="s">
        <v>4454</v>
      </c>
      <c r="D1170" s="1013" t="s">
        <v>4455</v>
      </c>
      <c r="E1170" s="1014">
        <v>4964</v>
      </c>
      <c r="F1170" s="1013" t="s">
        <v>5379</v>
      </c>
      <c r="G1170" s="1014" t="s">
        <v>13</v>
      </c>
      <c r="H1170" s="1015">
        <v>14020</v>
      </c>
      <c r="I1170" s="1016" t="s">
        <v>3538</v>
      </c>
    </row>
    <row r="1171" spans="2:9" ht="15.75" x14ac:dyDescent="0.25">
      <c r="B1171" s="1365" t="s">
        <v>7169</v>
      </c>
      <c r="C1171" s="1013" t="s">
        <v>1474</v>
      </c>
      <c r="D1171" s="1013" t="s">
        <v>5380</v>
      </c>
      <c r="E1171" s="1014">
        <v>4965</v>
      </c>
      <c r="F1171" s="1013" t="s">
        <v>5381</v>
      </c>
      <c r="G1171" s="1014" t="s">
        <v>266</v>
      </c>
      <c r="H1171" s="1015">
        <v>654831</v>
      </c>
      <c r="I1171" s="1016" t="s">
        <v>6899</v>
      </c>
    </row>
    <row r="1172" spans="2:9" ht="15.75" x14ac:dyDescent="0.25">
      <c r="B1172" s="1365" t="s">
        <v>7169</v>
      </c>
      <c r="C1172" s="1013" t="s">
        <v>4454</v>
      </c>
      <c r="D1172" s="1013" t="s">
        <v>4634</v>
      </c>
      <c r="E1172" s="1014">
        <v>4966</v>
      </c>
      <c r="F1172" s="1013" t="s">
        <v>555</v>
      </c>
      <c r="G1172" s="1014" t="s">
        <v>266</v>
      </c>
      <c r="H1172" s="1015">
        <v>4578</v>
      </c>
      <c r="I1172" s="1016" t="s">
        <v>4398</v>
      </c>
    </row>
    <row r="1173" spans="2:9" ht="15.75" x14ac:dyDescent="0.25">
      <c r="B1173" s="1365" t="s">
        <v>7169</v>
      </c>
      <c r="C1173" s="1013" t="s">
        <v>4420</v>
      </c>
      <c r="D1173" s="1013" t="s">
        <v>4420</v>
      </c>
      <c r="E1173" s="1014">
        <v>4967</v>
      </c>
      <c r="F1173" s="1013" t="s">
        <v>5382</v>
      </c>
      <c r="G1173" s="1014" t="s">
        <v>266</v>
      </c>
      <c r="H1173" s="1015">
        <v>1090540</v>
      </c>
      <c r="I1173" s="1016" t="s">
        <v>4398</v>
      </c>
    </row>
    <row r="1174" spans="2:9" ht="15.75" x14ac:dyDescent="0.25">
      <c r="B1174" s="1365" t="s">
        <v>7169</v>
      </c>
      <c r="C1174" s="1013" t="s">
        <v>4420</v>
      </c>
      <c r="D1174" s="1013" t="s">
        <v>4420</v>
      </c>
      <c r="E1174" s="1014">
        <v>4968</v>
      </c>
      <c r="F1174" s="1013" t="s">
        <v>5383</v>
      </c>
      <c r="G1174" s="1014" t="s">
        <v>266</v>
      </c>
      <c r="H1174" s="1015">
        <v>358792</v>
      </c>
      <c r="I1174" s="1016" t="s">
        <v>4398</v>
      </c>
    </row>
    <row r="1175" spans="2:9" ht="15.75" x14ac:dyDescent="0.25">
      <c r="B1175" s="1365" t="s">
        <v>7169</v>
      </c>
      <c r="C1175" s="1013" t="s">
        <v>4420</v>
      </c>
      <c r="D1175" s="1013" t="s">
        <v>4420</v>
      </c>
      <c r="E1175" s="1014">
        <v>4969</v>
      </c>
      <c r="F1175" s="1013" t="s">
        <v>5384</v>
      </c>
      <c r="G1175" s="1014" t="s">
        <v>266</v>
      </c>
      <c r="H1175" s="1015">
        <v>291365</v>
      </c>
      <c r="I1175" s="1016" t="s">
        <v>4398</v>
      </c>
    </row>
    <row r="1176" spans="2:9" ht="15.75" x14ac:dyDescent="0.25">
      <c r="B1176" s="1365" t="s">
        <v>7169</v>
      </c>
      <c r="C1176" s="1013" t="s">
        <v>4420</v>
      </c>
      <c r="D1176" s="1013" t="s">
        <v>4420</v>
      </c>
      <c r="E1176" s="1014">
        <v>4970</v>
      </c>
      <c r="F1176" s="1013" t="s">
        <v>5385</v>
      </c>
      <c r="G1176" s="1014" t="s">
        <v>266</v>
      </c>
      <c r="H1176" s="1015">
        <v>670556</v>
      </c>
      <c r="I1176" s="1016" t="s">
        <v>4398</v>
      </c>
    </row>
    <row r="1177" spans="2:9" ht="15.75" x14ac:dyDescent="0.25">
      <c r="B1177" s="1365" t="s">
        <v>7169</v>
      </c>
      <c r="C1177" s="1013" t="s">
        <v>4420</v>
      </c>
      <c r="D1177" s="1013" t="s">
        <v>4420</v>
      </c>
      <c r="E1177" s="1014">
        <v>4971</v>
      </c>
      <c r="F1177" s="1013" t="s">
        <v>5386</v>
      </c>
      <c r="G1177" s="1014" t="s">
        <v>266</v>
      </c>
      <c r="H1177" s="1015">
        <v>2756169</v>
      </c>
      <c r="I1177" s="1016" t="s">
        <v>4398</v>
      </c>
    </row>
    <row r="1178" spans="2:9" ht="15.75" x14ac:dyDescent="0.25">
      <c r="B1178" s="1365" t="s">
        <v>7169</v>
      </c>
      <c r="C1178" s="1013" t="s">
        <v>4420</v>
      </c>
      <c r="D1178" s="1013" t="s">
        <v>4420</v>
      </c>
      <c r="E1178" s="1014">
        <v>4972</v>
      </c>
      <c r="F1178" s="1013" t="s">
        <v>556</v>
      </c>
      <c r="G1178" s="1014" t="s">
        <v>266</v>
      </c>
      <c r="H1178" s="1015">
        <v>1167420</v>
      </c>
      <c r="I1178" s="1016" t="s">
        <v>4398</v>
      </c>
    </row>
    <row r="1179" spans="2:9" ht="15.75" x14ac:dyDescent="0.25">
      <c r="B1179" s="1365" t="s">
        <v>7169</v>
      </c>
      <c r="C1179" s="1013" t="s">
        <v>4420</v>
      </c>
      <c r="D1179" s="1013" t="s">
        <v>4420</v>
      </c>
      <c r="E1179" s="1014">
        <v>4973</v>
      </c>
      <c r="F1179" s="1013" t="s">
        <v>557</v>
      </c>
      <c r="G1179" s="1014" t="s">
        <v>266</v>
      </c>
      <c r="H1179" s="1015">
        <v>1801530</v>
      </c>
      <c r="I1179" s="1016" t="s">
        <v>4398</v>
      </c>
    </row>
    <row r="1180" spans="2:9" ht="15.75" x14ac:dyDescent="0.25">
      <c r="B1180" s="1365" t="s">
        <v>7169</v>
      </c>
      <c r="C1180" s="1013" t="s">
        <v>4420</v>
      </c>
      <c r="D1180" s="1013" t="s">
        <v>4420</v>
      </c>
      <c r="E1180" s="1014">
        <v>4974</v>
      </c>
      <c r="F1180" s="1013" t="s">
        <v>558</v>
      </c>
      <c r="G1180" s="1014" t="s">
        <v>266</v>
      </c>
      <c r="H1180" s="1015">
        <v>4705101</v>
      </c>
      <c r="I1180" s="1016" t="s">
        <v>4398</v>
      </c>
    </row>
    <row r="1181" spans="2:9" ht="15.75" x14ac:dyDescent="0.25">
      <c r="B1181" s="1365" t="s">
        <v>7169</v>
      </c>
      <c r="C1181" s="1013" t="s">
        <v>4420</v>
      </c>
      <c r="D1181" s="1013" t="s">
        <v>4420</v>
      </c>
      <c r="E1181" s="1014">
        <v>4975</v>
      </c>
      <c r="F1181" s="1013" t="s">
        <v>5387</v>
      </c>
      <c r="G1181" s="1014" t="s">
        <v>266</v>
      </c>
      <c r="H1181" s="1015">
        <v>407799</v>
      </c>
      <c r="I1181" s="1016" t="s">
        <v>4398</v>
      </c>
    </row>
    <row r="1182" spans="2:9" ht="15.75" x14ac:dyDescent="0.25">
      <c r="B1182" s="1365" t="s">
        <v>7169</v>
      </c>
      <c r="C1182" s="1013" t="s">
        <v>4420</v>
      </c>
      <c r="D1182" s="1013" t="s">
        <v>4420</v>
      </c>
      <c r="E1182" s="1014">
        <v>4976</v>
      </c>
      <c r="F1182" s="1013" t="s">
        <v>559</v>
      </c>
      <c r="G1182" s="1014" t="s">
        <v>266</v>
      </c>
      <c r="H1182" s="1015">
        <v>830243</v>
      </c>
      <c r="I1182" s="1016" t="s">
        <v>6899</v>
      </c>
    </row>
    <row r="1183" spans="2:9" ht="15.75" x14ac:dyDescent="0.25">
      <c r="B1183" s="1365" t="s">
        <v>7169</v>
      </c>
      <c r="C1183" s="1013" t="s">
        <v>4420</v>
      </c>
      <c r="D1183" s="1013" t="s">
        <v>4420</v>
      </c>
      <c r="E1183" s="1014">
        <v>4977</v>
      </c>
      <c r="F1183" s="1013" t="s">
        <v>5388</v>
      </c>
      <c r="G1183" s="1014" t="s">
        <v>266</v>
      </c>
      <c r="H1183" s="1015">
        <v>407799</v>
      </c>
      <c r="I1183" s="1016" t="s">
        <v>4398</v>
      </c>
    </row>
    <row r="1184" spans="2:9" ht="15.75" x14ac:dyDescent="0.25">
      <c r="B1184" s="1365" t="s">
        <v>7169</v>
      </c>
      <c r="C1184" s="1013" t="s">
        <v>4461</v>
      </c>
      <c r="D1184" s="1013" t="s">
        <v>4461</v>
      </c>
      <c r="E1184" s="1014">
        <v>4978</v>
      </c>
      <c r="F1184" s="1013" t="s">
        <v>5389</v>
      </c>
      <c r="G1184" s="1014" t="s">
        <v>266</v>
      </c>
      <c r="H1184" s="1015">
        <v>697969</v>
      </c>
      <c r="I1184" s="1016" t="s">
        <v>6899</v>
      </c>
    </row>
    <row r="1185" spans="2:9" ht="15.75" x14ac:dyDescent="0.25">
      <c r="B1185" s="1365" t="s">
        <v>7169</v>
      </c>
      <c r="C1185" s="1013" t="s">
        <v>4461</v>
      </c>
      <c r="D1185" s="1013" t="s">
        <v>4461</v>
      </c>
      <c r="E1185" s="1014">
        <v>4979</v>
      </c>
      <c r="F1185" s="1013" t="s">
        <v>5390</v>
      </c>
      <c r="G1185" s="1014" t="s">
        <v>266</v>
      </c>
      <c r="H1185" s="1015">
        <v>695093</v>
      </c>
      <c r="I1185" s="1016" t="s">
        <v>6899</v>
      </c>
    </row>
    <row r="1186" spans="2:9" ht="15.75" x14ac:dyDescent="0.25">
      <c r="B1186" s="1365" t="s">
        <v>7169</v>
      </c>
      <c r="C1186" s="1013" t="s">
        <v>4405</v>
      </c>
      <c r="D1186" s="1013" t="s">
        <v>4579</v>
      </c>
      <c r="E1186" s="1014">
        <v>4980</v>
      </c>
      <c r="F1186" s="1013" t="s">
        <v>5391</v>
      </c>
      <c r="G1186" s="1014" t="s">
        <v>13</v>
      </c>
      <c r="H1186" s="1015">
        <v>563003</v>
      </c>
      <c r="I1186" s="1016" t="s">
        <v>4398</v>
      </c>
    </row>
    <row r="1187" spans="2:9" ht="15.75" x14ac:dyDescent="0.25">
      <c r="B1187" s="1365" t="s">
        <v>7169</v>
      </c>
      <c r="C1187" s="1013" t="s">
        <v>4396</v>
      </c>
      <c r="D1187" s="1013" t="s">
        <v>5392</v>
      </c>
      <c r="E1187" s="1014">
        <v>4981</v>
      </c>
      <c r="F1187" s="1013" t="s">
        <v>560</v>
      </c>
      <c r="G1187" s="1014" t="s">
        <v>12</v>
      </c>
      <c r="H1187" s="1015">
        <v>85444</v>
      </c>
      <c r="I1187" s="1016" t="s">
        <v>6899</v>
      </c>
    </row>
    <row r="1188" spans="2:9" ht="15.75" x14ac:dyDescent="0.25">
      <c r="B1188" s="1365" t="s">
        <v>7169</v>
      </c>
      <c r="C1188" s="1013" t="s">
        <v>4461</v>
      </c>
      <c r="D1188" s="1013" t="s">
        <v>4461</v>
      </c>
      <c r="E1188" s="1014">
        <v>4982</v>
      </c>
      <c r="F1188" s="1013" t="s">
        <v>5393</v>
      </c>
      <c r="G1188" s="1014" t="s">
        <v>266</v>
      </c>
      <c r="H1188" s="1015">
        <v>188094</v>
      </c>
      <c r="I1188" s="1016" t="s">
        <v>6899</v>
      </c>
    </row>
    <row r="1189" spans="2:9" ht="15.75" x14ac:dyDescent="0.25">
      <c r="B1189" s="1365" t="s">
        <v>7169</v>
      </c>
      <c r="C1189" s="1013" t="s">
        <v>4451</v>
      </c>
      <c r="D1189" s="1013" t="s">
        <v>4616</v>
      </c>
      <c r="E1189" s="1014">
        <v>4983</v>
      </c>
      <c r="F1189" s="1013" t="s">
        <v>561</v>
      </c>
      <c r="G1189" s="1014" t="s">
        <v>266</v>
      </c>
      <c r="H1189" s="1015">
        <v>57774</v>
      </c>
      <c r="I1189" s="1016" t="s">
        <v>6899</v>
      </c>
    </row>
    <row r="1190" spans="2:9" ht="15.75" x14ac:dyDescent="0.25">
      <c r="B1190" s="1365" t="s">
        <v>7169</v>
      </c>
      <c r="C1190" s="1013" t="s">
        <v>4461</v>
      </c>
      <c r="D1190" s="1013" t="s">
        <v>4461</v>
      </c>
      <c r="E1190" s="1014">
        <v>4984</v>
      </c>
      <c r="F1190" s="1013" t="s">
        <v>5394</v>
      </c>
      <c r="G1190" s="1014" t="s">
        <v>266</v>
      </c>
      <c r="H1190" s="1015">
        <v>285586</v>
      </c>
      <c r="I1190" s="1016" t="s">
        <v>6899</v>
      </c>
    </row>
    <row r="1191" spans="2:9" ht="15.75" x14ac:dyDescent="0.25">
      <c r="B1191" s="1365" t="s">
        <v>7169</v>
      </c>
      <c r="C1191" s="1013" t="s">
        <v>4472</v>
      </c>
      <c r="D1191" s="1013" t="s">
        <v>4473</v>
      </c>
      <c r="E1191" s="1014">
        <v>4985</v>
      </c>
      <c r="F1191" s="1013" t="s">
        <v>5395</v>
      </c>
      <c r="G1191" s="1014" t="s">
        <v>3</v>
      </c>
      <c r="H1191" s="1015">
        <v>764586</v>
      </c>
      <c r="I1191" s="1016" t="s">
        <v>6899</v>
      </c>
    </row>
    <row r="1192" spans="2:9" ht="15.75" x14ac:dyDescent="0.25">
      <c r="B1192" s="1365" t="s">
        <v>7169</v>
      </c>
      <c r="C1192" s="1013" t="s">
        <v>4468</v>
      </c>
      <c r="D1192" s="1013" t="s">
        <v>4468</v>
      </c>
      <c r="E1192" s="1014">
        <v>4986</v>
      </c>
      <c r="F1192" s="1013" t="s">
        <v>5396</v>
      </c>
      <c r="G1192" s="1014" t="s">
        <v>3</v>
      </c>
      <c r="H1192" s="1015">
        <v>956234</v>
      </c>
      <c r="I1192" s="1016" t="s">
        <v>6899</v>
      </c>
    </row>
    <row r="1193" spans="2:9" ht="15.75" x14ac:dyDescent="0.25">
      <c r="B1193" s="1365" t="s">
        <v>7169</v>
      </c>
      <c r="C1193" s="1013" t="s">
        <v>4431</v>
      </c>
      <c r="D1193" s="1013" t="s">
        <v>4432</v>
      </c>
      <c r="E1193" s="1014">
        <v>4987</v>
      </c>
      <c r="F1193" s="1013" t="s">
        <v>5397</v>
      </c>
      <c r="G1193" s="1014" t="s">
        <v>266</v>
      </c>
      <c r="H1193" s="1015">
        <v>1634045</v>
      </c>
      <c r="I1193" s="1016" t="s">
        <v>6899</v>
      </c>
    </row>
    <row r="1194" spans="2:9" ht="15.75" x14ac:dyDescent="0.25">
      <c r="B1194" s="1365" t="s">
        <v>7169</v>
      </c>
      <c r="C1194" s="1013" t="s">
        <v>4408</v>
      </c>
      <c r="D1194" s="1013" t="s">
        <v>4408</v>
      </c>
      <c r="E1194" s="1014">
        <v>4988</v>
      </c>
      <c r="F1194" s="1013" t="s">
        <v>562</v>
      </c>
      <c r="G1194" s="1014" t="s">
        <v>563</v>
      </c>
      <c r="H1194" s="1015">
        <v>1107979</v>
      </c>
      <c r="I1194" s="1016" t="s">
        <v>6899</v>
      </c>
    </row>
    <row r="1195" spans="2:9" ht="15.75" x14ac:dyDescent="0.25">
      <c r="B1195" s="1365" t="s">
        <v>7169</v>
      </c>
      <c r="C1195" s="1013" t="s">
        <v>4417</v>
      </c>
      <c r="D1195" s="1013" t="s">
        <v>4418</v>
      </c>
      <c r="E1195" s="1014">
        <v>4989</v>
      </c>
      <c r="F1195" s="1013" t="s">
        <v>564</v>
      </c>
      <c r="G1195" s="1014" t="s">
        <v>13</v>
      </c>
      <c r="H1195" s="1015">
        <v>154266</v>
      </c>
      <c r="I1195" s="1016" t="s">
        <v>6899</v>
      </c>
    </row>
    <row r="1196" spans="2:9" ht="15.75" x14ac:dyDescent="0.25">
      <c r="B1196" s="1365" t="s">
        <v>7169</v>
      </c>
      <c r="C1196" s="1013" t="s">
        <v>4451</v>
      </c>
      <c r="D1196" s="1013" t="s">
        <v>4616</v>
      </c>
      <c r="E1196" s="1014">
        <v>4990</v>
      </c>
      <c r="F1196" s="1013" t="s">
        <v>5398</v>
      </c>
      <c r="G1196" s="1014" t="s">
        <v>266</v>
      </c>
      <c r="H1196" s="1015">
        <v>462798</v>
      </c>
      <c r="I1196" s="1016" t="s">
        <v>6899</v>
      </c>
    </row>
    <row r="1197" spans="2:9" ht="15.75" x14ac:dyDescent="0.25">
      <c r="B1197" s="1365" t="s">
        <v>7169</v>
      </c>
      <c r="C1197" s="1013" t="s">
        <v>4417</v>
      </c>
      <c r="D1197" s="1013" t="s">
        <v>4418</v>
      </c>
      <c r="E1197" s="1014">
        <v>4991</v>
      </c>
      <c r="F1197" s="1013" t="s">
        <v>565</v>
      </c>
      <c r="G1197" s="1014" t="s">
        <v>13</v>
      </c>
      <c r="H1197" s="1015">
        <v>146929</v>
      </c>
      <c r="I1197" s="1016" t="s">
        <v>6899</v>
      </c>
    </row>
    <row r="1198" spans="2:9" ht="15.75" x14ac:dyDescent="0.25">
      <c r="B1198" s="1365" t="s">
        <v>7169</v>
      </c>
      <c r="C1198" s="1013" t="s">
        <v>4417</v>
      </c>
      <c r="D1198" s="1013" t="s">
        <v>4418</v>
      </c>
      <c r="E1198" s="1014">
        <v>4992</v>
      </c>
      <c r="F1198" s="1013" t="s">
        <v>5399</v>
      </c>
      <c r="G1198" s="1014" t="s">
        <v>266</v>
      </c>
      <c r="H1198" s="1015">
        <v>454758</v>
      </c>
      <c r="I1198" s="1016" t="s">
        <v>6899</v>
      </c>
    </row>
    <row r="1199" spans="2:9" ht="15.75" x14ac:dyDescent="0.25">
      <c r="B1199" s="1365" t="s">
        <v>7169</v>
      </c>
      <c r="C1199" s="1013" t="s">
        <v>4417</v>
      </c>
      <c r="D1199" s="1013" t="s">
        <v>4418</v>
      </c>
      <c r="E1199" s="1014">
        <v>4993</v>
      </c>
      <c r="F1199" s="1013" t="s">
        <v>5400</v>
      </c>
      <c r="G1199" s="1014" t="s">
        <v>266</v>
      </c>
      <c r="H1199" s="1015">
        <v>440787</v>
      </c>
      <c r="I1199" s="1016" t="s">
        <v>6899</v>
      </c>
    </row>
    <row r="1200" spans="2:9" ht="15.75" x14ac:dyDescent="0.25">
      <c r="B1200" s="1365" t="s">
        <v>7169</v>
      </c>
      <c r="C1200" s="1013" t="s">
        <v>4410</v>
      </c>
      <c r="D1200" s="1013" t="s">
        <v>4642</v>
      </c>
      <c r="E1200" s="1014">
        <v>4994</v>
      </c>
      <c r="F1200" s="1013" t="s">
        <v>5401</v>
      </c>
      <c r="G1200" s="1014" t="s">
        <v>3</v>
      </c>
      <c r="H1200" s="1015">
        <v>155523</v>
      </c>
      <c r="I1200" s="1016" t="s">
        <v>6899</v>
      </c>
    </row>
    <row r="1201" spans="2:9" ht="15.75" x14ac:dyDescent="0.25">
      <c r="B1201" s="1365" t="s">
        <v>7169</v>
      </c>
      <c r="C1201" s="1013" t="s">
        <v>4410</v>
      </c>
      <c r="D1201" s="1013" t="s">
        <v>4642</v>
      </c>
      <c r="E1201" s="1014">
        <v>4995</v>
      </c>
      <c r="F1201" s="1013" t="s">
        <v>5402</v>
      </c>
      <c r="G1201" s="1014" t="s">
        <v>3</v>
      </c>
      <c r="H1201" s="1015">
        <v>233820</v>
      </c>
      <c r="I1201" s="1016" t="s">
        <v>6899</v>
      </c>
    </row>
    <row r="1202" spans="2:9" ht="15.75" x14ac:dyDescent="0.25">
      <c r="B1202" s="1365" t="s">
        <v>7169</v>
      </c>
      <c r="C1202" s="1013" t="s">
        <v>4461</v>
      </c>
      <c r="D1202" s="1013" t="s">
        <v>4461</v>
      </c>
      <c r="E1202" s="1014">
        <v>4996</v>
      </c>
      <c r="F1202" s="1013" t="s">
        <v>5403</v>
      </c>
      <c r="G1202" s="1014" t="s">
        <v>266</v>
      </c>
      <c r="H1202" s="1015">
        <v>656603</v>
      </c>
      <c r="I1202" s="1016" t="s">
        <v>4398</v>
      </c>
    </row>
    <row r="1203" spans="2:9" ht="15.75" x14ac:dyDescent="0.25">
      <c r="B1203" s="1365" t="s">
        <v>7169</v>
      </c>
      <c r="C1203" s="1013" t="s">
        <v>4451</v>
      </c>
      <c r="D1203" s="1013" t="s">
        <v>4452</v>
      </c>
      <c r="E1203" s="1014">
        <v>4997</v>
      </c>
      <c r="F1203" s="1013" t="s">
        <v>5404</v>
      </c>
      <c r="G1203" s="1014" t="s">
        <v>13</v>
      </c>
      <c r="H1203" s="1015">
        <v>30259</v>
      </c>
      <c r="I1203" s="1016" t="s">
        <v>6899</v>
      </c>
    </row>
    <row r="1204" spans="2:9" ht="15.75" x14ac:dyDescent="0.25">
      <c r="B1204" s="1365" t="s">
        <v>7169</v>
      </c>
      <c r="C1204" s="1013" t="s">
        <v>4405</v>
      </c>
      <c r="D1204" s="1013" t="s">
        <v>4579</v>
      </c>
      <c r="E1204" s="1014">
        <v>5000</v>
      </c>
      <c r="F1204" s="1013" t="s">
        <v>566</v>
      </c>
      <c r="G1204" s="1014" t="s">
        <v>13</v>
      </c>
      <c r="H1204" s="1015">
        <v>142715</v>
      </c>
      <c r="I1204" s="1016" t="s">
        <v>6899</v>
      </c>
    </row>
    <row r="1205" spans="2:9" ht="15.75" x14ac:dyDescent="0.25">
      <c r="B1205" s="1365" t="s">
        <v>7169</v>
      </c>
      <c r="C1205" s="1013" t="s">
        <v>4405</v>
      </c>
      <c r="D1205" s="1013" t="s">
        <v>4579</v>
      </c>
      <c r="E1205" s="1014">
        <v>5001</v>
      </c>
      <c r="F1205" s="1013" t="s">
        <v>567</v>
      </c>
      <c r="G1205" s="1014" t="s">
        <v>266</v>
      </c>
      <c r="H1205" s="1015">
        <v>1197961</v>
      </c>
      <c r="I1205" s="1016" t="s">
        <v>6899</v>
      </c>
    </row>
    <row r="1206" spans="2:9" ht="15.75" x14ac:dyDescent="0.25">
      <c r="B1206" s="1365" t="s">
        <v>7169</v>
      </c>
      <c r="C1206" s="1013" t="s">
        <v>4405</v>
      </c>
      <c r="D1206" s="1013" t="s">
        <v>4579</v>
      </c>
      <c r="E1206" s="1014">
        <v>5002</v>
      </c>
      <c r="F1206" s="1013" t="s">
        <v>5405</v>
      </c>
      <c r="G1206" s="1014" t="s">
        <v>13</v>
      </c>
      <c r="H1206" s="1015">
        <v>111741</v>
      </c>
      <c r="I1206" s="1016" t="s">
        <v>6899</v>
      </c>
    </row>
    <row r="1207" spans="2:9" ht="15.75" x14ac:dyDescent="0.25">
      <c r="B1207" s="1365" t="s">
        <v>7169</v>
      </c>
      <c r="C1207" s="1013" t="s">
        <v>5406</v>
      </c>
      <c r="D1207" s="1013" t="s">
        <v>5406</v>
      </c>
      <c r="E1207" s="1014">
        <v>5003</v>
      </c>
      <c r="F1207" s="1013" t="s">
        <v>568</v>
      </c>
      <c r="G1207" s="1014" t="s">
        <v>266</v>
      </c>
      <c r="H1207" s="1015">
        <v>58128</v>
      </c>
      <c r="I1207" s="1016" t="s">
        <v>6899</v>
      </c>
    </row>
    <row r="1208" spans="2:9" ht="15.75" x14ac:dyDescent="0.25">
      <c r="B1208" s="1365" t="s">
        <v>7169</v>
      </c>
      <c r="C1208" s="1013" t="s">
        <v>5406</v>
      </c>
      <c r="D1208" s="1013" t="s">
        <v>5406</v>
      </c>
      <c r="E1208" s="1014">
        <v>5004</v>
      </c>
      <c r="F1208" s="1013" t="s">
        <v>569</v>
      </c>
      <c r="G1208" s="1014" t="s">
        <v>202</v>
      </c>
      <c r="H1208" s="1015">
        <v>104516</v>
      </c>
      <c r="I1208" s="1016" t="s">
        <v>4398</v>
      </c>
    </row>
    <row r="1209" spans="2:9" ht="15.75" x14ac:dyDescent="0.25">
      <c r="B1209" s="1365" t="s">
        <v>7169</v>
      </c>
      <c r="C1209" s="1013" t="s">
        <v>5406</v>
      </c>
      <c r="D1209" s="1013" t="s">
        <v>5406</v>
      </c>
      <c r="E1209" s="1014">
        <v>5005</v>
      </c>
      <c r="F1209" s="1013" t="s">
        <v>5407</v>
      </c>
      <c r="G1209" s="1014" t="s">
        <v>342</v>
      </c>
      <c r="H1209" s="1015">
        <v>818747</v>
      </c>
      <c r="I1209" s="1016" t="s">
        <v>4398</v>
      </c>
    </row>
    <row r="1210" spans="2:9" ht="15.75" x14ac:dyDescent="0.25">
      <c r="B1210" s="1365" t="s">
        <v>7169</v>
      </c>
      <c r="C1210" s="1013" t="s">
        <v>5406</v>
      </c>
      <c r="D1210" s="1013" t="s">
        <v>5406</v>
      </c>
      <c r="E1210" s="1014">
        <v>5010</v>
      </c>
      <c r="F1210" s="1013" t="s">
        <v>570</v>
      </c>
      <c r="G1210" s="1014" t="s">
        <v>266</v>
      </c>
      <c r="H1210" s="1015">
        <v>345630</v>
      </c>
      <c r="I1210" s="1016" t="s">
        <v>4398</v>
      </c>
    </row>
    <row r="1211" spans="2:9" ht="15.75" x14ac:dyDescent="0.25">
      <c r="B1211" s="1365" t="s">
        <v>7169</v>
      </c>
      <c r="C1211" s="1013" t="s">
        <v>4420</v>
      </c>
      <c r="D1211" s="1013" t="s">
        <v>4420</v>
      </c>
      <c r="E1211" s="1014">
        <v>5015</v>
      </c>
      <c r="F1211" s="1013" t="s">
        <v>5408</v>
      </c>
      <c r="G1211" s="1014" t="s">
        <v>266</v>
      </c>
      <c r="H1211" s="1015">
        <v>590744</v>
      </c>
      <c r="I1211" s="1016" t="s">
        <v>6899</v>
      </c>
    </row>
    <row r="1212" spans="2:9" ht="15.75" x14ac:dyDescent="0.25">
      <c r="B1212" s="1365" t="s">
        <v>7169</v>
      </c>
      <c r="C1212" s="1013" t="s">
        <v>4461</v>
      </c>
      <c r="D1212" s="1013" t="s">
        <v>4461</v>
      </c>
      <c r="E1212" s="1014">
        <v>5017</v>
      </c>
      <c r="F1212" s="1013" t="s">
        <v>571</v>
      </c>
      <c r="G1212" s="1014" t="s">
        <v>266</v>
      </c>
      <c r="H1212" s="1015">
        <v>477903</v>
      </c>
      <c r="I1212" s="1016" t="s">
        <v>6899</v>
      </c>
    </row>
    <row r="1213" spans="2:9" ht="15.75" x14ac:dyDescent="0.25">
      <c r="B1213" s="1365" t="s">
        <v>7169</v>
      </c>
      <c r="C1213" s="1013" t="s">
        <v>4461</v>
      </c>
      <c r="D1213" s="1013" t="s">
        <v>4461</v>
      </c>
      <c r="E1213" s="1014">
        <v>5019</v>
      </c>
      <c r="F1213" s="1013" t="s">
        <v>572</v>
      </c>
      <c r="G1213" s="1014" t="s">
        <v>266</v>
      </c>
      <c r="H1213" s="1015">
        <v>287510</v>
      </c>
      <c r="I1213" s="1016" t="s">
        <v>4398</v>
      </c>
    </row>
    <row r="1214" spans="2:9" ht="15.75" x14ac:dyDescent="0.25">
      <c r="B1214" s="1365" t="s">
        <v>7169</v>
      </c>
      <c r="C1214" s="1013" t="s">
        <v>4461</v>
      </c>
      <c r="D1214" s="1013" t="s">
        <v>4461</v>
      </c>
      <c r="E1214" s="1014">
        <v>5021</v>
      </c>
      <c r="F1214" s="1013" t="s">
        <v>573</v>
      </c>
      <c r="G1214" s="1014" t="s">
        <v>13</v>
      </c>
      <c r="H1214" s="1015">
        <v>843091</v>
      </c>
      <c r="I1214" s="1016" t="s">
        <v>4398</v>
      </c>
    </row>
    <row r="1215" spans="2:9" ht="15.75" x14ac:dyDescent="0.25">
      <c r="B1215" s="1365" t="s">
        <v>7169</v>
      </c>
      <c r="C1215" s="1013" t="s">
        <v>4431</v>
      </c>
      <c r="D1215" s="1013" t="s">
        <v>4432</v>
      </c>
      <c r="E1215" s="1014">
        <v>5023</v>
      </c>
      <c r="F1215" s="1013" t="s">
        <v>574</v>
      </c>
      <c r="G1215" s="1014" t="s">
        <v>13</v>
      </c>
      <c r="H1215" s="1015">
        <v>24203</v>
      </c>
      <c r="I1215" s="1016" t="s">
        <v>4398</v>
      </c>
    </row>
    <row r="1216" spans="2:9" ht="15.75" x14ac:dyDescent="0.25">
      <c r="B1216" s="1365" t="s">
        <v>7169</v>
      </c>
      <c r="C1216" s="1013" t="s">
        <v>4791</v>
      </c>
      <c r="D1216" s="1013" t="s">
        <v>5165</v>
      </c>
      <c r="E1216" s="1014">
        <v>5024</v>
      </c>
      <c r="F1216" s="1013" t="s">
        <v>575</v>
      </c>
      <c r="G1216" s="1014" t="s">
        <v>266</v>
      </c>
      <c r="H1216" s="1015">
        <v>1580284</v>
      </c>
      <c r="I1216" s="1016" t="s">
        <v>6899</v>
      </c>
    </row>
    <row r="1217" spans="2:9" ht="15.75" x14ac:dyDescent="0.25">
      <c r="B1217" s="1365" t="s">
        <v>7169</v>
      </c>
      <c r="C1217" s="1013" t="s">
        <v>4791</v>
      </c>
      <c r="D1217" s="1013" t="s">
        <v>5165</v>
      </c>
      <c r="E1217" s="1014">
        <v>5025</v>
      </c>
      <c r="F1217" s="1013" t="s">
        <v>576</v>
      </c>
      <c r="G1217" s="1014" t="s">
        <v>12</v>
      </c>
      <c r="H1217" s="1015">
        <v>264492</v>
      </c>
      <c r="I1217" s="1016" t="s">
        <v>6899</v>
      </c>
    </row>
    <row r="1218" spans="2:9" ht="15.75" x14ac:dyDescent="0.25">
      <c r="B1218" s="1365" t="s">
        <v>7169</v>
      </c>
      <c r="C1218" s="1013" t="s">
        <v>4791</v>
      </c>
      <c r="D1218" s="1013" t="s">
        <v>5165</v>
      </c>
      <c r="E1218" s="1014">
        <v>5026</v>
      </c>
      <c r="F1218" s="1013" t="s">
        <v>577</v>
      </c>
      <c r="G1218" s="1014" t="s">
        <v>266</v>
      </c>
      <c r="H1218" s="1015">
        <v>5853507</v>
      </c>
      <c r="I1218" s="1016" t="s">
        <v>6899</v>
      </c>
    </row>
    <row r="1219" spans="2:9" ht="15.75" x14ac:dyDescent="0.25">
      <c r="B1219" s="1365" t="s">
        <v>7169</v>
      </c>
      <c r="C1219" s="1013" t="s">
        <v>4791</v>
      </c>
      <c r="D1219" s="1013" t="s">
        <v>5165</v>
      </c>
      <c r="E1219" s="1014">
        <v>5028</v>
      </c>
      <c r="F1219" s="1013" t="s">
        <v>578</v>
      </c>
      <c r="G1219" s="1014" t="s">
        <v>266</v>
      </c>
      <c r="H1219" s="1015">
        <v>5166324</v>
      </c>
      <c r="I1219" s="1016" t="s">
        <v>6899</v>
      </c>
    </row>
    <row r="1220" spans="2:9" ht="15.75" x14ac:dyDescent="0.25">
      <c r="B1220" s="1365" t="s">
        <v>7169</v>
      </c>
      <c r="C1220" s="1013" t="s">
        <v>4451</v>
      </c>
      <c r="D1220" s="1013" t="s">
        <v>4452</v>
      </c>
      <c r="E1220" s="1014">
        <v>5032</v>
      </c>
      <c r="F1220" s="1013" t="s">
        <v>5409</v>
      </c>
      <c r="G1220" s="1014" t="s">
        <v>266</v>
      </c>
      <c r="H1220" s="1015">
        <v>201164</v>
      </c>
      <c r="I1220" s="1016" t="s">
        <v>6899</v>
      </c>
    </row>
    <row r="1221" spans="2:9" ht="15.75" x14ac:dyDescent="0.25">
      <c r="B1221" s="1365" t="s">
        <v>7169</v>
      </c>
      <c r="C1221" s="1013" t="s">
        <v>4451</v>
      </c>
      <c r="D1221" s="1013" t="s">
        <v>4452</v>
      </c>
      <c r="E1221" s="1014">
        <v>5033</v>
      </c>
      <c r="F1221" s="1013" t="s">
        <v>5410</v>
      </c>
      <c r="G1221" s="1014" t="s">
        <v>266</v>
      </c>
      <c r="H1221" s="1015">
        <v>221164</v>
      </c>
      <c r="I1221" s="1016" t="s">
        <v>6899</v>
      </c>
    </row>
    <row r="1222" spans="2:9" ht="15.75" x14ac:dyDescent="0.25">
      <c r="B1222" s="1365" t="s">
        <v>7169</v>
      </c>
      <c r="C1222" s="1013" t="s">
        <v>4451</v>
      </c>
      <c r="D1222" s="1013" t="s">
        <v>4452</v>
      </c>
      <c r="E1222" s="1014">
        <v>5036</v>
      </c>
      <c r="F1222" s="1013" t="s">
        <v>5411</v>
      </c>
      <c r="G1222" s="1014" t="s">
        <v>266</v>
      </c>
      <c r="H1222" s="1015">
        <v>212164</v>
      </c>
      <c r="I1222" s="1016" t="s">
        <v>6899</v>
      </c>
    </row>
    <row r="1223" spans="2:9" ht="15.75" x14ac:dyDescent="0.25">
      <c r="B1223" s="1365" t="s">
        <v>7169</v>
      </c>
      <c r="C1223" s="1013" t="s">
        <v>4451</v>
      </c>
      <c r="D1223" s="1013" t="s">
        <v>4452</v>
      </c>
      <c r="E1223" s="1014">
        <v>5037</v>
      </c>
      <c r="F1223" s="1013" t="s">
        <v>5412</v>
      </c>
      <c r="G1223" s="1014" t="s">
        <v>266</v>
      </c>
      <c r="H1223" s="1015">
        <v>155164</v>
      </c>
      <c r="I1223" s="1016" t="s">
        <v>6899</v>
      </c>
    </row>
    <row r="1224" spans="2:9" ht="15.75" x14ac:dyDescent="0.25">
      <c r="B1224" s="1365" t="s">
        <v>7169</v>
      </c>
      <c r="C1224" s="1013" t="s">
        <v>4451</v>
      </c>
      <c r="D1224" s="1013" t="s">
        <v>4452</v>
      </c>
      <c r="E1224" s="1014">
        <v>5038</v>
      </c>
      <c r="F1224" s="1013" t="s">
        <v>5413</v>
      </c>
      <c r="G1224" s="1014" t="s">
        <v>266</v>
      </c>
      <c r="H1224" s="1015">
        <v>205164</v>
      </c>
      <c r="I1224" s="1016" t="s">
        <v>6899</v>
      </c>
    </row>
    <row r="1225" spans="2:9" ht="15.75" x14ac:dyDescent="0.25">
      <c r="B1225" s="1365" t="s">
        <v>7169</v>
      </c>
      <c r="C1225" s="1013" t="s">
        <v>4451</v>
      </c>
      <c r="D1225" s="1013" t="s">
        <v>4452</v>
      </c>
      <c r="E1225" s="1014">
        <v>5044</v>
      </c>
      <c r="F1225" s="1013" t="s">
        <v>5414</v>
      </c>
      <c r="G1225" s="1014" t="s">
        <v>12</v>
      </c>
      <c r="H1225" s="1015">
        <v>72138</v>
      </c>
      <c r="I1225" s="1016" t="s">
        <v>6899</v>
      </c>
    </row>
    <row r="1226" spans="2:9" ht="15.75" x14ac:dyDescent="0.25">
      <c r="B1226" s="1365" t="s">
        <v>7169</v>
      </c>
      <c r="C1226" s="1013" t="s">
        <v>4451</v>
      </c>
      <c r="D1226" s="1013" t="s">
        <v>4452</v>
      </c>
      <c r="E1226" s="1014">
        <v>5045</v>
      </c>
      <c r="F1226" s="1013" t="s">
        <v>5415</v>
      </c>
      <c r="G1226" s="1014" t="s">
        <v>266</v>
      </c>
      <c r="H1226" s="1015">
        <v>201664</v>
      </c>
      <c r="I1226" s="1016" t="s">
        <v>6899</v>
      </c>
    </row>
    <row r="1227" spans="2:9" ht="15.75" x14ac:dyDescent="0.25">
      <c r="B1227" s="1365" t="s">
        <v>7169</v>
      </c>
      <c r="C1227" s="1013" t="s">
        <v>4451</v>
      </c>
      <c r="D1227" s="1013" t="s">
        <v>4452</v>
      </c>
      <c r="E1227" s="1014">
        <v>5046</v>
      </c>
      <c r="F1227" s="1013" t="s">
        <v>5416</v>
      </c>
      <c r="G1227" s="1014" t="s">
        <v>12</v>
      </c>
      <c r="H1227" s="1015">
        <v>72138</v>
      </c>
      <c r="I1227" s="1016" t="s">
        <v>6899</v>
      </c>
    </row>
    <row r="1228" spans="2:9" ht="15.75" x14ac:dyDescent="0.25">
      <c r="B1228" s="1365" t="s">
        <v>7169</v>
      </c>
      <c r="C1228" s="1013" t="s">
        <v>4472</v>
      </c>
      <c r="D1228" s="1013" t="s">
        <v>4985</v>
      </c>
      <c r="E1228" s="1014">
        <v>5047</v>
      </c>
      <c r="F1228" s="1013" t="s">
        <v>5417</v>
      </c>
      <c r="G1228" s="1014" t="s">
        <v>12</v>
      </c>
      <c r="H1228" s="1015">
        <v>121534</v>
      </c>
      <c r="I1228" s="1016" t="s">
        <v>6899</v>
      </c>
    </row>
    <row r="1229" spans="2:9" ht="15.75" x14ac:dyDescent="0.25">
      <c r="B1229" s="1365" t="s">
        <v>7169</v>
      </c>
      <c r="C1229" s="1013" t="s">
        <v>4472</v>
      </c>
      <c r="D1229" s="1013" t="s">
        <v>4985</v>
      </c>
      <c r="E1229" s="1014">
        <v>5048</v>
      </c>
      <c r="F1229" s="1013" t="s">
        <v>5418</v>
      </c>
      <c r="G1229" s="1014" t="s">
        <v>12</v>
      </c>
      <c r="H1229" s="1015">
        <v>104813</v>
      </c>
      <c r="I1229" s="1016" t="s">
        <v>6899</v>
      </c>
    </row>
    <row r="1230" spans="2:9" ht="15.75" x14ac:dyDescent="0.25">
      <c r="B1230" s="1365" t="s">
        <v>7169</v>
      </c>
      <c r="C1230" s="1013" t="s">
        <v>4791</v>
      </c>
      <c r="D1230" s="1013" t="s">
        <v>5165</v>
      </c>
      <c r="E1230" s="1014">
        <v>5049</v>
      </c>
      <c r="F1230" s="1013" t="s">
        <v>5419</v>
      </c>
      <c r="G1230" s="1014" t="s">
        <v>12</v>
      </c>
      <c r="H1230" s="1015">
        <v>373436</v>
      </c>
      <c r="I1230" s="1016" t="s">
        <v>6899</v>
      </c>
    </row>
    <row r="1231" spans="2:9" ht="15.75" x14ac:dyDescent="0.25">
      <c r="B1231" s="1365" t="s">
        <v>7169</v>
      </c>
      <c r="C1231" s="1013" t="s">
        <v>4401</v>
      </c>
      <c r="D1231" s="1013" t="s">
        <v>4401</v>
      </c>
      <c r="E1231" s="1014">
        <v>5050</v>
      </c>
      <c r="F1231" s="1013" t="s">
        <v>579</v>
      </c>
      <c r="G1231" s="1014" t="s">
        <v>266</v>
      </c>
      <c r="H1231" s="1015">
        <v>149553</v>
      </c>
      <c r="I1231" s="1016" t="s">
        <v>4398</v>
      </c>
    </row>
    <row r="1232" spans="2:9" ht="15.75" x14ac:dyDescent="0.25">
      <c r="B1232" s="1365" t="s">
        <v>7169</v>
      </c>
      <c r="C1232" s="1013" t="s">
        <v>4468</v>
      </c>
      <c r="D1232" s="1013" t="s">
        <v>4469</v>
      </c>
      <c r="E1232" s="1014">
        <v>5051</v>
      </c>
      <c r="F1232" s="1013" t="s">
        <v>5420</v>
      </c>
      <c r="G1232" s="1014" t="s">
        <v>3</v>
      </c>
      <c r="H1232" s="1015">
        <v>1804136</v>
      </c>
      <c r="I1232" s="1016" t="s">
        <v>6899</v>
      </c>
    </row>
    <row r="1233" spans="2:9" ht="15.75" x14ac:dyDescent="0.25">
      <c r="B1233" s="1365" t="s">
        <v>7169</v>
      </c>
      <c r="C1233" s="1013" t="s">
        <v>4468</v>
      </c>
      <c r="D1233" s="1013" t="s">
        <v>4469</v>
      </c>
      <c r="E1233" s="1014">
        <v>5052</v>
      </c>
      <c r="F1233" s="1013" t="s">
        <v>5421</v>
      </c>
      <c r="G1233" s="1014" t="s">
        <v>3</v>
      </c>
      <c r="H1233" s="1015">
        <v>931975</v>
      </c>
      <c r="I1233" s="1016" t="s">
        <v>6899</v>
      </c>
    </row>
    <row r="1234" spans="2:9" ht="15.75" x14ac:dyDescent="0.25">
      <c r="B1234" s="1365" t="s">
        <v>7169</v>
      </c>
      <c r="C1234" s="1013" t="s">
        <v>5292</v>
      </c>
      <c r="D1234" s="1013" t="s">
        <v>5293</v>
      </c>
      <c r="E1234" s="1014">
        <v>5053</v>
      </c>
      <c r="F1234" s="1013" t="s">
        <v>5422</v>
      </c>
      <c r="G1234" s="1014" t="s">
        <v>266</v>
      </c>
      <c r="H1234" s="1015">
        <v>5975451</v>
      </c>
      <c r="I1234" s="1016" t="s">
        <v>6899</v>
      </c>
    </row>
    <row r="1235" spans="2:9" ht="15.75" x14ac:dyDescent="0.25">
      <c r="B1235" s="1365" t="s">
        <v>7169</v>
      </c>
      <c r="C1235" s="1013" t="s">
        <v>4799</v>
      </c>
      <c r="D1235" s="1013" t="s">
        <v>4800</v>
      </c>
      <c r="E1235" s="1014">
        <v>5054</v>
      </c>
      <c r="F1235" s="1013" t="s">
        <v>580</v>
      </c>
      <c r="G1235" s="1014" t="s">
        <v>342</v>
      </c>
      <c r="H1235" s="1015">
        <v>492224</v>
      </c>
      <c r="I1235" s="1016" t="s">
        <v>4398</v>
      </c>
    </row>
    <row r="1236" spans="2:9" ht="15.75" x14ac:dyDescent="0.25">
      <c r="B1236" s="1365" t="s">
        <v>7169</v>
      </c>
      <c r="C1236" s="1013" t="s">
        <v>4468</v>
      </c>
      <c r="D1236" s="1013" t="s">
        <v>4469</v>
      </c>
      <c r="E1236" s="1014">
        <v>5055</v>
      </c>
      <c r="F1236" s="1013" t="s">
        <v>5423</v>
      </c>
      <c r="G1236" s="1014" t="s">
        <v>3</v>
      </c>
      <c r="H1236" s="1015">
        <v>278534</v>
      </c>
      <c r="I1236" s="1016" t="s">
        <v>6899</v>
      </c>
    </row>
    <row r="1237" spans="2:9" ht="15.75" x14ac:dyDescent="0.25">
      <c r="B1237" s="1365" t="s">
        <v>7169</v>
      </c>
      <c r="C1237" s="1013" t="s">
        <v>4799</v>
      </c>
      <c r="D1237" s="1013" t="s">
        <v>5199</v>
      </c>
      <c r="E1237" s="1014">
        <v>5056</v>
      </c>
      <c r="F1237" s="1013" t="s">
        <v>5424</v>
      </c>
      <c r="G1237" s="1014" t="s">
        <v>12</v>
      </c>
      <c r="H1237" s="1015">
        <v>290037</v>
      </c>
      <c r="I1237" s="1016" t="s">
        <v>6899</v>
      </c>
    </row>
    <row r="1238" spans="2:9" ht="15.75" x14ac:dyDescent="0.25">
      <c r="B1238" s="1365" t="s">
        <v>7169</v>
      </c>
      <c r="C1238" s="1013" t="s">
        <v>5425</v>
      </c>
      <c r="D1238" s="1013" t="s">
        <v>5426</v>
      </c>
      <c r="E1238" s="1014">
        <v>5058</v>
      </c>
      <c r="F1238" s="1013" t="s">
        <v>5427</v>
      </c>
      <c r="G1238" s="1014" t="s">
        <v>13</v>
      </c>
      <c r="H1238" s="1015">
        <v>9137</v>
      </c>
      <c r="I1238" s="1016" t="s">
        <v>6899</v>
      </c>
    </row>
    <row r="1239" spans="2:9" ht="15.75" x14ac:dyDescent="0.25">
      <c r="B1239" s="1365" t="s">
        <v>7169</v>
      </c>
      <c r="C1239" s="1013" t="s">
        <v>5425</v>
      </c>
      <c r="D1239" s="1013" t="s">
        <v>5428</v>
      </c>
      <c r="E1239" s="1014">
        <v>5060</v>
      </c>
      <c r="F1239" s="1013" t="s">
        <v>5429</v>
      </c>
      <c r="G1239" s="1014" t="s">
        <v>12</v>
      </c>
      <c r="H1239" s="1015">
        <v>10496</v>
      </c>
      <c r="I1239" s="1016" t="s">
        <v>4398</v>
      </c>
    </row>
    <row r="1240" spans="2:9" ht="15.75" x14ac:dyDescent="0.25">
      <c r="B1240" s="1365" t="s">
        <v>7169</v>
      </c>
      <c r="C1240" s="1013" t="s">
        <v>5425</v>
      </c>
      <c r="D1240" s="1013" t="s">
        <v>5426</v>
      </c>
      <c r="E1240" s="1014">
        <v>5061</v>
      </c>
      <c r="F1240" s="1013" t="s">
        <v>5430</v>
      </c>
      <c r="G1240" s="1014" t="s">
        <v>12</v>
      </c>
      <c r="H1240" s="1015">
        <v>107717</v>
      </c>
      <c r="I1240" s="1016" t="s">
        <v>6899</v>
      </c>
    </row>
    <row r="1241" spans="2:9" ht="15.75" x14ac:dyDescent="0.25">
      <c r="B1241" s="1365" t="s">
        <v>7169</v>
      </c>
      <c r="C1241" s="1013" t="s">
        <v>5425</v>
      </c>
      <c r="D1241" s="1013" t="s">
        <v>5426</v>
      </c>
      <c r="E1241" s="1014">
        <v>5062</v>
      </c>
      <c r="F1241" s="1013" t="s">
        <v>5431</v>
      </c>
      <c r="G1241" s="1014" t="s">
        <v>13</v>
      </c>
      <c r="H1241" s="1015">
        <v>35024</v>
      </c>
      <c r="I1241" s="1016" t="s">
        <v>6899</v>
      </c>
    </row>
    <row r="1242" spans="2:9" ht="15.75" x14ac:dyDescent="0.25">
      <c r="B1242" s="1365" t="s">
        <v>7169</v>
      </c>
      <c r="C1242" s="1013" t="s">
        <v>5425</v>
      </c>
      <c r="D1242" s="1013" t="s">
        <v>5426</v>
      </c>
      <c r="E1242" s="1014">
        <v>5063</v>
      </c>
      <c r="F1242" s="1013" t="s">
        <v>5432</v>
      </c>
      <c r="G1242" s="1014" t="s">
        <v>12</v>
      </c>
      <c r="H1242" s="1015">
        <v>85339</v>
      </c>
      <c r="I1242" s="1016" t="s">
        <v>6899</v>
      </c>
    </row>
    <row r="1243" spans="2:9" ht="15.75" x14ac:dyDescent="0.25">
      <c r="B1243" s="1365" t="s">
        <v>7169</v>
      </c>
      <c r="C1243" s="1013" t="s">
        <v>5425</v>
      </c>
      <c r="D1243" s="1013" t="s">
        <v>5426</v>
      </c>
      <c r="E1243" s="1014">
        <v>5064</v>
      </c>
      <c r="F1243" s="1013" t="s">
        <v>5433</v>
      </c>
      <c r="G1243" s="1014" t="s">
        <v>13</v>
      </c>
      <c r="H1243" s="1015">
        <v>13189</v>
      </c>
      <c r="I1243" s="1016" t="s">
        <v>6899</v>
      </c>
    </row>
    <row r="1244" spans="2:9" ht="15.75" x14ac:dyDescent="0.25">
      <c r="B1244" s="1365" t="s">
        <v>7169</v>
      </c>
      <c r="C1244" s="1013" t="s">
        <v>5425</v>
      </c>
      <c r="D1244" s="1013" t="s">
        <v>5426</v>
      </c>
      <c r="E1244" s="1014">
        <v>5066</v>
      </c>
      <c r="F1244" s="1013" t="s">
        <v>5434</v>
      </c>
      <c r="G1244" s="1014" t="s">
        <v>13</v>
      </c>
      <c r="H1244" s="1015">
        <v>42330</v>
      </c>
      <c r="I1244" s="1016" t="s">
        <v>6899</v>
      </c>
    </row>
    <row r="1245" spans="2:9" ht="15.75" x14ac:dyDescent="0.25">
      <c r="B1245" s="1365" t="s">
        <v>7169</v>
      </c>
      <c r="C1245" s="1013" t="s">
        <v>5425</v>
      </c>
      <c r="D1245" s="1013" t="s">
        <v>5426</v>
      </c>
      <c r="E1245" s="1014">
        <v>5067</v>
      </c>
      <c r="F1245" s="1013" t="s">
        <v>5435</v>
      </c>
      <c r="G1245" s="1014" t="s">
        <v>13</v>
      </c>
      <c r="H1245" s="1015">
        <v>30823</v>
      </c>
      <c r="I1245" s="1016" t="s">
        <v>6899</v>
      </c>
    </row>
    <row r="1246" spans="2:9" ht="15.75" x14ac:dyDescent="0.25">
      <c r="B1246" s="1365" t="s">
        <v>7169</v>
      </c>
      <c r="C1246" s="1013" t="s">
        <v>5425</v>
      </c>
      <c r="D1246" s="1013" t="s">
        <v>5426</v>
      </c>
      <c r="E1246" s="1014">
        <v>5068</v>
      </c>
      <c r="F1246" s="1013" t="s">
        <v>581</v>
      </c>
      <c r="G1246" s="1014" t="s">
        <v>266</v>
      </c>
      <c r="H1246" s="1015">
        <v>109019</v>
      </c>
      <c r="I1246" s="1016" t="s">
        <v>4398</v>
      </c>
    </row>
    <row r="1247" spans="2:9" ht="15.75" x14ac:dyDescent="0.25">
      <c r="B1247" s="1365" t="s">
        <v>7169</v>
      </c>
      <c r="C1247" s="1013" t="s">
        <v>5425</v>
      </c>
      <c r="D1247" s="1013" t="s">
        <v>5426</v>
      </c>
      <c r="E1247" s="1014">
        <v>5070</v>
      </c>
      <c r="F1247" s="1013" t="s">
        <v>5436</v>
      </c>
      <c r="G1247" s="1014" t="s">
        <v>266</v>
      </c>
      <c r="H1247" s="1015">
        <v>196803</v>
      </c>
      <c r="I1247" s="1016" t="s">
        <v>4398</v>
      </c>
    </row>
    <row r="1248" spans="2:9" ht="15.75" x14ac:dyDescent="0.25">
      <c r="B1248" s="1365" t="s">
        <v>7169</v>
      </c>
      <c r="C1248" s="1013" t="s">
        <v>4468</v>
      </c>
      <c r="D1248" s="1013" t="s">
        <v>4469</v>
      </c>
      <c r="E1248" s="1014">
        <v>5071</v>
      </c>
      <c r="F1248" s="1013" t="s">
        <v>5437</v>
      </c>
      <c r="G1248" s="1014" t="s">
        <v>3</v>
      </c>
      <c r="H1248" s="1015">
        <v>1005446</v>
      </c>
      <c r="I1248" s="1016" t="s">
        <v>6899</v>
      </c>
    </row>
    <row r="1249" spans="2:9" ht="15.75" x14ac:dyDescent="0.25">
      <c r="B1249" s="1365" t="s">
        <v>7169</v>
      </c>
      <c r="C1249" s="1013" t="s">
        <v>4420</v>
      </c>
      <c r="D1249" s="1013" t="s">
        <v>4420</v>
      </c>
      <c r="E1249" s="1014">
        <v>5073</v>
      </c>
      <c r="F1249" s="1013" t="s">
        <v>5438</v>
      </c>
      <c r="G1249" s="1014" t="s">
        <v>13</v>
      </c>
      <c r="H1249" s="1015">
        <v>19047</v>
      </c>
      <c r="I1249" s="1016" t="s">
        <v>6899</v>
      </c>
    </row>
    <row r="1250" spans="2:9" ht="15.75" x14ac:dyDescent="0.25">
      <c r="B1250" s="1365" t="s">
        <v>7169</v>
      </c>
      <c r="C1250" s="1013" t="s">
        <v>4420</v>
      </c>
      <c r="D1250" s="1013" t="s">
        <v>4420</v>
      </c>
      <c r="E1250" s="1014">
        <v>5074</v>
      </c>
      <c r="F1250" s="1013" t="s">
        <v>5439</v>
      </c>
      <c r="G1250" s="1014" t="s">
        <v>266</v>
      </c>
      <c r="H1250" s="1015">
        <v>4973</v>
      </c>
      <c r="I1250" s="1016" t="s">
        <v>6899</v>
      </c>
    </row>
    <row r="1251" spans="2:9" ht="15.75" x14ac:dyDescent="0.25">
      <c r="B1251" s="1365" t="s">
        <v>7169</v>
      </c>
      <c r="C1251" s="1013" t="s">
        <v>4420</v>
      </c>
      <c r="D1251" s="1013" t="s">
        <v>4420</v>
      </c>
      <c r="E1251" s="1014">
        <v>5075</v>
      </c>
      <c r="F1251" s="1013" t="s">
        <v>5440</v>
      </c>
      <c r="G1251" s="1014" t="s">
        <v>266</v>
      </c>
      <c r="H1251" s="1015">
        <v>8589</v>
      </c>
      <c r="I1251" s="1016" t="s">
        <v>6899</v>
      </c>
    </row>
    <row r="1252" spans="2:9" ht="15.75" x14ac:dyDescent="0.25">
      <c r="B1252" s="1365" t="s">
        <v>7169</v>
      </c>
      <c r="C1252" s="1013" t="s">
        <v>4420</v>
      </c>
      <c r="D1252" s="1013" t="s">
        <v>4420</v>
      </c>
      <c r="E1252" s="1014">
        <v>5076</v>
      </c>
      <c r="F1252" s="1013" t="s">
        <v>5441</v>
      </c>
      <c r="G1252" s="1014" t="s">
        <v>266</v>
      </c>
      <c r="H1252" s="1015">
        <v>23094</v>
      </c>
      <c r="I1252" s="1016" t="s">
        <v>6899</v>
      </c>
    </row>
    <row r="1253" spans="2:9" ht="15.75" x14ac:dyDescent="0.25">
      <c r="B1253" s="1365" t="s">
        <v>7169</v>
      </c>
      <c r="C1253" s="1013" t="s">
        <v>4420</v>
      </c>
      <c r="D1253" s="1013" t="s">
        <v>4420</v>
      </c>
      <c r="E1253" s="1014">
        <v>5077</v>
      </c>
      <c r="F1253" s="1013" t="s">
        <v>5442</v>
      </c>
      <c r="G1253" s="1014" t="s">
        <v>266</v>
      </c>
      <c r="H1253" s="1015">
        <v>8298</v>
      </c>
      <c r="I1253" s="1016" t="s">
        <v>6899</v>
      </c>
    </row>
    <row r="1254" spans="2:9" ht="15.75" x14ac:dyDescent="0.25">
      <c r="B1254" s="1365" t="s">
        <v>7169</v>
      </c>
      <c r="C1254" s="1013" t="s">
        <v>4420</v>
      </c>
      <c r="D1254" s="1013" t="s">
        <v>4420</v>
      </c>
      <c r="E1254" s="1014">
        <v>5078</v>
      </c>
      <c r="F1254" s="1013" t="s">
        <v>5443</v>
      </c>
      <c r="G1254" s="1014" t="s">
        <v>266</v>
      </c>
      <c r="H1254" s="1015">
        <v>24837</v>
      </c>
      <c r="I1254" s="1016" t="s">
        <v>6899</v>
      </c>
    </row>
    <row r="1255" spans="2:9" ht="15.75" x14ac:dyDescent="0.25">
      <c r="B1255" s="1365" t="s">
        <v>7169</v>
      </c>
      <c r="C1255" s="1013" t="s">
        <v>4420</v>
      </c>
      <c r="D1255" s="1013" t="s">
        <v>4420</v>
      </c>
      <c r="E1255" s="1014">
        <v>5079</v>
      </c>
      <c r="F1255" s="1013" t="s">
        <v>5444</v>
      </c>
      <c r="G1255" s="1014" t="s">
        <v>266</v>
      </c>
      <c r="H1255" s="1015">
        <v>12720</v>
      </c>
      <c r="I1255" s="1016" t="s">
        <v>6899</v>
      </c>
    </row>
    <row r="1256" spans="2:9" ht="15.75" x14ac:dyDescent="0.25">
      <c r="B1256" s="1365" t="s">
        <v>7169</v>
      </c>
      <c r="C1256" s="1013" t="s">
        <v>4420</v>
      </c>
      <c r="D1256" s="1013" t="s">
        <v>4420</v>
      </c>
      <c r="E1256" s="1014">
        <v>5080</v>
      </c>
      <c r="F1256" s="1013" t="s">
        <v>5445</v>
      </c>
      <c r="G1256" s="1014" t="s">
        <v>266</v>
      </c>
      <c r="H1256" s="1015">
        <v>37895</v>
      </c>
      <c r="I1256" s="1016" t="s">
        <v>6899</v>
      </c>
    </row>
    <row r="1257" spans="2:9" ht="15.75" x14ac:dyDescent="0.25">
      <c r="B1257" s="1365" t="s">
        <v>7169</v>
      </c>
      <c r="C1257" s="1013" t="s">
        <v>4420</v>
      </c>
      <c r="D1257" s="1013" t="s">
        <v>4420</v>
      </c>
      <c r="E1257" s="1014">
        <v>5081</v>
      </c>
      <c r="F1257" s="1013" t="s">
        <v>5446</v>
      </c>
      <c r="G1257" s="1014" t="s">
        <v>266</v>
      </c>
      <c r="H1257" s="1015">
        <v>63075</v>
      </c>
      <c r="I1257" s="1016" t="s">
        <v>6899</v>
      </c>
    </row>
    <row r="1258" spans="2:9" ht="15.75" x14ac:dyDescent="0.25">
      <c r="B1258" s="1365" t="s">
        <v>7169</v>
      </c>
      <c r="C1258" s="1013" t="s">
        <v>4420</v>
      </c>
      <c r="D1258" s="1013" t="s">
        <v>4420</v>
      </c>
      <c r="E1258" s="1014">
        <v>5082</v>
      </c>
      <c r="F1258" s="1013" t="s">
        <v>5447</v>
      </c>
      <c r="G1258" s="1014" t="s">
        <v>266</v>
      </c>
      <c r="H1258" s="1015">
        <v>102730</v>
      </c>
      <c r="I1258" s="1016" t="s">
        <v>6899</v>
      </c>
    </row>
    <row r="1259" spans="2:9" ht="15.75" x14ac:dyDescent="0.25">
      <c r="B1259" s="1365" t="s">
        <v>7169</v>
      </c>
      <c r="C1259" s="1013" t="s">
        <v>4461</v>
      </c>
      <c r="D1259" s="1013" t="s">
        <v>4461</v>
      </c>
      <c r="E1259" s="1014">
        <v>5083</v>
      </c>
      <c r="F1259" s="1013" t="s">
        <v>5448</v>
      </c>
      <c r="G1259" s="1014" t="s">
        <v>13</v>
      </c>
      <c r="H1259" s="1015">
        <v>15184</v>
      </c>
      <c r="I1259" s="1016" t="s">
        <v>6899</v>
      </c>
    </row>
    <row r="1260" spans="2:9" ht="15.75" x14ac:dyDescent="0.25">
      <c r="B1260" s="1365" t="s">
        <v>7169</v>
      </c>
      <c r="C1260" s="1013" t="s">
        <v>4461</v>
      </c>
      <c r="D1260" s="1013" t="s">
        <v>4461</v>
      </c>
      <c r="E1260" s="1014">
        <v>5084</v>
      </c>
      <c r="F1260" s="1013" t="s">
        <v>5449</v>
      </c>
      <c r="G1260" s="1014" t="s">
        <v>13</v>
      </c>
      <c r="H1260" s="1015">
        <v>12868</v>
      </c>
      <c r="I1260" s="1016" t="s">
        <v>6899</v>
      </c>
    </row>
    <row r="1261" spans="2:9" ht="15.75" x14ac:dyDescent="0.25">
      <c r="B1261" s="1365" t="s">
        <v>7169</v>
      </c>
      <c r="C1261" s="1013" t="s">
        <v>4461</v>
      </c>
      <c r="D1261" s="1013" t="s">
        <v>4461</v>
      </c>
      <c r="E1261" s="1014">
        <v>5085</v>
      </c>
      <c r="F1261" s="1013" t="s">
        <v>5450</v>
      </c>
      <c r="G1261" s="1014" t="s">
        <v>266</v>
      </c>
      <c r="H1261" s="1015">
        <v>16865</v>
      </c>
      <c r="I1261" s="1016" t="s">
        <v>6899</v>
      </c>
    </row>
    <row r="1262" spans="2:9" ht="15.75" x14ac:dyDescent="0.25">
      <c r="B1262" s="1365" t="s">
        <v>7169</v>
      </c>
      <c r="C1262" s="1013" t="s">
        <v>4461</v>
      </c>
      <c r="D1262" s="1013" t="s">
        <v>4461</v>
      </c>
      <c r="E1262" s="1014">
        <v>5086</v>
      </c>
      <c r="F1262" s="1013" t="s">
        <v>5451</v>
      </c>
      <c r="G1262" s="1014" t="s">
        <v>266</v>
      </c>
      <c r="H1262" s="1015">
        <v>13106</v>
      </c>
      <c r="I1262" s="1016" t="s">
        <v>6899</v>
      </c>
    </row>
    <row r="1263" spans="2:9" ht="15.75" x14ac:dyDescent="0.25">
      <c r="B1263" s="1365" t="s">
        <v>7169</v>
      </c>
      <c r="C1263" s="1013" t="s">
        <v>4461</v>
      </c>
      <c r="D1263" s="1013" t="s">
        <v>4461</v>
      </c>
      <c r="E1263" s="1014">
        <v>5087</v>
      </c>
      <c r="F1263" s="1013" t="s">
        <v>5452</v>
      </c>
      <c r="G1263" s="1014" t="s">
        <v>266</v>
      </c>
      <c r="H1263" s="1015">
        <v>7526</v>
      </c>
      <c r="I1263" s="1016" t="s">
        <v>6899</v>
      </c>
    </row>
    <row r="1264" spans="2:9" ht="15.75" x14ac:dyDescent="0.25">
      <c r="B1264" s="1365" t="s">
        <v>7169</v>
      </c>
      <c r="C1264" s="1013" t="s">
        <v>4461</v>
      </c>
      <c r="D1264" s="1013" t="s">
        <v>4461</v>
      </c>
      <c r="E1264" s="1014">
        <v>5088</v>
      </c>
      <c r="F1264" s="1013" t="s">
        <v>5453</v>
      </c>
      <c r="G1264" s="1014" t="s">
        <v>266</v>
      </c>
      <c r="H1264" s="1015">
        <v>9004</v>
      </c>
      <c r="I1264" s="1016" t="s">
        <v>6899</v>
      </c>
    </row>
    <row r="1265" spans="2:9" ht="15.75" x14ac:dyDescent="0.25">
      <c r="B1265" s="1365" t="s">
        <v>7169</v>
      </c>
      <c r="C1265" s="1013" t="s">
        <v>4461</v>
      </c>
      <c r="D1265" s="1013" t="s">
        <v>4461</v>
      </c>
      <c r="E1265" s="1014">
        <v>5089</v>
      </c>
      <c r="F1265" s="1013" t="s">
        <v>5454</v>
      </c>
      <c r="G1265" s="1014" t="s">
        <v>266</v>
      </c>
      <c r="H1265" s="1015">
        <v>6567</v>
      </c>
      <c r="I1265" s="1016" t="s">
        <v>6899</v>
      </c>
    </row>
    <row r="1266" spans="2:9" ht="15.75" x14ac:dyDescent="0.25">
      <c r="B1266" s="1365" t="s">
        <v>7169</v>
      </c>
      <c r="C1266" s="1013" t="s">
        <v>4461</v>
      </c>
      <c r="D1266" s="1013" t="s">
        <v>4461</v>
      </c>
      <c r="E1266" s="1014">
        <v>5090</v>
      </c>
      <c r="F1266" s="1013" t="s">
        <v>5455</v>
      </c>
      <c r="G1266" s="1014" t="s">
        <v>266</v>
      </c>
      <c r="H1266" s="1015">
        <v>14094</v>
      </c>
      <c r="I1266" s="1016" t="s">
        <v>6899</v>
      </c>
    </row>
    <row r="1267" spans="2:9" ht="15.75" x14ac:dyDescent="0.25">
      <c r="B1267" s="1365" t="s">
        <v>7169</v>
      </c>
      <c r="C1267" s="1013" t="s">
        <v>4461</v>
      </c>
      <c r="D1267" s="1013" t="s">
        <v>4461</v>
      </c>
      <c r="E1267" s="1014">
        <v>5091</v>
      </c>
      <c r="F1267" s="1013" t="s">
        <v>5456</v>
      </c>
      <c r="G1267" s="1014" t="s">
        <v>266</v>
      </c>
      <c r="H1267" s="1015">
        <v>9775</v>
      </c>
      <c r="I1267" s="1016" t="s">
        <v>6899</v>
      </c>
    </row>
    <row r="1268" spans="2:9" ht="15.75" x14ac:dyDescent="0.25">
      <c r="B1268" s="1365" t="s">
        <v>7169</v>
      </c>
      <c r="C1268" s="1013" t="s">
        <v>4461</v>
      </c>
      <c r="D1268" s="1013" t="s">
        <v>4461</v>
      </c>
      <c r="E1268" s="1014">
        <v>5092</v>
      </c>
      <c r="F1268" s="1013" t="s">
        <v>5457</v>
      </c>
      <c r="G1268" s="1014" t="s">
        <v>266</v>
      </c>
      <c r="H1268" s="1015">
        <v>7194</v>
      </c>
      <c r="I1268" s="1016" t="s">
        <v>6899</v>
      </c>
    </row>
    <row r="1269" spans="2:9" ht="15.75" x14ac:dyDescent="0.25">
      <c r="B1269" s="1365" t="s">
        <v>7169</v>
      </c>
      <c r="C1269" s="1013" t="s">
        <v>4461</v>
      </c>
      <c r="D1269" s="1013" t="s">
        <v>4461</v>
      </c>
      <c r="E1269" s="1014">
        <v>5093</v>
      </c>
      <c r="F1269" s="1013" t="s">
        <v>5458</v>
      </c>
      <c r="G1269" s="1014" t="s">
        <v>266</v>
      </c>
      <c r="H1269" s="1015">
        <v>5624</v>
      </c>
      <c r="I1269" s="1016" t="s">
        <v>6899</v>
      </c>
    </row>
    <row r="1270" spans="2:9" ht="15.75" x14ac:dyDescent="0.25">
      <c r="B1270" s="1365" t="s">
        <v>7169</v>
      </c>
      <c r="C1270" s="1013" t="s">
        <v>4461</v>
      </c>
      <c r="D1270" s="1013" t="s">
        <v>4461</v>
      </c>
      <c r="E1270" s="1014">
        <v>5094</v>
      </c>
      <c r="F1270" s="1013" t="s">
        <v>5459</v>
      </c>
      <c r="G1270" s="1014" t="s">
        <v>266</v>
      </c>
      <c r="H1270" s="1015">
        <v>4751</v>
      </c>
      <c r="I1270" s="1016" t="s">
        <v>6899</v>
      </c>
    </row>
    <row r="1271" spans="2:9" ht="15.75" x14ac:dyDescent="0.25">
      <c r="B1271" s="1365" t="s">
        <v>7169</v>
      </c>
      <c r="C1271" s="1013" t="s">
        <v>4461</v>
      </c>
      <c r="D1271" s="1013" t="s">
        <v>4461</v>
      </c>
      <c r="E1271" s="1014">
        <v>5095</v>
      </c>
      <c r="F1271" s="1013" t="s">
        <v>5460</v>
      </c>
      <c r="G1271" s="1014" t="s">
        <v>266</v>
      </c>
      <c r="H1271" s="1015">
        <v>39762</v>
      </c>
      <c r="I1271" s="1016" t="s">
        <v>6899</v>
      </c>
    </row>
    <row r="1272" spans="2:9" ht="15.75" x14ac:dyDescent="0.25">
      <c r="B1272" s="1365" t="s">
        <v>7169</v>
      </c>
      <c r="C1272" s="1013" t="s">
        <v>4461</v>
      </c>
      <c r="D1272" s="1013" t="s">
        <v>4461</v>
      </c>
      <c r="E1272" s="1014">
        <v>5096</v>
      </c>
      <c r="F1272" s="1013" t="s">
        <v>5461</v>
      </c>
      <c r="G1272" s="1014" t="s">
        <v>266</v>
      </c>
      <c r="H1272" s="1015">
        <v>34772</v>
      </c>
      <c r="I1272" s="1016" t="s">
        <v>6899</v>
      </c>
    </row>
    <row r="1273" spans="2:9" ht="15.75" x14ac:dyDescent="0.25">
      <c r="B1273" s="1365" t="s">
        <v>7169</v>
      </c>
      <c r="C1273" s="1013" t="s">
        <v>4461</v>
      </c>
      <c r="D1273" s="1013" t="s">
        <v>4461</v>
      </c>
      <c r="E1273" s="1014">
        <v>5097</v>
      </c>
      <c r="F1273" s="1013" t="s">
        <v>5462</v>
      </c>
      <c r="G1273" s="1014" t="s">
        <v>266</v>
      </c>
      <c r="H1273" s="1015">
        <v>44844</v>
      </c>
      <c r="I1273" s="1016" t="s">
        <v>6899</v>
      </c>
    </row>
    <row r="1274" spans="2:9" ht="15.75" x14ac:dyDescent="0.25">
      <c r="B1274" s="1365" t="s">
        <v>7169</v>
      </c>
      <c r="C1274" s="1013" t="s">
        <v>4461</v>
      </c>
      <c r="D1274" s="1013" t="s">
        <v>4461</v>
      </c>
      <c r="E1274" s="1014">
        <v>5098</v>
      </c>
      <c r="F1274" s="1013" t="s">
        <v>5463</v>
      </c>
      <c r="G1274" s="1014" t="s">
        <v>266</v>
      </c>
      <c r="H1274" s="1015">
        <v>58561</v>
      </c>
      <c r="I1274" s="1016" t="s">
        <v>6899</v>
      </c>
    </row>
    <row r="1275" spans="2:9" ht="15.75" x14ac:dyDescent="0.25">
      <c r="B1275" s="1365" t="s">
        <v>7169</v>
      </c>
      <c r="C1275" s="1013" t="s">
        <v>4461</v>
      </c>
      <c r="D1275" s="1013" t="s">
        <v>4461</v>
      </c>
      <c r="E1275" s="1014">
        <v>5099</v>
      </c>
      <c r="F1275" s="1013" t="s">
        <v>5464</v>
      </c>
      <c r="G1275" s="1014" t="s">
        <v>266</v>
      </c>
      <c r="H1275" s="1015">
        <v>53836</v>
      </c>
      <c r="I1275" s="1016" t="s">
        <v>6899</v>
      </c>
    </row>
    <row r="1276" spans="2:9" ht="15.75" x14ac:dyDescent="0.25">
      <c r="B1276" s="1365" t="s">
        <v>7169</v>
      </c>
      <c r="C1276" s="1013" t="s">
        <v>4405</v>
      </c>
      <c r="D1276" s="1013" t="s">
        <v>4579</v>
      </c>
      <c r="E1276" s="1014">
        <v>5101</v>
      </c>
      <c r="F1276" s="1013" t="s">
        <v>582</v>
      </c>
      <c r="G1276" s="1014" t="s">
        <v>13</v>
      </c>
      <c r="H1276" s="1015">
        <v>199584</v>
      </c>
      <c r="I1276" s="1016" t="s">
        <v>4398</v>
      </c>
    </row>
    <row r="1277" spans="2:9" ht="15.75" x14ac:dyDescent="0.25">
      <c r="B1277" s="1365" t="s">
        <v>7169</v>
      </c>
      <c r="C1277" s="1013" t="s">
        <v>4405</v>
      </c>
      <c r="D1277" s="1013" t="s">
        <v>4579</v>
      </c>
      <c r="E1277" s="1014">
        <v>5102</v>
      </c>
      <c r="F1277" s="1013" t="s">
        <v>583</v>
      </c>
      <c r="G1277" s="1014" t="s">
        <v>13</v>
      </c>
      <c r="H1277" s="1015">
        <v>60296</v>
      </c>
      <c r="I1277" s="1016" t="s">
        <v>4398</v>
      </c>
    </row>
    <row r="1278" spans="2:9" ht="15.75" x14ac:dyDescent="0.25">
      <c r="B1278" s="1365" t="s">
        <v>7169</v>
      </c>
      <c r="C1278" s="1013" t="s">
        <v>4405</v>
      </c>
      <c r="D1278" s="1013" t="s">
        <v>4579</v>
      </c>
      <c r="E1278" s="1014">
        <v>5103</v>
      </c>
      <c r="F1278" s="1013" t="s">
        <v>5465</v>
      </c>
      <c r="G1278" s="1014" t="s">
        <v>13</v>
      </c>
      <c r="H1278" s="1015">
        <v>233103</v>
      </c>
      <c r="I1278" s="1016" t="s">
        <v>4398</v>
      </c>
    </row>
    <row r="1279" spans="2:9" ht="15.75" x14ac:dyDescent="0.25">
      <c r="B1279" s="1365" t="s">
        <v>7169</v>
      </c>
      <c r="C1279" s="1013" t="s">
        <v>4405</v>
      </c>
      <c r="D1279" s="1013" t="s">
        <v>4579</v>
      </c>
      <c r="E1279" s="1014">
        <v>5105</v>
      </c>
      <c r="F1279" s="1013" t="s">
        <v>5466</v>
      </c>
      <c r="G1279" s="1014" t="s">
        <v>266</v>
      </c>
      <c r="H1279" s="1015">
        <v>134082</v>
      </c>
      <c r="I1279" s="1016" t="s">
        <v>4398</v>
      </c>
    </row>
    <row r="1280" spans="2:9" ht="15.75" x14ac:dyDescent="0.25">
      <c r="B1280" s="1365" t="s">
        <v>7169</v>
      </c>
      <c r="C1280" s="1013" t="s">
        <v>4405</v>
      </c>
      <c r="D1280" s="1013" t="s">
        <v>4579</v>
      </c>
      <c r="E1280" s="1014">
        <v>5106</v>
      </c>
      <c r="F1280" s="1013" t="s">
        <v>584</v>
      </c>
      <c r="G1280" s="1014" t="s">
        <v>266</v>
      </c>
      <c r="H1280" s="1015">
        <v>385932</v>
      </c>
      <c r="I1280" s="1016" t="s">
        <v>4398</v>
      </c>
    </row>
    <row r="1281" spans="2:9" ht="15.75" x14ac:dyDescent="0.25">
      <c r="B1281" s="1365" t="s">
        <v>7169</v>
      </c>
      <c r="C1281" s="1013" t="s">
        <v>4405</v>
      </c>
      <c r="D1281" s="1013" t="s">
        <v>4579</v>
      </c>
      <c r="E1281" s="1014">
        <v>5107</v>
      </c>
      <c r="F1281" s="1013" t="s">
        <v>5467</v>
      </c>
      <c r="G1281" s="1014" t="s">
        <v>13</v>
      </c>
      <c r="H1281" s="1015">
        <v>52074</v>
      </c>
      <c r="I1281" s="1016" t="s">
        <v>4398</v>
      </c>
    </row>
    <row r="1282" spans="2:9" ht="15.75" x14ac:dyDescent="0.25">
      <c r="B1282" s="1365" t="s">
        <v>7169</v>
      </c>
      <c r="C1282" s="1013" t="s">
        <v>4405</v>
      </c>
      <c r="D1282" s="1013" t="s">
        <v>4579</v>
      </c>
      <c r="E1282" s="1014">
        <v>5108</v>
      </c>
      <c r="F1282" s="1013" t="s">
        <v>5468</v>
      </c>
      <c r="G1282" s="1014" t="s">
        <v>266</v>
      </c>
      <c r="H1282" s="1015">
        <v>402089</v>
      </c>
      <c r="I1282" s="1016" t="s">
        <v>4398</v>
      </c>
    </row>
    <row r="1283" spans="2:9" ht="15.75" x14ac:dyDescent="0.25">
      <c r="B1283" s="1365" t="s">
        <v>7169</v>
      </c>
      <c r="C1283" s="1013" t="s">
        <v>4405</v>
      </c>
      <c r="D1283" s="1013" t="s">
        <v>4579</v>
      </c>
      <c r="E1283" s="1014">
        <v>5109</v>
      </c>
      <c r="F1283" s="1013" t="s">
        <v>585</v>
      </c>
      <c r="G1283" s="1014" t="s">
        <v>266</v>
      </c>
      <c r="H1283" s="1015">
        <v>172095</v>
      </c>
      <c r="I1283" s="1016" t="s">
        <v>4398</v>
      </c>
    </row>
    <row r="1284" spans="2:9" ht="15.75" x14ac:dyDescent="0.25">
      <c r="B1284" s="1365" t="s">
        <v>7169</v>
      </c>
      <c r="C1284" s="1013" t="s">
        <v>4405</v>
      </c>
      <c r="D1284" s="1013" t="s">
        <v>4579</v>
      </c>
      <c r="E1284" s="1014">
        <v>5110</v>
      </c>
      <c r="F1284" s="1013" t="s">
        <v>586</v>
      </c>
      <c r="G1284" s="1014" t="s">
        <v>13</v>
      </c>
      <c r="H1284" s="1015">
        <v>46183</v>
      </c>
      <c r="I1284" s="1016" t="s">
        <v>6899</v>
      </c>
    </row>
    <row r="1285" spans="2:9" ht="15.75" x14ac:dyDescent="0.25">
      <c r="B1285" s="1365" t="s">
        <v>7169</v>
      </c>
      <c r="C1285" s="1013" t="s">
        <v>4405</v>
      </c>
      <c r="D1285" s="1013" t="s">
        <v>4579</v>
      </c>
      <c r="E1285" s="1014">
        <v>5111</v>
      </c>
      <c r="F1285" s="1013" t="s">
        <v>587</v>
      </c>
      <c r="G1285" s="1014" t="s">
        <v>13</v>
      </c>
      <c r="H1285" s="1015">
        <v>15815</v>
      </c>
      <c r="I1285" s="1016" t="s">
        <v>4398</v>
      </c>
    </row>
    <row r="1286" spans="2:9" ht="15.75" x14ac:dyDescent="0.25">
      <c r="B1286" s="1365" t="s">
        <v>7169</v>
      </c>
      <c r="C1286" s="1013" t="s">
        <v>4405</v>
      </c>
      <c r="D1286" s="1013" t="s">
        <v>4579</v>
      </c>
      <c r="E1286" s="1014">
        <v>5112</v>
      </c>
      <c r="F1286" s="1013" t="s">
        <v>588</v>
      </c>
      <c r="G1286" s="1014" t="s">
        <v>13</v>
      </c>
      <c r="H1286" s="1015">
        <v>30334</v>
      </c>
      <c r="I1286" s="1016" t="s">
        <v>4398</v>
      </c>
    </row>
    <row r="1287" spans="2:9" ht="15.75" x14ac:dyDescent="0.25">
      <c r="B1287" s="1365" t="s">
        <v>7169</v>
      </c>
      <c r="C1287" s="1013" t="s">
        <v>4405</v>
      </c>
      <c r="D1287" s="1013" t="s">
        <v>4579</v>
      </c>
      <c r="E1287" s="1014">
        <v>5113</v>
      </c>
      <c r="F1287" s="1013" t="s">
        <v>589</v>
      </c>
      <c r="G1287" s="1014" t="s">
        <v>266</v>
      </c>
      <c r="H1287" s="1015">
        <v>277440</v>
      </c>
      <c r="I1287" s="1016" t="s">
        <v>4398</v>
      </c>
    </row>
    <row r="1288" spans="2:9" ht="15.75" x14ac:dyDescent="0.25">
      <c r="B1288" s="1365" t="s">
        <v>7169</v>
      </c>
      <c r="C1288" s="1013" t="s">
        <v>5425</v>
      </c>
      <c r="D1288" s="1013" t="s">
        <v>5426</v>
      </c>
      <c r="E1288" s="1014">
        <v>5122</v>
      </c>
      <c r="F1288" s="1013" t="s">
        <v>590</v>
      </c>
      <c r="G1288" s="1014" t="s">
        <v>266</v>
      </c>
      <c r="H1288" s="1015">
        <v>422017</v>
      </c>
      <c r="I1288" s="1016" t="s">
        <v>4398</v>
      </c>
    </row>
    <row r="1289" spans="2:9" ht="15.75" x14ac:dyDescent="0.25">
      <c r="B1289" s="1365" t="s">
        <v>7169</v>
      </c>
      <c r="C1289" s="1013" t="s">
        <v>5425</v>
      </c>
      <c r="D1289" s="1013" t="s">
        <v>5426</v>
      </c>
      <c r="E1289" s="1014">
        <v>5123</v>
      </c>
      <c r="F1289" s="1013" t="s">
        <v>591</v>
      </c>
      <c r="G1289" s="1014" t="s">
        <v>266</v>
      </c>
      <c r="H1289" s="1015">
        <v>1063698</v>
      </c>
      <c r="I1289" s="1016" t="s">
        <v>4398</v>
      </c>
    </row>
    <row r="1290" spans="2:9" ht="15.75" x14ac:dyDescent="0.25">
      <c r="B1290" s="1365" t="s">
        <v>7169</v>
      </c>
      <c r="C1290" s="1013" t="s">
        <v>5425</v>
      </c>
      <c r="D1290" s="1013" t="s">
        <v>5426</v>
      </c>
      <c r="E1290" s="1014">
        <v>5124</v>
      </c>
      <c r="F1290" s="1013" t="s">
        <v>592</v>
      </c>
      <c r="G1290" s="1014" t="s">
        <v>266</v>
      </c>
      <c r="H1290" s="1015">
        <v>354416</v>
      </c>
      <c r="I1290" s="1016" t="s">
        <v>4398</v>
      </c>
    </row>
    <row r="1291" spans="2:9" ht="15.75" x14ac:dyDescent="0.25">
      <c r="B1291" s="1365" t="s">
        <v>7169</v>
      </c>
      <c r="C1291" s="1013" t="s">
        <v>5425</v>
      </c>
      <c r="D1291" s="1013" t="s">
        <v>5426</v>
      </c>
      <c r="E1291" s="1014">
        <v>5125</v>
      </c>
      <c r="F1291" s="1013" t="s">
        <v>5469</v>
      </c>
      <c r="G1291" s="1014" t="s">
        <v>266</v>
      </c>
      <c r="H1291" s="1015">
        <v>85835</v>
      </c>
      <c r="I1291" s="1016" t="s">
        <v>4398</v>
      </c>
    </row>
    <row r="1292" spans="2:9" ht="15.75" x14ac:dyDescent="0.25">
      <c r="B1292" s="1365" t="s">
        <v>7169</v>
      </c>
      <c r="C1292" s="1013" t="s">
        <v>5425</v>
      </c>
      <c r="D1292" s="1013" t="s">
        <v>5426</v>
      </c>
      <c r="E1292" s="1014">
        <v>5126</v>
      </c>
      <c r="F1292" s="1013" t="s">
        <v>5470</v>
      </c>
      <c r="G1292" s="1014" t="s">
        <v>266</v>
      </c>
      <c r="H1292" s="1015">
        <v>279017</v>
      </c>
      <c r="I1292" s="1016" t="s">
        <v>4398</v>
      </c>
    </row>
    <row r="1293" spans="2:9" ht="15.75" x14ac:dyDescent="0.25">
      <c r="B1293" s="1365" t="s">
        <v>7169</v>
      </c>
      <c r="C1293" s="1013" t="s">
        <v>5425</v>
      </c>
      <c r="D1293" s="1013" t="s">
        <v>5426</v>
      </c>
      <c r="E1293" s="1014">
        <v>5127</v>
      </c>
      <c r="F1293" s="1013" t="s">
        <v>5471</v>
      </c>
      <c r="G1293" s="1014" t="s">
        <v>266</v>
      </c>
      <c r="H1293" s="1015">
        <v>544107</v>
      </c>
      <c r="I1293" s="1016" t="s">
        <v>4398</v>
      </c>
    </row>
    <row r="1294" spans="2:9" ht="15.75" x14ac:dyDescent="0.25">
      <c r="B1294" s="1365" t="s">
        <v>7169</v>
      </c>
      <c r="C1294" s="1013" t="s">
        <v>5425</v>
      </c>
      <c r="D1294" s="1013" t="s">
        <v>5426</v>
      </c>
      <c r="E1294" s="1014">
        <v>5128</v>
      </c>
      <c r="F1294" s="1013" t="s">
        <v>593</v>
      </c>
      <c r="G1294" s="1014" t="s">
        <v>266</v>
      </c>
      <c r="H1294" s="1015">
        <v>441017</v>
      </c>
      <c r="I1294" s="1016" t="s">
        <v>4398</v>
      </c>
    </row>
    <row r="1295" spans="2:9" ht="15.75" x14ac:dyDescent="0.25">
      <c r="B1295" s="1365" t="s">
        <v>7169</v>
      </c>
      <c r="C1295" s="1013" t="s">
        <v>4468</v>
      </c>
      <c r="D1295" s="1013" t="s">
        <v>1798</v>
      </c>
      <c r="E1295" s="1014">
        <v>5129</v>
      </c>
      <c r="F1295" s="1013" t="s">
        <v>5472</v>
      </c>
      <c r="G1295" s="1014" t="s">
        <v>13</v>
      </c>
      <c r="H1295" s="1015">
        <v>287327</v>
      </c>
      <c r="I1295" s="1016" t="s">
        <v>6899</v>
      </c>
    </row>
    <row r="1296" spans="2:9" ht="15.75" x14ac:dyDescent="0.25">
      <c r="B1296" s="1365" t="s">
        <v>7169</v>
      </c>
      <c r="C1296" s="1013" t="s">
        <v>4468</v>
      </c>
      <c r="D1296" s="1013" t="s">
        <v>1798</v>
      </c>
      <c r="E1296" s="1014">
        <v>5131</v>
      </c>
      <c r="F1296" s="1013" t="s">
        <v>5473</v>
      </c>
      <c r="G1296" s="1014" t="s">
        <v>13</v>
      </c>
      <c r="H1296" s="1015">
        <v>191624</v>
      </c>
      <c r="I1296" s="1016" t="s">
        <v>6899</v>
      </c>
    </row>
    <row r="1297" spans="2:9" ht="15.75" x14ac:dyDescent="0.25">
      <c r="B1297" s="1365" t="s">
        <v>7169</v>
      </c>
      <c r="C1297" s="1013" t="s">
        <v>4420</v>
      </c>
      <c r="D1297" s="1013" t="s">
        <v>4420</v>
      </c>
      <c r="E1297" s="1014">
        <v>5132</v>
      </c>
      <c r="F1297" s="1013" t="s">
        <v>5474</v>
      </c>
      <c r="G1297" s="1014" t="s">
        <v>13</v>
      </c>
      <c r="H1297" s="1015">
        <v>60124</v>
      </c>
      <c r="I1297" s="1016" t="s">
        <v>6899</v>
      </c>
    </row>
    <row r="1298" spans="2:9" ht="15.75" x14ac:dyDescent="0.25">
      <c r="B1298" s="1365" t="s">
        <v>7169</v>
      </c>
      <c r="C1298" s="1013" t="s">
        <v>4454</v>
      </c>
      <c r="D1298" s="1013" t="s">
        <v>4455</v>
      </c>
      <c r="E1298" s="1014">
        <v>5135</v>
      </c>
      <c r="F1298" s="1013" t="s">
        <v>5475</v>
      </c>
      <c r="G1298" s="1014" t="s">
        <v>13</v>
      </c>
      <c r="H1298" s="1015">
        <v>7140</v>
      </c>
      <c r="I1298" s="1016" t="s">
        <v>3538</v>
      </c>
    </row>
    <row r="1299" spans="2:9" ht="15.75" x14ac:dyDescent="0.25">
      <c r="B1299" s="1365" t="s">
        <v>7169</v>
      </c>
      <c r="C1299" s="1013" t="s">
        <v>4454</v>
      </c>
      <c r="D1299" s="1013" t="s">
        <v>4455</v>
      </c>
      <c r="E1299" s="1014">
        <v>5136</v>
      </c>
      <c r="F1299" s="1013" t="s">
        <v>5476</v>
      </c>
      <c r="G1299" s="1014" t="s">
        <v>12</v>
      </c>
      <c r="H1299" s="1015">
        <v>10511</v>
      </c>
      <c r="I1299" s="1016" t="s">
        <v>3538</v>
      </c>
    </row>
    <row r="1300" spans="2:9" ht="15.75" x14ac:dyDescent="0.25">
      <c r="B1300" s="1365" t="s">
        <v>7169</v>
      </c>
      <c r="C1300" s="1013" t="s">
        <v>4454</v>
      </c>
      <c r="D1300" s="1013" t="s">
        <v>5477</v>
      </c>
      <c r="E1300" s="1014">
        <v>5143</v>
      </c>
      <c r="F1300" s="1013" t="s">
        <v>594</v>
      </c>
      <c r="G1300" s="1014" t="s">
        <v>266</v>
      </c>
      <c r="H1300" s="1015">
        <v>87406</v>
      </c>
      <c r="I1300" s="1016" t="s">
        <v>6899</v>
      </c>
    </row>
    <row r="1301" spans="2:9" ht="15.75" x14ac:dyDescent="0.25">
      <c r="B1301" s="1365" t="s">
        <v>7169</v>
      </c>
      <c r="C1301" s="1013" t="s">
        <v>4454</v>
      </c>
      <c r="D1301" s="1013" t="s">
        <v>5477</v>
      </c>
      <c r="E1301" s="1014">
        <v>5144</v>
      </c>
      <c r="F1301" s="1013" t="s">
        <v>5478</v>
      </c>
      <c r="G1301" s="1014" t="s">
        <v>266</v>
      </c>
      <c r="H1301" s="1015">
        <v>25158</v>
      </c>
      <c r="I1301" s="1016" t="s">
        <v>3538</v>
      </c>
    </row>
    <row r="1302" spans="2:9" ht="15.75" x14ac:dyDescent="0.25">
      <c r="B1302" s="1365" t="s">
        <v>7169</v>
      </c>
      <c r="C1302" s="1013" t="s">
        <v>4454</v>
      </c>
      <c r="D1302" s="1013" t="s">
        <v>5477</v>
      </c>
      <c r="E1302" s="1014">
        <v>5145</v>
      </c>
      <c r="F1302" s="1013" t="s">
        <v>5479</v>
      </c>
      <c r="G1302" s="1014" t="s">
        <v>266</v>
      </c>
      <c r="H1302" s="1015">
        <v>20171</v>
      </c>
      <c r="I1302" s="1016" t="s">
        <v>6899</v>
      </c>
    </row>
    <row r="1303" spans="2:9" ht="15.75" x14ac:dyDescent="0.25">
      <c r="B1303" s="1365" t="s">
        <v>7169</v>
      </c>
      <c r="C1303" s="1013" t="s">
        <v>4420</v>
      </c>
      <c r="D1303" s="1013" t="s">
        <v>4420</v>
      </c>
      <c r="E1303" s="1014">
        <v>5159</v>
      </c>
      <c r="F1303" s="1013" t="s">
        <v>5480</v>
      </c>
      <c r="G1303" s="1014" t="s">
        <v>266</v>
      </c>
      <c r="H1303" s="1015">
        <v>33200</v>
      </c>
      <c r="I1303" s="1016" t="s">
        <v>6899</v>
      </c>
    </row>
    <row r="1304" spans="2:9" ht="15.75" x14ac:dyDescent="0.25">
      <c r="B1304" s="1365" t="s">
        <v>7169</v>
      </c>
      <c r="C1304" s="1013" t="s">
        <v>4420</v>
      </c>
      <c r="D1304" s="1013" t="s">
        <v>4420</v>
      </c>
      <c r="E1304" s="1014">
        <v>5160</v>
      </c>
      <c r="F1304" s="1013" t="s">
        <v>5481</v>
      </c>
      <c r="G1304" s="1014" t="s">
        <v>266</v>
      </c>
      <c r="H1304" s="1015">
        <v>71548</v>
      </c>
      <c r="I1304" s="1016" t="s">
        <v>6899</v>
      </c>
    </row>
    <row r="1305" spans="2:9" ht="15.75" x14ac:dyDescent="0.25">
      <c r="B1305" s="1365" t="s">
        <v>7169</v>
      </c>
      <c r="C1305" s="1013" t="s">
        <v>5482</v>
      </c>
      <c r="D1305" s="1013" t="s">
        <v>5482</v>
      </c>
      <c r="E1305" s="1014">
        <v>5161</v>
      </c>
      <c r="F1305" s="1013" t="s">
        <v>595</v>
      </c>
      <c r="G1305" s="1014" t="s">
        <v>12</v>
      </c>
      <c r="H1305" s="1015">
        <v>240</v>
      </c>
      <c r="I1305" s="1016" t="s">
        <v>4398</v>
      </c>
    </row>
    <row r="1306" spans="2:9" ht="15.75" x14ac:dyDescent="0.25">
      <c r="B1306" s="1365" t="s">
        <v>7169</v>
      </c>
      <c r="C1306" s="1013" t="s">
        <v>4472</v>
      </c>
      <c r="D1306" s="1013" t="s">
        <v>4817</v>
      </c>
      <c r="E1306" s="1014">
        <v>5162</v>
      </c>
      <c r="F1306" s="1013" t="s">
        <v>5483</v>
      </c>
      <c r="G1306" s="1014" t="s">
        <v>3</v>
      </c>
      <c r="H1306" s="1015">
        <v>351113</v>
      </c>
      <c r="I1306" s="1016" t="s">
        <v>6899</v>
      </c>
    </row>
    <row r="1307" spans="2:9" ht="15.75" x14ac:dyDescent="0.25">
      <c r="B1307" s="1365" t="s">
        <v>7169</v>
      </c>
      <c r="C1307" s="1013" t="s">
        <v>4472</v>
      </c>
      <c r="D1307" s="1013" t="s">
        <v>4817</v>
      </c>
      <c r="E1307" s="1014">
        <v>5163</v>
      </c>
      <c r="F1307" s="1013" t="s">
        <v>5484</v>
      </c>
      <c r="G1307" s="1014" t="s">
        <v>3</v>
      </c>
      <c r="H1307" s="1015">
        <v>373425</v>
      </c>
      <c r="I1307" s="1016" t="s">
        <v>6899</v>
      </c>
    </row>
    <row r="1308" spans="2:9" ht="15.75" x14ac:dyDescent="0.25">
      <c r="B1308" s="1365" t="s">
        <v>7169</v>
      </c>
      <c r="C1308" s="1013" t="s">
        <v>4472</v>
      </c>
      <c r="D1308" s="1013" t="s">
        <v>4817</v>
      </c>
      <c r="E1308" s="1014">
        <v>5164</v>
      </c>
      <c r="F1308" s="1013" t="s">
        <v>5485</v>
      </c>
      <c r="G1308" s="1014" t="s">
        <v>3</v>
      </c>
      <c r="H1308" s="1015">
        <v>188964</v>
      </c>
      <c r="I1308" s="1016" t="s">
        <v>6899</v>
      </c>
    </row>
    <row r="1309" spans="2:9" ht="15.75" x14ac:dyDescent="0.25">
      <c r="B1309" s="1365" t="s">
        <v>7169</v>
      </c>
      <c r="C1309" s="1013" t="s">
        <v>4472</v>
      </c>
      <c r="D1309" s="1013" t="s">
        <v>4817</v>
      </c>
      <c r="E1309" s="1014">
        <v>5165</v>
      </c>
      <c r="F1309" s="1013" t="s">
        <v>5486</v>
      </c>
      <c r="G1309" s="1014" t="s">
        <v>3</v>
      </c>
      <c r="H1309" s="1015">
        <v>273676</v>
      </c>
      <c r="I1309" s="1016" t="s">
        <v>6899</v>
      </c>
    </row>
    <row r="1310" spans="2:9" ht="15.75" x14ac:dyDescent="0.25">
      <c r="B1310" s="1365" t="s">
        <v>7169</v>
      </c>
      <c r="C1310" s="1013" t="s">
        <v>5366</v>
      </c>
      <c r="D1310" s="1013" t="s">
        <v>5366</v>
      </c>
      <c r="E1310" s="1014">
        <v>5166</v>
      </c>
      <c r="F1310" s="1013" t="s">
        <v>5487</v>
      </c>
      <c r="G1310" s="1014" t="s">
        <v>552</v>
      </c>
      <c r="H1310" s="1015">
        <v>6148</v>
      </c>
      <c r="I1310" s="1016" t="s">
        <v>4398</v>
      </c>
    </row>
    <row r="1311" spans="2:9" ht="15.75" x14ac:dyDescent="0.25">
      <c r="B1311" s="1365" t="s">
        <v>7169</v>
      </c>
      <c r="C1311" s="1013" t="s">
        <v>5366</v>
      </c>
      <c r="D1311" s="1013" t="s">
        <v>5366</v>
      </c>
      <c r="E1311" s="1014">
        <v>5167</v>
      </c>
      <c r="F1311" s="1013" t="s">
        <v>5488</v>
      </c>
      <c r="G1311" s="1014" t="s">
        <v>548</v>
      </c>
      <c r="H1311" s="1015">
        <v>2204765</v>
      </c>
      <c r="I1311" s="1016" t="s">
        <v>4398</v>
      </c>
    </row>
    <row r="1312" spans="2:9" ht="15.75" x14ac:dyDescent="0.25">
      <c r="B1312" s="1365" t="s">
        <v>7169</v>
      </c>
      <c r="C1312" s="1013" t="s">
        <v>5366</v>
      </c>
      <c r="D1312" s="1013" t="s">
        <v>5366</v>
      </c>
      <c r="E1312" s="1014">
        <v>5168</v>
      </c>
      <c r="F1312" s="1013" t="s">
        <v>5489</v>
      </c>
      <c r="G1312" s="1014" t="s">
        <v>546</v>
      </c>
      <c r="H1312" s="1015">
        <v>17694</v>
      </c>
      <c r="I1312" s="1016" t="s">
        <v>4398</v>
      </c>
    </row>
    <row r="1313" spans="2:9" ht="15.75" x14ac:dyDescent="0.25">
      <c r="B1313" s="1365" t="s">
        <v>7169</v>
      </c>
      <c r="C1313" s="1013" t="s">
        <v>5366</v>
      </c>
      <c r="D1313" s="1013" t="s">
        <v>5366</v>
      </c>
      <c r="E1313" s="1014">
        <v>5169</v>
      </c>
      <c r="F1313" s="1013" t="s">
        <v>5490</v>
      </c>
      <c r="G1313" s="1014" t="s">
        <v>266</v>
      </c>
      <c r="H1313" s="1015">
        <v>187283</v>
      </c>
      <c r="I1313" s="1016" t="s">
        <v>6899</v>
      </c>
    </row>
    <row r="1314" spans="2:9" ht="15.75" x14ac:dyDescent="0.25">
      <c r="B1314" s="1365" t="s">
        <v>7169</v>
      </c>
      <c r="C1314" s="1013" t="s">
        <v>5366</v>
      </c>
      <c r="D1314" s="1013" t="s">
        <v>5366</v>
      </c>
      <c r="E1314" s="1014">
        <v>5170</v>
      </c>
      <c r="F1314" s="1013" t="s">
        <v>5491</v>
      </c>
      <c r="G1314" s="1014" t="s">
        <v>546</v>
      </c>
      <c r="H1314" s="1015">
        <v>391688</v>
      </c>
      <c r="I1314" s="1016" t="s">
        <v>6899</v>
      </c>
    </row>
    <row r="1315" spans="2:9" ht="15.75" x14ac:dyDescent="0.25">
      <c r="B1315" s="1365" t="s">
        <v>7169</v>
      </c>
      <c r="C1315" s="1013" t="s">
        <v>4461</v>
      </c>
      <c r="D1315" s="1013" t="s">
        <v>4461</v>
      </c>
      <c r="E1315" s="1014">
        <v>5171</v>
      </c>
      <c r="F1315" s="1013" t="s">
        <v>5492</v>
      </c>
      <c r="G1315" s="1014" t="s">
        <v>266</v>
      </c>
      <c r="H1315" s="1015">
        <v>410845</v>
      </c>
      <c r="I1315" s="1016" t="s">
        <v>6899</v>
      </c>
    </row>
    <row r="1316" spans="2:9" ht="15.75" x14ac:dyDescent="0.25">
      <c r="B1316" s="1365" t="s">
        <v>7169</v>
      </c>
      <c r="C1316" s="1013" t="s">
        <v>4461</v>
      </c>
      <c r="D1316" s="1013" t="s">
        <v>4461</v>
      </c>
      <c r="E1316" s="1014">
        <v>5172</v>
      </c>
      <c r="F1316" s="1013" t="s">
        <v>5493</v>
      </c>
      <c r="G1316" s="1014" t="s">
        <v>266</v>
      </c>
      <c r="H1316" s="1015">
        <v>373824</v>
      </c>
      <c r="I1316" s="1016" t="s">
        <v>6899</v>
      </c>
    </row>
    <row r="1317" spans="2:9" ht="15.75" x14ac:dyDescent="0.25">
      <c r="B1317" s="1365" t="s">
        <v>7169</v>
      </c>
      <c r="C1317" s="1013" t="s">
        <v>4461</v>
      </c>
      <c r="D1317" s="1013" t="s">
        <v>4461</v>
      </c>
      <c r="E1317" s="1014">
        <v>5173</v>
      </c>
      <c r="F1317" s="1013" t="s">
        <v>5494</v>
      </c>
      <c r="G1317" s="1014" t="s">
        <v>266</v>
      </c>
      <c r="H1317" s="1015">
        <v>381191</v>
      </c>
      <c r="I1317" s="1016" t="s">
        <v>6899</v>
      </c>
    </row>
    <row r="1318" spans="2:9" ht="15.75" x14ac:dyDescent="0.25">
      <c r="B1318" s="1365" t="s">
        <v>7169</v>
      </c>
      <c r="C1318" s="1013" t="s">
        <v>4791</v>
      </c>
      <c r="D1318" s="1013" t="s">
        <v>5165</v>
      </c>
      <c r="E1318" s="1014">
        <v>5175</v>
      </c>
      <c r="F1318" s="1013" t="s">
        <v>5495</v>
      </c>
      <c r="G1318" s="1014" t="s">
        <v>13</v>
      </c>
      <c r="H1318" s="1015">
        <v>213033</v>
      </c>
      <c r="I1318" s="1016" t="s">
        <v>6899</v>
      </c>
    </row>
    <row r="1319" spans="2:9" ht="15.75" x14ac:dyDescent="0.25">
      <c r="B1319" s="1365" t="s">
        <v>7169</v>
      </c>
      <c r="C1319" s="1013" t="s">
        <v>4791</v>
      </c>
      <c r="D1319" s="1013" t="s">
        <v>5165</v>
      </c>
      <c r="E1319" s="1014">
        <v>5176</v>
      </c>
      <c r="F1319" s="1013" t="s">
        <v>5496</v>
      </c>
      <c r="G1319" s="1014" t="s">
        <v>13</v>
      </c>
      <c r="H1319" s="1015">
        <v>182608</v>
      </c>
      <c r="I1319" s="1016" t="s">
        <v>6899</v>
      </c>
    </row>
    <row r="1320" spans="2:9" ht="15.75" x14ac:dyDescent="0.25">
      <c r="B1320" s="1365" t="s">
        <v>7169</v>
      </c>
      <c r="C1320" s="1013" t="s">
        <v>4472</v>
      </c>
      <c r="D1320" s="1013" t="s">
        <v>4817</v>
      </c>
      <c r="E1320" s="1014">
        <v>5177</v>
      </c>
      <c r="F1320" s="1013" t="s">
        <v>5497</v>
      </c>
      <c r="G1320" s="1014" t="s">
        <v>3</v>
      </c>
      <c r="H1320" s="1015">
        <v>1647146</v>
      </c>
      <c r="I1320" s="1016" t="s">
        <v>6899</v>
      </c>
    </row>
    <row r="1321" spans="2:9" ht="15.75" x14ac:dyDescent="0.25">
      <c r="B1321" s="1365" t="s">
        <v>7169</v>
      </c>
      <c r="C1321" s="1013" t="s">
        <v>4799</v>
      </c>
      <c r="D1321" s="1013" t="s">
        <v>4800</v>
      </c>
      <c r="E1321" s="1014">
        <v>5178</v>
      </c>
      <c r="F1321" s="1013" t="s">
        <v>596</v>
      </c>
      <c r="G1321" s="1014" t="s">
        <v>342</v>
      </c>
      <c r="H1321" s="1015">
        <v>718787</v>
      </c>
      <c r="I1321" s="1016" t="s">
        <v>4398</v>
      </c>
    </row>
    <row r="1322" spans="2:9" ht="15.75" x14ac:dyDescent="0.25">
      <c r="B1322" s="1365" t="s">
        <v>7169</v>
      </c>
      <c r="C1322" s="1013" t="s">
        <v>4420</v>
      </c>
      <c r="D1322" s="1013" t="s">
        <v>4420</v>
      </c>
      <c r="E1322" s="1014">
        <v>5180</v>
      </c>
      <c r="F1322" s="1013" t="s">
        <v>5498</v>
      </c>
      <c r="G1322" s="1014" t="s">
        <v>13</v>
      </c>
      <c r="H1322" s="1015">
        <v>264981</v>
      </c>
      <c r="I1322" s="1016" t="s">
        <v>6899</v>
      </c>
    </row>
    <row r="1323" spans="2:9" ht="15.75" x14ac:dyDescent="0.25">
      <c r="B1323" s="1365" t="s">
        <v>7169</v>
      </c>
      <c r="C1323" s="1013" t="s">
        <v>4417</v>
      </c>
      <c r="D1323" s="1013" t="s">
        <v>4418</v>
      </c>
      <c r="E1323" s="1014">
        <v>5181</v>
      </c>
      <c r="F1323" s="1013" t="s">
        <v>5499</v>
      </c>
      <c r="G1323" s="1014" t="s">
        <v>13</v>
      </c>
      <c r="H1323" s="1015">
        <v>60717</v>
      </c>
      <c r="I1323" s="1016" t="s">
        <v>6899</v>
      </c>
    </row>
    <row r="1324" spans="2:9" ht="15.75" x14ac:dyDescent="0.25">
      <c r="B1324" s="1365" t="s">
        <v>7169</v>
      </c>
      <c r="C1324" s="1013" t="s">
        <v>4431</v>
      </c>
      <c r="D1324" s="1013" t="s">
        <v>4432</v>
      </c>
      <c r="E1324" s="1014">
        <v>5182</v>
      </c>
      <c r="F1324" s="1013" t="s">
        <v>5500</v>
      </c>
      <c r="G1324" s="1014" t="s">
        <v>13</v>
      </c>
      <c r="H1324" s="1015">
        <v>386778</v>
      </c>
      <c r="I1324" s="1016" t="s">
        <v>4398</v>
      </c>
    </row>
    <row r="1325" spans="2:9" ht="15.75" x14ac:dyDescent="0.25">
      <c r="B1325" s="1365" t="s">
        <v>7169</v>
      </c>
      <c r="C1325" s="1013" t="s">
        <v>4431</v>
      </c>
      <c r="D1325" s="1013" t="s">
        <v>4432</v>
      </c>
      <c r="E1325" s="1014">
        <v>5183</v>
      </c>
      <c r="F1325" s="1013" t="s">
        <v>5501</v>
      </c>
      <c r="G1325" s="1014" t="s">
        <v>13</v>
      </c>
      <c r="H1325" s="1015">
        <v>179530</v>
      </c>
      <c r="I1325" s="1016" t="s">
        <v>4398</v>
      </c>
    </row>
    <row r="1326" spans="2:9" ht="15.75" x14ac:dyDescent="0.25">
      <c r="B1326" s="1365" t="s">
        <v>7169</v>
      </c>
      <c r="C1326" s="1013" t="s">
        <v>4431</v>
      </c>
      <c r="D1326" s="1013" t="s">
        <v>4432</v>
      </c>
      <c r="E1326" s="1014">
        <v>5184</v>
      </c>
      <c r="F1326" s="1013" t="s">
        <v>5502</v>
      </c>
      <c r="G1326" s="1014" t="s">
        <v>13</v>
      </c>
      <c r="H1326" s="1015">
        <v>62545</v>
      </c>
      <c r="I1326" s="1016" t="s">
        <v>4398</v>
      </c>
    </row>
    <row r="1327" spans="2:9" ht="15.75" x14ac:dyDescent="0.25">
      <c r="B1327" s="1365" t="s">
        <v>7169</v>
      </c>
      <c r="C1327" s="1013" t="s">
        <v>1474</v>
      </c>
      <c r="D1327" s="1013" t="s">
        <v>5380</v>
      </c>
      <c r="E1327" s="1014">
        <v>5185</v>
      </c>
      <c r="F1327" s="1013" t="s">
        <v>5503</v>
      </c>
      <c r="G1327" s="1014" t="s">
        <v>266</v>
      </c>
      <c r="H1327" s="1015">
        <v>414564</v>
      </c>
      <c r="I1327" s="1016" t="s">
        <v>6899</v>
      </c>
    </row>
    <row r="1328" spans="2:9" ht="15.75" x14ac:dyDescent="0.25">
      <c r="B1328" s="1365" t="s">
        <v>7169</v>
      </c>
      <c r="C1328" s="1013" t="s">
        <v>4461</v>
      </c>
      <c r="D1328" s="1013" t="s">
        <v>4461</v>
      </c>
      <c r="E1328" s="1014">
        <v>5186</v>
      </c>
      <c r="F1328" s="1013" t="s">
        <v>5504</v>
      </c>
      <c r="G1328" s="1014" t="s">
        <v>266</v>
      </c>
      <c r="H1328" s="1015">
        <v>359527</v>
      </c>
      <c r="I1328" s="1016" t="s">
        <v>6899</v>
      </c>
    </row>
    <row r="1329" spans="2:9" ht="15.75" x14ac:dyDescent="0.25">
      <c r="B1329" s="1365" t="s">
        <v>7169</v>
      </c>
      <c r="C1329" s="1013" t="s">
        <v>4461</v>
      </c>
      <c r="D1329" s="1013" t="s">
        <v>4461</v>
      </c>
      <c r="E1329" s="1014">
        <v>5187</v>
      </c>
      <c r="F1329" s="1013" t="s">
        <v>5505</v>
      </c>
      <c r="G1329" s="1014" t="s">
        <v>266</v>
      </c>
      <c r="H1329" s="1015">
        <v>395794</v>
      </c>
      <c r="I1329" s="1016" t="s">
        <v>6899</v>
      </c>
    </row>
    <row r="1330" spans="2:9" ht="15.75" x14ac:dyDescent="0.25">
      <c r="B1330" s="1365" t="s">
        <v>7169</v>
      </c>
      <c r="C1330" s="1013" t="s">
        <v>4454</v>
      </c>
      <c r="D1330" s="1013" t="s">
        <v>4634</v>
      </c>
      <c r="E1330" s="1014">
        <v>5188</v>
      </c>
      <c r="F1330" s="1013" t="s">
        <v>5506</v>
      </c>
      <c r="G1330" s="1014" t="s">
        <v>266</v>
      </c>
      <c r="H1330" s="1015">
        <v>49039</v>
      </c>
      <c r="I1330" s="1016" t="s">
        <v>4398</v>
      </c>
    </row>
    <row r="1331" spans="2:9" ht="15.75" x14ac:dyDescent="0.25">
      <c r="B1331" s="1365" t="s">
        <v>7169</v>
      </c>
      <c r="C1331" s="1013" t="s">
        <v>4454</v>
      </c>
      <c r="D1331" s="1013" t="s">
        <v>4634</v>
      </c>
      <c r="E1331" s="1014">
        <v>5189</v>
      </c>
      <c r="F1331" s="1013" t="s">
        <v>5507</v>
      </c>
      <c r="G1331" s="1014" t="s">
        <v>266</v>
      </c>
      <c r="H1331" s="1015">
        <v>78229</v>
      </c>
      <c r="I1331" s="1016" t="s">
        <v>4398</v>
      </c>
    </row>
    <row r="1332" spans="2:9" ht="15.75" x14ac:dyDescent="0.25">
      <c r="B1332" s="1365" t="s">
        <v>7169</v>
      </c>
      <c r="C1332" s="1013" t="s">
        <v>5292</v>
      </c>
      <c r="D1332" s="1013" t="s">
        <v>5292</v>
      </c>
      <c r="E1332" s="1014">
        <v>5190</v>
      </c>
      <c r="F1332" s="1013" t="s">
        <v>597</v>
      </c>
      <c r="G1332" s="1014" t="s">
        <v>13</v>
      </c>
      <c r="H1332" s="1015">
        <v>10199</v>
      </c>
      <c r="I1332" s="1016" t="s">
        <v>4398</v>
      </c>
    </row>
    <row r="1333" spans="2:9" ht="15.75" x14ac:dyDescent="0.25">
      <c r="B1333" s="1365" t="s">
        <v>7169</v>
      </c>
      <c r="C1333" s="1013" t="s">
        <v>4454</v>
      </c>
      <c r="D1333" s="1013" t="s">
        <v>4455</v>
      </c>
      <c r="E1333" s="1014">
        <v>5191</v>
      </c>
      <c r="F1333" s="1013" t="s">
        <v>5508</v>
      </c>
      <c r="G1333" s="1014" t="s">
        <v>266</v>
      </c>
      <c r="H1333" s="1015">
        <v>280384</v>
      </c>
      <c r="I1333" s="1016" t="s">
        <v>3538</v>
      </c>
    </row>
    <row r="1334" spans="2:9" ht="15.75" x14ac:dyDescent="0.25">
      <c r="B1334" s="1365" t="s">
        <v>7169</v>
      </c>
      <c r="C1334" s="1013" t="s">
        <v>4472</v>
      </c>
      <c r="D1334" s="1013" t="s">
        <v>4812</v>
      </c>
      <c r="E1334" s="1014">
        <v>5195</v>
      </c>
      <c r="F1334" s="1013" t="s">
        <v>5509</v>
      </c>
      <c r="G1334" s="1014" t="s">
        <v>13</v>
      </c>
      <c r="H1334" s="1015">
        <v>48833</v>
      </c>
      <c r="I1334" s="1016" t="s">
        <v>6899</v>
      </c>
    </row>
    <row r="1335" spans="2:9" ht="15.75" x14ac:dyDescent="0.25">
      <c r="B1335" s="1365" t="s">
        <v>7169</v>
      </c>
      <c r="C1335" s="1013" t="s">
        <v>4401</v>
      </c>
      <c r="D1335" s="1013" t="s">
        <v>4401</v>
      </c>
      <c r="E1335" s="1014">
        <v>5196</v>
      </c>
      <c r="F1335" s="1013" t="s">
        <v>5510</v>
      </c>
      <c r="G1335" s="1014" t="s">
        <v>3</v>
      </c>
      <c r="H1335" s="1015">
        <v>98877</v>
      </c>
      <c r="I1335" s="1016" t="s">
        <v>6899</v>
      </c>
    </row>
    <row r="1336" spans="2:9" ht="15.75" x14ac:dyDescent="0.25">
      <c r="B1336" s="1365" t="s">
        <v>7169</v>
      </c>
      <c r="C1336" s="1013" t="s">
        <v>4401</v>
      </c>
      <c r="D1336" s="1013" t="s">
        <v>4401</v>
      </c>
      <c r="E1336" s="1014">
        <v>5197</v>
      </c>
      <c r="F1336" s="1013" t="s">
        <v>5511</v>
      </c>
      <c r="G1336" s="1014" t="s">
        <v>3</v>
      </c>
      <c r="H1336" s="1015">
        <v>105669</v>
      </c>
      <c r="I1336" s="1016" t="s">
        <v>6899</v>
      </c>
    </row>
    <row r="1337" spans="2:9" ht="15.75" x14ac:dyDescent="0.25">
      <c r="B1337" s="1365" t="s">
        <v>7169</v>
      </c>
      <c r="C1337" s="1013" t="s">
        <v>4472</v>
      </c>
      <c r="D1337" s="1013" t="s">
        <v>4812</v>
      </c>
      <c r="E1337" s="1014">
        <v>5201</v>
      </c>
      <c r="F1337" s="1013" t="s">
        <v>5512</v>
      </c>
      <c r="G1337" s="1014" t="s">
        <v>13</v>
      </c>
      <c r="H1337" s="1015">
        <v>153099</v>
      </c>
      <c r="I1337" s="1016" t="s">
        <v>6899</v>
      </c>
    </row>
    <row r="1338" spans="2:9" ht="15.75" x14ac:dyDescent="0.25">
      <c r="B1338" s="1365" t="s">
        <v>7169</v>
      </c>
      <c r="C1338" s="1013" t="s">
        <v>4472</v>
      </c>
      <c r="D1338" s="1013" t="s">
        <v>4812</v>
      </c>
      <c r="E1338" s="1014">
        <v>5202</v>
      </c>
      <c r="F1338" s="1013" t="s">
        <v>5513</v>
      </c>
      <c r="G1338" s="1014" t="s">
        <v>13</v>
      </c>
      <c r="H1338" s="1015">
        <v>93384</v>
      </c>
      <c r="I1338" s="1016" t="s">
        <v>6899</v>
      </c>
    </row>
    <row r="1339" spans="2:9" ht="15.75" x14ac:dyDescent="0.25">
      <c r="B1339" s="1365" t="s">
        <v>7169</v>
      </c>
      <c r="C1339" s="1013" t="s">
        <v>4472</v>
      </c>
      <c r="D1339" s="1013" t="s">
        <v>4812</v>
      </c>
      <c r="E1339" s="1014">
        <v>5204</v>
      </c>
      <c r="F1339" s="1013" t="s">
        <v>5514</v>
      </c>
      <c r="G1339" s="1014" t="s">
        <v>13</v>
      </c>
      <c r="H1339" s="1015">
        <v>8667</v>
      </c>
      <c r="I1339" s="1016" t="s">
        <v>6899</v>
      </c>
    </row>
    <row r="1340" spans="2:9" ht="15.75" x14ac:dyDescent="0.25">
      <c r="B1340" s="1365" t="s">
        <v>7169</v>
      </c>
      <c r="C1340" s="1013" t="s">
        <v>4799</v>
      </c>
      <c r="D1340" s="1013" t="s">
        <v>5199</v>
      </c>
      <c r="E1340" s="1014">
        <v>5205</v>
      </c>
      <c r="F1340" s="1013" t="s">
        <v>5515</v>
      </c>
      <c r="G1340" s="1014" t="s">
        <v>13</v>
      </c>
      <c r="H1340" s="1015">
        <v>50963</v>
      </c>
      <c r="I1340" s="1016" t="s">
        <v>4398</v>
      </c>
    </row>
    <row r="1341" spans="2:9" ht="15.75" x14ac:dyDescent="0.25">
      <c r="B1341" s="1365" t="s">
        <v>7169</v>
      </c>
      <c r="C1341" s="1013" t="s">
        <v>4799</v>
      </c>
      <c r="D1341" s="1013" t="s">
        <v>5199</v>
      </c>
      <c r="E1341" s="1014">
        <v>5207</v>
      </c>
      <c r="F1341" s="1013" t="s">
        <v>5516</v>
      </c>
      <c r="G1341" s="1014" t="s">
        <v>12</v>
      </c>
      <c r="H1341" s="1015">
        <v>213104</v>
      </c>
      <c r="I1341" s="1016" t="s">
        <v>6899</v>
      </c>
    </row>
    <row r="1342" spans="2:9" ht="15.75" x14ac:dyDescent="0.25">
      <c r="B1342" s="1365" t="s">
        <v>7169</v>
      </c>
      <c r="C1342" s="1013" t="s">
        <v>4799</v>
      </c>
      <c r="D1342" s="1013" t="s">
        <v>5199</v>
      </c>
      <c r="E1342" s="1014">
        <v>5208</v>
      </c>
      <c r="F1342" s="1013" t="s">
        <v>5517</v>
      </c>
      <c r="G1342" s="1014" t="s">
        <v>13</v>
      </c>
      <c r="H1342" s="1015">
        <v>98494</v>
      </c>
      <c r="I1342" s="1016" t="s">
        <v>6899</v>
      </c>
    </row>
    <row r="1343" spans="2:9" ht="15.75" x14ac:dyDescent="0.25">
      <c r="B1343" s="1365" t="s">
        <v>7169</v>
      </c>
      <c r="C1343" s="1013" t="s">
        <v>4799</v>
      </c>
      <c r="D1343" s="1013" t="s">
        <v>5199</v>
      </c>
      <c r="E1343" s="1014">
        <v>5209</v>
      </c>
      <c r="F1343" s="1013" t="s">
        <v>598</v>
      </c>
      <c r="G1343" s="1014" t="s">
        <v>12</v>
      </c>
      <c r="H1343" s="1015">
        <v>68072</v>
      </c>
      <c r="I1343" s="1016" t="s">
        <v>4398</v>
      </c>
    </row>
    <row r="1344" spans="2:9" ht="15.75" x14ac:dyDescent="0.25">
      <c r="B1344" s="1365" t="s">
        <v>7169</v>
      </c>
      <c r="C1344" s="1013" t="s">
        <v>4799</v>
      </c>
      <c r="D1344" s="1013" t="s">
        <v>5199</v>
      </c>
      <c r="E1344" s="1014">
        <v>5210</v>
      </c>
      <c r="F1344" s="1013" t="s">
        <v>5518</v>
      </c>
      <c r="G1344" s="1014" t="s">
        <v>12</v>
      </c>
      <c r="H1344" s="1015">
        <v>73440</v>
      </c>
      <c r="I1344" s="1016" t="s">
        <v>6899</v>
      </c>
    </row>
    <row r="1345" spans="2:9" ht="15.75" x14ac:dyDescent="0.25">
      <c r="B1345" s="1365" t="s">
        <v>7169</v>
      </c>
      <c r="C1345" s="1013" t="s">
        <v>4799</v>
      </c>
      <c r="D1345" s="1013" t="s">
        <v>5199</v>
      </c>
      <c r="E1345" s="1014">
        <v>5211</v>
      </c>
      <c r="F1345" s="1013" t="s">
        <v>599</v>
      </c>
      <c r="G1345" s="1014" t="s">
        <v>12</v>
      </c>
      <c r="H1345" s="1015">
        <v>51790</v>
      </c>
      <c r="I1345" s="1016" t="s">
        <v>6899</v>
      </c>
    </row>
    <row r="1346" spans="2:9" ht="15.75" x14ac:dyDescent="0.25">
      <c r="B1346" s="1365" t="s">
        <v>7169</v>
      </c>
      <c r="C1346" s="1013" t="s">
        <v>4472</v>
      </c>
      <c r="D1346" s="1013" t="s">
        <v>4812</v>
      </c>
      <c r="E1346" s="1014">
        <v>5212</v>
      </c>
      <c r="F1346" s="1013" t="s">
        <v>600</v>
      </c>
      <c r="G1346" s="1014" t="s">
        <v>13</v>
      </c>
      <c r="H1346" s="1015">
        <v>24464</v>
      </c>
      <c r="I1346" s="1016" t="s">
        <v>4398</v>
      </c>
    </row>
    <row r="1347" spans="2:9" ht="15.75" x14ac:dyDescent="0.25">
      <c r="B1347" s="1365" t="s">
        <v>7169</v>
      </c>
      <c r="C1347" s="1013" t="s">
        <v>4472</v>
      </c>
      <c r="D1347" s="1013" t="s">
        <v>4812</v>
      </c>
      <c r="E1347" s="1014">
        <v>5214</v>
      </c>
      <c r="F1347" s="1013" t="s">
        <v>5519</v>
      </c>
      <c r="G1347" s="1014" t="s">
        <v>12</v>
      </c>
      <c r="H1347" s="1015">
        <v>304722</v>
      </c>
      <c r="I1347" s="1016" t="s">
        <v>6899</v>
      </c>
    </row>
    <row r="1348" spans="2:9" ht="15.75" x14ac:dyDescent="0.25">
      <c r="B1348" s="1365" t="s">
        <v>7169</v>
      </c>
      <c r="C1348" s="1013" t="s">
        <v>4468</v>
      </c>
      <c r="D1348" s="1013" t="s">
        <v>4814</v>
      </c>
      <c r="E1348" s="1014">
        <v>5216</v>
      </c>
      <c r="F1348" s="1013" t="s">
        <v>5520</v>
      </c>
      <c r="G1348" s="1014" t="s">
        <v>12</v>
      </c>
      <c r="H1348" s="1015">
        <v>22566</v>
      </c>
      <c r="I1348" s="1016" t="s">
        <v>4398</v>
      </c>
    </row>
    <row r="1349" spans="2:9" ht="15.75" x14ac:dyDescent="0.25">
      <c r="B1349" s="1365" t="s">
        <v>7169</v>
      </c>
      <c r="C1349" s="1013" t="s">
        <v>4454</v>
      </c>
      <c r="D1349" s="1013" t="s">
        <v>4455</v>
      </c>
      <c r="E1349" s="1014">
        <v>5217</v>
      </c>
      <c r="F1349" s="1013" t="s">
        <v>5521</v>
      </c>
      <c r="G1349" s="1014" t="s">
        <v>13</v>
      </c>
      <c r="H1349" s="1015">
        <v>3508</v>
      </c>
      <c r="I1349" s="1016" t="s">
        <v>4398</v>
      </c>
    </row>
    <row r="1350" spans="2:9" ht="15.75" x14ac:dyDescent="0.25">
      <c r="B1350" s="1365" t="s">
        <v>7169</v>
      </c>
      <c r="C1350" s="1013" t="s">
        <v>4454</v>
      </c>
      <c r="D1350" s="1013" t="s">
        <v>4455</v>
      </c>
      <c r="E1350" s="1014">
        <v>5218</v>
      </c>
      <c r="F1350" s="1013" t="s">
        <v>5522</v>
      </c>
      <c r="G1350" s="1014" t="s">
        <v>13</v>
      </c>
      <c r="H1350" s="1015">
        <v>3895</v>
      </c>
      <c r="I1350" s="1016" t="s">
        <v>4398</v>
      </c>
    </row>
    <row r="1351" spans="2:9" ht="15.75" x14ac:dyDescent="0.25">
      <c r="B1351" s="1365" t="s">
        <v>7169</v>
      </c>
      <c r="C1351" s="1013" t="s">
        <v>4454</v>
      </c>
      <c r="D1351" s="1013" t="s">
        <v>4455</v>
      </c>
      <c r="E1351" s="1014">
        <v>5220</v>
      </c>
      <c r="F1351" s="1013" t="s">
        <v>5523</v>
      </c>
      <c r="G1351" s="1014" t="s">
        <v>13</v>
      </c>
      <c r="H1351" s="1015">
        <v>13171</v>
      </c>
      <c r="I1351" s="1016" t="s">
        <v>4398</v>
      </c>
    </row>
    <row r="1352" spans="2:9" ht="15.75" x14ac:dyDescent="0.25">
      <c r="B1352" s="1365" t="s">
        <v>7169</v>
      </c>
      <c r="C1352" s="1013" t="s">
        <v>4454</v>
      </c>
      <c r="D1352" s="1013" t="s">
        <v>4455</v>
      </c>
      <c r="E1352" s="1014">
        <v>5221</v>
      </c>
      <c r="F1352" s="1013" t="s">
        <v>5524</v>
      </c>
      <c r="G1352" s="1014" t="s">
        <v>13</v>
      </c>
      <c r="H1352" s="1015">
        <v>15005</v>
      </c>
      <c r="I1352" s="1016" t="s">
        <v>4398</v>
      </c>
    </row>
    <row r="1353" spans="2:9" ht="15.75" x14ac:dyDescent="0.25">
      <c r="B1353" s="1365" t="s">
        <v>7169</v>
      </c>
      <c r="C1353" s="1013" t="s">
        <v>4454</v>
      </c>
      <c r="D1353" s="1013" t="s">
        <v>4455</v>
      </c>
      <c r="E1353" s="1014">
        <v>5225</v>
      </c>
      <c r="F1353" s="1013" t="s">
        <v>5525</v>
      </c>
      <c r="G1353" s="1014" t="s">
        <v>13</v>
      </c>
      <c r="H1353" s="1015">
        <v>4273</v>
      </c>
      <c r="I1353" s="1016" t="s">
        <v>4398</v>
      </c>
    </row>
    <row r="1354" spans="2:9" ht="15.75" x14ac:dyDescent="0.25">
      <c r="B1354" s="1365" t="s">
        <v>7169</v>
      </c>
      <c r="C1354" s="1013" t="s">
        <v>4454</v>
      </c>
      <c r="D1354" s="1013" t="s">
        <v>4455</v>
      </c>
      <c r="E1354" s="1014">
        <v>5226</v>
      </c>
      <c r="F1354" s="1013" t="s">
        <v>5526</v>
      </c>
      <c r="G1354" s="1014" t="s">
        <v>13</v>
      </c>
      <c r="H1354" s="1015">
        <v>5773</v>
      </c>
      <c r="I1354" s="1016" t="s">
        <v>4398</v>
      </c>
    </row>
    <row r="1355" spans="2:9" ht="15.75" x14ac:dyDescent="0.25">
      <c r="B1355" s="1365" t="s">
        <v>7169</v>
      </c>
      <c r="C1355" s="1013" t="s">
        <v>4454</v>
      </c>
      <c r="D1355" s="1013" t="s">
        <v>4455</v>
      </c>
      <c r="E1355" s="1014">
        <v>5227</v>
      </c>
      <c r="F1355" s="1013" t="s">
        <v>601</v>
      </c>
      <c r="G1355" s="1014" t="s">
        <v>12</v>
      </c>
      <c r="H1355" s="1015">
        <v>26103</v>
      </c>
      <c r="I1355" s="1016" t="s">
        <v>3538</v>
      </c>
    </row>
    <row r="1356" spans="2:9" ht="15.75" x14ac:dyDescent="0.25">
      <c r="B1356" s="1365" t="s">
        <v>7169</v>
      </c>
      <c r="C1356" s="1013" t="s">
        <v>4454</v>
      </c>
      <c r="D1356" s="1013" t="s">
        <v>4455</v>
      </c>
      <c r="E1356" s="1014">
        <v>5228</v>
      </c>
      <c r="F1356" s="1013" t="s">
        <v>5527</v>
      </c>
      <c r="G1356" s="1014" t="s">
        <v>13</v>
      </c>
      <c r="H1356" s="1015">
        <v>9125</v>
      </c>
      <c r="I1356" s="1016" t="s">
        <v>3538</v>
      </c>
    </row>
    <row r="1357" spans="2:9" ht="15.75" x14ac:dyDescent="0.25">
      <c r="B1357" s="1365" t="s">
        <v>7169</v>
      </c>
      <c r="C1357" s="1013" t="s">
        <v>4454</v>
      </c>
      <c r="D1357" s="1013" t="s">
        <v>4455</v>
      </c>
      <c r="E1357" s="1014">
        <v>5229</v>
      </c>
      <c r="F1357" s="1013" t="s">
        <v>5528</v>
      </c>
      <c r="G1357" s="1014" t="s">
        <v>13</v>
      </c>
      <c r="H1357" s="1015">
        <v>11407</v>
      </c>
      <c r="I1357" s="1016" t="s">
        <v>3538</v>
      </c>
    </row>
    <row r="1358" spans="2:9" ht="15.75" x14ac:dyDescent="0.25">
      <c r="B1358" s="1365" t="s">
        <v>7169</v>
      </c>
      <c r="C1358" s="1013" t="s">
        <v>4454</v>
      </c>
      <c r="D1358" s="1013" t="s">
        <v>4455</v>
      </c>
      <c r="E1358" s="1014">
        <v>5230</v>
      </c>
      <c r="F1358" s="1013" t="s">
        <v>5529</v>
      </c>
      <c r="G1358" s="1014" t="s">
        <v>13</v>
      </c>
      <c r="H1358" s="1015">
        <v>15239</v>
      </c>
      <c r="I1358" s="1016" t="s">
        <v>3538</v>
      </c>
    </row>
    <row r="1359" spans="2:9" ht="15.75" x14ac:dyDescent="0.25">
      <c r="B1359" s="1365" t="s">
        <v>7169</v>
      </c>
      <c r="C1359" s="1013" t="s">
        <v>4454</v>
      </c>
      <c r="D1359" s="1013" t="s">
        <v>4455</v>
      </c>
      <c r="E1359" s="1014">
        <v>5241</v>
      </c>
      <c r="F1359" s="1013" t="s">
        <v>5530</v>
      </c>
      <c r="G1359" s="1014" t="s">
        <v>266</v>
      </c>
      <c r="H1359" s="1015">
        <v>16025</v>
      </c>
      <c r="I1359" s="1016" t="s">
        <v>6899</v>
      </c>
    </row>
    <row r="1360" spans="2:9" ht="15.75" x14ac:dyDescent="0.25">
      <c r="B1360" s="1365" t="s">
        <v>7169</v>
      </c>
      <c r="C1360" s="1013" t="s">
        <v>4454</v>
      </c>
      <c r="D1360" s="1013" t="s">
        <v>4455</v>
      </c>
      <c r="E1360" s="1014">
        <v>5242</v>
      </c>
      <c r="F1360" s="1013" t="s">
        <v>5531</v>
      </c>
      <c r="G1360" s="1014" t="s">
        <v>266</v>
      </c>
      <c r="H1360" s="1015">
        <v>241138</v>
      </c>
      <c r="I1360" s="1016" t="s">
        <v>6899</v>
      </c>
    </row>
    <row r="1361" spans="2:9" ht="15.75" x14ac:dyDescent="0.25">
      <c r="B1361" s="1365" t="s">
        <v>7169</v>
      </c>
      <c r="C1361" s="1013" t="s">
        <v>4396</v>
      </c>
      <c r="D1361" s="1013" t="s">
        <v>5392</v>
      </c>
      <c r="E1361" s="1014">
        <v>5244</v>
      </c>
      <c r="F1361" s="1013" t="s">
        <v>602</v>
      </c>
      <c r="G1361" s="1014" t="s">
        <v>12</v>
      </c>
      <c r="H1361" s="1015">
        <v>66615</v>
      </c>
      <c r="I1361" s="1016" t="s">
        <v>6899</v>
      </c>
    </row>
    <row r="1362" spans="2:9" ht="15.75" x14ac:dyDescent="0.25">
      <c r="B1362" s="1365" t="s">
        <v>7169</v>
      </c>
      <c r="C1362" s="1013" t="s">
        <v>4420</v>
      </c>
      <c r="D1362" s="1013" t="s">
        <v>4420</v>
      </c>
      <c r="E1362" s="1014">
        <v>5245</v>
      </c>
      <c r="F1362" s="1013" t="s">
        <v>5532</v>
      </c>
      <c r="G1362" s="1014" t="s">
        <v>266</v>
      </c>
      <c r="H1362" s="1015">
        <v>613780</v>
      </c>
      <c r="I1362" s="1016" t="s">
        <v>4398</v>
      </c>
    </row>
    <row r="1363" spans="2:9" ht="15.75" x14ac:dyDescent="0.25">
      <c r="B1363" s="1365" t="s">
        <v>7169</v>
      </c>
      <c r="C1363" s="1013" t="s">
        <v>4420</v>
      </c>
      <c r="D1363" s="1013" t="s">
        <v>4420</v>
      </c>
      <c r="E1363" s="1014">
        <v>5246</v>
      </c>
      <c r="F1363" s="1013" t="s">
        <v>5533</v>
      </c>
      <c r="G1363" s="1014" t="s">
        <v>266</v>
      </c>
      <c r="H1363" s="1015">
        <v>2534872</v>
      </c>
      <c r="I1363" s="1016" t="s">
        <v>4398</v>
      </c>
    </row>
    <row r="1364" spans="2:9" ht="15.75" x14ac:dyDescent="0.25">
      <c r="B1364" s="1365" t="s">
        <v>7169</v>
      </c>
      <c r="C1364" s="1013" t="s">
        <v>4420</v>
      </c>
      <c r="D1364" s="1013" t="s">
        <v>4420</v>
      </c>
      <c r="E1364" s="1014">
        <v>5247</v>
      </c>
      <c r="F1364" s="1013" t="s">
        <v>5534</v>
      </c>
      <c r="G1364" s="1014" t="s">
        <v>266</v>
      </c>
      <c r="H1364" s="1015">
        <v>643609</v>
      </c>
      <c r="I1364" s="1016" t="s">
        <v>4398</v>
      </c>
    </row>
    <row r="1365" spans="2:9" ht="15.75" x14ac:dyDescent="0.25">
      <c r="B1365" s="1365" t="s">
        <v>7169</v>
      </c>
      <c r="C1365" s="1013" t="s">
        <v>4461</v>
      </c>
      <c r="D1365" s="1013" t="s">
        <v>4461</v>
      </c>
      <c r="E1365" s="1014">
        <v>5248</v>
      </c>
      <c r="F1365" s="1013" t="s">
        <v>5535</v>
      </c>
      <c r="G1365" s="1014" t="s">
        <v>13</v>
      </c>
      <c r="H1365" s="1015">
        <v>5102</v>
      </c>
      <c r="I1365" s="1016" t="s">
        <v>4398</v>
      </c>
    </row>
    <row r="1366" spans="2:9" ht="15.75" x14ac:dyDescent="0.25">
      <c r="B1366" s="1365" t="s">
        <v>7169</v>
      </c>
      <c r="C1366" s="1013" t="s">
        <v>4405</v>
      </c>
      <c r="D1366" s="1013" t="s">
        <v>4579</v>
      </c>
      <c r="E1366" s="1014">
        <v>5249</v>
      </c>
      <c r="F1366" s="1013" t="s">
        <v>5536</v>
      </c>
      <c r="G1366" s="1014" t="s">
        <v>13</v>
      </c>
      <c r="H1366" s="1015">
        <v>61512</v>
      </c>
      <c r="I1366" s="1016" t="s">
        <v>4398</v>
      </c>
    </row>
    <row r="1367" spans="2:9" ht="15.75" x14ac:dyDescent="0.25">
      <c r="B1367" s="1365" t="s">
        <v>7169</v>
      </c>
      <c r="C1367" s="1013" t="s">
        <v>4461</v>
      </c>
      <c r="D1367" s="1013" t="s">
        <v>4461</v>
      </c>
      <c r="E1367" s="1014">
        <v>5250</v>
      </c>
      <c r="F1367" s="1013" t="s">
        <v>5537</v>
      </c>
      <c r="G1367" s="1014" t="s">
        <v>13</v>
      </c>
      <c r="H1367" s="1015">
        <v>204849</v>
      </c>
      <c r="I1367" s="1016" t="s">
        <v>6899</v>
      </c>
    </row>
    <row r="1368" spans="2:9" ht="15.75" x14ac:dyDescent="0.25">
      <c r="B1368" s="1365" t="s">
        <v>7169</v>
      </c>
      <c r="C1368" s="1013" t="s">
        <v>4461</v>
      </c>
      <c r="D1368" s="1013" t="s">
        <v>4461</v>
      </c>
      <c r="E1368" s="1014">
        <v>5251</v>
      </c>
      <c r="F1368" s="1013" t="s">
        <v>5538</v>
      </c>
      <c r="G1368" s="1014" t="s">
        <v>13</v>
      </c>
      <c r="H1368" s="1015">
        <v>305979</v>
      </c>
      <c r="I1368" s="1016" t="s">
        <v>6899</v>
      </c>
    </row>
    <row r="1369" spans="2:9" ht="15.75" x14ac:dyDescent="0.25">
      <c r="B1369" s="1365" t="s">
        <v>7169</v>
      </c>
      <c r="C1369" s="1013" t="s">
        <v>4405</v>
      </c>
      <c r="D1369" s="1013" t="s">
        <v>4406</v>
      </c>
      <c r="E1369" s="1014">
        <v>5252</v>
      </c>
      <c r="F1369" s="1013" t="s">
        <v>5539</v>
      </c>
      <c r="G1369" s="1014" t="s">
        <v>266</v>
      </c>
      <c r="H1369" s="1015">
        <v>3554556</v>
      </c>
      <c r="I1369" s="1016" t="s">
        <v>6899</v>
      </c>
    </row>
    <row r="1370" spans="2:9" ht="15.75" x14ac:dyDescent="0.25">
      <c r="B1370" s="1365" t="s">
        <v>7169</v>
      </c>
      <c r="C1370" s="1013" t="s">
        <v>4405</v>
      </c>
      <c r="D1370" s="1013" t="s">
        <v>4406</v>
      </c>
      <c r="E1370" s="1014">
        <v>5253</v>
      </c>
      <c r="F1370" s="1013" t="s">
        <v>603</v>
      </c>
      <c r="G1370" s="1014" t="s">
        <v>266</v>
      </c>
      <c r="H1370" s="1015">
        <v>14861461</v>
      </c>
      <c r="I1370" s="1016" t="s">
        <v>6899</v>
      </c>
    </row>
    <row r="1371" spans="2:9" ht="15.75" x14ac:dyDescent="0.25">
      <c r="B1371" s="1365" t="s">
        <v>7169</v>
      </c>
      <c r="C1371" s="1013" t="s">
        <v>4420</v>
      </c>
      <c r="D1371" s="1013" t="s">
        <v>4420</v>
      </c>
      <c r="E1371" s="1014">
        <v>5254</v>
      </c>
      <c r="F1371" s="1013" t="s">
        <v>5540</v>
      </c>
      <c r="G1371" s="1014" t="s">
        <v>13</v>
      </c>
      <c r="H1371" s="1015">
        <v>1983121</v>
      </c>
      <c r="I1371" s="1016" t="s">
        <v>6899</v>
      </c>
    </row>
    <row r="1372" spans="2:9" ht="15.75" x14ac:dyDescent="0.25">
      <c r="B1372" s="1365" t="s">
        <v>7169</v>
      </c>
      <c r="C1372" s="1013" t="s">
        <v>4468</v>
      </c>
      <c r="D1372" s="1013" t="s">
        <v>4469</v>
      </c>
      <c r="E1372" s="1014">
        <v>5271</v>
      </c>
      <c r="F1372" s="1013" t="s">
        <v>5541</v>
      </c>
      <c r="G1372" s="1014" t="s">
        <v>3</v>
      </c>
      <c r="H1372" s="1015">
        <v>681591</v>
      </c>
      <c r="I1372" s="1016" t="s">
        <v>6899</v>
      </c>
    </row>
    <row r="1373" spans="2:9" ht="15.75" x14ac:dyDescent="0.25">
      <c r="B1373" s="1365" t="s">
        <v>7169</v>
      </c>
      <c r="C1373" s="1013" t="s">
        <v>4405</v>
      </c>
      <c r="D1373" s="1013" t="s">
        <v>4579</v>
      </c>
      <c r="E1373" s="1014">
        <v>5272</v>
      </c>
      <c r="F1373" s="1013" t="s">
        <v>5542</v>
      </c>
      <c r="G1373" s="1014" t="s">
        <v>13</v>
      </c>
      <c r="H1373" s="1015">
        <v>110745</v>
      </c>
      <c r="I1373" s="1016" t="s">
        <v>4398</v>
      </c>
    </row>
    <row r="1374" spans="2:9" ht="15.75" x14ac:dyDescent="0.25">
      <c r="B1374" s="1365" t="s">
        <v>7169</v>
      </c>
      <c r="C1374" s="1013" t="s">
        <v>4405</v>
      </c>
      <c r="D1374" s="1013" t="s">
        <v>4579</v>
      </c>
      <c r="E1374" s="1014">
        <v>5273</v>
      </c>
      <c r="F1374" s="1013" t="s">
        <v>5543</v>
      </c>
      <c r="G1374" s="1014" t="s">
        <v>13</v>
      </c>
      <c r="H1374" s="1015">
        <v>166118</v>
      </c>
      <c r="I1374" s="1016" t="s">
        <v>4398</v>
      </c>
    </row>
    <row r="1375" spans="2:9" ht="15.75" x14ac:dyDescent="0.25">
      <c r="B1375" s="1365" t="s">
        <v>7169</v>
      </c>
      <c r="C1375" s="1013" t="s">
        <v>4405</v>
      </c>
      <c r="D1375" s="1013" t="s">
        <v>4579</v>
      </c>
      <c r="E1375" s="1014">
        <v>5274</v>
      </c>
      <c r="F1375" s="1013" t="s">
        <v>5544</v>
      </c>
      <c r="G1375" s="1014" t="s">
        <v>13</v>
      </c>
      <c r="H1375" s="1015">
        <v>276865</v>
      </c>
      <c r="I1375" s="1016" t="s">
        <v>4398</v>
      </c>
    </row>
    <row r="1376" spans="2:9" ht="15.75" x14ac:dyDescent="0.25">
      <c r="B1376" s="1365" t="s">
        <v>7169</v>
      </c>
      <c r="C1376" s="1013" t="s">
        <v>4405</v>
      </c>
      <c r="D1376" s="1013" t="s">
        <v>4579</v>
      </c>
      <c r="E1376" s="1014">
        <v>5275</v>
      </c>
      <c r="F1376" s="1013" t="s">
        <v>5545</v>
      </c>
      <c r="G1376" s="1014" t="s">
        <v>13</v>
      </c>
      <c r="H1376" s="1015">
        <v>553727</v>
      </c>
      <c r="I1376" s="1016" t="s">
        <v>4398</v>
      </c>
    </row>
    <row r="1377" spans="2:9" ht="15.75" x14ac:dyDescent="0.25">
      <c r="B1377" s="1365" t="s">
        <v>7169</v>
      </c>
      <c r="C1377" s="1013" t="s">
        <v>4405</v>
      </c>
      <c r="D1377" s="1013" t="s">
        <v>4579</v>
      </c>
      <c r="E1377" s="1014">
        <v>5276</v>
      </c>
      <c r="F1377" s="1013" t="s">
        <v>5546</v>
      </c>
      <c r="G1377" s="1014" t="s">
        <v>13</v>
      </c>
      <c r="H1377" s="1015">
        <v>609099</v>
      </c>
      <c r="I1377" s="1016" t="s">
        <v>4398</v>
      </c>
    </row>
    <row r="1378" spans="2:9" ht="15.75" x14ac:dyDescent="0.25">
      <c r="B1378" s="1365" t="s">
        <v>7169</v>
      </c>
      <c r="C1378" s="1013" t="s">
        <v>4405</v>
      </c>
      <c r="D1378" s="1013" t="s">
        <v>4579</v>
      </c>
      <c r="E1378" s="1014">
        <v>5277</v>
      </c>
      <c r="F1378" s="1013" t="s">
        <v>5547</v>
      </c>
      <c r="G1378" s="1014" t="s">
        <v>13</v>
      </c>
      <c r="H1378" s="1015">
        <v>509050</v>
      </c>
      <c r="I1378" s="1016" t="s">
        <v>4398</v>
      </c>
    </row>
    <row r="1379" spans="2:9" ht="15.75" x14ac:dyDescent="0.25">
      <c r="B1379" s="1365" t="s">
        <v>7169</v>
      </c>
      <c r="C1379" s="1013" t="s">
        <v>4405</v>
      </c>
      <c r="D1379" s="1013" t="s">
        <v>4579</v>
      </c>
      <c r="E1379" s="1014">
        <v>5278</v>
      </c>
      <c r="F1379" s="1013" t="s">
        <v>5548</v>
      </c>
      <c r="G1379" s="1014" t="s">
        <v>13</v>
      </c>
      <c r="H1379" s="1015">
        <v>712965</v>
      </c>
      <c r="I1379" s="1016" t="s">
        <v>4398</v>
      </c>
    </row>
    <row r="1380" spans="2:9" ht="15.75" x14ac:dyDescent="0.25">
      <c r="B1380" s="1365" t="s">
        <v>7169</v>
      </c>
      <c r="C1380" s="1013" t="s">
        <v>4405</v>
      </c>
      <c r="D1380" s="1013" t="s">
        <v>4579</v>
      </c>
      <c r="E1380" s="1014">
        <v>5279</v>
      </c>
      <c r="F1380" s="1013" t="s">
        <v>5549</v>
      </c>
      <c r="G1380" s="1014" t="s">
        <v>13</v>
      </c>
      <c r="H1380" s="1015">
        <v>127264</v>
      </c>
      <c r="I1380" s="1016" t="s">
        <v>4398</v>
      </c>
    </row>
    <row r="1381" spans="2:9" ht="15.75" x14ac:dyDescent="0.25">
      <c r="B1381" s="1365" t="s">
        <v>7169</v>
      </c>
      <c r="C1381" s="1013" t="s">
        <v>4431</v>
      </c>
      <c r="D1381" s="1013" t="s">
        <v>4432</v>
      </c>
      <c r="E1381" s="1014">
        <v>5280</v>
      </c>
      <c r="F1381" s="1013" t="s">
        <v>604</v>
      </c>
      <c r="G1381" s="1014" t="s">
        <v>13</v>
      </c>
      <c r="H1381" s="1015">
        <v>278418</v>
      </c>
      <c r="I1381" s="1016" t="s">
        <v>6899</v>
      </c>
    </row>
    <row r="1382" spans="2:9" ht="15.75" x14ac:dyDescent="0.25">
      <c r="B1382" s="1365" t="s">
        <v>7169</v>
      </c>
      <c r="C1382" s="1013" t="s">
        <v>4410</v>
      </c>
      <c r="D1382" s="1013" t="s">
        <v>4642</v>
      </c>
      <c r="E1382" s="1014">
        <v>5286</v>
      </c>
      <c r="F1382" s="1013" t="s">
        <v>5550</v>
      </c>
      <c r="G1382" s="1014" t="s">
        <v>12</v>
      </c>
      <c r="H1382" s="1015">
        <v>14341</v>
      </c>
      <c r="I1382" s="1016" t="s">
        <v>6899</v>
      </c>
    </row>
    <row r="1383" spans="2:9" ht="15.75" x14ac:dyDescent="0.25">
      <c r="B1383" s="1365" t="s">
        <v>7169</v>
      </c>
      <c r="C1383" s="1013" t="s">
        <v>4468</v>
      </c>
      <c r="D1383" s="1013" t="s">
        <v>4469</v>
      </c>
      <c r="E1383" s="1014">
        <v>5312</v>
      </c>
      <c r="F1383" s="1013" t="s">
        <v>5551</v>
      </c>
      <c r="G1383" s="1014" t="s">
        <v>3</v>
      </c>
      <c r="H1383" s="1015">
        <v>722765</v>
      </c>
      <c r="I1383" s="1016" t="s">
        <v>6899</v>
      </c>
    </row>
    <row r="1384" spans="2:9" ht="15.75" x14ac:dyDescent="0.25">
      <c r="B1384" s="1365" t="s">
        <v>7169</v>
      </c>
      <c r="C1384" s="1013" t="s">
        <v>4468</v>
      </c>
      <c r="D1384" s="1013" t="s">
        <v>4469</v>
      </c>
      <c r="E1384" s="1014">
        <v>5313</v>
      </c>
      <c r="F1384" s="1013" t="s">
        <v>5552</v>
      </c>
      <c r="G1384" s="1014" t="s">
        <v>3</v>
      </c>
      <c r="H1384" s="1015">
        <v>704974</v>
      </c>
      <c r="I1384" s="1016" t="s">
        <v>6899</v>
      </c>
    </row>
    <row r="1385" spans="2:9" ht="15.75" x14ac:dyDescent="0.25">
      <c r="B1385" s="1365" t="s">
        <v>7169</v>
      </c>
      <c r="C1385" s="1013" t="s">
        <v>4417</v>
      </c>
      <c r="D1385" s="1013" t="s">
        <v>4418</v>
      </c>
      <c r="E1385" s="1014">
        <v>5314</v>
      </c>
      <c r="F1385" s="1013" t="s">
        <v>5553</v>
      </c>
      <c r="G1385" s="1014" t="s">
        <v>13</v>
      </c>
      <c r="H1385" s="1015">
        <v>675860</v>
      </c>
      <c r="I1385" s="1016" t="s">
        <v>6899</v>
      </c>
    </row>
    <row r="1386" spans="2:9" ht="15.75" x14ac:dyDescent="0.25">
      <c r="B1386" s="1365" t="s">
        <v>7169</v>
      </c>
      <c r="C1386" s="1013" t="s">
        <v>4468</v>
      </c>
      <c r="D1386" s="1013" t="s">
        <v>4469</v>
      </c>
      <c r="E1386" s="1014">
        <v>5315</v>
      </c>
      <c r="F1386" s="1013" t="s">
        <v>5554</v>
      </c>
      <c r="G1386" s="1014" t="s">
        <v>3</v>
      </c>
      <c r="H1386" s="1015">
        <v>1009736</v>
      </c>
      <c r="I1386" s="1016" t="s">
        <v>6899</v>
      </c>
    </row>
    <row r="1387" spans="2:9" ht="15.75" x14ac:dyDescent="0.25">
      <c r="B1387" s="1365" t="s">
        <v>7169</v>
      </c>
      <c r="C1387" s="1013" t="s">
        <v>4405</v>
      </c>
      <c r="D1387" s="1013" t="s">
        <v>4579</v>
      </c>
      <c r="E1387" s="1014">
        <v>5316</v>
      </c>
      <c r="F1387" s="1013" t="s">
        <v>5555</v>
      </c>
      <c r="G1387" s="1014" t="s">
        <v>266</v>
      </c>
      <c r="H1387" s="1015">
        <v>1477248</v>
      </c>
      <c r="I1387" s="1016" t="s">
        <v>6899</v>
      </c>
    </row>
    <row r="1388" spans="2:9" ht="15.75" x14ac:dyDescent="0.25">
      <c r="B1388" s="1365" t="s">
        <v>7169</v>
      </c>
      <c r="C1388" s="1013" t="s">
        <v>4468</v>
      </c>
      <c r="D1388" s="1013" t="s">
        <v>4469</v>
      </c>
      <c r="E1388" s="1014">
        <v>5317</v>
      </c>
      <c r="F1388" s="1013" t="s">
        <v>5556</v>
      </c>
      <c r="G1388" s="1014" t="s">
        <v>3</v>
      </c>
      <c r="H1388" s="1015">
        <v>1007971</v>
      </c>
      <c r="I1388" s="1016" t="s">
        <v>6899</v>
      </c>
    </row>
    <row r="1389" spans="2:9" ht="15.75" x14ac:dyDescent="0.25">
      <c r="B1389" s="1365" t="s">
        <v>7169</v>
      </c>
      <c r="C1389" s="1013" t="s">
        <v>4420</v>
      </c>
      <c r="D1389" s="1013" t="s">
        <v>4420</v>
      </c>
      <c r="E1389" s="1014">
        <v>5318</v>
      </c>
      <c r="F1389" s="1013" t="s">
        <v>7205</v>
      </c>
      <c r="G1389" s="1014" t="s">
        <v>266</v>
      </c>
      <c r="H1389" s="1015">
        <v>97208184</v>
      </c>
      <c r="I1389" s="1016" t="s">
        <v>6899</v>
      </c>
    </row>
    <row r="1390" spans="2:9" ht="15.75" x14ac:dyDescent="0.25">
      <c r="B1390" s="1365" t="s">
        <v>7169</v>
      </c>
      <c r="C1390" s="1013" t="s">
        <v>4420</v>
      </c>
      <c r="D1390" s="1013" t="s">
        <v>4420</v>
      </c>
      <c r="E1390" s="1014">
        <v>5319</v>
      </c>
      <c r="F1390" s="1013" t="s">
        <v>7206</v>
      </c>
      <c r="G1390" s="1014" t="s">
        <v>266</v>
      </c>
      <c r="H1390" s="1015">
        <v>103529478</v>
      </c>
      <c r="I1390" s="1016" t="s">
        <v>6899</v>
      </c>
    </row>
    <row r="1391" spans="2:9" ht="15.75" x14ac:dyDescent="0.25">
      <c r="B1391" s="1365" t="s">
        <v>7169</v>
      </c>
      <c r="C1391" s="1013" t="s">
        <v>4461</v>
      </c>
      <c r="D1391" s="1013" t="s">
        <v>4461</v>
      </c>
      <c r="E1391" s="1014">
        <v>5320</v>
      </c>
      <c r="F1391" s="1013" t="s">
        <v>5557</v>
      </c>
      <c r="G1391" s="1014" t="s">
        <v>13</v>
      </c>
      <c r="H1391" s="1015">
        <v>539180</v>
      </c>
      <c r="I1391" s="1016" t="s">
        <v>6899</v>
      </c>
    </row>
    <row r="1392" spans="2:9" ht="15.75" x14ac:dyDescent="0.25">
      <c r="B1392" s="1365" t="s">
        <v>7169</v>
      </c>
      <c r="C1392" s="1013" t="s">
        <v>4461</v>
      </c>
      <c r="D1392" s="1013" t="s">
        <v>4461</v>
      </c>
      <c r="E1392" s="1014">
        <v>5321</v>
      </c>
      <c r="F1392" s="1013" t="s">
        <v>5558</v>
      </c>
      <c r="G1392" s="1014" t="s">
        <v>13</v>
      </c>
      <c r="H1392" s="1015">
        <v>645740</v>
      </c>
      <c r="I1392" s="1016" t="s">
        <v>6899</v>
      </c>
    </row>
    <row r="1393" spans="2:9" ht="15.75" x14ac:dyDescent="0.25">
      <c r="B1393" s="1365" t="s">
        <v>7169</v>
      </c>
      <c r="C1393" s="1013" t="s">
        <v>4461</v>
      </c>
      <c r="D1393" s="1013" t="s">
        <v>4461</v>
      </c>
      <c r="E1393" s="1014">
        <v>5322</v>
      </c>
      <c r="F1393" s="1013" t="s">
        <v>5559</v>
      </c>
      <c r="G1393" s="1014" t="s">
        <v>13</v>
      </c>
      <c r="H1393" s="1015">
        <v>788448</v>
      </c>
      <c r="I1393" s="1016" t="s">
        <v>6899</v>
      </c>
    </row>
    <row r="1394" spans="2:9" ht="15.75" x14ac:dyDescent="0.25">
      <c r="B1394" s="1365" t="s">
        <v>7169</v>
      </c>
      <c r="C1394" s="1013" t="s">
        <v>4461</v>
      </c>
      <c r="D1394" s="1013" t="s">
        <v>4461</v>
      </c>
      <c r="E1394" s="1014">
        <v>5324</v>
      </c>
      <c r="F1394" s="1013" t="s">
        <v>5560</v>
      </c>
      <c r="G1394" s="1014" t="s">
        <v>13</v>
      </c>
      <c r="H1394" s="1015">
        <v>1063547</v>
      </c>
      <c r="I1394" s="1016" t="s">
        <v>6899</v>
      </c>
    </row>
    <row r="1395" spans="2:9" ht="15.75" x14ac:dyDescent="0.25">
      <c r="B1395" s="1365" t="s">
        <v>7169</v>
      </c>
      <c r="C1395" s="1013" t="s">
        <v>4461</v>
      </c>
      <c r="D1395" s="1013" t="s">
        <v>4461</v>
      </c>
      <c r="E1395" s="1014">
        <v>5325</v>
      </c>
      <c r="F1395" s="1013" t="s">
        <v>5561</v>
      </c>
      <c r="G1395" s="1014" t="s">
        <v>13</v>
      </c>
      <c r="H1395" s="1015">
        <v>1273853</v>
      </c>
      <c r="I1395" s="1016" t="s">
        <v>6899</v>
      </c>
    </row>
    <row r="1396" spans="2:9" ht="15.75" x14ac:dyDescent="0.25">
      <c r="B1396" s="1365" t="s">
        <v>7169</v>
      </c>
      <c r="C1396" s="1013" t="s">
        <v>4461</v>
      </c>
      <c r="D1396" s="1013" t="s">
        <v>4461</v>
      </c>
      <c r="E1396" s="1014">
        <v>5326</v>
      </c>
      <c r="F1396" s="1013" t="s">
        <v>5562</v>
      </c>
      <c r="G1396" s="1014" t="s">
        <v>13</v>
      </c>
      <c r="H1396" s="1015">
        <v>7203482</v>
      </c>
      <c r="I1396" s="1016" t="s">
        <v>6899</v>
      </c>
    </row>
    <row r="1397" spans="2:9" ht="15.75" x14ac:dyDescent="0.25">
      <c r="B1397" s="1365" t="s">
        <v>7169</v>
      </c>
      <c r="C1397" s="1013" t="s">
        <v>4461</v>
      </c>
      <c r="D1397" s="1013" t="s">
        <v>4461</v>
      </c>
      <c r="E1397" s="1014">
        <v>5327</v>
      </c>
      <c r="F1397" s="1013" t="s">
        <v>5563</v>
      </c>
      <c r="G1397" s="1014" t="s">
        <v>13</v>
      </c>
      <c r="H1397" s="1015">
        <v>7736461</v>
      </c>
      <c r="I1397" s="1016" t="s">
        <v>6899</v>
      </c>
    </row>
    <row r="1398" spans="2:9" ht="15.75" x14ac:dyDescent="0.25">
      <c r="B1398" s="1365" t="s">
        <v>7169</v>
      </c>
      <c r="C1398" s="1013" t="s">
        <v>4420</v>
      </c>
      <c r="D1398" s="1013" t="s">
        <v>4420</v>
      </c>
      <c r="E1398" s="1014">
        <v>5328</v>
      </c>
      <c r="F1398" s="1013" t="s">
        <v>7207</v>
      </c>
      <c r="G1398" s="1014" t="s">
        <v>266</v>
      </c>
      <c r="H1398" s="1015">
        <v>27598926</v>
      </c>
      <c r="I1398" s="1016" t="s">
        <v>6899</v>
      </c>
    </row>
    <row r="1399" spans="2:9" ht="15.75" x14ac:dyDescent="0.25">
      <c r="B1399" s="1365" t="s">
        <v>7169</v>
      </c>
      <c r="C1399" s="1013" t="s">
        <v>4420</v>
      </c>
      <c r="D1399" s="1013" t="s">
        <v>4420</v>
      </c>
      <c r="E1399" s="1014">
        <v>5329</v>
      </c>
      <c r="F1399" s="1013" t="s">
        <v>7208</v>
      </c>
      <c r="G1399" s="1014" t="s">
        <v>266</v>
      </c>
      <c r="H1399" s="1015">
        <v>27598926</v>
      </c>
      <c r="I1399" s="1016" t="s">
        <v>6899</v>
      </c>
    </row>
    <row r="1400" spans="2:9" ht="15.75" x14ac:dyDescent="0.25">
      <c r="B1400" s="1365" t="s">
        <v>7169</v>
      </c>
      <c r="C1400" s="1013" t="s">
        <v>4420</v>
      </c>
      <c r="D1400" s="1013" t="s">
        <v>4420</v>
      </c>
      <c r="E1400" s="1014">
        <v>5330</v>
      </c>
      <c r="F1400" s="1013" t="s">
        <v>7209</v>
      </c>
      <c r="G1400" s="1014" t="s">
        <v>266</v>
      </c>
      <c r="H1400" s="1015">
        <v>29391902</v>
      </c>
      <c r="I1400" s="1016" t="s">
        <v>6899</v>
      </c>
    </row>
    <row r="1401" spans="2:9" ht="15.75" x14ac:dyDescent="0.25">
      <c r="B1401" s="1365" t="s">
        <v>7169</v>
      </c>
      <c r="C1401" s="1013" t="s">
        <v>4420</v>
      </c>
      <c r="D1401" s="1013" t="s">
        <v>4420</v>
      </c>
      <c r="E1401" s="1014">
        <v>5331</v>
      </c>
      <c r="F1401" s="1013" t="s">
        <v>7210</v>
      </c>
      <c r="G1401" s="1014" t="s">
        <v>266</v>
      </c>
      <c r="H1401" s="1015">
        <v>32199942</v>
      </c>
      <c r="I1401" s="1016" t="s">
        <v>6899</v>
      </c>
    </row>
    <row r="1402" spans="2:9" ht="15.75" x14ac:dyDescent="0.25">
      <c r="B1402" s="1365" t="s">
        <v>7169</v>
      </c>
      <c r="C1402" s="1013" t="s">
        <v>4420</v>
      </c>
      <c r="D1402" s="1013" t="s">
        <v>4420</v>
      </c>
      <c r="E1402" s="1014">
        <v>5332</v>
      </c>
      <c r="F1402" s="1013" t="s">
        <v>7211</v>
      </c>
      <c r="G1402" s="1014" t="s">
        <v>266</v>
      </c>
      <c r="H1402" s="1015">
        <v>39047534</v>
      </c>
      <c r="I1402" s="1016" t="s">
        <v>6899</v>
      </c>
    </row>
    <row r="1403" spans="2:9" ht="15.75" x14ac:dyDescent="0.25">
      <c r="B1403" s="1365" t="s">
        <v>7169</v>
      </c>
      <c r="C1403" s="1013" t="s">
        <v>4420</v>
      </c>
      <c r="D1403" s="1013" t="s">
        <v>4420</v>
      </c>
      <c r="E1403" s="1014">
        <v>5333</v>
      </c>
      <c r="F1403" s="1013" t="s">
        <v>7212</v>
      </c>
      <c r="G1403" s="1014" t="s">
        <v>266</v>
      </c>
      <c r="H1403" s="1015">
        <v>47156052</v>
      </c>
      <c r="I1403" s="1016" t="s">
        <v>6899</v>
      </c>
    </row>
    <row r="1404" spans="2:9" ht="15.75" x14ac:dyDescent="0.25">
      <c r="B1404" s="1365" t="s">
        <v>7169</v>
      </c>
      <c r="C1404" s="1013" t="s">
        <v>4420</v>
      </c>
      <c r="D1404" s="1013" t="s">
        <v>4420</v>
      </c>
      <c r="E1404" s="1014">
        <v>5334</v>
      </c>
      <c r="F1404" s="1013" t="s">
        <v>7213</v>
      </c>
      <c r="G1404" s="1014" t="s">
        <v>266</v>
      </c>
      <c r="H1404" s="1015">
        <v>55923457</v>
      </c>
      <c r="I1404" s="1016" t="s">
        <v>6899</v>
      </c>
    </row>
    <row r="1405" spans="2:9" ht="15.75" x14ac:dyDescent="0.25">
      <c r="B1405" s="1365" t="s">
        <v>7169</v>
      </c>
      <c r="C1405" s="1013" t="s">
        <v>4420</v>
      </c>
      <c r="D1405" s="1013" t="s">
        <v>4420</v>
      </c>
      <c r="E1405" s="1014">
        <v>5335</v>
      </c>
      <c r="F1405" s="1013" t="s">
        <v>7214</v>
      </c>
      <c r="G1405" s="1014" t="s">
        <v>266</v>
      </c>
      <c r="H1405" s="1015">
        <v>62117067</v>
      </c>
      <c r="I1405" s="1016" t="s">
        <v>6899</v>
      </c>
    </row>
    <row r="1406" spans="2:9" ht="15.75" x14ac:dyDescent="0.25">
      <c r="B1406" s="1365" t="s">
        <v>7169</v>
      </c>
      <c r="C1406" s="1013" t="s">
        <v>4420</v>
      </c>
      <c r="D1406" s="1013" t="s">
        <v>4420</v>
      </c>
      <c r="E1406" s="1014">
        <v>5336</v>
      </c>
      <c r="F1406" s="1013" t="s">
        <v>7215</v>
      </c>
      <c r="G1406" s="1014" t="s">
        <v>266</v>
      </c>
      <c r="H1406" s="1015">
        <v>69120300</v>
      </c>
      <c r="I1406" s="1016" t="s">
        <v>6899</v>
      </c>
    </row>
    <row r="1407" spans="2:9" ht="15.75" x14ac:dyDescent="0.25">
      <c r="B1407" s="1365" t="s">
        <v>7169</v>
      </c>
      <c r="C1407" s="1013" t="s">
        <v>5482</v>
      </c>
      <c r="D1407" s="1013" t="s">
        <v>5482</v>
      </c>
      <c r="E1407" s="1014">
        <v>5338</v>
      </c>
      <c r="F1407" s="1013" t="s">
        <v>605</v>
      </c>
      <c r="G1407" s="1014" t="s">
        <v>266</v>
      </c>
      <c r="H1407" s="1015">
        <v>1441090</v>
      </c>
      <c r="I1407" s="1016" t="s">
        <v>6899</v>
      </c>
    </row>
    <row r="1408" spans="2:9" ht="15.75" x14ac:dyDescent="0.25">
      <c r="B1408" s="1365" t="s">
        <v>7169</v>
      </c>
      <c r="C1408" s="1013" t="s">
        <v>4461</v>
      </c>
      <c r="D1408" s="1013" t="s">
        <v>4461</v>
      </c>
      <c r="E1408" s="1014">
        <v>5339</v>
      </c>
      <c r="F1408" s="1013" t="s">
        <v>5564</v>
      </c>
      <c r="G1408" s="1014" t="s">
        <v>266</v>
      </c>
      <c r="H1408" s="1015">
        <v>445922</v>
      </c>
      <c r="I1408" s="1016" t="s">
        <v>4398</v>
      </c>
    </row>
    <row r="1409" spans="2:9" ht="15.75" x14ac:dyDescent="0.25">
      <c r="B1409" s="1365" t="s">
        <v>7169</v>
      </c>
      <c r="C1409" s="1013" t="s">
        <v>4405</v>
      </c>
      <c r="D1409" s="1013" t="s">
        <v>4579</v>
      </c>
      <c r="E1409" s="1014">
        <v>5340</v>
      </c>
      <c r="F1409" s="1013" t="s">
        <v>606</v>
      </c>
      <c r="G1409" s="1014" t="s">
        <v>266</v>
      </c>
      <c r="H1409" s="1015">
        <v>2860695</v>
      </c>
      <c r="I1409" s="1016" t="s">
        <v>4398</v>
      </c>
    </row>
    <row r="1410" spans="2:9" ht="15.75" x14ac:dyDescent="0.25">
      <c r="B1410" s="1365" t="s">
        <v>7169</v>
      </c>
      <c r="C1410" s="1013" t="s">
        <v>4405</v>
      </c>
      <c r="D1410" s="1013" t="s">
        <v>4579</v>
      </c>
      <c r="E1410" s="1014">
        <v>5341</v>
      </c>
      <c r="F1410" s="1013" t="s">
        <v>5565</v>
      </c>
      <c r="G1410" s="1014" t="s">
        <v>266</v>
      </c>
      <c r="H1410" s="1015">
        <v>851593</v>
      </c>
      <c r="I1410" s="1016" t="s">
        <v>4398</v>
      </c>
    </row>
    <row r="1411" spans="2:9" ht="15.75" x14ac:dyDescent="0.25">
      <c r="B1411" s="1365" t="s">
        <v>7169</v>
      </c>
      <c r="C1411" s="1013" t="s">
        <v>4431</v>
      </c>
      <c r="D1411" s="1013" t="s">
        <v>4432</v>
      </c>
      <c r="E1411" s="1014">
        <v>5342</v>
      </c>
      <c r="F1411" s="1013" t="s">
        <v>5566</v>
      </c>
      <c r="G1411" s="1014" t="s">
        <v>266</v>
      </c>
      <c r="H1411" s="1015">
        <v>394861</v>
      </c>
      <c r="I1411" s="1016" t="s">
        <v>6899</v>
      </c>
    </row>
    <row r="1412" spans="2:9" ht="15.75" x14ac:dyDescent="0.25">
      <c r="B1412" s="1365" t="s">
        <v>7169</v>
      </c>
      <c r="C1412" s="1013" t="s">
        <v>4431</v>
      </c>
      <c r="D1412" s="1013" t="s">
        <v>4432</v>
      </c>
      <c r="E1412" s="1014">
        <v>5343</v>
      </c>
      <c r="F1412" s="1013" t="s">
        <v>5567</v>
      </c>
      <c r="G1412" s="1014" t="s">
        <v>266</v>
      </c>
      <c r="H1412" s="1015">
        <v>728969</v>
      </c>
      <c r="I1412" s="1016" t="s">
        <v>6899</v>
      </c>
    </row>
    <row r="1413" spans="2:9" ht="15.75" x14ac:dyDescent="0.25">
      <c r="B1413" s="1365" t="s">
        <v>7169</v>
      </c>
      <c r="C1413" s="1013" t="s">
        <v>1474</v>
      </c>
      <c r="D1413" s="1013" t="s">
        <v>4940</v>
      </c>
      <c r="E1413" s="1014">
        <v>5344</v>
      </c>
      <c r="F1413" s="1013" t="s">
        <v>5568</v>
      </c>
      <c r="G1413" s="1014" t="s">
        <v>12</v>
      </c>
      <c r="H1413" s="1015">
        <v>19167</v>
      </c>
      <c r="I1413" s="1016" t="s">
        <v>4398</v>
      </c>
    </row>
    <row r="1414" spans="2:9" ht="15.75" x14ac:dyDescent="0.25">
      <c r="B1414" s="1365" t="s">
        <v>7169</v>
      </c>
      <c r="C1414" s="1013" t="s">
        <v>4410</v>
      </c>
      <c r="D1414" s="1013" t="s">
        <v>4642</v>
      </c>
      <c r="E1414" s="1014">
        <v>5345</v>
      </c>
      <c r="F1414" s="1013" t="s">
        <v>5569</v>
      </c>
      <c r="G1414" s="1014" t="s">
        <v>3</v>
      </c>
      <c r="H1414" s="1015">
        <v>174647</v>
      </c>
      <c r="I1414" s="1016" t="s">
        <v>6899</v>
      </c>
    </row>
    <row r="1415" spans="2:9" ht="15.75" x14ac:dyDescent="0.25">
      <c r="B1415" s="1365" t="s">
        <v>7169</v>
      </c>
      <c r="C1415" s="1013" t="s">
        <v>4410</v>
      </c>
      <c r="D1415" s="1013" t="s">
        <v>4642</v>
      </c>
      <c r="E1415" s="1014">
        <v>5346</v>
      </c>
      <c r="F1415" s="1013" t="s">
        <v>5570</v>
      </c>
      <c r="G1415" s="1014" t="s">
        <v>3</v>
      </c>
      <c r="H1415" s="1015">
        <v>195804</v>
      </c>
      <c r="I1415" s="1016" t="s">
        <v>6899</v>
      </c>
    </row>
    <row r="1416" spans="2:9" ht="15.75" x14ac:dyDescent="0.25">
      <c r="B1416" s="1365" t="s">
        <v>7169</v>
      </c>
      <c r="C1416" s="1013" t="s">
        <v>4410</v>
      </c>
      <c r="D1416" s="1013" t="s">
        <v>4642</v>
      </c>
      <c r="E1416" s="1014">
        <v>5347</v>
      </c>
      <c r="F1416" s="1013" t="s">
        <v>5571</v>
      </c>
      <c r="G1416" s="1014" t="s">
        <v>3</v>
      </c>
      <c r="H1416" s="1015">
        <v>297151</v>
      </c>
      <c r="I1416" s="1016" t="s">
        <v>6899</v>
      </c>
    </row>
    <row r="1417" spans="2:9" ht="15.75" x14ac:dyDescent="0.25">
      <c r="B1417" s="1365" t="s">
        <v>7169</v>
      </c>
      <c r="C1417" s="1013" t="s">
        <v>4410</v>
      </c>
      <c r="D1417" s="1013" t="s">
        <v>4642</v>
      </c>
      <c r="E1417" s="1014">
        <v>5348</v>
      </c>
      <c r="F1417" s="1013" t="s">
        <v>5572</v>
      </c>
      <c r="G1417" s="1014" t="s">
        <v>3</v>
      </c>
      <c r="H1417" s="1015">
        <v>305249</v>
      </c>
      <c r="I1417" s="1016" t="s">
        <v>6899</v>
      </c>
    </row>
    <row r="1418" spans="2:9" ht="15.75" x14ac:dyDescent="0.25">
      <c r="B1418" s="1365" t="s">
        <v>7169</v>
      </c>
      <c r="C1418" s="1013" t="s">
        <v>4410</v>
      </c>
      <c r="D1418" s="1013" t="s">
        <v>4642</v>
      </c>
      <c r="E1418" s="1014">
        <v>5349</v>
      </c>
      <c r="F1418" s="1013" t="s">
        <v>5573</v>
      </c>
      <c r="G1418" s="1014" t="s">
        <v>3</v>
      </c>
      <c r="H1418" s="1015">
        <v>313384</v>
      </c>
      <c r="I1418" s="1016" t="s">
        <v>6899</v>
      </c>
    </row>
    <row r="1419" spans="2:9" ht="15.75" x14ac:dyDescent="0.25">
      <c r="B1419" s="1365" t="s">
        <v>7169</v>
      </c>
      <c r="C1419" s="1013" t="s">
        <v>4410</v>
      </c>
      <c r="D1419" s="1013" t="s">
        <v>4642</v>
      </c>
      <c r="E1419" s="1014">
        <v>5350</v>
      </c>
      <c r="F1419" s="1013" t="s">
        <v>5574</v>
      </c>
      <c r="G1419" s="1014" t="s">
        <v>3</v>
      </c>
      <c r="H1419" s="1015">
        <v>358880</v>
      </c>
      <c r="I1419" s="1016" t="s">
        <v>6899</v>
      </c>
    </row>
    <row r="1420" spans="2:9" ht="15.75" x14ac:dyDescent="0.25">
      <c r="B1420" s="1365" t="s">
        <v>7169</v>
      </c>
      <c r="C1420" s="1013" t="s">
        <v>4410</v>
      </c>
      <c r="D1420" s="1013" t="s">
        <v>4642</v>
      </c>
      <c r="E1420" s="1014">
        <v>5351</v>
      </c>
      <c r="F1420" s="1013" t="s">
        <v>5575</v>
      </c>
      <c r="G1420" s="1014" t="s">
        <v>3</v>
      </c>
      <c r="H1420" s="1015">
        <v>367015</v>
      </c>
      <c r="I1420" s="1016" t="s">
        <v>6899</v>
      </c>
    </row>
    <row r="1421" spans="2:9" ht="15.75" x14ac:dyDescent="0.25">
      <c r="B1421" s="1365" t="s">
        <v>7169</v>
      </c>
      <c r="C1421" s="1013" t="s">
        <v>4410</v>
      </c>
      <c r="D1421" s="1013" t="s">
        <v>4642</v>
      </c>
      <c r="E1421" s="1014">
        <v>5352</v>
      </c>
      <c r="F1421" s="1013" t="s">
        <v>5576</v>
      </c>
      <c r="G1421" s="1014" t="s">
        <v>3</v>
      </c>
      <c r="H1421" s="1015">
        <v>375150</v>
      </c>
      <c r="I1421" s="1016" t="s">
        <v>6899</v>
      </c>
    </row>
    <row r="1422" spans="2:9" ht="15.75" x14ac:dyDescent="0.25">
      <c r="B1422" s="1365" t="s">
        <v>7169</v>
      </c>
      <c r="C1422" s="1013" t="s">
        <v>4410</v>
      </c>
      <c r="D1422" s="1013" t="s">
        <v>4642</v>
      </c>
      <c r="E1422" s="1014">
        <v>5353</v>
      </c>
      <c r="F1422" s="1013" t="s">
        <v>5577</v>
      </c>
      <c r="G1422" s="1014" t="s">
        <v>3</v>
      </c>
      <c r="H1422" s="1015">
        <v>420647</v>
      </c>
      <c r="I1422" s="1016" t="s">
        <v>6899</v>
      </c>
    </row>
    <row r="1423" spans="2:9" ht="15.75" x14ac:dyDescent="0.25">
      <c r="B1423" s="1365" t="s">
        <v>7169</v>
      </c>
      <c r="C1423" s="1013" t="s">
        <v>4410</v>
      </c>
      <c r="D1423" s="1013" t="s">
        <v>4642</v>
      </c>
      <c r="E1423" s="1014">
        <v>5354</v>
      </c>
      <c r="F1423" s="1013" t="s">
        <v>5578</v>
      </c>
      <c r="G1423" s="1014" t="s">
        <v>3</v>
      </c>
      <c r="H1423" s="1015">
        <v>429318</v>
      </c>
      <c r="I1423" s="1016" t="s">
        <v>6899</v>
      </c>
    </row>
    <row r="1424" spans="2:9" ht="15.75" x14ac:dyDescent="0.25">
      <c r="B1424" s="1365" t="s">
        <v>7169</v>
      </c>
      <c r="C1424" s="1013" t="s">
        <v>4410</v>
      </c>
      <c r="D1424" s="1013" t="s">
        <v>4642</v>
      </c>
      <c r="E1424" s="1014">
        <v>5355</v>
      </c>
      <c r="F1424" s="1013" t="s">
        <v>5579</v>
      </c>
      <c r="G1424" s="1014" t="s">
        <v>3</v>
      </c>
      <c r="H1424" s="1015">
        <v>436917</v>
      </c>
      <c r="I1424" s="1016" t="s">
        <v>6899</v>
      </c>
    </row>
    <row r="1425" spans="2:9" ht="15.75" x14ac:dyDescent="0.25">
      <c r="B1425" s="1365" t="s">
        <v>7169</v>
      </c>
      <c r="C1425" s="1013" t="s">
        <v>4410</v>
      </c>
      <c r="D1425" s="1013" t="s">
        <v>4642</v>
      </c>
      <c r="E1425" s="1014">
        <v>5356</v>
      </c>
      <c r="F1425" s="1013" t="s">
        <v>5580</v>
      </c>
      <c r="G1425" s="1014" t="s">
        <v>3</v>
      </c>
      <c r="H1425" s="1015">
        <v>147908</v>
      </c>
      <c r="I1425" s="1016" t="s">
        <v>6899</v>
      </c>
    </row>
    <row r="1426" spans="2:9" ht="15.75" x14ac:dyDescent="0.25">
      <c r="B1426" s="1365" t="s">
        <v>7169</v>
      </c>
      <c r="C1426" s="1013" t="s">
        <v>4410</v>
      </c>
      <c r="D1426" s="1013" t="s">
        <v>4642</v>
      </c>
      <c r="E1426" s="1014">
        <v>5357</v>
      </c>
      <c r="F1426" s="1013" t="s">
        <v>5581</v>
      </c>
      <c r="G1426" s="1014" t="s">
        <v>3</v>
      </c>
      <c r="H1426" s="1015">
        <v>166606</v>
      </c>
      <c r="I1426" s="1016" t="s">
        <v>6899</v>
      </c>
    </row>
    <row r="1427" spans="2:9" ht="15.75" x14ac:dyDescent="0.25">
      <c r="B1427" s="1365" t="s">
        <v>7169</v>
      </c>
      <c r="C1427" s="1013" t="s">
        <v>4410</v>
      </c>
      <c r="D1427" s="1013" t="s">
        <v>4642</v>
      </c>
      <c r="E1427" s="1014">
        <v>5358</v>
      </c>
      <c r="F1427" s="1013" t="s">
        <v>5582</v>
      </c>
      <c r="G1427" s="1014" t="s">
        <v>3</v>
      </c>
      <c r="H1427" s="1015">
        <v>180876</v>
      </c>
      <c r="I1427" s="1016" t="s">
        <v>6899</v>
      </c>
    </row>
    <row r="1428" spans="2:9" ht="15.75" x14ac:dyDescent="0.25">
      <c r="B1428" s="1365" t="s">
        <v>7169</v>
      </c>
      <c r="C1428" s="1013" t="s">
        <v>4410</v>
      </c>
      <c r="D1428" s="1013" t="s">
        <v>4642</v>
      </c>
      <c r="E1428" s="1014">
        <v>5359</v>
      </c>
      <c r="F1428" s="1013" t="s">
        <v>5583</v>
      </c>
      <c r="G1428" s="1014" t="s">
        <v>3</v>
      </c>
      <c r="H1428" s="1015">
        <v>196717</v>
      </c>
      <c r="I1428" s="1016" t="s">
        <v>6899</v>
      </c>
    </row>
    <row r="1429" spans="2:9" ht="15.75" x14ac:dyDescent="0.25">
      <c r="B1429" s="1365" t="s">
        <v>7169</v>
      </c>
      <c r="C1429" s="1013" t="s">
        <v>4472</v>
      </c>
      <c r="D1429" s="1013" t="s">
        <v>4817</v>
      </c>
      <c r="E1429" s="1014">
        <v>5360</v>
      </c>
      <c r="F1429" s="1013" t="s">
        <v>5584</v>
      </c>
      <c r="G1429" s="1014" t="s">
        <v>202</v>
      </c>
      <c r="H1429" s="1015">
        <v>167006</v>
      </c>
      <c r="I1429" s="1016" t="s">
        <v>4398</v>
      </c>
    </row>
    <row r="1430" spans="2:9" ht="15.75" x14ac:dyDescent="0.25">
      <c r="B1430" s="1365" t="s">
        <v>7169</v>
      </c>
      <c r="C1430" s="1013" t="s">
        <v>4472</v>
      </c>
      <c r="D1430" s="1013" t="s">
        <v>4817</v>
      </c>
      <c r="E1430" s="1014">
        <v>5361</v>
      </c>
      <c r="F1430" s="1013" t="s">
        <v>5585</v>
      </c>
      <c r="G1430" s="1014" t="s">
        <v>3</v>
      </c>
      <c r="H1430" s="1015">
        <v>11269</v>
      </c>
      <c r="I1430" s="1016" t="s">
        <v>4398</v>
      </c>
    </row>
    <row r="1431" spans="2:9" ht="15.75" x14ac:dyDescent="0.25">
      <c r="B1431" s="1365" t="s">
        <v>7169</v>
      </c>
      <c r="C1431" s="1013" t="s">
        <v>4472</v>
      </c>
      <c r="D1431" s="1013" t="s">
        <v>4817</v>
      </c>
      <c r="E1431" s="1014">
        <v>5362</v>
      </c>
      <c r="F1431" s="1013" t="s">
        <v>5586</v>
      </c>
      <c r="G1431" s="1014" t="s">
        <v>3</v>
      </c>
      <c r="H1431" s="1015">
        <v>354889</v>
      </c>
      <c r="I1431" s="1016" t="s">
        <v>6899</v>
      </c>
    </row>
    <row r="1432" spans="2:9" ht="15.75" x14ac:dyDescent="0.25">
      <c r="B1432" s="1365" t="s">
        <v>7169</v>
      </c>
      <c r="C1432" s="1013" t="s">
        <v>4472</v>
      </c>
      <c r="D1432" s="1013" t="s">
        <v>4817</v>
      </c>
      <c r="E1432" s="1014">
        <v>5363</v>
      </c>
      <c r="F1432" s="1013" t="s">
        <v>5587</v>
      </c>
      <c r="G1432" s="1014" t="s">
        <v>3</v>
      </c>
      <c r="H1432" s="1015">
        <v>344045</v>
      </c>
      <c r="I1432" s="1016" t="s">
        <v>6899</v>
      </c>
    </row>
    <row r="1433" spans="2:9" ht="15.75" x14ac:dyDescent="0.25">
      <c r="B1433" s="1365" t="s">
        <v>7169</v>
      </c>
      <c r="C1433" s="1013" t="s">
        <v>4472</v>
      </c>
      <c r="D1433" s="1013" t="s">
        <v>4817</v>
      </c>
      <c r="E1433" s="1014">
        <v>5364</v>
      </c>
      <c r="F1433" s="1013" t="s">
        <v>5588</v>
      </c>
      <c r="G1433" s="1014" t="s">
        <v>3</v>
      </c>
      <c r="H1433" s="1015">
        <v>338442</v>
      </c>
      <c r="I1433" s="1016" t="s">
        <v>6899</v>
      </c>
    </row>
    <row r="1434" spans="2:9" ht="15.75" x14ac:dyDescent="0.25">
      <c r="B1434" s="1365" t="s">
        <v>7169</v>
      </c>
      <c r="C1434" s="1013" t="s">
        <v>5366</v>
      </c>
      <c r="D1434" s="1013" t="s">
        <v>5366</v>
      </c>
      <c r="E1434" s="1014">
        <v>5365</v>
      </c>
      <c r="F1434" s="1013" t="s">
        <v>5589</v>
      </c>
      <c r="G1434" s="1014" t="s">
        <v>12</v>
      </c>
      <c r="H1434" s="1015">
        <v>46367</v>
      </c>
      <c r="I1434" s="1016" t="s">
        <v>6899</v>
      </c>
    </row>
    <row r="1435" spans="2:9" ht="15.75" x14ac:dyDescent="0.25">
      <c r="B1435" s="1365" t="s">
        <v>7169</v>
      </c>
      <c r="C1435" s="1013" t="s">
        <v>5425</v>
      </c>
      <c r="D1435" s="1013" t="s">
        <v>5590</v>
      </c>
      <c r="E1435" s="1014">
        <v>5368</v>
      </c>
      <c r="F1435" s="1013" t="s">
        <v>5591</v>
      </c>
      <c r="G1435" s="1014" t="s">
        <v>12</v>
      </c>
      <c r="H1435" s="1015">
        <v>24415</v>
      </c>
      <c r="I1435" s="1016" t="s">
        <v>4398</v>
      </c>
    </row>
    <row r="1436" spans="2:9" ht="15.75" x14ac:dyDescent="0.25">
      <c r="B1436" s="1365" t="s">
        <v>7169</v>
      </c>
      <c r="C1436" s="1013" t="s">
        <v>4468</v>
      </c>
      <c r="D1436" s="1013" t="s">
        <v>4814</v>
      </c>
      <c r="E1436" s="1014">
        <v>5369</v>
      </c>
      <c r="F1436" s="1013" t="s">
        <v>607</v>
      </c>
      <c r="G1436" s="1014" t="s">
        <v>266</v>
      </c>
      <c r="H1436" s="1015">
        <v>4532</v>
      </c>
      <c r="I1436" s="1016" t="s">
        <v>4398</v>
      </c>
    </row>
    <row r="1437" spans="2:9" ht="15.75" x14ac:dyDescent="0.25">
      <c r="B1437" s="1365" t="s">
        <v>7169</v>
      </c>
      <c r="C1437" s="1013" t="s">
        <v>5425</v>
      </c>
      <c r="D1437" s="1013" t="s">
        <v>5428</v>
      </c>
      <c r="E1437" s="1014">
        <v>5370</v>
      </c>
      <c r="F1437" s="1013" t="s">
        <v>608</v>
      </c>
      <c r="G1437" s="1014" t="s">
        <v>12</v>
      </c>
      <c r="H1437" s="1015">
        <v>11693</v>
      </c>
      <c r="I1437" s="1016" t="s">
        <v>4398</v>
      </c>
    </row>
    <row r="1438" spans="2:9" ht="15.75" x14ac:dyDescent="0.25">
      <c r="B1438" s="1365" t="s">
        <v>7169</v>
      </c>
      <c r="C1438" s="1013" t="s">
        <v>5425</v>
      </c>
      <c r="D1438" s="1013" t="s">
        <v>5592</v>
      </c>
      <c r="E1438" s="1014">
        <v>5371</v>
      </c>
      <c r="F1438" s="1013" t="s">
        <v>609</v>
      </c>
      <c r="G1438" s="1014" t="s">
        <v>12</v>
      </c>
      <c r="H1438" s="1015">
        <v>70547</v>
      </c>
      <c r="I1438" s="1016" t="s">
        <v>6899</v>
      </c>
    </row>
    <row r="1439" spans="2:9" ht="15.75" x14ac:dyDescent="0.25">
      <c r="B1439" s="1365" t="s">
        <v>7169</v>
      </c>
      <c r="C1439" s="1013" t="s">
        <v>4461</v>
      </c>
      <c r="D1439" s="1013" t="s">
        <v>4461</v>
      </c>
      <c r="E1439" s="1014">
        <v>5372</v>
      </c>
      <c r="F1439" s="1013" t="s">
        <v>610</v>
      </c>
      <c r="G1439" s="1014" t="s">
        <v>266</v>
      </c>
      <c r="H1439" s="1015">
        <v>261113</v>
      </c>
      <c r="I1439" s="1016" t="s">
        <v>4398</v>
      </c>
    </row>
    <row r="1440" spans="2:9" ht="15.75" x14ac:dyDescent="0.25">
      <c r="B1440" s="1365" t="s">
        <v>7169</v>
      </c>
      <c r="C1440" s="1013" t="s">
        <v>4775</v>
      </c>
      <c r="D1440" s="1013" t="s">
        <v>4775</v>
      </c>
      <c r="E1440" s="1014">
        <v>5373</v>
      </c>
      <c r="F1440" s="1013" t="s">
        <v>5593</v>
      </c>
      <c r="G1440" s="1014" t="s">
        <v>266</v>
      </c>
      <c r="H1440" s="1015">
        <v>46204026</v>
      </c>
      <c r="I1440" s="1016" t="s">
        <v>6899</v>
      </c>
    </row>
    <row r="1441" spans="2:9" ht="15.75" x14ac:dyDescent="0.25">
      <c r="B1441" s="1365" t="s">
        <v>7169</v>
      </c>
      <c r="C1441" s="1013" t="s">
        <v>4472</v>
      </c>
      <c r="D1441" s="1013" t="s">
        <v>4817</v>
      </c>
      <c r="E1441" s="1014">
        <v>5374</v>
      </c>
      <c r="F1441" s="1013" t="s">
        <v>5594</v>
      </c>
      <c r="G1441" s="1014" t="s">
        <v>3</v>
      </c>
      <c r="H1441" s="1015">
        <v>256243</v>
      </c>
      <c r="I1441" s="1016" t="s">
        <v>6899</v>
      </c>
    </row>
    <row r="1442" spans="2:9" ht="15.75" x14ac:dyDescent="0.25">
      <c r="B1442" s="1365" t="s">
        <v>7169</v>
      </c>
      <c r="C1442" s="1013" t="s">
        <v>4472</v>
      </c>
      <c r="D1442" s="1013" t="s">
        <v>4817</v>
      </c>
      <c r="E1442" s="1014">
        <v>5375</v>
      </c>
      <c r="F1442" s="1013" t="s">
        <v>5595</v>
      </c>
      <c r="G1442" s="1014" t="s">
        <v>3</v>
      </c>
      <c r="H1442" s="1015">
        <v>306013</v>
      </c>
      <c r="I1442" s="1016" t="s">
        <v>6899</v>
      </c>
    </row>
    <row r="1443" spans="2:9" ht="15.75" x14ac:dyDescent="0.25">
      <c r="B1443" s="1365" t="s">
        <v>7169</v>
      </c>
      <c r="C1443" s="1013" t="s">
        <v>4799</v>
      </c>
      <c r="D1443" s="1013" t="s">
        <v>4800</v>
      </c>
      <c r="E1443" s="1014">
        <v>5376</v>
      </c>
      <c r="F1443" s="1013" t="s">
        <v>611</v>
      </c>
      <c r="G1443" s="1014" t="s">
        <v>342</v>
      </c>
      <c r="H1443" s="1015">
        <v>525521</v>
      </c>
      <c r="I1443" s="1016" t="s">
        <v>4398</v>
      </c>
    </row>
    <row r="1444" spans="2:9" ht="15.75" x14ac:dyDescent="0.25">
      <c r="B1444" s="1365" t="s">
        <v>7169</v>
      </c>
      <c r="C1444" s="1013" t="s">
        <v>4472</v>
      </c>
      <c r="D1444" s="1013" t="s">
        <v>4817</v>
      </c>
      <c r="E1444" s="1014">
        <v>5377</v>
      </c>
      <c r="F1444" s="1013" t="s">
        <v>5596</v>
      </c>
      <c r="G1444" s="1014" t="s">
        <v>3</v>
      </c>
      <c r="H1444" s="1015">
        <v>356984</v>
      </c>
      <c r="I1444" s="1016" t="s">
        <v>6899</v>
      </c>
    </row>
    <row r="1445" spans="2:9" ht="15.75" x14ac:dyDescent="0.25">
      <c r="B1445" s="1365" t="s">
        <v>7169</v>
      </c>
      <c r="C1445" s="1013" t="s">
        <v>4472</v>
      </c>
      <c r="D1445" s="1013" t="s">
        <v>4817</v>
      </c>
      <c r="E1445" s="1014">
        <v>5378</v>
      </c>
      <c r="F1445" s="1013" t="s">
        <v>5597</v>
      </c>
      <c r="G1445" s="1014" t="s">
        <v>3</v>
      </c>
      <c r="H1445" s="1015">
        <v>384393</v>
      </c>
      <c r="I1445" s="1016" t="s">
        <v>6899</v>
      </c>
    </row>
    <row r="1446" spans="2:9" ht="15.75" x14ac:dyDescent="0.25">
      <c r="B1446" s="1365" t="s">
        <v>7169</v>
      </c>
      <c r="C1446" s="1013" t="s">
        <v>4408</v>
      </c>
      <c r="D1446" s="1013" t="s">
        <v>4408</v>
      </c>
      <c r="E1446" s="1014">
        <v>5380</v>
      </c>
      <c r="F1446" s="1013" t="s">
        <v>5598</v>
      </c>
      <c r="G1446" s="1014" t="s">
        <v>3</v>
      </c>
      <c r="H1446" s="1015">
        <v>43002</v>
      </c>
      <c r="I1446" s="1016" t="s">
        <v>6899</v>
      </c>
    </row>
    <row r="1447" spans="2:9" ht="15.75" x14ac:dyDescent="0.25">
      <c r="B1447" s="1365" t="s">
        <v>6897</v>
      </c>
      <c r="C1447" s="1013" t="s">
        <v>4799</v>
      </c>
      <c r="D1447" s="1013" t="s">
        <v>5199</v>
      </c>
      <c r="E1447" s="1014">
        <v>5381</v>
      </c>
      <c r="F1447" s="1013" t="s">
        <v>5599</v>
      </c>
      <c r="G1447" s="1014" t="s">
        <v>13</v>
      </c>
      <c r="H1447" s="1015">
        <v>534686</v>
      </c>
      <c r="I1447" s="1016" t="s">
        <v>6899</v>
      </c>
    </row>
    <row r="1448" spans="2:9" ht="15.75" x14ac:dyDescent="0.25">
      <c r="B1448" s="1365" t="s">
        <v>7169</v>
      </c>
      <c r="C1448" s="1013" t="s">
        <v>4799</v>
      </c>
      <c r="D1448" s="1013" t="s">
        <v>5199</v>
      </c>
      <c r="E1448" s="1014">
        <v>5382</v>
      </c>
      <c r="F1448" s="1013" t="s">
        <v>5600</v>
      </c>
      <c r="G1448" s="1014" t="s">
        <v>13</v>
      </c>
      <c r="H1448" s="1015">
        <v>87829</v>
      </c>
      <c r="I1448" s="1016" t="s">
        <v>6899</v>
      </c>
    </row>
    <row r="1449" spans="2:9" ht="15.75" x14ac:dyDescent="0.25">
      <c r="B1449" s="1365" t="s">
        <v>7169</v>
      </c>
      <c r="C1449" s="1013" t="s">
        <v>4454</v>
      </c>
      <c r="D1449" s="1013" t="s">
        <v>4455</v>
      </c>
      <c r="E1449" s="1014">
        <v>5383</v>
      </c>
      <c r="F1449" s="1013" t="s">
        <v>5601</v>
      </c>
      <c r="G1449" s="1014" t="s">
        <v>13</v>
      </c>
      <c r="H1449" s="1015">
        <v>10524</v>
      </c>
      <c r="I1449" s="1016" t="s">
        <v>4398</v>
      </c>
    </row>
    <row r="1450" spans="2:9" ht="15.75" x14ac:dyDescent="0.25">
      <c r="B1450" s="1365" t="s">
        <v>7169</v>
      </c>
      <c r="C1450" s="1013" t="s">
        <v>4799</v>
      </c>
      <c r="D1450" s="1013" t="s">
        <v>5199</v>
      </c>
      <c r="E1450" s="1014">
        <v>5384</v>
      </c>
      <c r="F1450" s="1013" t="s">
        <v>5602</v>
      </c>
      <c r="G1450" s="1014" t="s">
        <v>266</v>
      </c>
      <c r="H1450" s="1015">
        <v>15286038</v>
      </c>
      <c r="I1450" s="1016" t="s">
        <v>6899</v>
      </c>
    </row>
    <row r="1451" spans="2:9" ht="15.75" x14ac:dyDescent="0.25">
      <c r="B1451" s="1365" t="s">
        <v>7169</v>
      </c>
      <c r="C1451" s="1013" t="s">
        <v>4799</v>
      </c>
      <c r="D1451" s="1013" t="s">
        <v>5199</v>
      </c>
      <c r="E1451" s="1014">
        <v>5385</v>
      </c>
      <c r="F1451" s="1013" t="s">
        <v>5603</v>
      </c>
      <c r="G1451" s="1014" t="s">
        <v>266</v>
      </c>
      <c r="H1451" s="1015">
        <v>12349601</v>
      </c>
      <c r="I1451" s="1016" t="s">
        <v>6899</v>
      </c>
    </row>
    <row r="1452" spans="2:9" ht="15.75" x14ac:dyDescent="0.25">
      <c r="B1452" s="1365" t="s">
        <v>7169</v>
      </c>
      <c r="C1452" s="1013" t="s">
        <v>4431</v>
      </c>
      <c r="D1452" s="1013" t="s">
        <v>4432</v>
      </c>
      <c r="E1452" s="1014">
        <v>5387</v>
      </c>
      <c r="F1452" s="1013" t="s">
        <v>5604</v>
      </c>
      <c r="G1452" s="1014" t="s">
        <v>266</v>
      </c>
      <c r="H1452" s="1015">
        <v>463905</v>
      </c>
      <c r="I1452" s="1016" t="s">
        <v>6899</v>
      </c>
    </row>
    <row r="1453" spans="2:9" ht="15.75" x14ac:dyDescent="0.25">
      <c r="B1453" s="1365" t="s">
        <v>7169</v>
      </c>
      <c r="C1453" s="1013" t="s">
        <v>4799</v>
      </c>
      <c r="D1453" s="1013" t="s">
        <v>4800</v>
      </c>
      <c r="E1453" s="1014">
        <v>5391</v>
      </c>
      <c r="F1453" s="1013" t="s">
        <v>5605</v>
      </c>
      <c r="G1453" s="1014" t="s">
        <v>202</v>
      </c>
      <c r="H1453" s="1015">
        <v>36552</v>
      </c>
      <c r="I1453" s="1016" t="s">
        <v>4398</v>
      </c>
    </row>
    <row r="1454" spans="2:9" ht="15.75" x14ac:dyDescent="0.25">
      <c r="B1454" s="1365" t="s">
        <v>7169</v>
      </c>
      <c r="C1454" s="1013" t="s">
        <v>4799</v>
      </c>
      <c r="D1454" s="1013" t="s">
        <v>4800</v>
      </c>
      <c r="E1454" s="1014">
        <v>5392</v>
      </c>
      <c r="F1454" s="1013" t="s">
        <v>612</v>
      </c>
      <c r="G1454" s="1014" t="s">
        <v>342</v>
      </c>
      <c r="H1454" s="1015">
        <v>286320</v>
      </c>
      <c r="I1454" s="1016" t="s">
        <v>4398</v>
      </c>
    </row>
    <row r="1455" spans="2:9" ht="15.75" x14ac:dyDescent="0.25">
      <c r="B1455" s="1365" t="s">
        <v>7169</v>
      </c>
      <c r="C1455" s="1013" t="s">
        <v>4420</v>
      </c>
      <c r="D1455" s="1013" t="s">
        <v>4420</v>
      </c>
      <c r="E1455" s="1014">
        <v>5394</v>
      </c>
      <c r="F1455" s="1013" t="s">
        <v>5606</v>
      </c>
      <c r="G1455" s="1014" t="s">
        <v>13</v>
      </c>
      <c r="H1455" s="1015">
        <v>289467</v>
      </c>
      <c r="I1455" s="1016" t="s">
        <v>6899</v>
      </c>
    </row>
    <row r="1456" spans="2:9" ht="15.75" x14ac:dyDescent="0.25">
      <c r="B1456" s="1365" t="s">
        <v>7169</v>
      </c>
      <c r="C1456" s="1013" t="s">
        <v>5425</v>
      </c>
      <c r="D1456" s="1013" t="s">
        <v>5426</v>
      </c>
      <c r="E1456" s="1014">
        <v>5395</v>
      </c>
      <c r="F1456" s="1013" t="s">
        <v>613</v>
      </c>
      <c r="G1456" s="1014" t="s">
        <v>13</v>
      </c>
      <c r="H1456" s="1015">
        <v>44890</v>
      </c>
      <c r="I1456" s="1016" t="s">
        <v>4398</v>
      </c>
    </row>
    <row r="1457" spans="2:9" ht="15.75" x14ac:dyDescent="0.25">
      <c r="B1457" s="1365" t="s">
        <v>7169</v>
      </c>
      <c r="C1457" s="1013" t="s">
        <v>4468</v>
      </c>
      <c r="D1457" s="1013" t="s">
        <v>4469</v>
      </c>
      <c r="E1457" s="1014">
        <v>5396</v>
      </c>
      <c r="F1457" s="1013" t="s">
        <v>614</v>
      </c>
      <c r="G1457" s="1014" t="s">
        <v>3</v>
      </c>
      <c r="H1457" s="1015">
        <v>1151880</v>
      </c>
      <c r="I1457" s="1016" t="s">
        <v>6899</v>
      </c>
    </row>
    <row r="1458" spans="2:9" ht="15.75" x14ac:dyDescent="0.25">
      <c r="B1458" s="1365" t="s">
        <v>7169</v>
      </c>
      <c r="C1458" s="1013" t="s">
        <v>5188</v>
      </c>
      <c r="D1458" s="1013" t="s">
        <v>5190</v>
      </c>
      <c r="E1458" s="1014">
        <v>5397</v>
      </c>
      <c r="F1458" s="1013" t="s">
        <v>5607</v>
      </c>
      <c r="G1458" s="1014" t="s">
        <v>13</v>
      </c>
      <c r="H1458" s="1015">
        <v>35048</v>
      </c>
      <c r="I1458" s="1016" t="s">
        <v>3538</v>
      </c>
    </row>
    <row r="1459" spans="2:9" ht="15.75" x14ac:dyDescent="0.25">
      <c r="B1459" s="1365" t="s">
        <v>7169</v>
      </c>
      <c r="C1459" s="1013" t="s">
        <v>4431</v>
      </c>
      <c r="D1459" s="1013" t="s">
        <v>4432</v>
      </c>
      <c r="E1459" s="1014">
        <v>5398</v>
      </c>
      <c r="F1459" s="1013" t="s">
        <v>615</v>
      </c>
      <c r="G1459" s="1014" t="s">
        <v>13</v>
      </c>
      <c r="H1459" s="1015">
        <v>1837787</v>
      </c>
      <c r="I1459" s="1016" t="s">
        <v>6899</v>
      </c>
    </row>
    <row r="1460" spans="2:9" ht="15.75" x14ac:dyDescent="0.25">
      <c r="B1460" s="1365" t="s">
        <v>7169</v>
      </c>
      <c r="C1460" s="1013" t="s">
        <v>4775</v>
      </c>
      <c r="D1460" s="1013" t="s">
        <v>4775</v>
      </c>
      <c r="E1460" s="1014">
        <v>5404</v>
      </c>
      <c r="F1460" s="1013" t="s">
        <v>5608</v>
      </c>
      <c r="G1460" s="1014" t="s">
        <v>6</v>
      </c>
      <c r="H1460" s="1015">
        <v>8914</v>
      </c>
      <c r="I1460" s="1016" t="s">
        <v>6899</v>
      </c>
    </row>
    <row r="1461" spans="2:9" ht="15.75" x14ac:dyDescent="0.25">
      <c r="B1461" s="1365" t="s">
        <v>7169</v>
      </c>
      <c r="C1461" s="1013" t="s">
        <v>4454</v>
      </c>
      <c r="D1461" s="1013" t="s">
        <v>4455</v>
      </c>
      <c r="E1461" s="1014">
        <v>5409</v>
      </c>
      <c r="F1461" s="1013" t="s">
        <v>5609</v>
      </c>
      <c r="G1461" s="1014" t="s">
        <v>266</v>
      </c>
      <c r="H1461" s="1015">
        <v>450017</v>
      </c>
      <c r="I1461" s="1016" t="s">
        <v>3538</v>
      </c>
    </row>
    <row r="1462" spans="2:9" ht="15.75" x14ac:dyDescent="0.25">
      <c r="B1462" s="1365" t="s">
        <v>7169</v>
      </c>
      <c r="C1462" s="1013" t="s">
        <v>4410</v>
      </c>
      <c r="D1462" s="1013" t="s">
        <v>4415</v>
      </c>
      <c r="E1462" s="1014">
        <v>5412</v>
      </c>
      <c r="F1462" s="1013" t="s">
        <v>616</v>
      </c>
      <c r="G1462" s="1014" t="s">
        <v>3</v>
      </c>
      <c r="H1462" s="1015">
        <v>156943</v>
      </c>
      <c r="I1462" s="1016" t="s">
        <v>6899</v>
      </c>
    </row>
    <row r="1463" spans="2:9" ht="15.75" x14ac:dyDescent="0.25">
      <c r="B1463" s="1365" t="s">
        <v>7169</v>
      </c>
      <c r="C1463" s="1013" t="s">
        <v>4396</v>
      </c>
      <c r="D1463" s="1013" t="s">
        <v>4399</v>
      </c>
      <c r="E1463" s="1014">
        <v>5413</v>
      </c>
      <c r="F1463" s="1013" t="s">
        <v>617</v>
      </c>
      <c r="G1463" s="1014" t="s">
        <v>3</v>
      </c>
      <c r="H1463" s="1015">
        <v>92001</v>
      </c>
      <c r="I1463" s="1016" t="s">
        <v>6899</v>
      </c>
    </row>
    <row r="1464" spans="2:9" ht="15.75" x14ac:dyDescent="0.25">
      <c r="B1464" s="1365" t="s">
        <v>7169</v>
      </c>
      <c r="C1464" s="1013" t="s">
        <v>4410</v>
      </c>
      <c r="D1464" s="1013" t="s">
        <v>4415</v>
      </c>
      <c r="E1464" s="1014">
        <v>5415</v>
      </c>
      <c r="F1464" s="1013" t="s">
        <v>618</v>
      </c>
      <c r="G1464" s="1014" t="s">
        <v>3</v>
      </c>
      <c r="H1464" s="1015">
        <v>100832</v>
      </c>
      <c r="I1464" s="1016" t="s">
        <v>6899</v>
      </c>
    </row>
    <row r="1465" spans="2:9" ht="15.75" x14ac:dyDescent="0.25">
      <c r="B1465" s="1365" t="s">
        <v>7169</v>
      </c>
      <c r="C1465" s="1013" t="s">
        <v>4396</v>
      </c>
      <c r="D1465" s="1013" t="s">
        <v>4399</v>
      </c>
      <c r="E1465" s="1014">
        <v>5416</v>
      </c>
      <c r="F1465" s="1013" t="s">
        <v>619</v>
      </c>
      <c r="G1465" s="1014" t="s">
        <v>3</v>
      </c>
      <c r="H1465" s="1015">
        <v>47647</v>
      </c>
      <c r="I1465" s="1016" t="s">
        <v>4398</v>
      </c>
    </row>
    <row r="1466" spans="2:9" ht="15.75" x14ac:dyDescent="0.25">
      <c r="B1466" s="1365" t="s">
        <v>7169</v>
      </c>
      <c r="C1466" s="1013" t="s">
        <v>4396</v>
      </c>
      <c r="D1466" s="1013" t="s">
        <v>4399</v>
      </c>
      <c r="E1466" s="1014">
        <v>5418</v>
      </c>
      <c r="F1466" s="1013" t="s">
        <v>620</v>
      </c>
      <c r="G1466" s="1014" t="s">
        <v>3</v>
      </c>
      <c r="H1466" s="1015">
        <v>80675</v>
      </c>
      <c r="I1466" s="1016" t="s">
        <v>6899</v>
      </c>
    </row>
    <row r="1467" spans="2:9" ht="15.75" x14ac:dyDescent="0.25">
      <c r="B1467" s="1365" t="s">
        <v>7169</v>
      </c>
      <c r="C1467" s="1013" t="s">
        <v>4468</v>
      </c>
      <c r="D1467" s="1013" t="s">
        <v>4469</v>
      </c>
      <c r="E1467" s="1014">
        <v>5421</v>
      </c>
      <c r="F1467" s="1013" t="s">
        <v>5610</v>
      </c>
      <c r="G1467" s="1014" t="s">
        <v>3</v>
      </c>
      <c r="H1467" s="1015">
        <v>1011811</v>
      </c>
      <c r="I1467" s="1016" t="s">
        <v>6899</v>
      </c>
    </row>
    <row r="1468" spans="2:9" ht="15.75" x14ac:dyDescent="0.25">
      <c r="B1468" s="1365" t="s">
        <v>7169</v>
      </c>
      <c r="C1468" s="1013" t="s">
        <v>4468</v>
      </c>
      <c r="D1468" s="1013" t="s">
        <v>4469</v>
      </c>
      <c r="E1468" s="1014">
        <v>5422</v>
      </c>
      <c r="F1468" s="1013" t="s">
        <v>5611</v>
      </c>
      <c r="G1468" s="1014" t="s">
        <v>3</v>
      </c>
      <c r="H1468" s="1015">
        <v>1036089</v>
      </c>
      <c r="I1468" s="1016" t="s">
        <v>6899</v>
      </c>
    </row>
    <row r="1469" spans="2:9" ht="15.75" x14ac:dyDescent="0.25">
      <c r="B1469" s="1365" t="s">
        <v>7169</v>
      </c>
      <c r="C1469" s="1013" t="s">
        <v>4468</v>
      </c>
      <c r="D1469" s="1013" t="s">
        <v>4469</v>
      </c>
      <c r="E1469" s="1014">
        <v>5426</v>
      </c>
      <c r="F1469" s="1013" t="s">
        <v>621</v>
      </c>
      <c r="G1469" s="1014" t="s">
        <v>3</v>
      </c>
      <c r="H1469" s="1015">
        <v>886673</v>
      </c>
      <c r="I1469" s="1016" t="s">
        <v>6899</v>
      </c>
    </row>
    <row r="1470" spans="2:9" ht="15.75" x14ac:dyDescent="0.25">
      <c r="B1470" s="1365" t="s">
        <v>7169</v>
      </c>
      <c r="C1470" s="1013" t="s">
        <v>4468</v>
      </c>
      <c r="D1470" s="1013" t="s">
        <v>4469</v>
      </c>
      <c r="E1470" s="1014">
        <v>5431</v>
      </c>
      <c r="F1470" s="1013" t="s">
        <v>5612</v>
      </c>
      <c r="G1470" s="1014" t="s">
        <v>13</v>
      </c>
      <c r="H1470" s="1015">
        <v>70201</v>
      </c>
      <c r="I1470" s="1016" t="s">
        <v>6899</v>
      </c>
    </row>
    <row r="1471" spans="2:9" ht="15.75" x14ac:dyDescent="0.25">
      <c r="B1471" s="1365" t="s">
        <v>7169</v>
      </c>
      <c r="C1471" s="1013" t="s">
        <v>4468</v>
      </c>
      <c r="D1471" s="1013" t="s">
        <v>4469</v>
      </c>
      <c r="E1471" s="1014">
        <v>5432</v>
      </c>
      <c r="F1471" s="1013" t="s">
        <v>622</v>
      </c>
      <c r="G1471" s="1014" t="s">
        <v>13</v>
      </c>
      <c r="H1471" s="1015">
        <v>79002</v>
      </c>
      <c r="I1471" s="1016" t="s">
        <v>6899</v>
      </c>
    </row>
    <row r="1472" spans="2:9" ht="15.75" x14ac:dyDescent="0.25">
      <c r="B1472" s="1365" t="s">
        <v>7169</v>
      </c>
      <c r="C1472" s="1013" t="s">
        <v>4468</v>
      </c>
      <c r="D1472" s="1013" t="s">
        <v>4469</v>
      </c>
      <c r="E1472" s="1014">
        <v>5433</v>
      </c>
      <c r="F1472" s="1013" t="s">
        <v>5613</v>
      </c>
      <c r="G1472" s="1014" t="s">
        <v>13</v>
      </c>
      <c r="H1472" s="1015">
        <v>73195</v>
      </c>
      <c r="I1472" s="1016" t="s">
        <v>6899</v>
      </c>
    </row>
    <row r="1473" spans="2:9" ht="15.75" x14ac:dyDescent="0.25">
      <c r="B1473" s="1365" t="s">
        <v>7169</v>
      </c>
      <c r="C1473" s="1013" t="s">
        <v>5425</v>
      </c>
      <c r="D1473" s="1013" t="s">
        <v>5592</v>
      </c>
      <c r="E1473" s="1014">
        <v>5442</v>
      </c>
      <c r="F1473" s="1013" t="s">
        <v>7216</v>
      </c>
      <c r="G1473" s="1014" t="s">
        <v>12</v>
      </c>
      <c r="H1473" s="1015">
        <v>105279</v>
      </c>
      <c r="I1473" s="1016" t="s">
        <v>6899</v>
      </c>
    </row>
    <row r="1474" spans="2:9" ht="15.75" x14ac:dyDescent="0.25">
      <c r="B1474" s="1365" t="s">
        <v>7169</v>
      </c>
      <c r="C1474" s="1013" t="s">
        <v>5425</v>
      </c>
      <c r="D1474" s="1013" t="s">
        <v>5592</v>
      </c>
      <c r="E1474" s="1014">
        <v>5443</v>
      </c>
      <c r="F1474" s="1013" t="s">
        <v>5614</v>
      </c>
      <c r="G1474" s="1014" t="s">
        <v>13</v>
      </c>
      <c r="H1474" s="1015">
        <v>40204</v>
      </c>
      <c r="I1474" s="1016" t="s">
        <v>6899</v>
      </c>
    </row>
    <row r="1475" spans="2:9" ht="15.75" x14ac:dyDescent="0.25">
      <c r="B1475" s="1365" t="s">
        <v>7169</v>
      </c>
      <c r="C1475" s="1013" t="s">
        <v>5425</v>
      </c>
      <c r="D1475" s="1013" t="s">
        <v>5615</v>
      </c>
      <c r="E1475" s="1014">
        <v>5452</v>
      </c>
      <c r="F1475" s="1013" t="s">
        <v>5616</v>
      </c>
      <c r="G1475" s="1014" t="s">
        <v>12</v>
      </c>
      <c r="H1475" s="1015">
        <v>87152</v>
      </c>
      <c r="I1475" s="1016" t="s">
        <v>6899</v>
      </c>
    </row>
    <row r="1476" spans="2:9" ht="15.75" x14ac:dyDescent="0.25">
      <c r="B1476" s="1365" t="s">
        <v>7169</v>
      </c>
      <c r="C1476" s="1013" t="s">
        <v>5425</v>
      </c>
      <c r="D1476" s="1013" t="s">
        <v>5615</v>
      </c>
      <c r="E1476" s="1014">
        <v>5455</v>
      </c>
      <c r="F1476" s="1013" t="s">
        <v>5617</v>
      </c>
      <c r="G1476" s="1014" t="s">
        <v>12</v>
      </c>
      <c r="H1476" s="1015">
        <v>168723</v>
      </c>
      <c r="I1476" s="1016" t="s">
        <v>6899</v>
      </c>
    </row>
    <row r="1477" spans="2:9" ht="15.75" x14ac:dyDescent="0.25">
      <c r="B1477" s="1365" t="s">
        <v>7169</v>
      </c>
      <c r="C1477" s="1013" t="s">
        <v>5425</v>
      </c>
      <c r="D1477" s="1013" t="s">
        <v>5426</v>
      </c>
      <c r="E1477" s="1014">
        <v>5456</v>
      </c>
      <c r="F1477" s="1013" t="s">
        <v>5618</v>
      </c>
      <c r="G1477" s="1014" t="s">
        <v>13</v>
      </c>
      <c r="H1477" s="1015">
        <v>42782</v>
      </c>
      <c r="I1477" s="1016" t="s">
        <v>6899</v>
      </c>
    </row>
    <row r="1478" spans="2:9" ht="15.75" x14ac:dyDescent="0.25">
      <c r="B1478" s="1365" t="s">
        <v>7169</v>
      </c>
      <c r="C1478" s="1013" t="s">
        <v>5425</v>
      </c>
      <c r="D1478" s="1013" t="s">
        <v>5426</v>
      </c>
      <c r="E1478" s="1014">
        <v>5459</v>
      </c>
      <c r="F1478" s="1013" t="s">
        <v>623</v>
      </c>
      <c r="G1478" s="1014" t="s">
        <v>12</v>
      </c>
      <c r="H1478" s="1015">
        <v>73289</v>
      </c>
      <c r="I1478" s="1016" t="s">
        <v>6899</v>
      </c>
    </row>
    <row r="1479" spans="2:9" ht="15.75" x14ac:dyDescent="0.25">
      <c r="B1479" s="1365" t="s">
        <v>7169</v>
      </c>
      <c r="C1479" s="1013" t="s">
        <v>4420</v>
      </c>
      <c r="D1479" s="1013" t="s">
        <v>4420</v>
      </c>
      <c r="E1479" s="1014">
        <v>5461</v>
      </c>
      <c r="F1479" s="1013" t="s">
        <v>624</v>
      </c>
      <c r="G1479" s="1014" t="s">
        <v>13</v>
      </c>
      <c r="H1479" s="1015">
        <v>26722</v>
      </c>
      <c r="I1479" s="1016" t="s">
        <v>6899</v>
      </c>
    </row>
    <row r="1480" spans="2:9" ht="15.75" x14ac:dyDescent="0.25">
      <c r="B1480" s="1365" t="s">
        <v>7169</v>
      </c>
      <c r="C1480" s="1013" t="s">
        <v>4420</v>
      </c>
      <c r="D1480" s="1013" t="s">
        <v>4420</v>
      </c>
      <c r="E1480" s="1014">
        <v>5462</v>
      </c>
      <c r="F1480" s="1013" t="s">
        <v>5619</v>
      </c>
      <c r="G1480" s="1014" t="s">
        <v>266</v>
      </c>
      <c r="H1480" s="1015">
        <v>140749</v>
      </c>
      <c r="I1480" s="1016" t="s">
        <v>6899</v>
      </c>
    </row>
    <row r="1481" spans="2:9" ht="15.75" x14ac:dyDescent="0.25">
      <c r="B1481" s="1365" t="s">
        <v>7169</v>
      </c>
      <c r="C1481" s="1013" t="s">
        <v>4420</v>
      </c>
      <c r="D1481" s="1013" t="s">
        <v>4420</v>
      </c>
      <c r="E1481" s="1014">
        <v>5463</v>
      </c>
      <c r="F1481" s="1013" t="s">
        <v>5620</v>
      </c>
      <c r="G1481" s="1014" t="s">
        <v>266</v>
      </c>
      <c r="H1481" s="1015">
        <v>209404</v>
      </c>
      <c r="I1481" s="1016" t="s">
        <v>6899</v>
      </c>
    </row>
    <row r="1482" spans="2:9" ht="15.75" x14ac:dyDescent="0.25">
      <c r="B1482" s="1365" t="s">
        <v>7169</v>
      </c>
      <c r="C1482" s="1013" t="s">
        <v>4420</v>
      </c>
      <c r="D1482" s="1013" t="s">
        <v>4420</v>
      </c>
      <c r="E1482" s="1014">
        <v>5466</v>
      </c>
      <c r="F1482" s="1013" t="s">
        <v>625</v>
      </c>
      <c r="G1482" s="1014" t="s">
        <v>13</v>
      </c>
      <c r="H1482" s="1015">
        <v>15796</v>
      </c>
      <c r="I1482" s="1016" t="s">
        <v>6899</v>
      </c>
    </row>
    <row r="1483" spans="2:9" ht="15.75" x14ac:dyDescent="0.25">
      <c r="B1483" s="1365" t="s">
        <v>7169</v>
      </c>
      <c r="C1483" s="1013" t="s">
        <v>4420</v>
      </c>
      <c r="D1483" s="1013" t="s">
        <v>4420</v>
      </c>
      <c r="E1483" s="1014">
        <v>5467</v>
      </c>
      <c r="F1483" s="1013" t="s">
        <v>626</v>
      </c>
      <c r="G1483" s="1014" t="s">
        <v>13</v>
      </c>
      <c r="H1483" s="1015">
        <v>133599</v>
      </c>
      <c r="I1483" s="1016" t="s">
        <v>6899</v>
      </c>
    </row>
    <row r="1484" spans="2:9" ht="15.75" x14ac:dyDescent="0.25">
      <c r="B1484" s="1365" t="s">
        <v>7169</v>
      </c>
      <c r="C1484" s="1013" t="s">
        <v>4420</v>
      </c>
      <c r="D1484" s="1013" t="s">
        <v>4420</v>
      </c>
      <c r="E1484" s="1014">
        <v>5469</v>
      </c>
      <c r="F1484" s="1013" t="s">
        <v>627</v>
      </c>
      <c r="G1484" s="1014" t="s">
        <v>13</v>
      </c>
      <c r="H1484" s="1015">
        <v>16326</v>
      </c>
      <c r="I1484" s="1016" t="s">
        <v>6899</v>
      </c>
    </row>
    <row r="1485" spans="2:9" ht="15.75" x14ac:dyDescent="0.25">
      <c r="B1485" s="1365" t="s">
        <v>7169</v>
      </c>
      <c r="C1485" s="1013" t="s">
        <v>4461</v>
      </c>
      <c r="D1485" s="1013" t="s">
        <v>4461</v>
      </c>
      <c r="E1485" s="1014">
        <v>5471</v>
      </c>
      <c r="F1485" s="1013" t="s">
        <v>628</v>
      </c>
      <c r="G1485" s="1014" t="s">
        <v>13</v>
      </c>
      <c r="H1485" s="1015">
        <v>9984</v>
      </c>
      <c r="I1485" s="1016" t="s">
        <v>4398</v>
      </c>
    </row>
    <row r="1486" spans="2:9" ht="15.75" x14ac:dyDescent="0.25">
      <c r="B1486" s="1365" t="s">
        <v>7169</v>
      </c>
      <c r="C1486" s="1013" t="s">
        <v>4461</v>
      </c>
      <c r="D1486" s="1013" t="s">
        <v>4461</v>
      </c>
      <c r="E1486" s="1014">
        <v>5472</v>
      </c>
      <c r="F1486" s="1013" t="s">
        <v>629</v>
      </c>
      <c r="G1486" s="1014" t="s">
        <v>13</v>
      </c>
      <c r="H1486" s="1015">
        <v>7590</v>
      </c>
      <c r="I1486" s="1016" t="s">
        <v>6899</v>
      </c>
    </row>
    <row r="1487" spans="2:9" ht="15.75" x14ac:dyDescent="0.25">
      <c r="B1487" s="1365" t="s">
        <v>7169</v>
      </c>
      <c r="C1487" s="1013" t="s">
        <v>5425</v>
      </c>
      <c r="D1487" s="1013" t="s">
        <v>5426</v>
      </c>
      <c r="E1487" s="1014">
        <v>5494</v>
      </c>
      <c r="F1487" s="1013" t="s">
        <v>630</v>
      </c>
      <c r="G1487" s="1014" t="s">
        <v>266</v>
      </c>
      <c r="H1487" s="1015">
        <v>557693</v>
      </c>
      <c r="I1487" s="1016" t="s">
        <v>6899</v>
      </c>
    </row>
    <row r="1488" spans="2:9" ht="15.75" x14ac:dyDescent="0.25">
      <c r="B1488" s="1365" t="s">
        <v>7169</v>
      </c>
      <c r="C1488" s="1013" t="s">
        <v>5425</v>
      </c>
      <c r="D1488" s="1013" t="s">
        <v>5426</v>
      </c>
      <c r="E1488" s="1014">
        <v>5501</v>
      </c>
      <c r="F1488" s="1013" t="s">
        <v>631</v>
      </c>
      <c r="G1488" s="1014" t="s">
        <v>266</v>
      </c>
      <c r="H1488" s="1015">
        <v>550351</v>
      </c>
      <c r="I1488" s="1016" t="s">
        <v>6899</v>
      </c>
    </row>
    <row r="1489" spans="2:9" ht="15.75" x14ac:dyDescent="0.25">
      <c r="B1489" s="1365" t="s">
        <v>7169</v>
      </c>
      <c r="C1489" s="1013" t="s">
        <v>5425</v>
      </c>
      <c r="D1489" s="1013" t="s">
        <v>5426</v>
      </c>
      <c r="E1489" s="1014">
        <v>5502</v>
      </c>
      <c r="F1489" s="1013" t="s">
        <v>632</v>
      </c>
      <c r="G1489" s="1014" t="s">
        <v>266</v>
      </c>
      <c r="H1489" s="1015">
        <v>840500</v>
      </c>
      <c r="I1489" s="1016" t="s">
        <v>6899</v>
      </c>
    </row>
    <row r="1490" spans="2:9" ht="15.75" x14ac:dyDescent="0.25">
      <c r="B1490" s="1365" t="s">
        <v>7169</v>
      </c>
      <c r="C1490" s="1013" t="s">
        <v>4405</v>
      </c>
      <c r="D1490" s="1013" t="s">
        <v>4579</v>
      </c>
      <c r="E1490" s="1014">
        <v>5523</v>
      </c>
      <c r="F1490" s="1013" t="s">
        <v>633</v>
      </c>
      <c r="G1490" s="1014" t="s">
        <v>266</v>
      </c>
      <c r="H1490" s="1015">
        <v>24600</v>
      </c>
      <c r="I1490" s="1016" t="s">
        <v>4398</v>
      </c>
    </row>
    <row r="1491" spans="2:9" ht="15.75" x14ac:dyDescent="0.25">
      <c r="B1491" s="1365" t="s">
        <v>7169</v>
      </c>
      <c r="C1491" s="1013" t="s">
        <v>4405</v>
      </c>
      <c r="D1491" s="1013" t="s">
        <v>4579</v>
      </c>
      <c r="E1491" s="1014">
        <v>5524</v>
      </c>
      <c r="F1491" s="1013" t="s">
        <v>634</v>
      </c>
      <c r="G1491" s="1014" t="s">
        <v>266</v>
      </c>
      <c r="H1491" s="1015">
        <v>56890</v>
      </c>
      <c r="I1491" s="1016" t="s">
        <v>4398</v>
      </c>
    </row>
    <row r="1492" spans="2:9" ht="15.75" x14ac:dyDescent="0.25">
      <c r="B1492" s="1365" t="s">
        <v>7169</v>
      </c>
      <c r="C1492" s="1013" t="s">
        <v>4405</v>
      </c>
      <c r="D1492" s="1013" t="s">
        <v>4579</v>
      </c>
      <c r="E1492" s="1014">
        <v>5525</v>
      </c>
      <c r="F1492" s="1013" t="s">
        <v>5621</v>
      </c>
      <c r="G1492" s="1014" t="s">
        <v>266</v>
      </c>
      <c r="H1492" s="1015">
        <v>67018</v>
      </c>
      <c r="I1492" s="1016" t="s">
        <v>4398</v>
      </c>
    </row>
    <row r="1493" spans="2:9" ht="15.75" x14ac:dyDescent="0.25">
      <c r="B1493" s="1365" t="s">
        <v>7169</v>
      </c>
      <c r="C1493" s="1013" t="s">
        <v>4461</v>
      </c>
      <c r="D1493" s="1013" t="s">
        <v>4461</v>
      </c>
      <c r="E1493" s="1014">
        <v>5527</v>
      </c>
      <c r="F1493" s="1013" t="s">
        <v>635</v>
      </c>
      <c r="G1493" s="1014" t="s">
        <v>13</v>
      </c>
      <c r="H1493" s="1015">
        <v>28199</v>
      </c>
      <c r="I1493" s="1016" t="s">
        <v>4398</v>
      </c>
    </row>
    <row r="1494" spans="2:9" ht="15.75" x14ac:dyDescent="0.25">
      <c r="B1494" s="1365" t="s">
        <v>7169</v>
      </c>
      <c r="C1494" s="1013" t="s">
        <v>4461</v>
      </c>
      <c r="D1494" s="1013" t="s">
        <v>4461</v>
      </c>
      <c r="E1494" s="1014">
        <v>5528</v>
      </c>
      <c r="F1494" s="1013" t="s">
        <v>636</v>
      </c>
      <c r="G1494" s="1014" t="s">
        <v>13</v>
      </c>
      <c r="H1494" s="1015">
        <v>20276</v>
      </c>
      <c r="I1494" s="1016" t="s">
        <v>4398</v>
      </c>
    </row>
    <row r="1495" spans="2:9" ht="15.75" x14ac:dyDescent="0.25">
      <c r="B1495" s="1365" t="s">
        <v>7169</v>
      </c>
      <c r="C1495" s="1013" t="s">
        <v>4799</v>
      </c>
      <c r="D1495" s="1013" t="s">
        <v>4800</v>
      </c>
      <c r="E1495" s="1014">
        <v>5535</v>
      </c>
      <c r="F1495" s="1013" t="s">
        <v>637</v>
      </c>
      <c r="G1495" s="1014" t="s">
        <v>342</v>
      </c>
      <c r="H1495" s="1015">
        <v>205904</v>
      </c>
      <c r="I1495" s="1016" t="s">
        <v>4398</v>
      </c>
    </row>
    <row r="1496" spans="2:9" ht="15.75" x14ac:dyDescent="0.25">
      <c r="B1496" s="1365" t="s">
        <v>7169</v>
      </c>
      <c r="C1496" s="1013" t="s">
        <v>4799</v>
      </c>
      <c r="D1496" s="1013" t="s">
        <v>4800</v>
      </c>
      <c r="E1496" s="1014">
        <v>5536</v>
      </c>
      <c r="F1496" s="1013" t="s">
        <v>5622</v>
      </c>
      <c r="G1496" s="1014" t="s">
        <v>202</v>
      </c>
      <c r="H1496" s="1015">
        <v>26286</v>
      </c>
      <c r="I1496" s="1016" t="s">
        <v>4398</v>
      </c>
    </row>
    <row r="1497" spans="2:9" ht="15.75" x14ac:dyDescent="0.25">
      <c r="B1497" s="1365" t="s">
        <v>7169</v>
      </c>
      <c r="C1497" s="1013" t="s">
        <v>4405</v>
      </c>
      <c r="D1497" s="1013" t="s">
        <v>4579</v>
      </c>
      <c r="E1497" s="1014">
        <v>5540</v>
      </c>
      <c r="F1497" s="1013" t="s">
        <v>5623</v>
      </c>
      <c r="G1497" s="1014" t="s">
        <v>13</v>
      </c>
      <c r="H1497" s="1015">
        <v>3560</v>
      </c>
      <c r="I1497" s="1016" t="s">
        <v>4398</v>
      </c>
    </row>
    <row r="1498" spans="2:9" ht="15.75" x14ac:dyDescent="0.25">
      <c r="B1498" s="1365" t="s">
        <v>7169</v>
      </c>
      <c r="C1498" s="1013" t="s">
        <v>4405</v>
      </c>
      <c r="D1498" s="1013" t="s">
        <v>4579</v>
      </c>
      <c r="E1498" s="1014">
        <v>5541</v>
      </c>
      <c r="F1498" s="1013" t="s">
        <v>5624</v>
      </c>
      <c r="G1498" s="1014" t="s">
        <v>13</v>
      </c>
      <c r="H1498" s="1015">
        <v>5133</v>
      </c>
      <c r="I1498" s="1016" t="s">
        <v>4398</v>
      </c>
    </row>
    <row r="1499" spans="2:9" ht="15.75" x14ac:dyDescent="0.25">
      <c r="B1499" s="1365" t="s">
        <v>7169</v>
      </c>
      <c r="C1499" s="1013" t="s">
        <v>4405</v>
      </c>
      <c r="D1499" s="1013" t="s">
        <v>4579</v>
      </c>
      <c r="E1499" s="1014">
        <v>5542</v>
      </c>
      <c r="F1499" s="1013" t="s">
        <v>5625</v>
      </c>
      <c r="G1499" s="1014" t="s">
        <v>13</v>
      </c>
      <c r="H1499" s="1015">
        <v>7496</v>
      </c>
      <c r="I1499" s="1016" t="s">
        <v>4398</v>
      </c>
    </row>
    <row r="1500" spans="2:9" ht="15.75" x14ac:dyDescent="0.25">
      <c r="B1500" s="1365" t="s">
        <v>7169</v>
      </c>
      <c r="C1500" s="1013" t="s">
        <v>4405</v>
      </c>
      <c r="D1500" s="1013" t="s">
        <v>4579</v>
      </c>
      <c r="E1500" s="1014">
        <v>5543</v>
      </c>
      <c r="F1500" s="1013" t="s">
        <v>5626</v>
      </c>
      <c r="G1500" s="1014" t="s">
        <v>13</v>
      </c>
      <c r="H1500" s="1015">
        <v>11066</v>
      </c>
      <c r="I1500" s="1016" t="s">
        <v>4398</v>
      </c>
    </row>
    <row r="1501" spans="2:9" ht="15.75" x14ac:dyDescent="0.25">
      <c r="B1501" s="1365" t="s">
        <v>7169</v>
      </c>
      <c r="C1501" s="1013" t="s">
        <v>4405</v>
      </c>
      <c r="D1501" s="1013" t="s">
        <v>4579</v>
      </c>
      <c r="E1501" s="1014">
        <v>5545</v>
      </c>
      <c r="F1501" s="1013" t="s">
        <v>5627</v>
      </c>
      <c r="G1501" s="1014" t="s">
        <v>13</v>
      </c>
      <c r="H1501" s="1015">
        <v>89060</v>
      </c>
      <c r="I1501" s="1016" t="s">
        <v>4398</v>
      </c>
    </row>
    <row r="1502" spans="2:9" ht="15.75" x14ac:dyDescent="0.25">
      <c r="B1502" s="1365" t="s">
        <v>7169</v>
      </c>
      <c r="C1502" s="1013" t="s">
        <v>4405</v>
      </c>
      <c r="D1502" s="1013" t="s">
        <v>4579</v>
      </c>
      <c r="E1502" s="1014">
        <v>5546</v>
      </c>
      <c r="F1502" s="1013" t="s">
        <v>5628</v>
      </c>
      <c r="G1502" s="1014" t="s">
        <v>13</v>
      </c>
      <c r="H1502" s="1015">
        <v>119530</v>
      </c>
      <c r="I1502" s="1016" t="s">
        <v>4398</v>
      </c>
    </row>
    <row r="1503" spans="2:9" ht="15.75" x14ac:dyDescent="0.25">
      <c r="B1503" s="1365" t="s">
        <v>7169</v>
      </c>
      <c r="C1503" s="1013" t="s">
        <v>4405</v>
      </c>
      <c r="D1503" s="1013" t="s">
        <v>4579</v>
      </c>
      <c r="E1503" s="1014">
        <v>5547</v>
      </c>
      <c r="F1503" s="1013" t="s">
        <v>5629</v>
      </c>
      <c r="G1503" s="1014" t="s">
        <v>13</v>
      </c>
      <c r="H1503" s="1015">
        <v>87813</v>
      </c>
      <c r="I1503" s="1016" t="s">
        <v>4398</v>
      </c>
    </row>
    <row r="1504" spans="2:9" ht="15.75" x14ac:dyDescent="0.25">
      <c r="B1504" s="1365" t="s">
        <v>7169</v>
      </c>
      <c r="C1504" s="1013" t="s">
        <v>4405</v>
      </c>
      <c r="D1504" s="1013" t="s">
        <v>4579</v>
      </c>
      <c r="E1504" s="1014">
        <v>5548</v>
      </c>
      <c r="F1504" s="1013" t="s">
        <v>5630</v>
      </c>
      <c r="G1504" s="1014" t="s">
        <v>13</v>
      </c>
      <c r="H1504" s="1015">
        <v>29417</v>
      </c>
      <c r="I1504" s="1016" t="s">
        <v>4398</v>
      </c>
    </row>
    <row r="1505" spans="2:9" ht="15.75" x14ac:dyDescent="0.25">
      <c r="B1505" s="1365" t="s">
        <v>7169</v>
      </c>
      <c r="C1505" s="1013" t="s">
        <v>4405</v>
      </c>
      <c r="D1505" s="1013" t="s">
        <v>4579</v>
      </c>
      <c r="E1505" s="1014">
        <v>5549</v>
      </c>
      <c r="F1505" s="1013" t="s">
        <v>5631</v>
      </c>
      <c r="G1505" s="1014" t="s">
        <v>13</v>
      </c>
      <c r="H1505" s="1015">
        <v>208145</v>
      </c>
      <c r="I1505" s="1016" t="s">
        <v>4398</v>
      </c>
    </row>
    <row r="1506" spans="2:9" ht="15.75" x14ac:dyDescent="0.25">
      <c r="B1506" s="1365" t="s">
        <v>7169</v>
      </c>
      <c r="C1506" s="1013" t="s">
        <v>4405</v>
      </c>
      <c r="D1506" s="1013" t="s">
        <v>4579</v>
      </c>
      <c r="E1506" s="1014">
        <v>5550</v>
      </c>
      <c r="F1506" s="1013" t="s">
        <v>5632</v>
      </c>
      <c r="G1506" s="1014" t="s">
        <v>13</v>
      </c>
      <c r="H1506" s="1015">
        <v>184577</v>
      </c>
      <c r="I1506" s="1016" t="s">
        <v>4398</v>
      </c>
    </row>
    <row r="1507" spans="2:9" ht="15.75" x14ac:dyDescent="0.25">
      <c r="B1507" s="1365" t="s">
        <v>7169</v>
      </c>
      <c r="C1507" s="1013" t="s">
        <v>4405</v>
      </c>
      <c r="D1507" s="1013" t="s">
        <v>4579</v>
      </c>
      <c r="E1507" s="1014">
        <v>5551</v>
      </c>
      <c r="F1507" s="1013" t="s">
        <v>5633</v>
      </c>
      <c r="G1507" s="1014" t="s">
        <v>13</v>
      </c>
      <c r="H1507" s="1015">
        <v>40108</v>
      </c>
      <c r="I1507" s="1016" t="s">
        <v>4398</v>
      </c>
    </row>
    <row r="1508" spans="2:9" ht="15.75" x14ac:dyDescent="0.25">
      <c r="B1508" s="1365" t="s">
        <v>7169</v>
      </c>
      <c r="C1508" s="1013" t="s">
        <v>4405</v>
      </c>
      <c r="D1508" s="1013" t="s">
        <v>4579</v>
      </c>
      <c r="E1508" s="1014">
        <v>5552</v>
      </c>
      <c r="F1508" s="1013" t="s">
        <v>5634</v>
      </c>
      <c r="G1508" s="1014" t="s">
        <v>266</v>
      </c>
      <c r="H1508" s="1015">
        <v>16656</v>
      </c>
      <c r="I1508" s="1016" t="s">
        <v>4398</v>
      </c>
    </row>
    <row r="1509" spans="2:9" ht="15.75" x14ac:dyDescent="0.25">
      <c r="B1509" s="1365" t="s">
        <v>7169</v>
      </c>
      <c r="C1509" s="1013" t="s">
        <v>4405</v>
      </c>
      <c r="D1509" s="1013" t="s">
        <v>4579</v>
      </c>
      <c r="E1509" s="1014">
        <v>5556</v>
      </c>
      <c r="F1509" s="1013" t="s">
        <v>5635</v>
      </c>
      <c r="G1509" s="1014" t="s">
        <v>13</v>
      </c>
      <c r="H1509" s="1015">
        <v>32514</v>
      </c>
      <c r="I1509" s="1016" t="s">
        <v>4398</v>
      </c>
    </row>
    <row r="1510" spans="2:9" ht="15.75" x14ac:dyDescent="0.25">
      <c r="B1510" s="1365" t="s">
        <v>7169</v>
      </c>
      <c r="C1510" s="1013" t="s">
        <v>4405</v>
      </c>
      <c r="D1510" s="1013" t="s">
        <v>4579</v>
      </c>
      <c r="E1510" s="1014">
        <v>5557</v>
      </c>
      <c r="F1510" s="1013" t="s">
        <v>5636</v>
      </c>
      <c r="G1510" s="1014" t="s">
        <v>13</v>
      </c>
      <c r="H1510" s="1015">
        <v>81688</v>
      </c>
      <c r="I1510" s="1016" t="s">
        <v>4398</v>
      </c>
    </row>
    <row r="1511" spans="2:9" ht="15.75" x14ac:dyDescent="0.25">
      <c r="B1511" s="1365" t="s">
        <v>7169</v>
      </c>
      <c r="C1511" s="1013" t="s">
        <v>4405</v>
      </c>
      <c r="D1511" s="1013" t="s">
        <v>4579</v>
      </c>
      <c r="E1511" s="1014">
        <v>5558</v>
      </c>
      <c r="F1511" s="1013" t="s">
        <v>5637</v>
      </c>
      <c r="G1511" s="1014" t="s">
        <v>13</v>
      </c>
      <c r="H1511" s="1015">
        <v>122994</v>
      </c>
      <c r="I1511" s="1016" t="s">
        <v>6899</v>
      </c>
    </row>
    <row r="1512" spans="2:9" ht="15.75" x14ac:dyDescent="0.25">
      <c r="B1512" s="1365" t="s">
        <v>7169</v>
      </c>
      <c r="C1512" s="1013" t="s">
        <v>4405</v>
      </c>
      <c r="D1512" s="1013" t="s">
        <v>4579</v>
      </c>
      <c r="E1512" s="1014">
        <v>5561</v>
      </c>
      <c r="F1512" s="1013" t="s">
        <v>5638</v>
      </c>
      <c r="G1512" s="1014" t="s">
        <v>13</v>
      </c>
      <c r="H1512" s="1015">
        <v>191419</v>
      </c>
      <c r="I1512" s="1016" t="s">
        <v>4398</v>
      </c>
    </row>
    <row r="1513" spans="2:9" ht="15.75" x14ac:dyDescent="0.25">
      <c r="B1513" s="1365" t="s">
        <v>7169</v>
      </c>
      <c r="C1513" s="1013" t="s">
        <v>4405</v>
      </c>
      <c r="D1513" s="1013" t="s">
        <v>4579</v>
      </c>
      <c r="E1513" s="1014">
        <v>5562</v>
      </c>
      <c r="F1513" s="1013" t="s">
        <v>5639</v>
      </c>
      <c r="G1513" s="1014" t="s">
        <v>13</v>
      </c>
      <c r="H1513" s="1015">
        <v>95569</v>
      </c>
      <c r="I1513" s="1016" t="s">
        <v>4398</v>
      </c>
    </row>
    <row r="1514" spans="2:9" ht="15.75" x14ac:dyDescent="0.25">
      <c r="B1514" s="1365" t="s">
        <v>7169</v>
      </c>
      <c r="C1514" s="1013" t="s">
        <v>4405</v>
      </c>
      <c r="D1514" s="1013" t="s">
        <v>4579</v>
      </c>
      <c r="E1514" s="1014">
        <v>5567</v>
      </c>
      <c r="F1514" s="1013" t="s">
        <v>5640</v>
      </c>
      <c r="G1514" s="1014" t="s">
        <v>13</v>
      </c>
      <c r="H1514" s="1015">
        <v>20096</v>
      </c>
      <c r="I1514" s="1016" t="s">
        <v>4398</v>
      </c>
    </row>
    <row r="1515" spans="2:9" ht="15.75" x14ac:dyDescent="0.25">
      <c r="B1515" s="1365" t="s">
        <v>7169</v>
      </c>
      <c r="C1515" s="1013" t="s">
        <v>4405</v>
      </c>
      <c r="D1515" s="1013" t="s">
        <v>4579</v>
      </c>
      <c r="E1515" s="1014">
        <v>5570</v>
      </c>
      <c r="F1515" s="1013" t="s">
        <v>5641</v>
      </c>
      <c r="G1515" s="1014" t="s">
        <v>13</v>
      </c>
      <c r="H1515" s="1015">
        <v>336506</v>
      </c>
      <c r="I1515" s="1016" t="s">
        <v>4398</v>
      </c>
    </row>
    <row r="1516" spans="2:9" ht="15.75" x14ac:dyDescent="0.25">
      <c r="B1516" s="1365" t="s">
        <v>7169</v>
      </c>
      <c r="C1516" s="1013" t="s">
        <v>4405</v>
      </c>
      <c r="D1516" s="1013" t="s">
        <v>4579</v>
      </c>
      <c r="E1516" s="1014">
        <v>5571</v>
      </c>
      <c r="F1516" s="1013" t="s">
        <v>5642</v>
      </c>
      <c r="G1516" s="1014" t="s">
        <v>13</v>
      </c>
      <c r="H1516" s="1015">
        <v>61242</v>
      </c>
      <c r="I1516" s="1016" t="s">
        <v>4398</v>
      </c>
    </row>
    <row r="1517" spans="2:9" ht="15.75" x14ac:dyDescent="0.25">
      <c r="B1517" s="1365" t="s">
        <v>7169</v>
      </c>
      <c r="C1517" s="1013" t="s">
        <v>4405</v>
      </c>
      <c r="D1517" s="1013" t="s">
        <v>4579</v>
      </c>
      <c r="E1517" s="1014">
        <v>5572</v>
      </c>
      <c r="F1517" s="1013" t="s">
        <v>5643</v>
      </c>
      <c r="G1517" s="1014" t="s">
        <v>13</v>
      </c>
      <c r="H1517" s="1015">
        <v>30665</v>
      </c>
      <c r="I1517" s="1016" t="s">
        <v>4398</v>
      </c>
    </row>
    <row r="1518" spans="2:9" ht="15.75" x14ac:dyDescent="0.25">
      <c r="B1518" s="1365" t="s">
        <v>7169</v>
      </c>
      <c r="C1518" s="1013" t="s">
        <v>4405</v>
      </c>
      <c r="D1518" s="1013" t="s">
        <v>4579</v>
      </c>
      <c r="E1518" s="1014">
        <v>5573</v>
      </c>
      <c r="F1518" s="1013" t="s">
        <v>5644</v>
      </c>
      <c r="G1518" s="1014" t="s">
        <v>13</v>
      </c>
      <c r="H1518" s="1015">
        <v>24319</v>
      </c>
      <c r="I1518" s="1016" t="s">
        <v>4398</v>
      </c>
    </row>
    <row r="1519" spans="2:9" ht="15.75" x14ac:dyDescent="0.25">
      <c r="B1519" s="1365" t="s">
        <v>7169</v>
      </c>
      <c r="C1519" s="1013" t="s">
        <v>4405</v>
      </c>
      <c r="D1519" s="1013" t="s">
        <v>4579</v>
      </c>
      <c r="E1519" s="1014">
        <v>5574</v>
      </c>
      <c r="F1519" s="1013" t="s">
        <v>5645</v>
      </c>
      <c r="G1519" s="1014" t="s">
        <v>13</v>
      </c>
      <c r="H1519" s="1015">
        <v>16319</v>
      </c>
      <c r="I1519" s="1016" t="s">
        <v>4398</v>
      </c>
    </row>
    <row r="1520" spans="2:9" ht="15.75" x14ac:dyDescent="0.25">
      <c r="B1520" s="1365" t="s">
        <v>7169</v>
      </c>
      <c r="C1520" s="1013" t="s">
        <v>4405</v>
      </c>
      <c r="D1520" s="1013" t="s">
        <v>4579</v>
      </c>
      <c r="E1520" s="1014">
        <v>5575</v>
      </c>
      <c r="F1520" s="1013" t="s">
        <v>5646</v>
      </c>
      <c r="G1520" s="1014" t="s">
        <v>13</v>
      </c>
      <c r="H1520" s="1015">
        <v>51592</v>
      </c>
      <c r="I1520" s="1016" t="s">
        <v>4398</v>
      </c>
    </row>
    <row r="1521" spans="2:9" ht="15.75" x14ac:dyDescent="0.25">
      <c r="B1521" s="1365" t="s">
        <v>7169</v>
      </c>
      <c r="C1521" s="1013" t="s">
        <v>4405</v>
      </c>
      <c r="D1521" s="1013" t="s">
        <v>4579</v>
      </c>
      <c r="E1521" s="1014">
        <v>5576</v>
      </c>
      <c r="F1521" s="1013" t="s">
        <v>5647</v>
      </c>
      <c r="G1521" s="1014" t="s">
        <v>13</v>
      </c>
      <c r="H1521" s="1015">
        <v>20319</v>
      </c>
      <c r="I1521" s="1016" t="s">
        <v>4398</v>
      </c>
    </row>
    <row r="1522" spans="2:9" ht="15.75" x14ac:dyDescent="0.25">
      <c r="B1522" s="1365" t="s">
        <v>7169</v>
      </c>
      <c r="C1522" s="1013" t="s">
        <v>4405</v>
      </c>
      <c r="D1522" s="1013" t="s">
        <v>4579</v>
      </c>
      <c r="E1522" s="1014">
        <v>5577</v>
      </c>
      <c r="F1522" s="1013" t="s">
        <v>5648</v>
      </c>
      <c r="G1522" s="1014" t="s">
        <v>13</v>
      </c>
      <c r="H1522" s="1015">
        <v>265456</v>
      </c>
      <c r="I1522" s="1016" t="s">
        <v>4398</v>
      </c>
    </row>
    <row r="1523" spans="2:9" ht="15.75" x14ac:dyDescent="0.25">
      <c r="B1523" s="1365" t="s">
        <v>7169</v>
      </c>
      <c r="C1523" s="1013" t="s">
        <v>4405</v>
      </c>
      <c r="D1523" s="1013" t="s">
        <v>4579</v>
      </c>
      <c r="E1523" s="1014">
        <v>5581</v>
      </c>
      <c r="F1523" s="1013" t="s">
        <v>5649</v>
      </c>
      <c r="G1523" s="1014" t="s">
        <v>13</v>
      </c>
      <c r="H1523" s="1015">
        <v>389704</v>
      </c>
      <c r="I1523" s="1016" t="s">
        <v>4398</v>
      </c>
    </row>
    <row r="1524" spans="2:9" ht="15.75" x14ac:dyDescent="0.25">
      <c r="B1524" s="1365" t="s">
        <v>7169</v>
      </c>
      <c r="C1524" s="1013" t="s">
        <v>4405</v>
      </c>
      <c r="D1524" s="1013" t="s">
        <v>4579</v>
      </c>
      <c r="E1524" s="1014">
        <v>5582</v>
      </c>
      <c r="F1524" s="1013" t="s">
        <v>5650</v>
      </c>
      <c r="G1524" s="1014" t="s">
        <v>13</v>
      </c>
      <c r="H1524" s="1015">
        <v>53709</v>
      </c>
      <c r="I1524" s="1016" t="s">
        <v>4398</v>
      </c>
    </row>
    <row r="1525" spans="2:9" ht="15.75" x14ac:dyDescent="0.25">
      <c r="B1525" s="1365" t="s">
        <v>7169</v>
      </c>
      <c r="C1525" s="1013" t="s">
        <v>4405</v>
      </c>
      <c r="D1525" s="1013" t="s">
        <v>4579</v>
      </c>
      <c r="E1525" s="1014">
        <v>5585</v>
      </c>
      <c r="F1525" s="1013" t="s">
        <v>5651</v>
      </c>
      <c r="G1525" s="1014" t="s">
        <v>266</v>
      </c>
      <c r="H1525" s="1015">
        <v>56898</v>
      </c>
      <c r="I1525" s="1016" t="s">
        <v>4398</v>
      </c>
    </row>
    <row r="1526" spans="2:9" ht="15.75" x14ac:dyDescent="0.25">
      <c r="B1526" s="1365" t="s">
        <v>7169</v>
      </c>
      <c r="C1526" s="1013" t="s">
        <v>4405</v>
      </c>
      <c r="D1526" s="1013" t="s">
        <v>4579</v>
      </c>
      <c r="E1526" s="1014">
        <v>5586</v>
      </c>
      <c r="F1526" s="1013" t="s">
        <v>5652</v>
      </c>
      <c r="G1526" s="1014" t="s">
        <v>13</v>
      </c>
      <c r="H1526" s="1015">
        <v>37941</v>
      </c>
      <c r="I1526" s="1016" t="s">
        <v>6899</v>
      </c>
    </row>
    <row r="1527" spans="2:9" ht="15.75" x14ac:dyDescent="0.25">
      <c r="B1527" s="1365" t="s">
        <v>7169</v>
      </c>
      <c r="C1527" s="1013" t="s">
        <v>4405</v>
      </c>
      <c r="D1527" s="1013" t="s">
        <v>4579</v>
      </c>
      <c r="E1527" s="1014">
        <v>5587</v>
      </c>
      <c r="F1527" s="1013" t="s">
        <v>5653</v>
      </c>
      <c r="G1527" s="1014" t="s">
        <v>13</v>
      </c>
      <c r="H1527" s="1015">
        <v>67303</v>
      </c>
      <c r="I1527" s="1016" t="s">
        <v>6899</v>
      </c>
    </row>
    <row r="1528" spans="2:9" ht="15.75" x14ac:dyDescent="0.25">
      <c r="B1528" s="1365" t="s">
        <v>7169</v>
      </c>
      <c r="C1528" s="1013" t="s">
        <v>4405</v>
      </c>
      <c r="D1528" s="1013" t="s">
        <v>4579</v>
      </c>
      <c r="E1528" s="1014">
        <v>5588</v>
      </c>
      <c r="F1528" s="1013" t="s">
        <v>5654</v>
      </c>
      <c r="G1528" s="1014" t="s">
        <v>13</v>
      </c>
      <c r="H1528" s="1015">
        <v>194022</v>
      </c>
      <c r="I1528" s="1016" t="s">
        <v>4398</v>
      </c>
    </row>
    <row r="1529" spans="2:9" ht="15.75" x14ac:dyDescent="0.25">
      <c r="B1529" s="1365" t="s">
        <v>7169</v>
      </c>
      <c r="C1529" s="1013" t="s">
        <v>4405</v>
      </c>
      <c r="D1529" s="1013" t="s">
        <v>4579</v>
      </c>
      <c r="E1529" s="1014">
        <v>5591</v>
      </c>
      <c r="F1529" s="1013" t="s">
        <v>5655</v>
      </c>
      <c r="G1529" s="1014" t="s">
        <v>13</v>
      </c>
      <c r="H1529" s="1015">
        <v>244670</v>
      </c>
      <c r="I1529" s="1016" t="s">
        <v>4398</v>
      </c>
    </row>
    <row r="1530" spans="2:9" ht="15.75" x14ac:dyDescent="0.25">
      <c r="B1530" s="1365" t="s">
        <v>7169</v>
      </c>
      <c r="C1530" s="1013" t="s">
        <v>4405</v>
      </c>
      <c r="D1530" s="1013" t="s">
        <v>4579</v>
      </c>
      <c r="E1530" s="1014">
        <v>5595</v>
      </c>
      <c r="F1530" s="1013" t="s">
        <v>5656</v>
      </c>
      <c r="G1530" s="1014" t="s">
        <v>13</v>
      </c>
      <c r="H1530" s="1015">
        <v>140111</v>
      </c>
      <c r="I1530" s="1016" t="s">
        <v>6899</v>
      </c>
    </row>
    <row r="1531" spans="2:9" ht="15.75" x14ac:dyDescent="0.25">
      <c r="B1531" s="1365" t="s">
        <v>7169</v>
      </c>
      <c r="C1531" s="1013" t="s">
        <v>4405</v>
      </c>
      <c r="D1531" s="1013" t="s">
        <v>4579</v>
      </c>
      <c r="E1531" s="1014">
        <v>5599</v>
      </c>
      <c r="F1531" s="1013" t="s">
        <v>5657</v>
      </c>
      <c r="G1531" s="1014" t="s">
        <v>13</v>
      </c>
      <c r="H1531" s="1015">
        <v>271943</v>
      </c>
      <c r="I1531" s="1016" t="s">
        <v>4398</v>
      </c>
    </row>
    <row r="1532" spans="2:9" ht="15.75" x14ac:dyDescent="0.25">
      <c r="B1532" s="1365" t="s">
        <v>7169</v>
      </c>
      <c r="C1532" s="1013" t="s">
        <v>4405</v>
      </c>
      <c r="D1532" s="1013" t="s">
        <v>4579</v>
      </c>
      <c r="E1532" s="1014">
        <v>5602</v>
      </c>
      <c r="F1532" s="1013" t="s">
        <v>5658</v>
      </c>
      <c r="G1532" s="1014" t="s">
        <v>13</v>
      </c>
      <c r="H1532" s="1015">
        <v>3387855</v>
      </c>
      <c r="I1532" s="1016" t="s">
        <v>4398</v>
      </c>
    </row>
    <row r="1533" spans="2:9" ht="15.75" x14ac:dyDescent="0.25">
      <c r="B1533" s="1365" t="s">
        <v>7169</v>
      </c>
      <c r="C1533" s="1013" t="s">
        <v>4405</v>
      </c>
      <c r="D1533" s="1013" t="s">
        <v>4579</v>
      </c>
      <c r="E1533" s="1014">
        <v>5603</v>
      </c>
      <c r="F1533" s="1013" t="s">
        <v>5659</v>
      </c>
      <c r="G1533" s="1014" t="s">
        <v>13</v>
      </c>
      <c r="H1533" s="1015">
        <v>127468</v>
      </c>
      <c r="I1533" s="1016" t="s">
        <v>4398</v>
      </c>
    </row>
    <row r="1534" spans="2:9" ht="15.75" x14ac:dyDescent="0.25">
      <c r="B1534" s="1365" t="s">
        <v>7169</v>
      </c>
      <c r="C1534" s="1013" t="s">
        <v>4431</v>
      </c>
      <c r="D1534" s="1013" t="s">
        <v>4432</v>
      </c>
      <c r="E1534" s="1014">
        <v>5604</v>
      </c>
      <c r="F1534" s="1013" t="s">
        <v>5660</v>
      </c>
      <c r="G1534" s="1014" t="s">
        <v>13</v>
      </c>
      <c r="H1534" s="1015">
        <v>99231</v>
      </c>
      <c r="I1534" s="1016" t="s">
        <v>6899</v>
      </c>
    </row>
    <row r="1535" spans="2:9" ht="15.75" x14ac:dyDescent="0.25">
      <c r="B1535" s="1365" t="s">
        <v>7169</v>
      </c>
      <c r="C1535" s="1013" t="s">
        <v>4431</v>
      </c>
      <c r="D1535" s="1013" t="s">
        <v>4432</v>
      </c>
      <c r="E1535" s="1014">
        <v>5606</v>
      </c>
      <c r="F1535" s="1013" t="s">
        <v>5661</v>
      </c>
      <c r="G1535" s="1014" t="s">
        <v>13</v>
      </c>
      <c r="H1535" s="1015">
        <v>178852</v>
      </c>
      <c r="I1535" s="1016" t="s">
        <v>6899</v>
      </c>
    </row>
    <row r="1536" spans="2:9" ht="15.75" x14ac:dyDescent="0.25">
      <c r="B1536" s="1365" t="s">
        <v>7169</v>
      </c>
      <c r="C1536" s="1013" t="s">
        <v>4405</v>
      </c>
      <c r="D1536" s="1013" t="s">
        <v>4579</v>
      </c>
      <c r="E1536" s="1014">
        <v>5610</v>
      </c>
      <c r="F1536" s="1013" t="s">
        <v>5662</v>
      </c>
      <c r="G1536" s="1014" t="s">
        <v>13</v>
      </c>
      <c r="H1536" s="1015">
        <v>181031</v>
      </c>
      <c r="I1536" s="1016" t="s">
        <v>6899</v>
      </c>
    </row>
    <row r="1537" spans="2:9" ht="15.75" x14ac:dyDescent="0.25">
      <c r="B1537" s="1365" t="s">
        <v>7169</v>
      </c>
      <c r="C1537" s="1013" t="s">
        <v>4405</v>
      </c>
      <c r="D1537" s="1013" t="s">
        <v>4579</v>
      </c>
      <c r="E1537" s="1014">
        <v>5611</v>
      </c>
      <c r="F1537" s="1013" t="s">
        <v>5663</v>
      </c>
      <c r="G1537" s="1014" t="s">
        <v>13</v>
      </c>
      <c r="H1537" s="1015">
        <v>117319</v>
      </c>
      <c r="I1537" s="1016" t="s">
        <v>4398</v>
      </c>
    </row>
    <row r="1538" spans="2:9" ht="15.75" x14ac:dyDescent="0.25">
      <c r="B1538" s="1365" t="s">
        <v>7169</v>
      </c>
      <c r="C1538" s="1013" t="s">
        <v>4405</v>
      </c>
      <c r="D1538" s="1013" t="s">
        <v>4579</v>
      </c>
      <c r="E1538" s="1014">
        <v>5616</v>
      </c>
      <c r="F1538" s="1013" t="s">
        <v>5664</v>
      </c>
      <c r="G1538" s="1014" t="s">
        <v>13</v>
      </c>
      <c r="H1538" s="1015">
        <v>12734</v>
      </c>
      <c r="I1538" s="1016" t="s">
        <v>4398</v>
      </c>
    </row>
    <row r="1539" spans="2:9" ht="15.75" x14ac:dyDescent="0.25">
      <c r="B1539" s="1365" t="s">
        <v>7169</v>
      </c>
      <c r="C1539" s="1013" t="s">
        <v>4405</v>
      </c>
      <c r="D1539" s="1013" t="s">
        <v>4579</v>
      </c>
      <c r="E1539" s="1014">
        <v>5621</v>
      </c>
      <c r="F1539" s="1013" t="s">
        <v>5665</v>
      </c>
      <c r="G1539" s="1014" t="s">
        <v>13</v>
      </c>
      <c r="H1539" s="1015">
        <v>39833</v>
      </c>
      <c r="I1539" s="1016" t="s">
        <v>4398</v>
      </c>
    </row>
    <row r="1540" spans="2:9" ht="15.75" x14ac:dyDescent="0.25">
      <c r="B1540" s="1365" t="s">
        <v>7169</v>
      </c>
      <c r="C1540" s="1013" t="s">
        <v>4405</v>
      </c>
      <c r="D1540" s="1013" t="s">
        <v>4579</v>
      </c>
      <c r="E1540" s="1014">
        <v>5626</v>
      </c>
      <c r="F1540" s="1013" t="s">
        <v>5666</v>
      </c>
      <c r="G1540" s="1014" t="s">
        <v>266</v>
      </c>
      <c r="H1540" s="1015">
        <v>12011</v>
      </c>
      <c r="I1540" s="1016" t="s">
        <v>4398</v>
      </c>
    </row>
    <row r="1541" spans="2:9" ht="15.75" x14ac:dyDescent="0.25">
      <c r="B1541" s="1365" t="s">
        <v>7169</v>
      </c>
      <c r="C1541" s="1013" t="s">
        <v>4405</v>
      </c>
      <c r="D1541" s="1013" t="s">
        <v>4579</v>
      </c>
      <c r="E1541" s="1014">
        <v>5628</v>
      </c>
      <c r="F1541" s="1013" t="s">
        <v>5667</v>
      </c>
      <c r="G1541" s="1014" t="s">
        <v>13</v>
      </c>
      <c r="H1541" s="1015">
        <v>11600</v>
      </c>
      <c r="I1541" s="1016" t="s">
        <v>4398</v>
      </c>
    </row>
    <row r="1542" spans="2:9" ht="15.75" x14ac:dyDescent="0.25">
      <c r="B1542" s="1365" t="s">
        <v>7169</v>
      </c>
      <c r="C1542" s="1013" t="s">
        <v>4405</v>
      </c>
      <c r="D1542" s="1013" t="s">
        <v>4579</v>
      </c>
      <c r="E1542" s="1014">
        <v>5629</v>
      </c>
      <c r="F1542" s="1013" t="s">
        <v>5668</v>
      </c>
      <c r="G1542" s="1014" t="s">
        <v>13</v>
      </c>
      <c r="H1542" s="1015">
        <v>55177</v>
      </c>
      <c r="I1542" s="1016" t="s">
        <v>4398</v>
      </c>
    </row>
    <row r="1543" spans="2:9" ht="15.75" x14ac:dyDescent="0.25">
      <c r="B1543" s="1365" t="s">
        <v>7169</v>
      </c>
      <c r="C1543" s="1013" t="s">
        <v>4405</v>
      </c>
      <c r="D1543" s="1013" t="s">
        <v>4579</v>
      </c>
      <c r="E1543" s="1014">
        <v>5630</v>
      </c>
      <c r="F1543" s="1013" t="s">
        <v>5669</v>
      </c>
      <c r="G1543" s="1014" t="s">
        <v>13</v>
      </c>
      <c r="H1543" s="1015">
        <v>54118</v>
      </c>
      <c r="I1543" s="1016" t="s">
        <v>4398</v>
      </c>
    </row>
    <row r="1544" spans="2:9" ht="15.75" x14ac:dyDescent="0.25">
      <c r="B1544" s="1365" t="s">
        <v>7169</v>
      </c>
      <c r="C1544" s="1013" t="s">
        <v>4405</v>
      </c>
      <c r="D1544" s="1013" t="s">
        <v>4579</v>
      </c>
      <c r="E1544" s="1014">
        <v>5634</v>
      </c>
      <c r="F1544" s="1013" t="s">
        <v>5670</v>
      </c>
      <c r="G1544" s="1014" t="s">
        <v>13</v>
      </c>
      <c r="H1544" s="1015">
        <v>5051</v>
      </c>
      <c r="I1544" s="1016" t="s">
        <v>4398</v>
      </c>
    </row>
    <row r="1545" spans="2:9" ht="15.75" x14ac:dyDescent="0.25">
      <c r="B1545" s="1365" t="s">
        <v>7169</v>
      </c>
      <c r="C1545" s="1013" t="s">
        <v>5425</v>
      </c>
      <c r="D1545" s="1013" t="s">
        <v>5426</v>
      </c>
      <c r="E1545" s="1014">
        <v>5641</v>
      </c>
      <c r="F1545" s="1013" t="s">
        <v>5671</v>
      </c>
      <c r="G1545" s="1014" t="s">
        <v>12</v>
      </c>
      <c r="H1545" s="1015">
        <v>115622</v>
      </c>
      <c r="I1545" s="1016" t="s">
        <v>6899</v>
      </c>
    </row>
    <row r="1546" spans="2:9" ht="15.75" x14ac:dyDescent="0.25">
      <c r="B1546" s="1365" t="s">
        <v>7169</v>
      </c>
      <c r="C1546" s="1013" t="s">
        <v>5425</v>
      </c>
      <c r="D1546" s="1013" t="s">
        <v>5426</v>
      </c>
      <c r="E1546" s="1014">
        <v>5642</v>
      </c>
      <c r="F1546" s="1013" t="s">
        <v>5672</v>
      </c>
      <c r="G1546" s="1014" t="s">
        <v>12</v>
      </c>
      <c r="H1546" s="1015">
        <v>20893</v>
      </c>
      <c r="I1546" s="1016" t="s">
        <v>6899</v>
      </c>
    </row>
    <row r="1547" spans="2:9" ht="15.75" x14ac:dyDescent="0.25">
      <c r="B1547" s="1365" t="s">
        <v>7169</v>
      </c>
      <c r="C1547" s="1013" t="s">
        <v>5425</v>
      </c>
      <c r="D1547" s="1013" t="s">
        <v>5426</v>
      </c>
      <c r="E1547" s="1014">
        <v>5644</v>
      </c>
      <c r="F1547" s="1013" t="s">
        <v>5673</v>
      </c>
      <c r="G1547" s="1014" t="s">
        <v>12</v>
      </c>
      <c r="H1547" s="1015">
        <v>14941</v>
      </c>
      <c r="I1547" s="1016" t="s">
        <v>4398</v>
      </c>
    </row>
    <row r="1548" spans="2:9" ht="15.75" x14ac:dyDescent="0.25">
      <c r="B1548" s="1365" t="s">
        <v>7169</v>
      </c>
      <c r="C1548" s="1013" t="s">
        <v>5425</v>
      </c>
      <c r="D1548" s="1013" t="s">
        <v>5674</v>
      </c>
      <c r="E1548" s="1014">
        <v>5645</v>
      </c>
      <c r="F1548" s="1013" t="s">
        <v>5675</v>
      </c>
      <c r="G1548" s="1014" t="s">
        <v>12</v>
      </c>
      <c r="H1548" s="1015">
        <v>10808</v>
      </c>
      <c r="I1548" s="1016" t="s">
        <v>4398</v>
      </c>
    </row>
    <row r="1549" spans="2:9" ht="15.75" x14ac:dyDescent="0.25">
      <c r="B1549" s="1365" t="s">
        <v>7169</v>
      </c>
      <c r="C1549" s="1013" t="s">
        <v>5425</v>
      </c>
      <c r="D1549" s="1013" t="s">
        <v>5426</v>
      </c>
      <c r="E1549" s="1014">
        <v>5646</v>
      </c>
      <c r="F1549" s="1013" t="s">
        <v>5676</v>
      </c>
      <c r="G1549" s="1014" t="s">
        <v>13</v>
      </c>
      <c r="H1549" s="1015">
        <v>8555</v>
      </c>
      <c r="I1549" s="1016" t="s">
        <v>4398</v>
      </c>
    </row>
    <row r="1550" spans="2:9" ht="15.75" x14ac:dyDescent="0.25">
      <c r="B1550" s="1365" t="s">
        <v>7169</v>
      </c>
      <c r="C1550" s="1013" t="s">
        <v>5425</v>
      </c>
      <c r="D1550" s="1013" t="s">
        <v>5426</v>
      </c>
      <c r="E1550" s="1014">
        <v>5647</v>
      </c>
      <c r="F1550" s="1013" t="s">
        <v>5677</v>
      </c>
      <c r="G1550" s="1014" t="s">
        <v>12</v>
      </c>
      <c r="H1550" s="1015">
        <v>11838</v>
      </c>
      <c r="I1550" s="1016" t="s">
        <v>4398</v>
      </c>
    </row>
    <row r="1551" spans="2:9" ht="15.75" x14ac:dyDescent="0.25">
      <c r="B1551" s="1365" t="s">
        <v>7169</v>
      </c>
      <c r="C1551" s="1013" t="s">
        <v>4454</v>
      </c>
      <c r="D1551" s="1013" t="s">
        <v>5477</v>
      </c>
      <c r="E1551" s="1014">
        <v>5683</v>
      </c>
      <c r="F1551" s="1013" t="s">
        <v>5678</v>
      </c>
      <c r="G1551" s="1014" t="s">
        <v>266</v>
      </c>
      <c r="H1551" s="1015">
        <v>275019</v>
      </c>
      <c r="I1551" s="1016" t="s">
        <v>6899</v>
      </c>
    </row>
    <row r="1552" spans="2:9" ht="15.75" x14ac:dyDescent="0.25">
      <c r="B1552" s="1365" t="s">
        <v>7169</v>
      </c>
      <c r="C1552" s="1013" t="s">
        <v>4454</v>
      </c>
      <c r="D1552" s="1013" t="s">
        <v>5477</v>
      </c>
      <c r="E1552" s="1014">
        <v>5684</v>
      </c>
      <c r="F1552" s="1013" t="s">
        <v>5679</v>
      </c>
      <c r="G1552" s="1014" t="s">
        <v>266</v>
      </c>
      <c r="H1552" s="1015">
        <v>436676</v>
      </c>
      <c r="I1552" s="1016" t="s">
        <v>6899</v>
      </c>
    </row>
    <row r="1553" spans="2:9" ht="15.75" x14ac:dyDescent="0.25">
      <c r="B1553" s="1365" t="s">
        <v>7169</v>
      </c>
      <c r="C1553" s="1013" t="s">
        <v>4454</v>
      </c>
      <c r="D1553" s="1013" t="s">
        <v>5477</v>
      </c>
      <c r="E1553" s="1014">
        <v>5686</v>
      </c>
      <c r="F1553" s="1013" t="s">
        <v>5680</v>
      </c>
      <c r="G1553" s="1014" t="s">
        <v>3</v>
      </c>
      <c r="H1553" s="1015">
        <v>1219802</v>
      </c>
      <c r="I1553" s="1016" t="s">
        <v>6899</v>
      </c>
    </row>
    <row r="1554" spans="2:9" ht="15.75" x14ac:dyDescent="0.25">
      <c r="B1554" s="1365" t="s">
        <v>7169</v>
      </c>
      <c r="C1554" s="1013" t="s">
        <v>4431</v>
      </c>
      <c r="D1554" s="1013" t="s">
        <v>4432</v>
      </c>
      <c r="E1554" s="1014">
        <v>5688</v>
      </c>
      <c r="F1554" s="1013" t="s">
        <v>5681</v>
      </c>
      <c r="G1554" s="1014" t="s">
        <v>266</v>
      </c>
      <c r="H1554" s="1015">
        <v>3969797</v>
      </c>
      <c r="I1554" s="1016" t="s">
        <v>6899</v>
      </c>
    </row>
    <row r="1555" spans="2:9" ht="15.75" x14ac:dyDescent="0.25">
      <c r="B1555" s="1365" t="s">
        <v>7169</v>
      </c>
      <c r="C1555" s="1013" t="s">
        <v>4405</v>
      </c>
      <c r="D1555" s="1013" t="s">
        <v>4579</v>
      </c>
      <c r="E1555" s="1014">
        <v>5690</v>
      </c>
      <c r="F1555" s="1013" t="s">
        <v>638</v>
      </c>
      <c r="G1555" s="1014" t="s">
        <v>266</v>
      </c>
      <c r="H1555" s="1015">
        <v>519310</v>
      </c>
      <c r="I1555" s="1016" t="s">
        <v>4398</v>
      </c>
    </row>
    <row r="1556" spans="2:9" ht="15.75" x14ac:dyDescent="0.25">
      <c r="B1556" s="1365" t="s">
        <v>7169</v>
      </c>
      <c r="C1556" s="1013" t="s">
        <v>4405</v>
      </c>
      <c r="D1556" s="1013" t="s">
        <v>4579</v>
      </c>
      <c r="E1556" s="1014">
        <v>5691</v>
      </c>
      <c r="F1556" s="1013" t="s">
        <v>639</v>
      </c>
      <c r="G1556" s="1014" t="s">
        <v>266</v>
      </c>
      <c r="H1556" s="1015">
        <v>957617</v>
      </c>
      <c r="I1556" s="1016" t="s">
        <v>4398</v>
      </c>
    </row>
    <row r="1557" spans="2:9" ht="15.75" x14ac:dyDescent="0.25">
      <c r="B1557" s="1365" t="s">
        <v>7169</v>
      </c>
      <c r="C1557" s="1013" t="s">
        <v>4405</v>
      </c>
      <c r="D1557" s="1013" t="s">
        <v>4579</v>
      </c>
      <c r="E1557" s="1014">
        <v>5692</v>
      </c>
      <c r="F1557" s="1013" t="s">
        <v>640</v>
      </c>
      <c r="G1557" s="1014" t="s">
        <v>266</v>
      </c>
      <c r="H1557" s="1015">
        <v>1690134</v>
      </c>
      <c r="I1557" s="1016" t="s">
        <v>4398</v>
      </c>
    </row>
    <row r="1558" spans="2:9" ht="15.75" x14ac:dyDescent="0.25">
      <c r="B1558" s="1365" t="s">
        <v>7169</v>
      </c>
      <c r="C1558" s="1013" t="s">
        <v>4405</v>
      </c>
      <c r="D1558" s="1013" t="s">
        <v>4579</v>
      </c>
      <c r="E1558" s="1014">
        <v>5693</v>
      </c>
      <c r="F1558" s="1013" t="s">
        <v>5682</v>
      </c>
      <c r="G1558" s="1014" t="s">
        <v>266</v>
      </c>
      <c r="H1558" s="1015">
        <v>1311375</v>
      </c>
      <c r="I1558" s="1016" t="s">
        <v>6899</v>
      </c>
    </row>
    <row r="1559" spans="2:9" ht="15.75" x14ac:dyDescent="0.25">
      <c r="B1559" s="1365" t="s">
        <v>7169</v>
      </c>
      <c r="C1559" s="1013" t="s">
        <v>4405</v>
      </c>
      <c r="D1559" s="1013" t="s">
        <v>4579</v>
      </c>
      <c r="E1559" s="1014">
        <v>5696</v>
      </c>
      <c r="F1559" s="1013" t="s">
        <v>641</v>
      </c>
      <c r="G1559" s="1014" t="s">
        <v>266</v>
      </c>
      <c r="H1559" s="1015">
        <v>627589</v>
      </c>
      <c r="I1559" s="1016" t="s">
        <v>6899</v>
      </c>
    </row>
    <row r="1560" spans="2:9" ht="15.75" x14ac:dyDescent="0.25">
      <c r="B1560" s="1365" t="s">
        <v>7169</v>
      </c>
      <c r="C1560" s="1013" t="s">
        <v>4405</v>
      </c>
      <c r="D1560" s="1013" t="s">
        <v>4579</v>
      </c>
      <c r="E1560" s="1014">
        <v>5697</v>
      </c>
      <c r="F1560" s="1013" t="s">
        <v>642</v>
      </c>
      <c r="G1560" s="1014" t="s">
        <v>266</v>
      </c>
      <c r="H1560" s="1015">
        <v>758723</v>
      </c>
      <c r="I1560" s="1016" t="s">
        <v>4398</v>
      </c>
    </row>
    <row r="1561" spans="2:9" ht="15.75" x14ac:dyDescent="0.25">
      <c r="B1561" s="1365" t="s">
        <v>7169</v>
      </c>
      <c r="C1561" s="1013" t="s">
        <v>4405</v>
      </c>
      <c r="D1561" s="1013" t="s">
        <v>4579</v>
      </c>
      <c r="E1561" s="1014">
        <v>5698</v>
      </c>
      <c r="F1561" s="1013" t="s">
        <v>5683</v>
      </c>
      <c r="G1561" s="1014" t="s">
        <v>266</v>
      </c>
      <c r="H1561" s="1015">
        <v>352587</v>
      </c>
      <c r="I1561" s="1016" t="s">
        <v>4398</v>
      </c>
    </row>
    <row r="1562" spans="2:9" ht="15.75" x14ac:dyDescent="0.25">
      <c r="B1562" s="1365" t="s">
        <v>7169</v>
      </c>
      <c r="C1562" s="1013" t="s">
        <v>4405</v>
      </c>
      <c r="D1562" s="1013" t="s">
        <v>4579</v>
      </c>
      <c r="E1562" s="1014">
        <v>5699</v>
      </c>
      <c r="F1562" s="1013" t="s">
        <v>643</v>
      </c>
      <c r="G1562" s="1014" t="s">
        <v>266</v>
      </c>
      <c r="H1562" s="1015">
        <v>295249</v>
      </c>
      <c r="I1562" s="1016" t="s">
        <v>4398</v>
      </c>
    </row>
    <row r="1563" spans="2:9" ht="15.75" x14ac:dyDescent="0.25">
      <c r="B1563" s="1365" t="s">
        <v>7169</v>
      </c>
      <c r="C1563" s="1013" t="s">
        <v>4405</v>
      </c>
      <c r="D1563" s="1013" t="s">
        <v>4579</v>
      </c>
      <c r="E1563" s="1014">
        <v>5700</v>
      </c>
      <c r="F1563" s="1013" t="s">
        <v>644</v>
      </c>
      <c r="G1563" s="1014" t="s">
        <v>266</v>
      </c>
      <c r="H1563" s="1015">
        <v>167864</v>
      </c>
      <c r="I1563" s="1016" t="s">
        <v>4398</v>
      </c>
    </row>
    <row r="1564" spans="2:9" ht="15.75" x14ac:dyDescent="0.25">
      <c r="B1564" s="1365" t="s">
        <v>7169</v>
      </c>
      <c r="C1564" s="1013" t="s">
        <v>4405</v>
      </c>
      <c r="D1564" s="1013" t="s">
        <v>4579</v>
      </c>
      <c r="E1564" s="1014">
        <v>5701</v>
      </c>
      <c r="F1564" s="1013" t="s">
        <v>5684</v>
      </c>
      <c r="G1564" s="1014" t="s">
        <v>13</v>
      </c>
      <c r="H1564" s="1015">
        <v>184715</v>
      </c>
      <c r="I1564" s="1016" t="s">
        <v>4398</v>
      </c>
    </row>
    <row r="1565" spans="2:9" ht="15.75" x14ac:dyDescent="0.25">
      <c r="B1565" s="1365" t="s">
        <v>7169</v>
      </c>
      <c r="C1565" s="1013" t="s">
        <v>4405</v>
      </c>
      <c r="D1565" s="1013" t="s">
        <v>4579</v>
      </c>
      <c r="E1565" s="1014">
        <v>5702</v>
      </c>
      <c r="F1565" s="1013" t="s">
        <v>645</v>
      </c>
      <c r="G1565" s="1014" t="s">
        <v>266</v>
      </c>
      <c r="H1565" s="1015">
        <v>743949</v>
      </c>
      <c r="I1565" s="1016" t="s">
        <v>4398</v>
      </c>
    </row>
    <row r="1566" spans="2:9" ht="15.75" x14ac:dyDescent="0.25">
      <c r="B1566" s="1365" t="s">
        <v>7169</v>
      </c>
      <c r="C1566" s="1013" t="s">
        <v>1474</v>
      </c>
      <c r="D1566" s="1013" t="s">
        <v>4940</v>
      </c>
      <c r="E1566" s="1014">
        <v>5705</v>
      </c>
      <c r="F1566" s="1013" t="s">
        <v>5685</v>
      </c>
      <c r="G1566" s="1014" t="s">
        <v>266</v>
      </c>
      <c r="H1566" s="1015">
        <v>858711</v>
      </c>
      <c r="I1566" s="1016" t="s">
        <v>6899</v>
      </c>
    </row>
    <row r="1567" spans="2:9" ht="15.75" x14ac:dyDescent="0.25">
      <c r="B1567" s="1365" t="s">
        <v>7169</v>
      </c>
      <c r="C1567" s="1013" t="s">
        <v>4410</v>
      </c>
      <c r="D1567" s="1013" t="s">
        <v>4415</v>
      </c>
      <c r="E1567" s="1014">
        <v>5708</v>
      </c>
      <c r="F1567" s="1013" t="s">
        <v>646</v>
      </c>
      <c r="G1567" s="1014" t="s">
        <v>3</v>
      </c>
      <c r="H1567" s="1015">
        <v>186158</v>
      </c>
      <c r="I1567" s="1016" t="s">
        <v>6899</v>
      </c>
    </row>
    <row r="1568" spans="2:9" ht="15.75" x14ac:dyDescent="0.25">
      <c r="B1568" s="1365" t="s">
        <v>7169</v>
      </c>
      <c r="C1568" s="1013" t="s">
        <v>4410</v>
      </c>
      <c r="D1568" s="1013" t="s">
        <v>4415</v>
      </c>
      <c r="E1568" s="1014">
        <v>5710</v>
      </c>
      <c r="F1568" s="1013" t="s">
        <v>647</v>
      </c>
      <c r="G1568" s="1014" t="s">
        <v>3</v>
      </c>
      <c r="H1568" s="1015">
        <v>97875</v>
      </c>
      <c r="I1568" s="1016" t="s">
        <v>6899</v>
      </c>
    </row>
    <row r="1569" spans="2:9" ht="15.75" x14ac:dyDescent="0.25">
      <c r="B1569" s="1365" t="s">
        <v>7169</v>
      </c>
      <c r="C1569" s="1013" t="s">
        <v>4451</v>
      </c>
      <c r="D1569" s="1013" t="s">
        <v>4616</v>
      </c>
      <c r="E1569" s="1014">
        <v>5712</v>
      </c>
      <c r="F1569" s="1013" t="s">
        <v>648</v>
      </c>
      <c r="G1569" s="1014" t="s">
        <v>266</v>
      </c>
      <c r="H1569" s="1015">
        <v>2277961</v>
      </c>
      <c r="I1569" s="1016" t="s">
        <v>6899</v>
      </c>
    </row>
    <row r="1570" spans="2:9" ht="15.75" x14ac:dyDescent="0.25">
      <c r="B1570" s="1365" t="s">
        <v>7169</v>
      </c>
      <c r="C1570" s="1013" t="s">
        <v>1474</v>
      </c>
      <c r="D1570" s="1013" t="s">
        <v>4940</v>
      </c>
      <c r="E1570" s="1014">
        <v>5727</v>
      </c>
      <c r="F1570" s="1013" t="s">
        <v>5686</v>
      </c>
      <c r="G1570" s="1014" t="s">
        <v>13</v>
      </c>
      <c r="H1570" s="1015">
        <v>161557</v>
      </c>
      <c r="I1570" s="1016" t="s">
        <v>6899</v>
      </c>
    </row>
    <row r="1571" spans="2:9" ht="15.75" x14ac:dyDescent="0.25">
      <c r="B1571" s="1365" t="s">
        <v>7169</v>
      </c>
      <c r="C1571" s="1013" t="s">
        <v>1474</v>
      </c>
      <c r="D1571" s="1013" t="s">
        <v>4940</v>
      </c>
      <c r="E1571" s="1014">
        <v>5728</v>
      </c>
      <c r="F1571" s="1013" t="s">
        <v>5687</v>
      </c>
      <c r="G1571" s="1014" t="s">
        <v>13</v>
      </c>
      <c r="H1571" s="1015">
        <v>186224</v>
      </c>
      <c r="I1571" s="1016" t="s">
        <v>6899</v>
      </c>
    </row>
    <row r="1572" spans="2:9" ht="15.75" x14ac:dyDescent="0.25">
      <c r="B1572" s="1365" t="s">
        <v>7169</v>
      </c>
      <c r="C1572" s="1013" t="s">
        <v>4454</v>
      </c>
      <c r="D1572" s="1013" t="s">
        <v>4455</v>
      </c>
      <c r="E1572" s="1014">
        <v>5729</v>
      </c>
      <c r="F1572" s="1013" t="s">
        <v>7217</v>
      </c>
      <c r="G1572" s="1014" t="s">
        <v>266</v>
      </c>
      <c r="H1572" s="1015">
        <v>1514074</v>
      </c>
      <c r="I1572" s="1016" t="s">
        <v>3538</v>
      </c>
    </row>
    <row r="1573" spans="2:9" ht="15.75" x14ac:dyDescent="0.25">
      <c r="B1573" s="1365" t="s">
        <v>7169</v>
      </c>
      <c r="C1573" s="1013" t="s">
        <v>4454</v>
      </c>
      <c r="D1573" s="1013" t="s">
        <v>4455</v>
      </c>
      <c r="E1573" s="1014">
        <v>5730</v>
      </c>
      <c r="F1573" s="1013" t="s">
        <v>5688</v>
      </c>
      <c r="G1573" s="1014" t="s">
        <v>13</v>
      </c>
      <c r="H1573" s="1015">
        <v>5798</v>
      </c>
      <c r="I1573" s="1016" t="s">
        <v>4398</v>
      </c>
    </row>
    <row r="1574" spans="2:9" ht="15.75" x14ac:dyDescent="0.25">
      <c r="B1574" s="1365" t="s">
        <v>7169</v>
      </c>
      <c r="C1574" s="1013" t="s">
        <v>4799</v>
      </c>
      <c r="D1574" s="1013" t="s">
        <v>4800</v>
      </c>
      <c r="E1574" s="1014">
        <v>5731</v>
      </c>
      <c r="F1574" s="1013" t="s">
        <v>649</v>
      </c>
      <c r="G1574" s="1014" t="s">
        <v>342</v>
      </c>
      <c r="H1574" s="1015">
        <v>289899</v>
      </c>
      <c r="I1574" s="1016" t="s">
        <v>4398</v>
      </c>
    </row>
    <row r="1575" spans="2:9" ht="15.75" x14ac:dyDescent="0.25">
      <c r="B1575" s="1365" t="s">
        <v>7169</v>
      </c>
      <c r="C1575" s="1013" t="s">
        <v>4799</v>
      </c>
      <c r="D1575" s="1013" t="s">
        <v>4800</v>
      </c>
      <c r="E1575" s="1014">
        <v>5732</v>
      </c>
      <c r="F1575" s="1013" t="s">
        <v>650</v>
      </c>
      <c r="G1575" s="1014" t="s">
        <v>342</v>
      </c>
      <c r="H1575" s="1015">
        <v>386532</v>
      </c>
      <c r="I1575" s="1016" t="s">
        <v>4398</v>
      </c>
    </row>
    <row r="1576" spans="2:9" ht="15.75" x14ac:dyDescent="0.25">
      <c r="B1576" s="1365" t="s">
        <v>7169</v>
      </c>
      <c r="C1576" s="1013" t="s">
        <v>4454</v>
      </c>
      <c r="D1576" s="1013" t="s">
        <v>4455</v>
      </c>
      <c r="E1576" s="1014">
        <v>5733</v>
      </c>
      <c r="F1576" s="1013" t="s">
        <v>5689</v>
      </c>
      <c r="G1576" s="1014" t="s">
        <v>12</v>
      </c>
      <c r="H1576" s="1015">
        <v>50810</v>
      </c>
      <c r="I1576" s="1016" t="s">
        <v>4398</v>
      </c>
    </row>
    <row r="1577" spans="2:9" ht="15.75" x14ac:dyDescent="0.25">
      <c r="B1577" s="1365" t="s">
        <v>7169</v>
      </c>
      <c r="C1577" s="1013" t="s">
        <v>4454</v>
      </c>
      <c r="D1577" s="1013" t="s">
        <v>4455</v>
      </c>
      <c r="E1577" s="1014">
        <v>5734</v>
      </c>
      <c r="F1577" s="1013" t="s">
        <v>5690</v>
      </c>
      <c r="G1577" s="1014" t="s">
        <v>12</v>
      </c>
      <c r="H1577" s="1015">
        <v>56041</v>
      </c>
      <c r="I1577" s="1016" t="s">
        <v>4398</v>
      </c>
    </row>
    <row r="1578" spans="2:9" ht="15.75" x14ac:dyDescent="0.25">
      <c r="B1578" s="1365" t="s">
        <v>7169</v>
      </c>
      <c r="C1578" s="1013" t="s">
        <v>4454</v>
      </c>
      <c r="D1578" s="1013" t="s">
        <v>4455</v>
      </c>
      <c r="E1578" s="1014">
        <v>5735</v>
      </c>
      <c r="F1578" s="1013" t="s">
        <v>651</v>
      </c>
      <c r="G1578" s="1014" t="s">
        <v>12</v>
      </c>
      <c r="H1578" s="1015">
        <v>55522</v>
      </c>
      <c r="I1578" s="1016" t="s">
        <v>4398</v>
      </c>
    </row>
    <row r="1579" spans="2:9" ht="15.75" x14ac:dyDescent="0.25">
      <c r="B1579" s="1365" t="s">
        <v>7169</v>
      </c>
      <c r="C1579" s="1013" t="s">
        <v>4454</v>
      </c>
      <c r="D1579" s="1013" t="s">
        <v>4455</v>
      </c>
      <c r="E1579" s="1014">
        <v>5736</v>
      </c>
      <c r="F1579" s="1013" t="s">
        <v>5691</v>
      </c>
      <c r="G1579" s="1014" t="s">
        <v>13</v>
      </c>
      <c r="H1579" s="1015">
        <v>10041</v>
      </c>
      <c r="I1579" s="1016" t="s">
        <v>4398</v>
      </c>
    </row>
    <row r="1580" spans="2:9" ht="15.75" x14ac:dyDescent="0.25">
      <c r="B1580" s="1365" t="s">
        <v>7169</v>
      </c>
      <c r="C1580" s="1013" t="s">
        <v>4461</v>
      </c>
      <c r="D1580" s="1013" t="s">
        <v>4461</v>
      </c>
      <c r="E1580" s="1014">
        <v>5746</v>
      </c>
      <c r="F1580" s="1013" t="s">
        <v>652</v>
      </c>
      <c r="G1580" s="1014" t="s">
        <v>266</v>
      </c>
      <c r="H1580" s="1015">
        <v>97384</v>
      </c>
      <c r="I1580" s="1016" t="s">
        <v>4398</v>
      </c>
    </row>
    <row r="1581" spans="2:9" ht="15.75" x14ac:dyDescent="0.25">
      <c r="B1581" s="1365" t="s">
        <v>7169</v>
      </c>
      <c r="C1581" s="1013" t="s">
        <v>4461</v>
      </c>
      <c r="D1581" s="1013" t="s">
        <v>4461</v>
      </c>
      <c r="E1581" s="1014">
        <v>5747</v>
      </c>
      <c r="F1581" s="1013" t="s">
        <v>5692</v>
      </c>
      <c r="G1581" s="1014" t="s">
        <v>266</v>
      </c>
      <c r="H1581" s="1015">
        <v>8246068</v>
      </c>
      <c r="I1581" s="1016" t="s">
        <v>4398</v>
      </c>
    </row>
    <row r="1582" spans="2:9" ht="15.75" x14ac:dyDescent="0.25">
      <c r="B1582" s="1365" t="s">
        <v>7169</v>
      </c>
      <c r="C1582" s="1013" t="s">
        <v>4461</v>
      </c>
      <c r="D1582" s="1013" t="s">
        <v>4461</v>
      </c>
      <c r="E1582" s="1014">
        <v>5748</v>
      </c>
      <c r="F1582" s="1013" t="s">
        <v>5693</v>
      </c>
      <c r="G1582" s="1014" t="s">
        <v>266</v>
      </c>
      <c r="H1582" s="1015">
        <v>291477</v>
      </c>
      <c r="I1582" s="1016" t="s">
        <v>4398</v>
      </c>
    </row>
    <row r="1583" spans="2:9" ht="15.75" x14ac:dyDescent="0.25">
      <c r="B1583" s="1365" t="s">
        <v>7169</v>
      </c>
      <c r="C1583" s="1013" t="s">
        <v>4461</v>
      </c>
      <c r="D1583" s="1013" t="s">
        <v>4461</v>
      </c>
      <c r="E1583" s="1014">
        <v>5749</v>
      </c>
      <c r="F1583" s="1013" t="s">
        <v>5694</v>
      </c>
      <c r="G1583" s="1014" t="s">
        <v>266</v>
      </c>
      <c r="H1583" s="1015">
        <v>196173</v>
      </c>
      <c r="I1583" s="1016" t="s">
        <v>4398</v>
      </c>
    </row>
    <row r="1584" spans="2:9" ht="15.75" x14ac:dyDescent="0.25">
      <c r="B1584" s="1365" t="s">
        <v>7169</v>
      </c>
      <c r="C1584" s="1013" t="s">
        <v>4461</v>
      </c>
      <c r="D1584" s="1013" t="s">
        <v>4461</v>
      </c>
      <c r="E1584" s="1014">
        <v>5750</v>
      </c>
      <c r="F1584" s="1013" t="s">
        <v>5695</v>
      </c>
      <c r="G1584" s="1014" t="s">
        <v>266</v>
      </c>
      <c r="H1584" s="1015">
        <v>395528</v>
      </c>
      <c r="I1584" s="1016" t="s">
        <v>4398</v>
      </c>
    </row>
    <row r="1585" spans="2:9" ht="15.75" x14ac:dyDescent="0.25">
      <c r="B1585" s="1365" t="s">
        <v>7169</v>
      </c>
      <c r="C1585" s="1013" t="s">
        <v>4461</v>
      </c>
      <c r="D1585" s="1013" t="s">
        <v>4461</v>
      </c>
      <c r="E1585" s="1014">
        <v>5751</v>
      </c>
      <c r="F1585" s="1013" t="s">
        <v>5696</v>
      </c>
      <c r="G1585" s="1014" t="s">
        <v>266</v>
      </c>
      <c r="H1585" s="1015">
        <v>2263817</v>
      </c>
      <c r="I1585" s="1016" t="s">
        <v>4398</v>
      </c>
    </row>
    <row r="1586" spans="2:9" ht="15.75" x14ac:dyDescent="0.25">
      <c r="B1586" s="1365" t="s">
        <v>7169</v>
      </c>
      <c r="C1586" s="1013" t="s">
        <v>4451</v>
      </c>
      <c r="D1586" s="1013" t="s">
        <v>4616</v>
      </c>
      <c r="E1586" s="1014">
        <v>5752</v>
      </c>
      <c r="F1586" s="1013" t="s">
        <v>5697</v>
      </c>
      <c r="G1586" s="1014" t="s">
        <v>266</v>
      </c>
      <c r="H1586" s="1015">
        <v>686103</v>
      </c>
      <c r="I1586" s="1016" t="s">
        <v>6899</v>
      </c>
    </row>
    <row r="1587" spans="2:9" ht="15.75" x14ac:dyDescent="0.25">
      <c r="B1587" s="1365" t="s">
        <v>7169</v>
      </c>
      <c r="C1587" s="1013" t="s">
        <v>4451</v>
      </c>
      <c r="D1587" s="1013" t="s">
        <v>4616</v>
      </c>
      <c r="E1587" s="1014">
        <v>5753</v>
      </c>
      <c r="F1587" s="1013" t="s">
        <v>5698</v>
      </c>
      <c r="G1587" s="1014" t="s">
        <v>266</v>
      </c>
      <c r="H1587" s="1015">
        <v>361293</v>
      </c>
      <c r="I1587" s="1016" t="s">
        <v>6899</v>
      </c>
    </row>
    <row r="1588" spans="2:9" ht="15.75" x14ac:dyDescent="0.25">
      <c r="B1588" s="1365" t="s">
        <v>7169</v>
      </c>
      <c r="C1588" s="1013" t="s">
        <v>4451</v>
      </c>
      <c r="D1588" s="1013" t="s">
        <v>4616</v>
      </c>
      <c r="E1588" s="1014">
        <v>5754</v>
      </c>
      <c r="F1588" s="1013" t="s">
        <v>5699</v>
      </c>
      <c r="G1588" s="1014" t="s">
        <v>266</v>
      </c>
      <c r="H1588" s="1015">
        <v>638529</v>
      </c>
      <c r="I1588" s="1016" t="s">
        <v>6899</v>
      </c>
    </row>
    <row r="1589" spans="2:9" ht="15.75" x14ac:dyDescent="0.25">
      <c r="B1589" s="1365" t="s">
        <v>7169</v>
      </c>
      <c r="C1589" s="1013" t="s">
        <v>4405</v>
      </c>
      <c r="D1589" s="1013" t="s">
        <v>4579</v>
      </c>
      <c r="E1589" s="1014">
        <v>5759</v>
      </c>
      <c r="F1589" s="1013" t="s">
        <v>5700</v>
      </c>
      <c r="G1589" s="1014" t="s">
        <v>266</v>
      </c>
      <c r="H1589" s="1015">
        <v>15299</v>
      </c>
      <c r="I1589" s="1016" t="s">
        <v>4398</v>
      </c>
    </row>
    <row r="1590" spans="2:9" ht="15.75" x14ac:dyDescent="0.25">
      <c r="B1590" s="1365" t="s">
        <v>7169</v>
      </c>
      <c r="C1590" s="1013" t="s">
        <v>4405</v>
      </c>
      <c r="D1590" s="1013" t="s">
        <v>4579</v>
      </c>
      <c r="E1590" s="1014">
        <v>5760</v>
      </c>
      <c r="F1590" s="1013" t="s">
        <v>5701</v>
      </c>
      <c r="G1590" s="1014" t="s">
        <v>13</v>
      </c>
      <c r="H1590" s="1015">
        <v>21529</v>
      </c>
      <c r="I1590" s="1016" t="s">
        <v>6899</v>
      </c>
    </row>
    <row r="1591" spans="2:9" ht="15.75" x14ac:dyDescent="0.25">
      <c r="B1591" s="1365" t="s">
        <v>7169</v>
      </c>
      <c r="C1591" s="1013" t="s">
        <v>4405</v>
      </c>
      <c r="D1591" s="1013" t="s">
        <v>4579</v>
      </c>
      <c r="E1591" s="1014">
        <v>5761</v>
      </c>
      <c r="F1591" s="1013" t="s">
        <v>5702</v>
      </c>
      <c r="G1591" s="1014" t="s">
        <v>13</v>
      </c>
      <c r="H1591" s="1015">
        <v>7275</v>
      </c>
      <c r="I1591" s="1016" t="s">
        <v>4398</v>
      </c>
    </row>
    <row r="1592" spans="2:9" ht="15.75" x14ac:dyDescent="0.25">
      <c r="B1592" s="1365" t="s">
        <v>7169</v>
      </c>
      <c r="C1592" s="1013" t="s">
        <v>4405</v>
      </c>
      <c r="D1592" s="1013" t="s">
        <v>4579</v>
      </c>
      <c r="E1592" s="1014">
        <v>5762</v>
      </c>
      <c r="F1592" s="1013" t="s">
        <v>5703</v>
      </c>
      <c r="G1592" s="1014" t="s">
        <v>266</v>
      </c>
      <c r="H1592" s="1015">
        <v>46297</v>
      </c>
      <c r="I1592" s="1016" t="s">
        <v>4398</v>
      </c>
    </row>
    <row r="1593" spans="2:9" ht="15.75" x14ac:dyDescent="0.25">
      <c r="B1593" s="1365" t="s">
        <v>7169</v>
      </c>
      <c r="C1593" s="1013" t="s">
        <v>4405</v>
      </c>
      <c r="D1593" s="1013" t="s">
        <v>4579</v>
      </c>
      <c r="E1593" s="1014">
        <v>5763</v>
      </c>
      <c r="F1593" s="1013" t="s">
        <v>5704</v>
      </c>
      <c r="G1593" s="1014" t="s">
        <v>13</v>
      </c>
      <c r="H1593" s="1015">
        <v>25697</v>
      </c>
      <c r="I1593" s="1016" t="s">
        <v>4398</v>
      </c>
    </row>
    <row r="1594" spans="2:9" ht="15.75" x14ac:dyDescent="0.25">
      <c r="B1594" s="1365" t="s">
        <v>7169</v>
      </c>
      <c r="C1594" s="1013" t="s">
        <v>4405</v>
      </c>
      <c r="D1594" s="1013" t="s">
        <v>4579</v>
      </c>
      <c r="E1594" s="1014">
        <v>5764</v>
      </c>
      <c r="F1594" s="1013" t="s">
        <v>5705</v>
      </c>
      <c r="G1594" s="1014" t="s">
        <v>13</v>
      </c>
      <c r="H1594" s="1015">
        <v>5270</v>
      </c>
      <c r="I1594" s="1016" t="s">
        <v>4398</v>
      </c>
    </row>
    <row r="1595" spans="2:9" ht="15.75" x14ac:dyDescent="0.25">
      <c r="B1595" s="1365" t="s">
        <v>7169</v>
      </c>
      <c r="C1595" s="1013" t="s">
        <v>4405</v>
      </c>
      <c r="D1595" s="1013" t="s">
        <v>4579</v>
      </c>
      <c r="E1595" s="1014">
        <v>5765</v>
      </c>
      <c r="F1595" s="1013" t="s">
        <v>5706</v>
      </c>
      <c r="G1595" s="1014" t="s">
        <v>13</v>
      </c>
      <c r="H1595" s="1015">
        <v>5505</v>
      </c>
      <c r="I1595" s="1016" t="s">
        <v>4398</v>
      </c>
    </row>
    <row r="1596" spans="2:9" ht="15.75" x14ac:dyDescent="0.25">
      <c r="B1596" s="1365" t="s">
        <v>7169</v>
      </c>
      <c r="C1596" s="1013" t="s">
        <v>4405</v>
      </c>
      <c r="D1596" s="1013" t="s">
        <v>4579</v>
      </c>
      <c r="E1596" s="1014">
        <v>5766</v>
      </c>
      <c r="F1596" s="1013" t="s">
        <v>5707</v>
      </c>
      <c r="G1596" s="1014" t="s">
        <v>266</v>
      </c>
      <c r="H1596" s="1015">
        <v>15299</v>
      </c>
      <c r="I1596" s="1016" t="s">
        <v>4398</v>
      </c>
    </row>
    <row r="1597" spans="2:9" ht="15.75" x14ac:dyDescent="0.25">
      <c r="B1597" s="1365" t="s">
        <v>7169</v>
      </c>
      <c r="C1597" s="1013" t="s">
        <v>4405</v>
      </c>
      <c r="D1597" s="1013" t="s">
        <v>4579</v>
      </c>
      <c r="E1597" s="1014">
        <v>5767</v>
      </c>
      <c r="F1597" s="1013" t="s">
        <v>5708</v>
      </c>
      <c r="G1597" s="1014" t="s">
        <v>13</v>
      </c>
      <c r="H1597" s="1015">
        <v>14548</v>
      </c>
      <c r="I1597" s="1016" t="s">
        <v>4398</v>
      </c>
    </row>
    <row r="1598" spans="2:9" ht="15.75" x14ac:dyDescent="0.25">
      <c r="B1598" s="1365" t="s">
        <v>7169</v>
      </c>
      <c r="C1598" s="1013" t="s">
        <v>4405</v>
      </c>
      <c r="D1598" s="1013" t="s">
        <v>4579</v>
      </c>
      <c r="E1598" s="1014">
        <v>5768</v>
      </c>
      <c r="F1598" s="1013" t="s">
        <v>5709</v>
      </c>
      <c r="G1598" s="1014" t="s">
        <v>266</v>
      </c>
      <c r="H1598" s="1015">
        <v>21949</v>
      </c>
      <c r="I1598" s="1016" t="s">
        <v>4398</v>
      </c>
    </row>
    <row r="1599" spans="2:9" ht="15.75" x14ac:dyDescent="0.25">
      <c r="B1599" s="1365" t="s">
        <v>7169</v>
      </c>
      <c r="C1599" s="1013" t="s">
        <v>4405</v>
      </c>
      <c r="D1599" s="1013" t="s">
        <v>4579</v>
      </c>
      <c r="E1599" s="1014">
        <v>5769</v>
      </c>
      <c r="F1599" s="1013" t="s">
        <v>5710</v>
      </c>
      <c r="G1599" s="1014" t="s">
        <v>266</v>
      </c>
      <c r="H1599" s="1015">
        <v>15299</v>
      </c>
      <c r="I1599" s="1016" t="s">
        <v>4398</v>
      </c>
    </row>
    <row r="1600" spans="2:9" ht="15.75" x14ac:dyDescent="0.25">
      <c r="B1600" s="1365" t="s">
        <v>7169</v>
      </c>
      <c r="C1600" s="1013" t="s">
        <v>4405</v>
      </c>
      <c r="D1600" s="1013" t="s">
        <v>4579</v>
      </c>
      <c r="E1600" s="1014">
        <v>5770</v>
      </c>
      <c r="F1600" s="1013" t="s">
        <v>5711</v>
      </c>
      <c r="G1600" s="1014" t="s">
        <v>266</v>
      </c>
      <c r="H1600" s="1015">
        <v>41239</v>
      </c>
      <c r="I1600" s="1016" t="s">
        <v>4398</v>
      </c>
    </row>
    <row r="1601" spans="2:9" ht="15.75" x14ac:dyDescent="0.25">
      <c r="B1601" s="1365" t="s">
        <v>7169</v>
      </c>
      <c r="C1601" s="1013" t="s">
        <v>4405</v>
      </c>
      <c r="D1601" s="1013" t="s">
        <v>4579</v>
      </c>
      <c r="E1601" s="1014">
        <v>5771</v>
      </c>
      <c r="F1601" s="1013" t="s">
        <v>5712</v>
      </c>
      <c r="G1601" s="1014" t="s">
        <v>13</v>
      </c>
      <c r="H1601" s="1015">
        <v>10081</v>
      </c>
      <c r="I1601" s="1016" t="s">
        <v>4398</v>
      </c>
    </row>
    <row r="1602" spans="2:9" ht="15.75" x14ac:dyDescent="0.25">
      <c r="B1602" s="1365" t="s">
        <v>7169</v>
      </c>
      <c r="C1602" s="1013" t="s">
        <v>4405</v>
      </c>
      <c r="D1602" s="1013" t="s">
        <v>4579</v>
      </c>
      <c r="E1602" s="1014">
        <v>5772</v>
      </c>
      <c r="F1602" s="1013" t="s">
        <v>5713</v>
      </c>
      <c r="G1602" s="1014" t="s">
        <v>266</v>
      </c>
      <c r="H1602" s="1015">
        <v>15299</v>
      </c>
      <c r="I1602" s="1016" t="s">
        <v>4398</v>
      </c>
    </row>
    <row r="1603" spans="2:9" ht="15.75" x14ac:dyDescent="0.25">
      <c r="B1603" s="1365" t="s">
        <v>7169</v>
      </c>
      <c r="C1603" s="1013" t="s">
        <v>4405</v>
      </c>
      <c r="D1603" s="1013" t="s">
        <v>4579</v>
      </c>
      <c r="E1603" s="1014">
        <v>5773</v>
      </c>
      <c r="F1603" s="1013" t="s">
        <v>5714</v>
      </c>
      <c r="G1603" s="1014" t="s">
        <v>266</v>
      </c>
      <c r="H1603" s="1015">
        <v>57917</v>
      </c>
      <c r="I1603" s="1016" t="s">
        <v>4398</v>
      </c>
    </row>
    <row r="1604" spans="2:9" ht="15.75" x14ac:dyDescent="0.25">
      <c r="B1604" s="1365" t="s">
        <v>7169</v>
      </c>
      <c r="C1604" s="1013" t="s">
        <v>4405</v>
      </c>
      <c r="D1604" s="1013" t="s">
        <v>4579</v>
      </c>
      <c r="E1604" s="1014">
        <v>5774</v>
      </c>
      <c r="F1604" s="1013" t="s">
        <v>5715</v>
      </c>
      <c r="G1604" s="1014" t="s">
        <v>13</v>
      </c>
      <c r="H1604" s="1015">
        <v>10840</v>
      </c>
      <c r="I1604" s="1016" t="s">
        <v>4398</v>
      </c>
    </row>
    <row r="1605" spans="2:9" ht="15.75" x14ac:dyDescent="0.25">
      <c r="B1605" s="1365" t="s">
        <v>7169</v>
      </c>
      <c r="C1605" s="1013" t="s">
        <v>4405</v>
      </c>
      <c r="D1605" s="1013" t="s">
        <v>4579</v>
      </c>
      <c r="E1605" s="1014">
        <v>5775</v>
      </c>
      <c r="F1605" s="1013" t="s">
        <v>5716</v>
      </c>
      <c r="G1605" s="1014" t="s">
        <v>266</v>
      </c>
      <c r="H1605" s="1015">
        <v>24583</v>
      </c>
      <c r="I1605" s="1016" t="s">
        <v>4398</v>
      </c>
    </row>
    <row r="1606" spans="2:9" ht="15.75" x14ac:dyDescent="0.25">
      <c r="B1606" s="1365" t="s">
        <v>7169</v>
      </c>
      <c r="C1606" s="1013" t="s">
        <v>4405</v>
      </c>
      <c r="D1606" s="1013" t="s">
        <v>4579</v>
      </c>
      <c r="E1606" s="1014">
        <v>5776</v>
      </c>
      <c r="F1606" s="1013" t="s">
        <v>5717</v>
      </c>
      <c r="G1606" s="1014" t="s">
        <v>13</v>
      </c>
      <c r="H1606" s="1015">
        <v>9349</v>
      </c>
      <c r="I1606" s="1016" t="s">
        <v>4398</v>
      </c>
    </row>
    <row r="1607" spans="2:9" ht="15.75" x14ac:dyDescent="0.25">
      <c r="B1607" s="1365" t="s">
        <v>7169</v>
      </c>
      <c r="C1607" s="1013" t="s">
        <v>4405</v>
      </c>
      <c r="D1607" s="1013" t="s">
        <v>4579</v>
      </c>
      <c r="E1607" s="1014">
        <v>5777</v>
      </c>
      <c r="F1607" s="1013" t="s">
        <v>5718</v>
      </c>
      <c r="G1607" s="1014" t="s">
        <v>266</v>
      </c>
      <c r="H1607" s="1015">
        <v>21622</v>
      </c>
      <c r="I1607" s="1016" t="s">
        <v>4398</v>
      </c>
    </row>
    <row r="1608" spans="2:9" ht="15.75" x14ac:dyDescent="0.25">
      <c r="B1608" s="1365" t="s">
        <v>7169</v>
      </c>
      <c r="C1608" s="1013" t="s">
        <v>4405</v>
      </c>
      <c r="D1608" s="1013" t="s">
        <v>4579</v>
      </c>
      <c r="E1608" s="1014">
        <v>5778</v>
      </c>
      <c r="F1608" s="1013" t="s">
        <v>5719</v>
      </c>
      <c r="G1608" s="1014" t="s">
        <v>266</v>
      </c>
      <c r="H1608" s="1015">
        <v>358631</v>
      </c>
      <c r="I1608" s="1016" t="s">
        <v>6899</v>
      </c>
    </row>
    <row r="1609" spans="2:9" ht="15.75" x14ac:dyDescent="0.25">
      <c r="B1609" s="1365" t="s">
        <v>7169</v>
      </c>
      <c r="C1609" s="1013" t="s">
        <v>4405</v>
      </c>
      <c r="D1609" s="1013" t="s">
        <v>4579</v>
      </c>
      <c r="E1609" s="1014">
        <v>5779</v>
      </c>
      <c r="F1609" s="1013" t="s">
        <v>5720</v>
      </c>
      <c r="G1609" s="1014" t="s">
        <v>13</v>
      </c>
      <c r="H1609" s="1015">
        <v>105416</v>
      </c>
      <c r="I1609" s="1016" t="s">
        <v>4398</v>
      </c>
    </row>
    <row r="1610" spans="2:9" ht="15.75" x14ac:dyDescent="0.25">
      <c r="B1610" s="1365" t="s">
        <v>7169</v>
      </c>
      <c r="C1610" s="1013" t="s">
        <v>4405</v>
      </c>
      <c r="D1610" s="1013" t="s">
        <v>4579</v>
      </c>
      <c r="E1610" s="1014">
        <v>5780</v>
      </c>
      <c r="F1610" s="1013" t="s">
        <v>5721</v>
      </c>
      <c r="G1610" s="1014" t="s">
        <v>13</v>
      </c>
      <c r="H1610" s="1015">
        <v>80345</v>
      </c>
      <c r="I1610" s="1016" t="s">
        <v>6899</v>
      </c>
    </row>
    <row r="1611" spans="2:9" ht="15.75" x14ac:dyDescent="0.25">
      <c r="B1611" s="1365" t="s">
        <v>7169</v>
      </c>
      <c r="C1611" s="1013" t="s">
        <v>4405</v>
      </c>
      <c r="D1611" s="1013" t="s">
        <v>4579</v>
      </c>
      <c r="E1611" s="1014">
        <v>5781</v>
      </c>
      <c r="F1611" s="1013" t="s">
        <v>5722</v>
      </c>
      <c r="G1611" s="1014" t="s">
        <v>13</v>
      </c>
      <c r="H1611" s="1015">
        <v>49088</v>
      </c>
      <c r="I1611" s="1016" t="s">
        <v>4398</v>
      </c>
    </row>
    <row r="1612" spans="2:9" ht="15.75" x14ac:dyDescent="0.25">
      <c r="B1612" s="1365" t="s">
        <v>7169</v>
      </c>
      <c r="C1612" s="1013" t="s">
        <v>4405</v>
      </c>
      <c r="D1612" s="1013" t="s">
        <v>4579</v>
      </c>
      <c r="E1612" s="1014">
        <v>5782</v>
      </c>
      <c r="F1612" s="1013" t="s">
        <v>5723</v>
      </c>
      <c r="G1612" s="1014" t="s">
        <v>13</v>
      </c>
      <c r="H1612" s="1015">
        <v>48017</v>
      </c>
      <c r="I1612" s="1016" t="s">
        <v>4398</v>
      </c>
    </row>
    <row r="1613" spans="2:9" ht="15.75" x14ac:dyDescent="0.25">
      <c r="B1613" s="1365" t="s">
        <v>7169</v>
      </c>
      <c r="C1613" s="1013" t="s">
        <v>4405</v>
      </c>
      <c r="D1613" s="1013" t="s">
        <v>4579</v>
      </c>
      <c r="E1613" s="1014">
        <v>5783</v>
      </c>
      <c r="F1613" s="1013" t="s">
        <v>5724</v>
      </c>
      <c r="G1613" s="1014" t="s">
        <v>13</v>
      </c>
      <c r="H1613" s="1015">
        <v>35220</v>
      </c>
      <c r="I1613" s="1016" t="s">
        <v>6899</v>
      </c>
    </row>
    <row r="1614" spans="2:9" ht="15.75" x14ac:dyDescent="0.25">
      <c r="B1614" s="1365" t="s">
        <v>7169</v>
      </c>
      <c r="C1614" s="1013" t="s">
        <v>4405</v>
      </c>
      <c r="D1614" s="1013" t="s">
        <v>4579</v>
      </c>
      <c r="E1614" s="1014">
        <v>5784</v>
      </c>
      <c r="F1614" s="1013" t="s">
        <v>5725</v>
      </c>
      <c r="G1614" s="1014" t="s">
        <v>13</v>
      </c>
      <c r="H1614" s="1015">
        <v>38888</v>
      </c>
      <c r="I1614" s="1016" t="s">
        <v>6899</v>
      </c>
    </row>
    <row r="1615" spans="2:9" ht="15.75" x14ac:dyDescent="0.25">
      <c r="B1615" s="1365" t="s">
        <v>7169</v>
      </c>
      <c r="C1615" s="1013" t="s">
        <v>4405</v>
      </c>
      <c r="D1615" s="1013" t="s">
        <v>4579</v>
      </c>
      <c r="E1615" s="1014">
        <v>5785</v>
      </c>
      <c r="F1615" s="1013" t="s">
        <v>653</v>
      </c>
      <c r="G1615" s="1014" t="s">
        <v>13</v>
      </c>
      <c r="H1615" s="1015">
        <v>122188</v>
      </c>
      <c r="I1615" s="1016" t="s">
        <v>6899</v>
      </c>
    </row>
    <row r="1616" spans="2:9" ht="15.75" x14ac:dyDescent="0.25">
      <c r="B1616" s="1365" t="s">
        <v>7169</v>
      </c>
      <c r="C1616" s="1013" t="s">
        <v>4405</v>
      </c>
      <c r="D1616" s="1013" t="s">
        <v>4579</v>
      </c>
      <c r="E1616" s="1014">
        <v>5786</v>
      </c>
      <c r="F1616" s="1013" t="s">
        <v>654</v>
      </c>
      <c r="G1616" s="1014" t="s">
        <v>13</v>
      </c>
      <c r="H1616" s="1015">
        <v>286904</v>
      </c>
      <c r="I1616" s="1016" t="s">
        <v>6899</v>
      </c>
    </row>
    <row r="1617" spans="2:9" ht="15.75" x14ac:dyDescent="0.25">
      <c r="B1617" s="1365" t="s">
        <v>7169</v>
      </c>
      <c r="C1617" s="1013" t="s">
        <v>4405</v>
      </c>
      <c r="D1617" s="1013" t="s">
        <v>4579</v>
      </c>
      <c r="E1617" s="1014">
        <v>5788</v>
      </c>
      <c r="F1617" s="1013" t="s">
        <v>655</v>
      </c>
      <c r="G1617" s="1014" t="s">
        <v>266</v>
      </c>
      <c r="H1617" s="1015">
        <v>307737</v>
      </c>
      <c r="I1617" s="1016" t="s">
        <v>4398</v>
      </c>
    </row>
    <row r="1618" spans="2:9" ht="15.75" x14ac:dyDescent="0.25">
      <c r="B1618" s="1365" t="s">
        <v>7169</v>
      </c>
      <c r="C1618" s="1013" t="s">
        <v>4405</v>
      </c>
      <c r="D1618" s="1013" t="s">
        <v>4579</v>
      </c>
      <c r="E1618" s="1014">
        <v>5789</v>
      </c>
      <c r="F1618" s="1013" t="s">
        <v>656</v>
      </c>
      <c r="G1618" s="1014" t="s">
        <v>266</v>
      </c>
      <c r="H1618" s="1015">
        <v>271737</v>
      </c>
      <c r="I1618" s="1016" t="s">
        <v>4398</v>
      </c>
    </row>
    <row r="1619" spans="2:9" ht="15.75" x14ac:dyDescent="0.25">
      <c r="B1619" s="1365" t="s">
        <v>7169</v>
      </c>
      <c r="C1619" s="1013" t="s">
        <v>4405</v>
      </c>
      <c r="D1619" s="1013" t="s">
        <v>4579</v>
      </c>
      <c r="E1619" s="1014">
        <v>5790</v>
      </c>
      <c r="F1619" s="1013" t="s">
        <v>657</v>
      </c>
      <c r="G1619" s="1014" t="s">
        <v>266</v>
      </c>
      <c r="H1619" s="1015">
        <v>168637</v>
      </c>
      <c r="I1619" s="1016" t="s">
        <v>4398</v>
      </c>
    </row>
    <row r="1620" spans="2:9" ht="15.75" x14ac:dyDescent="0.25">
      <c r="B1620" s="1365" t="s">
        <v>7169</v>
      </c>
      <c r="C1620" s="1013" t="s">
        <v>4405</v>
      </c>
      <c r="D1620" s="1013" t="s">
        <v>4579</v>
      </c>
      <c r="E1620" s="1014">
        <v>5791</v>
      </c>
      <c r="F1620" s="1013" t="s">
        <v>5726</v>
      </c>
      <c r="G1620" s="1014" t="s">
        <v>266</v>
      </c>
      <c r="H1620" s="1015">
        <v>105682</v>
      </c>
      <c r="I1620" s="1016" t="s">
        <v>6899</v>
      </c>
    </row>
    <row r="1621" spans="2:9" ht="15.75" x14ac:dyDescent="0.25">
      <c r="B1621" s="1365" t="s">
        <v>7169</v>
      </c>
      <c r="C1621" s="1013" t="s">
        <v>4405</v>
      </c>
      <c r="D1621" s="1013" t="s">
        <v>4579</v>
      </c>
      <c r="E1621" s="1014">
        <v>5792</v>
      </c>
      <c r="F1621" s="1013" t="s">
        <v>658</v>
      </c>
      <c r="G1621" s="1014" t="s">
        <v>13</v>
      </c>
      <c r="H1621" s="1015">
        <v>56195</v>
      </c>
      <c r="I1621" s="1016" t="s">
        <v>4398</v>
      </c>
    </row>
    <row r="1622" spans="2:9" ht="15.75" x14ac:dyDescent="0.25">
      <c r="B1622" s="1365" t="s">
        <v>7169</v>
      </c>
      <c r="C1622" s="1013" t="s">
        <v>4405</v>
      </c>
      <c r="D1622" s="1013" t="s">
        <v>4579</v>
      </c>
      <c r="E1622" s="1014">
        <v>5793</v>
      </c>
      <c r="F1622" s="1013" t="s">
        <v>659</v>
      </c>
      <c r="G1622" s="1014" t="s">
        <v>13</v>
      </c>
      <c r="H1622" s="1015">
        <v>72410</v>
      </c>
      <c r="I1622" s="1016" t="s">
        <v>4398</v>
      </c>
    </row>
    <row r="1623" spans="2:9" ht="15.75" x14ac:dyDescent="0.25">
      <c r="B1623" s="1365" t="s">
        <v>7169</v>
      </c>
      <c r="C1623" s="1013" t="s">
        <v>4405</v>
      </c>
      <c r="D1623" s="1013" t="s">
        <v>4579</v>
      </c>
      <c r="E1623" s="1014">
        <v>5794</v>
      </c>
      <c r="F1623" s="1013" t="s">
        <v>5727</v>
      </c>
      <c r="G1623" s="1014" t="s">
        <v>13</v>
      </c>
      <c r="H1623" s="1015">
        <v>175660</v>
      </c>
      <c r="I1623" s="1016" t="s">
        <v>4398</v>
      </c>
    </row>
    <row r="1624" spans="2:9" ht="15.75" x14ac:dyDescent="0.25">
      <c r="B1624" s="1365" t="s">
        <v>6897</v>
      </c>
      <c r="C1624" s="1013" t="s">
        <v>4791</v>
      </c>
      <c r="D1624" s="1013" t="s">
        <v>4792</v>
      </c>
      <c r="E1624" s="1014">
        <v>5798</v>
      </c>
      <c r="F1624" s="1013" t="s">
        <v>5728</v>
      </c>
      <c r="G1624" s="1014" t="s">
        <v>12</v>
      </c>
      <c r="H1624" s="1015">
        <v>480441</v>
      </c>
      <c r="I1624" s="1016" t="s">
        <v>6899</v>
      </c>
    </row>
    <row r="1625" spans="2:9" ht="15.75" x14ac:dyDescent="0.25">
      <c r="B1625" s="1365" t="s">
        <v>6897</v>
      </c>
      <c r="C1625" s="1013" t="s">
        <v>4791</v>
      </c>
      <c r="D1625" s="1013" t="s">
        <v>5165</v>
      </c>
      <c r="E1625" s="1014">
        <v>5799</v>
      </c>
      <c r="F1625" s="1013" t="s">
        <v>660</v>
      </c>
      <c r="G1625" s="1014" t="s">
        <v>12</v>
      </c>
      <c r="H1625" s="1015">
        <v>117470</v>
      </c>
      <c r="I1625" s="1016" t="s">
        <v>6899</v>
      </c>
    </row>
    <row r="1626" spans="2:9" ht="15.75" x14ac:dyDescent="0.25">
      <c r="B1626" s="1365" t="s">
        <v>6897</v>
      </c>
      <c r="C1626" s="1013" t="s">
        <v>4791</v>
      </c>
      <c r="D1626" s="1013" t="s">
        <v>4792</v>
      </c>
      <c r="E1626" s="1014">
        <v>5800</v>
      </c>
      <c r="F1626" s="1013" t="s">
        <v>5729</v>
      </c>
      <c r="G1626" s="1014" t="s">
        <v>12</v>
      </c>
      <c r="H1626" s="1015">
        <v>378020</v>
      </c>
      <c r="I1626" s="1016" t="s">
        <v>6899</v>
      </c>
    </row>
    <row r="1627" spans="2:9" ht="15.75" x14ac:dyDescent="0.25">
      <c r="B1627" s="1365" t="s">
        <v>6897</v>
      </c>
      <c r="C1627" s="1013" t="s">
        <v>4791</v>
      </c>
      <c r="D1627" s="1013" t="s">
        <v>5144</v>
      </c>
      <c r="E1627" s="1014">
        <v>5801</v>
      </c>
      <c r="F1627" s="1013" t="s">
        <v>5730</v>
      </c>
      <c r="G1627" s="1014" t="s">
        <v>12</v>
      </c>
      <c r="H1627" s="1015">
        <v>259200</v>
      </c>
      <c r="I1627" s="1016" t="s">
        <v>6899</v>
      </c>
    </row>
    <row r="1628" spans="2:9" ht="15.75" x14ac:dyDescent="0.25">
      <c r="B1628" s="1365" t="s">
        <v>6897</v>
      </c>
      <c r="C1628" s="1013" t="s">
        <v>4791</v>
      </c>
      <c r="D1628" s="1013" t="s">
        <v>5151</v>
      </c>
      <c r="E1628" s="1014">
        <v>5802</v>
      </c>
      <c r="F1628" s="1013" t="s">
        <v>5731</v>
      </c>
      <c r="G1628" s="1014" t="s">
        <v>12</v>
      </c>
      <c r="H1628" s="1015">
        <v>234152</v>
      </c>
      <c r="I1628" s="1016" t="s">
        <v>6899</v>
      </c>
    </row>
    <row r="1629" spans="2:9" ht="15.75" x14ac:dyDescent="0.25">
      <c r="B1629" s="1365" t="s">
        <v>7169</v>
      </c>
      <c r="C1629" s="1013" t="s">
        <v>4405</v>
      </c>
      <c r="D1629" s="1013" t="s">
        <v>4579</v>
      </c>
      <c r="E1629" s="1014">
        <v>5825</v>
      </c>
      <c r="F1629" s="1013" t="s">
        <v>5732</v>
      </c>
      <c r="G1629" s="1014" t="s">
        <v>266</v>
      </c>
      <c r="H1629" s="1015">
        <v>1066481</v>
      </c>
      <c r="I1629" s="1016" t="s">
        <v>4398</v>
      </c>
    </row>
    <row r="1630" spans="2:9" ht="15.75" x14ac:dyDescent="0.25">
      <c r="B1630" s="1365" t="s">
        <v>7169</v>
      </c>
      <c r="C1630" s="1013" t="s">
        <v>4405</v>
      </c>
      <c r="D1630" s="1013" t="s">
        <v>4579</v>
      </c>
      <c r="E1630" s="1014">
        <v>5826</v>
      </c>
      <c r="F1630" s="1013" t="s">
        <v>5733</v>
      </c>
      <c r="G1630" s="1014" t="s">
        <v>266</v>
      </c>
      <c r="H1630" s="1015">
        <v>1097006</v>
      </c>
      <c r="I1630" s="1016" t="s">
        <v>4398</v>
      </c>
    </row>
    <row r="1631" spans="2:9" ht="15.75" x14ac:dyDescent="0.25">
      <c r="B1631" s="1365" t="s">
        <v>7169</v>
      </c>
      <c r="C1631" s="1013" t="s">
        <v>4405</v>
      </c>
      <c r="D1631" s="1013" t="s">
        <v>4579</v>
      </c>
      <c r="E1631" s="1014">
        <v>5827</v>
      </c>
      <c r="F1631" s="1013" t="s">
        <v>5734</v>
      </c>
      <c r="G1631" s="1014" t="s">
        <v>266</v>
      </c>
      <c r="H1631" s="1015">
        <v>241153</v>
      </c>
      <c r="I1631" s="1016" t="s">
        <v>4398</v>
      </c>
    </row>
    <row r="1632" spans="2:9" ht="15.75" x14ac:dyDescent="0.25">
      <c r="B1632" s="1365" t="s">
        <v>7169</v>
      </c>
      <c r="C1632" s="1013" t="s">
        <v>4405</v>
      </c>
      <c r="D1632" s="1013" t="s">
        <v>4579</v>
      </c>
      <c r="E1632" s="1014">
        <v>5831</v>
      </c>
      <c r="F1632" s="1013" t="s">
        <v>5735</v>
      </c>
      <c r="G1632" s="1014" t="s">
        <v>13</v>
      </c>
      <c r="H1632" s="1015">
        <v>50583</v>
      </c>
      <c r="I1632" s="1016" t="s">
        <v>6899</v>
      </c>
    </row>
    <row r="1633" spans="2:9" ht="15.75" x14ac:dyDescent="0.25">
      <c r="B1633" s="1365" t="s">
        <v>7169</v>
      </c>
      <c r="C1633" s="1013" t="s">
        <v>4405</v>
      </c>
      <c r="D1633" s="1013" t="s">
        <v>4579</v>
      </c>
      <c r="E1633" s="1014">
        <v>5832</v>
      </c>
      <c r="F1633" s="1013" t="s">
        <v>5736</v>
      </c>
      <c r="G1633" s="1014" t="s">
        <v>13</v>
      </c>
      <c r="H1633" s="1015">
        <v>45099</v>
      </c>
      <c r="I1633" s="1016" t="s">
        <v>4398</v>
      </c>
    </row>
    <row r="1634" spans="2:9" ht="15.75" x14ac:dyDescent="0.25">
      <c r="B1634" s="1365" t="s">
        <v>7169</v>
      </c>
      <c r="C1634" s="1013" t="s">
        <v>4405</v>
      </c>
      <c r="D1634" s="1013" t="s">
        <v>4579</v>
      </c>
      <c r="E1634" s="1014">
        <v>5833</v>
      </c>
      <c r="F1634" s="1013" t="s">
        <v>5737</v>
      </c>
      <c r="G1634" s="1014" t="s">
        <v>13</v>
      </c>
      <c r="H1634" s="1015">
        <v>95142</v>
      </c>
      <c r="I1634" s="1016" t="s">
        <v>6899</v>
      </c>
    </row>
    <row r="1635" spans="2:9" ht="15.75" x14ac:dyDescent="0.25">
      <c r="B1635" s="1365" t="s">
        <v>7169</v>
      </c>
      <c r="C1635" s="1013" t="s">
        <v>4405</v>
      </c>
      <c r="D1635" s="1013" t="s">
        <v>4579</v>
      </c>
      <c r="E1635" s="1014">
        <v>5834</v>
      </c>
      <c r="F1635" s="1013" t="s">
        <v>5738</v>
      </c>
      <c r="G1635" s="1014" t="s">
        <v>13</v>
      </c>
      <c r="H1635" s="1015">
        <v>33874</v>
      </c>
      <c r="I1635" s="1016" t="s">
        <v>6899</v>
      </c>
    </row>
    <row r="1636" spans="2:9" ht="15.75" x14ac:dyDescent="0.25">
      <c r="B1636" s="1365" t="s">
        <v>7169</v>
      </c>
      <c r="C1636" s="1013" t="s">
        <v>4405</v>
      </c>
      <c r="D1636" s="1013" t="s">
        <v>4579</v>
      </c>
      <c r="E1636" s="1014">
        <v>5835</v>
      </c>
      <c r="F1636" s="1013" t="s">
        <v>5739</v>
      </c>
      <c r="G1636" s="1014" t="s">
        <v>13</v>
      </c>
      <c r="H1636" s="1015">
        <v>69523</v>
      </c>
      <c r="I1636" s="1016" t="s">
        <v>4398</v>
      </c>
    </row>
    <row r="1637" spans="2:9" ht="15.75" x14ac:dyDescent="0.25">
      <c r="B1637" s="1365" t="s">
        <v>7169</v>
      </c>
      <c r="C1637" s="1013" t="s">
        <v>4405</v>
      </c>
      <c r="D1637" s="1013" t="s">
        <v>4579</v>
      </c>
      <c r="E1637" s="1014">
        <v>5836</v>
      </c>
      <c r="F1637" s="1013" t="s">
        <v>5740</v>
      </c>
      <c r="G1637" s="1014" t="s">
        <v>13</v>
      </c>
      <c r="H1637" s="1015">
        <v>96964</v>
      </c>
      <c r="I1637" s="1016" t="s">
        <v>6899</v>
      </c>
    </row>
    <row r="1638" spans="2:9" ht="15.75" x14ac:dyDescent="0.25">
      <c r="B1638" s="1365" t="s">
        <v>7169</v>
      </c>
      <c r="C1638" s="1013" t="s">
        <v>4405</v>
      </c>
      <c r="D1638" s="1013" t="s">
        <v>4579</v>
      </c>
      <c r="E1638" s="1014">
        <v>5837</v>
      </c>
      <c r="F1638" s="1013" t="s">
        <v>5741</v>
      </c>
      <c r="G1638" s="1014" t="s">
        <v>13</v>
      </c>
      <c r="H1638" s="1015">
        <v>62444</v>
      </c>
      <c r="I1638" s="1016" t="s">
        <v>6899</v>
      </c>
    </row>
    <row r="1639" spans="2:9" ht="15.75" x14ac:dyDescent="0.25">
      <c r="B1639" s="1365" t="s">
        <v>7169</v>
      </c>
      <c r="C1639" s="1013" t="s">
        <v>4405</v>
      </c>
      <c r="D1639" s="1013" t="s">
        <v>4579</v>
      </c>
      <c r="E1639" s="1014">
        <v>5838</v>
      </c>
      <c r="F1639" s="1013" t="s">
        <v>5742</v>
      </c>
      <c r="G1639" s="1014" t="s">
        <v>13</v>
      </c>
      <c r="H1639" s="1015">
        <v>177579</v>
      </c>
      <c r="I1639" s="1016" t="s">
        <v>6899</v>
      </c>
    </row>
    <row r="1640" spans="2:9" ht="15.75" x14ac:dyDescent="0.25">
      <c r="B1640" s="1365" t="s">
        <v>7169</v>
      </c>
      <c r="C1640" s="1013" t="s">
        <v>4405</v>
      </c>
      <c r="D1640" s="1013" t="s">
        <v>4579</v>
      </c>
      <c r="E1640" s="1014">
        <v>5839</v>
      </c>
      <c r="F1640" s="1013" t="s">
        <v>5743</v>
      </c>
      <c r="G1640" s="1014" t="s">
        <v>13</v>
      </c>
      <c r="H1640" s="1015">
        <v>136674</v>
      </c>
      <c r="I1640" s="1016" t="s">
        <v>4398</v>
      </c>
    </row>
    <row r="1641" spans="2:9" ht="15.75" x14ac:dyDescent="0.25">
      <c r="B1641" s="1365" t="s">
        <v>7169</v>
      </c>
      <c r="C1641" s="1013" t="s">
        <v>4405</v>
      </c>
      <c r="D1641" s="1013" t="s">
        <v>4579</v>
      </c>
      <c r="E1641" s="1014">
        <v>5840</v>
      </c>
      <c r="F1641" s="1013" t="s">
        <v>5744</v>
      </c>
      <c r="G1641" s="1014" t="s">
        <v>13</v>
      </c>
      <c r="H1641" s="1015">
        <v>27417</v>
      </c>
      <c r="I1641" s="1016" t="s">
        <v>6899</v>
      </c>
    </row>
    <row r="1642" spans="2:9" ht="15.75" x14ac:dyDescent="0.25">
      <c r="B1642" s="1365" t="s">
        <v>7169</v>
      </c>
      <c r="C1642" s="1013" t="s">
        <v>4405</v>
      </c>
      <c r="D1642" s="1013" t="s">
        <v>4579</v>
      </c>
      <c r="E1642" s="1014">
        <v>5841</v>
      </c>
      <c r="F1642" s="1013" t="s">
        <v>5745</v>
      </c>
      <c r="G1642" s="1014" t="s">
        <v>13</v>
      </c>
      <c r="H1642" s="1015">
        <v>168835</v>
      </c>
      <c r="I1642" s="1016" t="s">
        <v>4398</v>
      </c>
    </row>
    <row r="1643" spans="2:9" ht="15.75" x14ac:dyDescent="0.25">
      <c r="B1643" s="1365" t="s">
        <v>7169</v>
      </c>
      <c r="C1643" s="1013" t="s">
        <v>4396</v>
      </c>
      <c r="D1643" s="1013" t="s">
        <v>4397</v>
      </c>
      <c r="E1643" s="1014">
        <v>5842</v>
      </c>
      <c r="F1643" s="1013" t="s">
        <v>661</v>
      </c>
      <c r="G1643" s="1014" t="s">
        <v>3</v>
      </c>
      <c r="H1643" s="1015">
        <v>26254</v>
      </c>
      <c r="I1643" s="1016" t="s">
        <v>6899</v>
      </c>
    </row>
    <row r="1644" spans="2:9" ht="15.75" x14ac:dyDescent="0.25">
      <c r="B1644" s="1365" t="s">
        <v>7169</v>
      </c>
      <c r="C1644" s="1013" t="s">
        <v>1474</v>
      </c>
      <c r="D1644" s="1013" t="s">
        <v>5380</v>
      </c>
      <c r="E1644" s="1014">
        <v>5843</v>
      </c>
      <c r="F1644" s="1013" t="s">
        <v>5746</v>
      </c>
      <c r="G1644" s="1014" t="s">
        <v>12</v>
      </c>
      <c r="H1644" s="1015">
        <v>32146</v>
      </c>
      <c r="I1644" s="1016" t="s">
        <v>4398</v>
      </c>
    </row>
    <row r="1645" spans="2:9" ht="15.75" x14ac:dyDescent="0.25">
      <c r="B1645" s="1365" t="s">
        <v>7169</v>
      </c>
      <c r="C1645" s="1013" t="s">
        <v>1474</v>
      </c>
      <c r="D1645" s="1013" t="s">
        <v>5380</v>
      </c>
      <c r="E1645" s="1014">
        <v>5844</v>
      </c>
      <c r="F1645" s="1013" t="s">
        <v>5747</v>
      </c>
      <c r="G1645" s="1014" t="s">
        <v>12</v>
      </c>
      <c r="H1645" s="1015">
        <v>26974</v>
      </c>
      <c r="I1645" s="1016" t="s">
        <v>4398</v>
      </c>
    </row>
    <row r="1646" spans="2:9" ht="15.75" x14ac:dyDescent="0.25">
      <c r="B1646" s="1365" t="s">
        <v>7169</v>
      </c>
      <c r="C1646" s="1013" t="s">
        <v>1474</v>
      </c>
      <c r="D1646" s="1013" t="s">
        <v>5380</v>
      </c>
      <c r="E1646" s="1014">
        <v>5845</v>
      </c>
      <c r="F1646" s="1013" t="s">
        <v>5748</v>
      </c>
      <c r="G1646" s="1014" t="s">
        <v>13</v>
      </c>
      <c r="H1646" s="1015">
        <v>141200</v>
      </c>
      <c r="I1646" s="1016" t="s">
        <v>6899</v>
      </c>
    </row>
    <row r="1647" spans="2:9" ht="15.75" x14ac:dyDescent="0.25">
      <c r="B1647" s="1365" t="s">
        <v>7169</v>
      </c>
      <c r="C1647" s="1013" t="s">
        <v>4454</v>
      </c>
      <c r="D1647" s="1013" t="s">
        <v>5477</v>
      </c>
      <c r="E1647" s="1014">
        <v>5846</v>
      </c>
      <c r="F1647" s="1013" t="s">
        <v>5749</v>
      </c>
      <c r="G1647" s="1014" t="s">
        <v>266</v>
      </c>
      <c r="H1647" s="1015">
        <v>200983</v>
      </c>
      <c r="I1647" s="1016" t="s">
        <v>4398</v>
      </c>
    </row>
    <row r="1648" spans="2:9" ht="15.75" x14ac:dyDescent="0.25">
      <c r="B1648" s="1365" t="s">
        <v>7169</v>
      </c>
      <c r="C1648" s="1013" t="s">
        <v>4454</v>
      </c>
      <c r="D1648" s="1013" t="s">
        <v>5477</v>
      </c>
      <c r="E1648" s="1014">
        <v>5847</v>
      </c>
      <c r="F1648" s="1013" t="s">
        <v>5750</v>
      </c>
      <c r="G1648" s="1014" t="s">
        <v>266</v>
      </c>
      <c r="H1648" s="1015">
        <v>217510</v>
      </c>
      <c r="I1648" s="1016" t="s">
        <v>4398</v>
      </c>
    </row>
    <row r="1649" spans="2:9" ht="15.75" x14ac:dyDescent="0.25">
      <c r="B1649" s="1365" t="s">
        <v>7169</v>
      </c>
      <c r="C1649" s="1013" t="s">
        <v>4454</v>
      </c>
      <c r="D1649" s="1013" t="s">
        <v>5477</v>
      </c>
      <c r="E1649" s="1014">
        <v>5848</v>
      </c>
      <c r="F1649" s="1013" t="s">
        <v>5751</v>
      </c>
      <c r="G1649" s="1014" t="s">
        <v>266</v>
      </c>
      <c r="H1649" s="1015">
        <v>54242</v>
      </c>
      <c r="I1649" s="1016" t="s">
        <v>4398</v>
      </c>
    </row>
    <row r="1650" spans="2:9" ht="15.75" x14ac:dyDescent="0.25">
      <c r="B1650" s="1365" t="s">
        <v>7169</v>
      </c>
      <c r="C1650" s="1013" t="s">
        <v>4454</v>
      </c>
      <c r="D1650" s="1013" t="s">
        <v>4455</v>
      </c>
      <c r="E1650" s="1014">
        <v>5850</v>
      </c>
      <c r="F1650" s="1013" t="s">
        <v>5752</v>
      </c>
      <c r="G1650" s="1014" t="s">
        <v>266</v>
      </c>
      <c r="H1650" s="1015">
        <v>222203</v>
      </c>
      <c r="I1650" s="1016" t="s">
        <v>4398</v>
      </c>
    </row>
    <row r="1651" spans="2:9" ht="15.75" x14ac:dyDescent="0.25">
      <c r="B1651" s="1365" t="s">
        <v>7169</v>
      </c>
      <c r="C1651" s="1013" t="s">
        <v>4454</v>
      </c>
      <c r="D1651" s="1013" t="s">
        <v>4455</v>
      </c>
      <c r="E1651" s="1014">
        <v>5851</v>
      </c>
      <c r="F1651" s="1013" t="s">
        <v>5753</v>
      </c>
      <c r="G1651" s="1014" t="s">
        <v>266</v>
      </c>
      <c r="H1651" s="1015">
        <v>598100</v>
      </c>
      <c r="I1651" s="1016" t="s">
        <v>4398</v>
      </c>
    </row>
    <row r="1652" spans="2:9" ht="15.75" x14ac:dyDescent="0.25">
      <c r="B1652" s="1365" t="s">
        <v>7169</v>
      </c>
      <c r="C1652" s="1013" t="s">
        <v>4454</v>
      </c>
      <c r="D1652" s="1013" t="s">
        <v>4455</v>
      </c>
      <c r="E1652" s="1014">
        <v>5852</v>
      </c>
      <c r="F1652" s="1013" t="s">
        <v>5754</v>
      </c>
      <c r="G1652" s="1014" t="s">
        <v>266</v>
      </c>
      <c r="H1652" s="1015">
        <v>461343</v>
      </c>
      <c r="I1652" s="1016" t="s">
        <v>4398</v>
      </c>
    </row>
    <row r="1653" spans="2:9" ht="15.75" x14ac:dyDescent="0.25">
      <c r="B1653" s="1365" t="s">
        <v>7169</v>
      </c>
      <c r="C1653" s="1013" t="s">
        <v>4454</v>
      </c>
      <c r="D1653" s="1013" t="s">
        <v>4455</v>
      </c>
      <c r="E1653" s="1014">
        <v>5854</v>
      </c>
      <c r="F1653" s="1013" t="s">
        <v>5755</v>
      </c>
      <c r="G1653" s="1014" t="s">
        <v>266</v>
      </c>
      <c r="H1653" s="1015">
        <v>212701</v>
      </c>
      <c r="I1653" s="1016" t="s">
        <v>4398</v>
      </c>
    </row>
    <row r="1654" spans="2:9" ht="15.75" x14ac:dyDescent="0.25">
      <c r="B1654" s="1365" t="s">
        <v>7169</v>
      </c>
      <c r="C1654" s="1013" t="s">
        <v>4454</v>
      </c>
      <c r="D1654" s="1013" t="s">
        <v>4455</v>
      </c>
      <c r="E1654" s="1014">
        <v>5856</v>
      </c>
      <c r="F1654" s="1013" t="s">
        <v>5756</v>
      </c>
      <c r="G1654" s="1014" t="s">
        <v>12</v>
      </c>
      <c r="H1654" s="1015">
        <v>151589</v>
      </c>
      <c r="I1654" s="1016" t="s">
        <v>4398</v>
      </c>
    </row>
    <row r="1655" spans="2:9" ht="15.75" x14ac:dyDescent="0.25">
      <c r="B1655" s="1365" t="s">
        <v>7169</v>
      </c>
      <c r="C1655" s="1013" t="s">
        <v>4454</v>
      </c>
      <c r="D1655" s="1013" t="s">
        <v>4455</v>
      </c>
      <c r="E1655" s="1014">
        <v>5858</v>
      </c>
      <c r="F1655" s="1013" t="s">
        <v>5757</v>
      </c>
      <c r="G1655" s="1014" t="s">
        <v>13</v>
      </c>
      <c r="H1655" s="1015">
        <v>89330</v>
      </c>
      <c r="I1655" s="1016" t="s">
        <v>4398</v>
      </c>
    </row>
    <row r="1656" spans="2:9" ht="15.75" x14ac:dyDescent="0.25">
      <c r="B1656" s="1365" t="s">
        <v>7169</v>
      </c>
      <c r="C1656" s="1013" t="s">
        <v>4454</v>
      </c>
      <c r="D1656" s="1013" t="s">
        <v>4455</v>
      </c>
      <c r="E1656" s="1014">
        <v>5860</v>
      </c>
      <c r="F1656" s="1013" t="s">
        <v>5758</v>
      </c>
      <c r="G1656" s="1014" t="s">
        <v>12</v>
      </c>
      <c r="H1656" s="1015">
        <v>95511</v>
      </c>
      <c r="I1656" s="1016" t="s">
        <v>4398</v>
      </c>
    </row>
    <row r="1657" spans="2:9" ht="15.75" x14ac:dyDescent="0.25">
      <c r="B1657" s="1365" t="s">
        <v>7169</v>
      </c>
      <c r="C1657" s="1013" t="s">
        <v>4454</v>
      </c>
      <c r="D1657" s="1013" t="s">
        <v>4455</v>
      </c>
      <c r="E1657" s="1014">
        <v>5862</v>
      </c>
      <c r="F1657" s="1013" t="s">
        <v>5759</v>
      </c>
      <c r="G1657" s="1014" t="s">
        <v>13</v>
      </c>
      <c r="H1657" s="1015">
        <v>46854</v>
      </c>
      <c r="I1657" s="1016" t="s">
        <v>4398</v>
      </c>
    </row>
    <row r="1658" spans="2:9" ht="15.75" x14ac:dyDescent="0.25">
      <c r="B1658" s="1365" t="s">
        <v>7169</v>
      </c>
      <c r="C1658" s="1013" t="s">
        <v>4454</v>
      </c>
      <c r="D1658" s="1013" t="s">
        <v>4455</v>
      </c>
      <c r="E1658" s="1014">
        <v>5864</v>
      </c>
      <c r="F1658" s="1013" t="s">
        <v>5760</v>
      </c>
      <c r="G1658" s="1014" t="s">
        <v>13</v>
      </c>
      <c r="H1658" s="1015">
        <v>46854</v>
      </c>
      <c r="I1658" s="1016" t="s">
        <v>4398</v>
      </c>
    </row>
    <row r="1659" spans="2:9" ht="15.75" x14ac:dyDescent="0.25">
      <c r="B1659" s="1365" t="s">
        <v>7169</v>
      </c>
      <c r="C1659" s="1013" t="s">
        <v>4454</v>
      </c>
      <c r="D1659" s="1013" t="s">
        <v>4455</v>
      </c>
      <c r="E1659" s="1014">
        <v>5866</v>
      </c>
      <c r="F1659" s="1013" t="s">
        <v>5761</v>
      </c>
      <c r="G1659" s="1014" t="s">
        <v>266</v>
      </c>
      <c r="H1659" s="1015">
        <v>827466</v>
      </c>
      <c r="I1659" s="1016" t="s">
        <v>4398</v>
      </c>
    </row>
    <row r="1660" spans="2:9" ht="15.75" x14ac:dyDescent="0.25">
      <c r="B1660" s="1365" t="s">
        <v>7169</v>
      </c>
      <c r="C1660" s="1013" t="s">
        <v>4454</v>
      </c>
      <c r="D1660" s="1013" t="s">
        <v>4455</v>
      </c>
      <c r="E1660" s="1014">
        <v>5868</v>
      </c>
      <c r="F1660" s="1013" t="s">
        <v>5762</v>
      </c>
      <c r="G1660" s="1014" t="s">
        <v>12</v>
      </c>
      <c r="H1660" s="1015">
        <v>143985</v>
      </c>
      <c r="I1660" s="1016" t="s">
        <v>4398</v>
      </c>
    </row>
    <row r="1661" spans="2:9" ht="15.75" x14ac:dyDescent="0.25">
      <c r="B1661" s="1365" t="s">
        <v>7169</v>
      </c>
      <c r="C1661" s="1013" t="s">
        <v>4454</v>
      </c>
      <c r="D1661" s="1013" t="s">
        <v>4455</v>
      </c>
      <c r="E1661" s="1014">
        <v>5870</v>
      </c>
      <c r="F1661" s="1013" t="s">
        <v>5763</v>
      </c>
      <c r="G1661" s="1014" t="s">
        <v>266</v>
      </c>
      <c r="H1661" s="1015">
        <v>48654</v>
      </c>
      <c r="I1661" s="1016" t="s">
        <v>4398</v>
      </c>
    </row>
    <row r="1662" spans="2:9" ht="15.75" x14ac:dyDescent="0.25">
      <c r="B1662" s="1365" t="s">
        <v>7169</v>
      </c>
      <c r="C1662" s="1013" t="s">
        <v>4468</v>
      </c>
      <c r="D1662" s="1013" t="s">
        <v>4469</v>
      </c>
      <c r="E1662" s="1014">
        <v>5871</v>
      </c>
      <c r="F1662" s="1013" t="s">
        <v>5764</v>
      </c>
      <c r="G1662" s="1014" t="s">
        <v>266</v>
      </c>
      <c r="H1662" s="1015">
        <v>504977</v>
      </c>
      <c r="I1662" s="1016" t="s">
        <v>6899</v>
      </c>
    </row>
    <row r="1663" spans="2:9" ht="15.75" x14ac:dyDescent="0.25">
      <c r="B1663" s="1365" t="s">
        <v>7169</v>
      </c>
      <c r="C1663" s="1013" t="s">
        <v>4468</v>
      </c>
      <c r="D1663" s="1013" t="s">
        <v>4469</v>
      </c>
      <c r="E1663" s="1014">
        <v>5872</v>
      </c>
      <c r="F1663" s="1013" t="s">
        <v>5765</v>
      </c>
      <c r="G1663" s="1014" t="s">
        <v>266</v>
      </c>
      <c r="H1663" s="1015">
        <v>528234</v>
      </c>
      <c r="I1663" s="1016" t="s">
        <v>6899</v>
      </c>
    </row>
    <row r="1664" spans="2:9" ht="15.75" x14ac:dyDescent="0.25">
      <c r="B1664" s="1365" t="s">
        <v>7169</v>
      </c>
      <c r="C1664" s="1013" t="s">
        <v>4431</v>
      </c>
      <c r="D1664" s="1013" t="s">
        <v>4432</v>
      </c>
      <c r="E1664" s="1014">
        <v>5873</v>
      </c>
      <c r="F1664" s="1013" t="s">
        <v>662</v>
      </c>
      <c r="G1664" s="1014" t="s">
        <v>266</v>
      </c>
      <c r="H1664" s="1015">
        <v>25385</v>
      </c>
      <c r="I1664" s="1016" t="s">
        <v>4398</v>
      </c>
    </row>
    <row r="1665" spans="2:9" ht="15.75" x14ac:dyDescent="0.25">
      <c r="B1665" s="1365" t="s">
        <v>7169</v>
      </c>
      <c r="C1665" s="1013" t="s">
        <v>4468</v>
      </c>
      <c r="D1665" s="1013" t="s">
        <v>4469</v>
      </c>
      <c r="E1665" s="1014">
        <v>5874</v>
      </c>
      <c r="F1665" s="1013" t="s">
        <v>5766</v>
      </c>
      <c r="G1665" s="1014" t="s">
        <v>266</v>
      </c>
      <c r="H1665" s="1015">
        <v>234062</v>
      </c>
      <c r="I1665" s="1016" t="s">
        <v>6899</v>
      </c>
    </row>
    <row r="1666" spans="2:9" ht="15.75" x14ac:dyDescent="0.25">
      <c r="B1666" s="1365" t="s">
        <v>7169</v>
      </c>
      <c r="C1666" s="1013" t="s">
        <v>4431</v>
      </c>
      <c r="D1666" s="1013" t="s">
        <v>4432</v>
      </c>
      <c r="E1666" s="1014">
        <v>5875</v>
      </c>
      <c r="F1666" s="1013" t="s">
        <v>5767</v>
      </c>
      <c r="G1666" s="1014" t="s">
        <v>266</v>
      </c>
      <c r="H1666" s="1015">
        <v>204053</v>
      </c>
      <c r="I1666" s="1016" t="s">
        <v>6899</v>
      </c>
    </row>
    <row r="1667" spans="2:9" ht="15.75" x14ac:dyDescent="0.25">
      <c r="B1667" s="1365" t="s">
        <v>7169</v>
      </c>
      <c r="C1667" s="1013" t="s">
        <v>4431</v>
      </c>
      <c r="D1667" s="1013" t="s">
        <v>4432</v>
      </c>
      <c r="E1667" s="1014">
        <v>5876</v>
      </c>
      <c r="F1667" s="1013" t="s">
        <v>5768</v>
      </c>
      <c r="G1667" s="1014" t="s">
        <v>266</v>
      </c>
      <c r="H1667" s="1015">
        <v>329489</v>
      </c>
      <c r="I1667" s="1016" t="s">
        <v>6899</v>
      </c>
    </row>
    <row r="1668" spans="2:9" ht="15.75" x14ac:dyDescent="0.25">
      <c r="B1668" s="1365" t="s">
        <v>7169</v>
      </c>
      <c r="C1668" s="1013" t="s">
        <v>4431</v>
      </c>
      <c r="D1668" s="1013" t="s">
        <v>4432</v>
      </c>
      <c r="E1668" s="1014">
        <v>5877</v>
      </c>
      <c r="F1668" s="1013" t="s">
        <v>663</v>
      </c>
      <c r="G1668" s="1014" t="s">
        <v>266</v>
      </c>
      <c r="H1668" s="1015">
        <v>74403</v>
      </c>
      <c r="I1668" s="1016" t="s">
        <v>4398</v>
      </c>
    </row>
    <row r="1669" spans="2:9" ht="15.75" x14ac:dyDescent="0.25">
      <c r="B1669" s="1365" t="s">
        <v>7169</v>
      </c>
      <c r="C1669" s="1013" t="s">
        <v>4431</v>
      </c>
      <c r="D1669" s="1013" t="s">
        <v>4432</v>
      </c>
      <c r="E1669" s="1014">
        <v>5878</v>
      </c>
      <c r="F1669" s="1013" t="s">
        <v>5769</v>
      </c>
      <c r="G1669" s="1014" t="s">
        <v>266</v>
      </c>
      <c r="H1669" s="1015">
        <v>3747554</v>
      </c>
      <c r="I1669" s="1016" t="s">
        <v>6899</v>
      </c>
    </row>
    <row r="1670" spans="2:9" ht="15.75" x14ac:dyDescent="0.25">
      <c r="B1670" s="1365" t="s">
        <v>7169</v>
      </c>
      <c r="C1670" s="1013" t="s">
        <v>4431</v>
      </c>
      <c r="D1670" s="1013" t="s">
        <v>4432</v>
      </c>
      <c r="E1670" s="1014">
        <v>5879</v>
      </c>
      <c r="F1670" s="1013" t="s">
        <v>664</v>
      </c>
      <c r="G1670" s="1014" t="s">
        <v>266</v>
      </c>
      <c r="H1670" s="1015">
        <v>291273</v>
      </c>
      <c r="I1670" s="1016" t="s">
        <v>6899</v>
      </c>
    </row>
    <row r="1671" spans="2:9" ht="15.75" x14ac:dyDescent="0.25">
      <c r="B1671" s="1365" t="s">
        <v>7169</v>
      </c>
      <c r="C1671" s="1013" t="s">
        <v>4431</v>
      </c>
      <c r="D1671" s="1013" t="s">
        <v>4432</v>
      </c>
      <c r="E1671" s="1014">
        <v>5880</v>
      </c>
      <c r="F1671" s="1013" t="s">
        <v>665</v>
      </c>
      <c r="G1671" s="1014" t="s">
        <v>266</v>
      </c>
      <c r="H1671" s="1015">
        <v>364087</v>
      </c>
      <c r="I1671" s="1016" t="s">
        <v>6899</v>
      </c>
    </row>
    <row r="1672" spans="2:9" ht="15.75" x14ac:dyDescent="0.25">
      <c r="B1672" s="1365" t="s">
        <v>7169</v>
      </c>
      <c r="C1672" s="1013" t="s">
        <v>4431</v>
      </c>
      <c r="D1672" s="1013" t="s">
        <v>4432</v>
      </c>
      <c r="E1672" s="1014">
        <v>5881</v>
      </c>
      <c r="F1672" s="1013" t="s">
        <v>666</v>
      </c>
      <c r="G1672" s="1014" t="s">
        <v>266</v>
      </c>
      <c r="H1672" s="1015">
        <v>3583</v>
      </c>
      <c r="I1672" s="1016" t="s">
        <v>4398</v>
      </c>
    </row>
    <row r="1673" spans="2:9" ht="15.75" x14ac:dyDescent="0.25">
      <c r="B1673" s="1365" t="s">
        <v>7169</v>
      </c>
      <c r="C1673" s="1013" t="s">
        <v>4468</v>
      </c>
      <c r="D1673" s="1013" t="s">
        <v>1798</v>
      </c>
      <c r="E1673" s="1014">
        <v>5882</v>
      </c>
      <c r="F1673" s="1013" t="s">
        <v>5770</v>
      </c>
      <c r="G1673" s="1014" t="s">
        <v>266</v>
      </c>
      <c r="H1673" s="1015">
        <v>162149</v>
      </c>
      <c r="I1673" s="1016" t="s">
        <v>6899</v>
      </c>
    </row>
    <row r="1674" spans="2:9" ht="15.75" x14ac:dyDescent="0.25">
      <c r="B1674" s="1365" t="s">
        <v>7169</v>
      </c>
      <c r="C1674" s="1013" t="s">
        <v>4431</v>
      </c>
      <c r="D1674" s="1013" t="s">
        <v>4432</v>
      </c>
      <c r="E1674" s="1014">
        <v>5883</v>
      </c>
      <c r="F1674" s="1013" t="s">
        <v>667</v>
      </c>
      <c r="G1674" s="1014" t="s">
        <v>266</v>
      </c>
      <c r="H1674" s="1015">
        <v>11272</v>
      </c>
      <c r="I1674" s="1016" t="s">
        <v>6899</v>
      </c>
    </row>
    <row r="1675" spans="2:9" ht="15.75" x14ac:dyDescent="0.25">
      <c r="B1675" s="1365" t="s">
        <v>7169</v>
      </c>
      <c r="C1675" s="1013" t="s">
        <v>4468</v>
      </c>
      <c r="D1675" s="1013" t="s">
        <v>4814</v>
      </c>
      <c r="E1675" s="1014">
        <v>5884</v>
      </c>
      <c r="F1675" s="1013" t="s">
        <v>668</v>
      </c>
      <c r="G1675" s="1014" t="s">
        <v>266</v>
      </c>
      <c r="H1675" s="1015">
        <v>94596</v>
      </c>
      <c r="I1675" s="1016" t="s">
        <v>4398</v>
      </c>
    </row>
    <row r="1676" spans="2:9" ht="15.75" x14ac:dyDescent="0.25">
      <c r="B1676" s="1365" t="s">
        <v>7169</v>
      </c>
      <c r="C1676" s="1013" t="s">
        <v>4468</v>
      </c>
      <c r="D1676" s="1013" t="s">
        <v>4814</v>
      </c>
      <c r="E1676" s="1014">
        <v>5885</v>
      </c>
      <c r="F1676" s="1013" t="s">
        <v>5771</v>
      </c>
      <c r="G1676" s="1014" t="s">
        <v>266</v>
      </c>
      <c r="H1676" s="1015">
        <v>104154</v>
      </c>
      <c r="I1676" s="1016" t="s">
        <v>4398</v>
      </c>
    </row>
    <row r="1677" spans="2:9" ht="15.75" x14ac:dyDescent="0.25">
      <c r="B1677" s="1365" t="s">
        <v>7169</v>
      </c>
      <c r="C1677" s="1013" t="s">
        <v>4420</v>
      </c>
      <c r="D1677" s="1013" t="s">
        <v>4420</v>
      </c>
      <c r="E1677" s="1014">
        <v>5886</v>
      </c>
      <c r="F1677" s="1013" t="s">
        <v>669</v>
      </c>
      <c r="G1677" s="1014" t="s">
        <v>13</v>
      </c>
      <c r="H1677" s="1015">
        <v>342128</v>
      </c>
      <c r="I1677" s="1016" t="s">
        <v>6899</v>
      </c>
    </row>
    <row r="1678" spans="2:9" ht="15.75" x14ac:dyDescent="0.25">
      <c r="B1678" s="1365" t="s">
        <v>7169</v>
      </c>
      <c r="C1678" s="1013" t="s">
        <v>4420</v>
      </c>
      <c r="D1678" s="1013" t="s">
        <v>4420</v>
      </c>
      <c r="E1678" s="1014">
        <v>5887</v>
      </c>
      <c r="F1678" s="1013" t="s">
        <v>670</v>
      </c>
      <c r="G1678" s="1014" t="s">
        <v>13</v>
      </c>
      <c r="H1678" s="1015">
        <v>629959</v>
      </c>
      <c r="I1678" s="1016" t="s">
        <v>6899</v>
      </c>
    </row>
    <row r="1679" spans="2:9" ht="15.75" x14ac:dyDescent="0.25">
      <c r="B1679" s="1365" t="s">
        <v>7169</v>
      </c>
      <c r="C1679" s="1013" t="s">
        <v>4420</v>
      </c>
      <c r="D1679" s="1013" t="s">
        <v>4420</v>
      </c>
      <c r="E1679" s="1014">
        <v>5888</v>
      </c>
      <c r="F1679" s="1013" t="s">
        <v>671</v>
      </c>
      <c r="G1679" s="1014" t="s">
        <v>13</v>
      </c>
      <c r="H1679" s="1015">
        <v>758685</v>
      </c>
      <c r="I1679" s="1016" t="s">
        <v>6899</v>
      </c>
    </row>
    <row r="1680" spans="2:9" ht="15.75" x14ac:dyDescent="0.25">
      <c r="B1680" s="1365" t="s">
        <v>7169</v>
      </c>
      <c r="C1680" s="1013" t="s">
        <v>4420</v>
      </c>
      <c r="D1680" s="1013" t="s">
        <v>4420</v>
      </c>
      <c r="E1680" s="1014">
        <v>5889</v>
      </c>
      <c r="F1680" s="1013" t="s">
        <v>672</v>
      </c>
      <c r="G1680" s="1014" t="s">
        <v>13</v>
      </c>
      <c r="H1680" s="1015">
        <v>878064</v>
      </c>
      <c r="I1680" s="1016" t="s">
        <v>6899</v>
      </c>
    </row>
    <row r="1681" spans="2:9" ht="15.75" x14ac:dyDescent="0.25">
      <c r="B1681" s="1365" t="s">
        <v>7169</v>
      </c>
      <c r="C1681" s="1013" t="s">
        <v>4396</v>
      </c>
      <c r="D1681" s="1013" t="s">
        <v>5392</v>
      </c>
      <c r="E1681" s="1014">
        <v>5890</v>
      </c>
      <c r="F1681" s="1013" t="s">
        <v>5772</v>
      </c>
      <c r="G1681" s="1014" t="s">
        <v>12</v>
      </c>
      <c r="H1681" s="1015">
        <v>34599</v>
      </c>
      <c r="I1681" s="1016" t="s">
        <v>6899</v>
      </c>
    </row>
    <row r="1682" spans="2:9" ht="15.75" x14ac:dyDescent="0.25">
      <c r="B1682" s="1365" t="s">
        <v>7169</v>
      </c>
      <c r="C1682" s="1013" t="s">
        <v>4396</v>
      </c>
      <c r="D1682" s="1013" t="s">
        <v>4399</v>
      </c>
      <c r="E1682" s="1014">
        <v>5891</v>
      </c>
      <c r="F1682" s="1013" t="s">
        <v>5773</v>
      </c>
      <c r="G1682" s="1014" t="s">
        <v>3</v>
      </c>
      <c r="H1682" s="1015">
        <v>5998</v>
      </c>
      <c r="I1682" s="1016" t="s">
        <v>4398</v>
      </c>
    </row>
    <row r="1683" spans="2:9" ht="15.75" x14ac:dyDescent="0.25">
      <c r="B1683" s="1365" t="s">
        <v>7169</v>
      </c>
      <c r="C1683" s="1013" t="s">
        <v>4420</v>
      </c>
      <c r="D1683" s="1013" t="s">
        <v>4420</v>
      </c>
      <c r="E1683" s="1014">
        <v>5892</v>
      </c>
      <c r="F1683" s="1013" t="s">
        <v>5774</v>
      </c>
      <c r="G1683" s="1014" t="s">
        <v>266</v>
      </c>
      <c r="H1683" s="1015">
        <v>399013</v>
      </c>
      <c r="I1683" s="1016" t="s">
        <v>4398</v>
      </c>
    </row>
    <row r="1684" spans="2:9" ht="15.75" x14ac:dyDescent="0.25">
      <c r="B1684" s="1365" t="s">
        <v>7169</v>
      </c>
      <c r="C1684" s="1013" t="s">
        <v>4420</v>
      </c>
      <c r="D1684" s="1013" t="s">
        <v>4420</v>
      </c>
      <c r="E1684" s="1014">
        <v>5893</v>
      </c>
      <c r="F1684" s="1013" t="s">
        <v>5775</v>
      </c>
      <c r="G1684" s="1014" t="s">
        <v>266</v>
      </c>
      <c r="H1684" s="1015">
        <v>450138</v>
      </c>
      <c r="I1684" s="1016" t="s">
        <v>4398</v>
      </c>
    </row>
    <row r="1685" spans="2:9" ht="15.75" x14ac:dyDescent="0.25">
      <c r="B1685" s="1365" t="s">
        <v>7169</v>
      </c>
      <c r="C1685" s="1013" t="s">
        <v>4420</v>
      </c>
      <c r="D1685" s="1013" t="s">
        <v>4420</v>
      </c>
      <c r="E1685" s="1014">
        <v>5894</v>
      </c>
      <c r="F1685" s="1013" t="s">
        <v>5776</v>
      </c>
      <c r="G1685" s="1014" t="s">
        <v>266</v>
      </c>
      <c r="H1685" s="1015">
        <v>1983634</v>
      </c>
      <c r="I1685" s="1016" t="s">
        <v>4398</v>
      </c>
    </row>
    <row r="1686" spans="2:9" ht="15.75" x14ac:dyDescent="0.25">
      <c r="B1686" s="1365" t="s">
        <v>7169</v>
      </c>
      <c r="C1686" s="1013" t="s">
        <v>4451</v>
      </c>
      <c r="D1686" s="1013" t="s">
        <v>4452</v>
      </c>
      <c r="E1686" s="1014">
        <v>5903</v>
      </c>
      <c r="F1686" s="1013" t="s">
        <v>5777</v>
      </c>
      <c r="G1686" s="1014" t="s">
        <v>266</v>
      </c>
      <c r="H1686" s="1015">
        <v>119600</v>
      </c>
      <c r="I1686" s="1016" t="s">
        <v>4398</v>
      </c>
    </row>
    <row r="1687" spans="2:9" ht="15.75" x14ac:dyDescent="0.25">
      <c r="B1687" s="1365" t="s">
        <v>7169</v>
      </c>
      <c r="C1687" s="1013" t="s">
        <v>4451</v>
      </c>
      <c r="D1687" s="1013" t="s">
        <v>4452</v>
      </c>
      <c r="E1687" s="1014">
        <v>5904</v>
      </c>
      <c r="F1687" s="1013" t="s">
        <v>5778</v>
      </c>
      <c r="G1687" s="1014" t="s">
        <v>266</v>
      </c>
      <c r="H1687" s="1015">
        <v>252200</v>
      </c>
      <c r="I1687" s="1016" t="s">
        <v>4398</v>
      </c>
    </row>
    <row r="1688" spans="2:9" ht="15.75" x14ac:dyDescent="0.25">
      <c r="B1688" s="1365" t="s">
        <v>7169</v>
      </c>
      <c r="C1688" s="1013" t="s">
        <v>4451</v>
      </c>
      <c r="D1688" s="1013" t="s">
        <v>4452</v>
      </c>
      <c r="E1688" s="1014">
        <v>5905</v>
      </c>
      <c r="F1688" s="1013" t="s">
        <v>5779</v>
      </c>
      <c r="G1688" s="1014" t="s">
        <v>266</v>
      </c>
      <c r="H1688" s="1015">
        <v>163800</v>
      </c>
      <c r="I1688" s="1016" t="s">
        <v>4398</v>
      </c>
    </row>
    <row r="1689" spans="2:9" ht="15.75" x14ac:dyDescent="0.25">
      <c r="B1689" s="1365" t="s">
        <v>7169</v>
      </c>
      <c r="C1689" s="1013" t="s">
        <v>4451</v>
      </c>
      <c r="D1689" s="1013" t="s">
        <v>4452</v>
      </c>
      <c r="E1689" s="1014">
        <v>5906</v>
      </c>
      <c r="F1689" s="1013" t="s">
        <v>5780</v>
      </c>
      <c r="G1689" s="1014" t="s">
        <v>266</v>
      </c>
      <c r="H1689" s="1015">
        <v>339300</v>
      </c>
      <c r="I1689" s="1016" t="s">
        <v>4398</v>
      </c>
    </row>
    <row r="1690" spans="2:9" ht="15.75" x14ac:dyDescent="0.25">
      <c r="B1690" s="1365" t="s">
        <v>7169</v>
      </c>
      <c r="C1690" s="1013" t="s">
        <v>4451</v>
      </c>
      <c r="D1690" s="1013" t="s">
        <v>4452</v>
      </c>
      <c r="E1690" s="1014">
        <v>5907</v>
      </c>
      <c r="F1690" s="1013" t="s">
        <v>5781</v>
      </c>
      <c r="G1690" s="1014" t="s">
        <v>266</v>
      </c>
      <c r="H1690" s="1015">
        <v>208000</v>
      </c>
      <c r="I1690" s="1016" t="s">
        <v>4398</v>
      </c>
    </row>
    <row r="1691" spans="2:9" ht="15.75" x14ac:dyDescent="0.25">
      <c r="B1691" s="1365" t="s">
        <v>7169</v>
      </c>
      <c r="C1691" s="1013" t="s">
        <v>4451</v>
      </c>
      <c r="D1691" s="1013" t="s">
        <v>4452</v>
      </c>
      <c r="E1691" s="1014">
        <v>5908</v>
      </c>
      <c r="F1691" s="1013" t="s">
        <v>5782</v>
      </c>
      <c r="G1691" s="1014" t="s">
        <v>266</v>
      </c>
      <c r="H1691" s="1015">
        <v>427700</v>
      </c>
      <c r="I1691" s="1016" t="s">
        <v>4398</v>
      </c>
    </row>
    <row r="1692" spans="2:9" ht="15.75" x14ac:dyDescent="0.25">
      <c r="B1692" s="1365" t="s">
        <v>7169</v>
      </c>
      <c r="C1692" s="1013" t="s">
        <v>4451</v>
      </c>
      <c r="D1692" s="1013" t="s">
        <v>4452</v>
      </c>
      <c r="E1692" s="1014">
        <v>5909</v>
      </c>
      <c r="F1692" s="1013" t="s">
        <v>5783</v>
      </c>
      <c r="G1692" s="1014" t="s">
        <v>266</v>
      </c>
      <c r="H1692" s="1015">
        <v>252200</v>
      </c>
      <c r="I1692" s="1016" t="s">
        <v>4398</v>
      </c>
    </row>
    <row r="1693" spans="2:9" ht="15.75" x14ac:dyDescent="0.25">
      <c r="B1693" s="1365" t="s">
        <v>7169</v>
      </c>
      <c r="C1693" s="1013" t="s">
        <v>4451</v>
      </c>
      <c r="D1693" s="1013" t="s">
        <v>4452</v>
      </c>
      <c r="E1693" s="1014">
        <v>5910</v>
      </c>
      <c r="F1693" s="1013" t="s">
        <v>5784</v>
      </c>
      <c r="G1693" s="1014" t="s">
        <v>266</v>
      </c>
      <c r="H1693" s="1015">
        <v>516100</v>
      </c>
      <c r="I1693" s="1016" t="s">
        <v>4398</v>
      </c>
    </row>
    <row r="1694" spans="2:9" ht="15.75" x14ac:dyDescent="0.25">
      <c r="B1694" s="1365" t="s">
        <v>7169</v>
      </c>
      <c r="C1694" s="1013" t="s">
        <v>4451</v>
      </c>
      <c r="D1694" s="1013" t="s">
        <v>4452</v>
      </c>
      <c r="E1694" s="1014">
        <v>5911</v>
      </c>
      <c r="F1694" s="1013" t="s">
        <v>5785</v>
      </c>
      <c r="G1694" s="1014" t="s">
        <v>266</v>
      </c>
      <c r="H1694" s="1015">
        <v>339300</v>
      </c>
      <c r="I1694" s="1016" t="s">
        <v>4398</v>
      </c>
    </row>
    <row r="1695" spans="2:9" ht="15.75" x14ac:dyDescent="0.25">
      <c r="B1695" s="1365" t="s">
        <v>7169</v>
      </c>
      <c r="C1695" s="1013" t="s">
        <v>4451</v>
      </c>
      <c r="D1695" s="1013" t="s">
        <v>4452</v>
      </c>
      <c r="E1695" s="1014">
        <v>5912</v>
      </c>
      <c r="F1695" s="1013" t="s">
        <v>5786</v>
      </c>
      <c r="G1695" s="1014" t="s">
        <v>266</v>
      </c>
      <c r="H1695" s="1015">
        <v>691600</v>
      </c>
      <c r="I1695" s="1016" t="s">
        <v>4398</v>
      </c>
    </row>
    <row r="1696" spans="2:9" ht="15.75" x14ac:dyDescent="0.25">
      <c r="B1696" s="1365" t="s">
        <v>7169</v>
      </c>
      <c r="C1696" s="1013" t="s">
        <v>4451</v>
      </c>
      <c r="D1696" s="1013" t="s">
        <v>4452</v>
      </c>
      <c r="E1696" s="1014">
        <v>5913</v>
      </c>
      <c r="F1696" s="1013" t="s">
        <v>5787</v>
      </c>
      <c r="G1696" s="1014" t="s">
        <v>266</v>
      </c>
      <c r="H1696" s="1015">
        <v>503100</v>
      </c>
      <c r="I1696" s="1016" t="s">
        <v>4398</v>
      </c>
    </row>
    <row r="1697" spans="2:9" ht="15.75" x14ac:dyDescent="0.25">
      <c r="B1697" s="1365" t="s">
        <v>7169</v>
      </c>
      <c r="C1697" s="1013" t="s">
        <v>4451</v>
      </c>
      <c r="D1697" s="1013" t="s">
        <v>4452</v>
      </c>
      <c r="E1697" s="1014">
        <v>5914</v>
      </c>
      <c r="F1697" s="1013" t="s">
        <v>5788</v>
      </c>
      <c r="G1697" s="1014" t="s">
        <v>266</v>
      </c>
      <c r="H1697" s="1015">
        <v>867100</v>
      </c>
      <c r="I1697" s="1016" t="s">
        <v>4398</v>
      </c>
    </row>
    <row r="1698" spans="2:9" ht="15.75" x14ac:dyDescent="0.25">
      <c r="B1698" s="1365" t="s">
        <v>7169</v>
      </c>
      <c r="C1698" s="1013" t="s">
        <v>4451</v>
      </c>
      <c r="D1698" s="1013" t="s">
        <v>4452</v>
      </c>
      <c r="E1698" s="1014">
        <v>5915</v>
      </c>
      <c r="F1698" s="1013" t="s">
        <v>5789</v>
      </c>
      <c r="G1698" s="1014" t="s">
        <v>266</v>
      </c>
      <c r="H1698" s="1015">
        <v>666900</v>
      </c>
      <c r="I1698" s="1016" t="s">
        <v>4398</v>
      </c>
    </row>
    <row r="1699" spans="2:9" ht="15.75" x14ac:dyDescent="0.25">
      <c r="B1699" s="1365" t="s">
        <v>7169</v>
      </c>
      <c r="C1699" s="1013" t="s">
        <v>4451</v>
      </c>
      <c r="D1699" s="1013" t="s">
        <v>4452</v>
      </c>
      <c r="E1699" s="1014">
        <v>5916</v>
      </c>
      <c r="F1699" s="1013" t="s">
        <v>5790</v>
      </c>
      <c r="G1699" s="1014" t="s">
        <v>266</v>
      </c>
      <c r="H1699" s="1015">
        <v>1307800</v>
      </c>
      <c r="I1699" s="1016" t="s">
        <v>4398</v>
      </c>
    </row>
    <row r="1700" spans="2:9" ht="15.75" x14ac:dyDescent="0.25">
      <c r="B1700" s="1365" t="s">
        <v>7169</v>
      </c>
      <c r="C1700" s="1013" t="s">
        <v>4451</v>
      </c>
      <c r="D1700" s="1013" t="s">
        <v>4452</v>
      </c>
      <c r="E1700" s="1014">
        <v>5917</v>
      </c>
      <c r="F1700" s="1013" t="s">
        <v>5791</v>
      </c>
      <c r="G1700" s="1014" t="s">
        <v>266</v>
      </c>
      <c r="H1700" s="1015">
        <v>1107600</v>
      </c>
      <c r="I1700" s="1016" t="s">
        <v>4398</v>
      </c>
    </row>
    <row r="1701" spans="2:9" ht="15.75" x14ac:dyDescent="0.25">
      <c r="B1701" s="1365" t="s">
        <v>7169</v>
      </c>
      <c r="C1701" s="1013" t="s">
        <v>4451</v>
      </c>
      <c r="D1701" s="1013" t="s">
        <v>4452</v>
      </c>
      <c r="E1701" s="1014">
        <v>5918</v>
      </c>
      <c r="F1701" s="1013" t="s">
        <v>5792</v>
      </c>
      <c r="G1701" s="1014" t="s">
        <v>266</v>
      </c>
      <c r="H1701" s="1015">
        <v>2515500</v>
      </c>
      <c r="I1701" s="1016" t="s">
        <v>4398</v>
      </c>
    </row>
    <row r="1702" spans="2:9" ht="15.75" x14ac:dyDescent="0.25">
      <c r="B1702" s="1365" t="s">
        <v>7169</v>
      </c>
      <c r="C1702" s="1013" t="s">
        <v>4451</v>
      </c>
      <c r="D1702" s="1013" t="s">
        <v>4452</v>
      </c>
      <c r="E1702" s="1014">
        <v>5919</v>
      </c>
      <c r="F1702" s="1013" t="s">
        <v>5793</v>
      </c>
      <c r="G1702" s="1014" t="s">
        <v>266</v>
      </c>
      <c r="H1702" s="1015">
        <v>1371500</v>
      </c>
      <c r="I1702" s="1016" t="s">
        <v>4398</v>
      </c>
    </row>
    <row r="1703" spans="2:9" ht="15.75" x14ac:dyDescent="0.25">
      <c r="B1703" s="1365" t="s">
        <v>7169</v>
      </c>
      <c r="C1703" s="1013" t="s">
        <v>4451</v>
      </c>
      <c r="D1703" s="1013" t="s">
        <v>4452</v>
      </c>
      <c r="E1703" s="1014">
        <v>5920</v>
      </c>
      <c r="F1703" s="1013" t="s">
        <v>5794</v>
      </c>
      <c r="G1703" s="1014" t="s">
        <v>266</v>
      </c>
      <c r="H1703" s="1015">
        <v>2954900</v>
      </c>
      <c r="I1703" s="1016" t="s">
        <v>4398</v>
      </c>
    </row>
    <row r="1704" spans="2:9" ht="15.75" x14ac:dyDescent="0.25">
      <c r="B1704" s="1365" t="s">
        <v>7169</v>
      </c>
      <c r="C1704" s="1013" t="s">
        <v>4451</v>
      </c>
      <c r="D1704" s="1013" t="s">
        <v>4616</v>
      </c>
      <c r="E1704" s="1014">
        <v>5921</v>
      </c>
      <c r="F1704" s="1013" t="s">
        <v>673</v>
      </c>
      <c r="G1704" s="1014" t="s">
        <v>266</v>
      </c>
      <c r="H1704" s="1015">
        <v>503014</v>
      </c>
      <c r="I1704" s="1016" t="s">
        <v>6899</v>
      </c>
    </row>
    <row r="1705" spans="2:9" ht="15.75" x14ac:dyDescent="0.25">
      <c r="B1705" s="1365" t="s">
        <v>7169</v>
      </c>
      <c r="C1705" s="1013" t="s">
        <v>4451</v>
      </c>
      <c r="D1705" s="1013" t="s">
        <v>4616</v>
      </c>
      <c r="E1705" s="1014">
        <v>5922</v>
      </c>
      <c r="F1705" s="1013" t="s">
        <v>5795</v>
      </c>
      <c r="G1705" s="1014" t="s">
        <v>266</v>
      </c>
      <c r="H1705" s="1015">
        <v>83665</v>
      </c>
      <c r="I1705" s="1016" t="s">
        <v>6899</v>
      </c>
    </row>
    <row r="1706" spans="2:9" ht="15.75" x14ac:dyDescent="0.25">
      <c r="B1706" s="1365" t="s">
        <v>7169</v>
      </c>
      <c r="C1706" s="1013" t="s">
        <v>4451</v>
      </c>
      <c r="D1706" s="1013" t="s">
        <v>4616</v>
      </c>
      <c r="E1706" s="1014">
        <v>5923</v>
      </c>
      <c r="F1706" s="1013" t="s">
        <v>674</v>
      </c>
      <c r="G1706" s="1014" t="s">
        <v>266</v>
      </c>
      <c r="H1706" s="1015">
        <v>98712</v>
      </c>
      <c r="I1706" s="1016" t="s">
        <v>6899</v>
      </c>
    </row>
    <row r="1707" spans="2:9" ht="15.75" x14ac:dyDescent="0.25">
      <c r="B1707" s="1365" t="s">
        <v>7169</v>
      </c>
      <c r="C1707" s="1013" t="s">
        <v>4451</v>
      </c>
      <c r="D1707" s="1013" t="s">
        <v>4616</v>
      </c>
      <c r="E1707" s="1014">
        <v>5924</v>
      </c>
      <c r="F1707" s="1013" t="s">
        <v>675</v>
      </c>
      <c r="G1707" s="1014" t="s">
        <v>266</v>
      </c>
      <c r="H1707" s="1015">
        <v>24126</v>
      </c>
      <c r="I1707" s="1016" t="s">
        <v>6899</v>
      </c>
    </row>
    <row r="1708" spans="2:9" ht="15.75" x14ac:dyDescent="0.25">
      <c r="B1708" s="1365" t="s">
        <v>7169</v>
      </c>
      <c r="C1708" s="1013" t="s">
        <v>5363</v>
      </c>
      <c r="D1708" s="1013" t="s">
        <v>5363</v>
      </c>
      <c r="E1708" s="1014">
        <v>5927</v>
      </c>
      <c r="F1708" s="1013" t="s">
        <v>5796</v>
      </c>
      <c r="G1708" s="1014" t="s">
        <v>266</v>
      </c>
      <c r="H1708" s="1015">
        <v>523989</v>
      </c>
      <c r="I1708" s="1016" t="s">
        <v>6899</v>
      </c>
    </row>
    <row r="1709" spans="2:9" ht="15.75" x14ac:dyDescent="0.25">
      <c r="B1709" s="1365" t="s">
        <v>7169</v>
      </c>
      <c r="C1709" s="1013" t="s">
        <v>5363</v>
      </c>
      <c r="D1709" s="1013" t="s">
        <v>5363</v>
      </c>
      <c r="E1709" s="1014">
        <v>5928</v>
      </c>
      <c r="F1709" s="1013" t="s">
        <v>676</v>
      </c>
      <c r="G1709" s="1014" t="s">
        <v>677</v>
      </c>
      <c r="H1709" s="1015">
        <v>27083</v>
      </c>
      <c r="I1709" s="1016" t="s">
        <v>3538</v>
      </c>
    </row>
    <row r="1710" spans="2:9" ht="15.75" x14ac:dyDescent="0.25">
      <c r="B1710" s="1365" t="s">
        <v>7169</v>
      </c>
      <c r="C1710" s="1013" t="s">
        <v>5425</v>
      </c>
      <c r="D1710" s="1013" t="s">
        <v>5590</v>
      </c>
      <c r="E1710" s="1014">
        <v>5933</v>
      </c>
      <c r="F1710" s="1013" t="s">
        <v>5797</v>
      </c>
      <c r="G1710" s="1014" t="s">
        <v>12</v>
      </c>
      <c r="H1710" s="1015">
        <v>344300</v>
      </c>
      <c r="I1710" s="1016" t="s">
        <v>6899</v>
      </c>
    </row>
    <row r="1711" spans="2:9" ht="15.75" x14ac:dyDescent="0.25">
      <c r="B1711" s="1365" t="s">
        <v>7169</v>
      </c>
      <c r="C1711" s="1013" t="s">
        <v>5425</v>
      </c>
      <c r="D1711" s="1013" t="s">
        <v>5590</v>
      </c>
      <c r="E1711" s="1014">
        <v>5935</v>
      </c>
      <c r="F1711" s="1013" t="s">
        <v>5798</v>
      </c>
      <c r="G1711" s="1014" t="s">
        <v>12</v>
      </c>
      <c r="H1711" s="1015">
        <v>658712</v>
      </c>
      <c r="I1711" s="1016" t="s">
        <v>6899</v>
      </c>
    </row>
    <row r="1712" spans="2:9" ht="15.75" x14ac:dyDescent="0.25">
      <c r="B1712" s="1365" t="s">
        <v>7169</v>
      </c>
      <c r="C1712" s="1013" t="s">
        <v>5425</v>
      </c>
      <c r="D1712" s="1013" t="s">
        <v>5590</v>
      </c>
      <c r="E1712" s="1014">
        <v>5936</v>
      </c>
      <c r="F1712" s="1013" t="s">
        <v>5799</v>
      </c>
      <c r="G1712" s="1014" t="s">
        <v>12</v>
      </c>
      <c r="H1712" s="1015">
        <v>324698</v>
      </c>
      <c r="I1712" s="1016" t="s">
        <v>6899</v>
      </c>
    </row>
    <row r="1713" spans="2:9" ht="15.75" x14ac:dyDescent="0.25">
      <c r="B1713" s="1365" t="s">
        <v>7169</v>
      </c>
      <c r="C1713" s="1013" t="s">
        <v>4468</v>
      </c>
      <c r="D1713" s="1013" t="s">
        <v>4469</v>
      </c>
      <c r="E1713" s="1014">
        <v>5939</v>
      </c>
      <c r="F1713" s="1013" t="s">
        <v>5800</v>
      </c>
      <c r="G1713" s="1014" t="s">
        <v>13</v>
      </c>
      <c r="H1713" s="1015">
        <v>214746</v>
      </c>
      <c r="I1713" s="1016" t="s">
        <v>6899</v>
      </c>
    </row>
    <row r="1714" spans="2:9" ht="15.75" x14ac:dyDescent="0.25">
      <c r="B1714" s="1365" t="s">
        <v>7169</v>
      </c>
      <c r="C1714" s="1013" t="s">
        <v>4468</v>
      </c>
      <c r="D1714" s="1013" t="s">
        <v>4469</v>
      </c>
      <c r="E1714" s="1014">
        <v>5940</v>
      </c>
      <c r="F1714" s="1013" t="s">
        <v>5801</v>
      </c>
      <c r="G1714" s="1014" t="s">
        <v>3</v>
      </c>
      <c r="H1714" s="1015">
        <v>938895</v>
      </c>
      <c r="I1714" s="1016" t="s">
        <v>6899</v>
      </c>
    </row>
    <row r="1715" spans="2:9" ht="15.75" x14ac:dyDescent="0.25">
      <c r="B1715" s="1365" t="s">
        <v>7169</v>
      </c>
      <c r="C1715" s="1013" t="s">
        <v>4468</v>
      </c>
      <c r="D1715" s="1013" t="s">
        <v>4469</v>
      </c>
      <c r="E1715" s="1014">
        <v>5941</v>
      </c>
      <c r="F1715" s="1013" t="s">
        <v>5802</v>
      </c>
      <c r="G1715" s="1014" t="s">
        <v>3</v>
      </c>
      <c r="H1715" s="1015">
        <v>941608</v>
      </c>
      <c r="I1715" s="1016" t="s">
        <v>6899</v>
      </c>
    </row>
    <row r="1716" spans="2:9" ht="15.75" x14ac:dyDescent="0.25">
      <c r="B1716" s="1365" t="s">
        <v>7169</v>
      </c>
      <c r="C1716" s="1013" t="s">
        <v>4468</v>
      </c>
      <c r="D1716" s="1013" t="s">
        <v>4469</v>
      </c>
      <c r="E1716" s="1014">
        <v>5944</v>
      </c>
      <c r="F1716" s="1013" t="s">
        <v>5803</v>
      </c>
      <c r="G1716" s="1014" t="s">
        <v>3</v>
      </c>
      <c r="H1716" s="1015">
        <v>942583</v>
      </c>
      <c r="I1716" s="1016" t="s">
        <v>6899</v>
      </c>
    </row>
    <row r="1717" spans="2:9" ht="15.75" x14ac:dyDescent="0.25">
      <c r="B1717" s="1365" t="s">
        <v>7169</v>
      </c>
      <c r="C1717" s="1013" t="s">
        <v>4468</v>
      </c>
      <c r="D1717" s="1013" t="s">
        <v>4469</v>
      </c>
      <c r="E1717" s="1014">
        <v>5945</v>
      </c>
      <c r="F1717" s="1013" t="s">
        <v>5804</v>
      </c>
      <c r="G1717" s="1014" t="s">
        <v>3</v>
      </c>
      <c r="H1717" s="1015">
        <v>870291</v>
      </c>
      <c r="I1717" s="1016" t="s">
        <v>6899</v>
      </c>
    </row>
    <row r="1718" spans="2:9" ht="15.75" x14ac:dyDescent="0.25">
      <c r="B1718" s="1365" t="s">
        <v>7169</v>
      </c>
      <c r="C1718" s="1013" t="s">
        <v>4468</v>
      </c>
      <c r="D1718" s="1013" t="s">
        <v>4469</v>
      </c>
      <c r="E1718" s="1014">
        <v>5946</v>
      </c>
      <c r="F1718" s="1013" t="s">
        <v>5805</v>
      </c>
      <c r="G1718" s="1014" t="s">
        <v>3</v>
      </c>
      <c r="H1718" s="1015">
        <v>1198128</v>
      </c>
      <c r="I1718" s="1016" t="s">
        <v>6899</v>
      </c>
    </row>
    <row r="1719" spans="2:9" ht="15.75" x14ac:dyDescent="0.25">
      <c r="B1719" s="1365" t="s">
        <v>7169</v>
      </c>
      <c r="C1719" s="1013" t="s">
        <v>4468</v>
      </c>
      <c r="D1719" s="1013" t="s">
        <v>4469</v>
      </c>
      <c r="E1719" s="1014">
        <v>5948</v>
      </c>
      <c r="F1719" s="1013" t="s">
        <v>5806</v>
      </c>
      <c r="G1719" s="1014" t="s">
        <v>3</v>
      </c>
      <c r="H1719" s="1015">
        <v>997718</v>
      </c>
      <c r="I1719" s="1016" t="s">
        <v>6899</v>
      </c>
    </row>
    <row r="1720" spans="2:9" ht="15.75" x14ac:dyDescent="0.25">
      <c r="B1720" s="1365" t="s">
        <v>7169</v>
      </c>
      <c r="C1720" s="1013" t="s">
        <v>4468</v>
      </c>
      <c r="D1720" s="1013" t="s">
        <v>4469</v>
      </c>
      <c r="E1720" s="1014">
        <v>5949</v>
      </c>
      <c r="F1720" s="1013" t="s">
        <v>5807</v>
      </c>
      <c r="G1720" s="1014" t="s">
        <v>3</v>
      </c>
      <c r="H1720" s="1015">
        <v>959441</v>
      </c>
      <c r="I1720" s="1016" t="s">
        <v>6899</v>
      </c>
    </row>
    <row r="1721" spans="2:9" ht="15.75" x14ac:dyDescent="0.25">
      <c r="B1721" s="1365" t="s">
        <v>7169</v>
      </c>
      <c r="C1721" s="1013" t="s">
        <v>4468</v>
      </c>
      <c r="D1721" s="1013" t="s">
        <v>4469</v>
      </c>
      <c r="E1721" s="1014">
        <v>5950</v>
      </c>
      <c r="F1721" s="1013" t="s">
        <v>5808</v>
      </c>
      <c r="G1721" s="1014" t="s">
        <v>3</v>
      </c>
      <c r="H1721" s="1015">
        <v>2405610</v>
      </c>
      <c r="I1721" s="1016" t="s">
        <v>6899</v>
      </c>
    </row>
    <row r="1722" spans="2:9" ht="15.75" x14ac:dyDescent="0.25">
      <c r="B1722" s="1365" t="s">
        <v>7169</v>
      </c>
      <c r="C1722" s="1013" t="s">
        <v>4468</v>
      </c>
      <c r="D1722" s="1013" t="s">
        <v>1798</v>
      </c>
      <c r="E1722" s="1014">
        <v>5952</v>
      </c>
      <c r="F1722" s="1013" t="s">
        <v>5809</v>
      </c>
      <c r="G1722" s="1014" t="s">
        <v>13</v>
      </c>
      <c r="H1722" s="1015">
        <v>315350</v>
      </c>
      <c r="I1722" s="1016" t="s">
        <v>3538</v>
      </c>
    </row>
    <row r="1723" spans="2:9" ht="15.75" x14ac:dyDescent="0.25">
      <c r="B1723" s="1365" t="s">
        <v>7169</v>
      </c>
      <c r="C1723" s="1013" t="s">
        <v>4461</v>
      </c>
      <c r="D1723" s="1013" t="s">
        <v>4461</v>
      </c>
      <c r="E1723" s="1014">
        <v>5953</v>
      </c>
      <c r="F1723" s="1013" t="s">
        <v>678</v>
      </c>
      <c r="G1723" s="1014" t="s">
        <v>13</v>
      </c>
      <c r="H1723" s="1015">
        <v>862867</v>
      </c>
      <c r="I1723" s="1016" t="s">
        <v>4398</v>
      </c>
    </row>
    <row r="1724" spans="2:9" ht="15.75" x14ac:dyDescent="0.25">
      <c r="B1724" s="1365" t="s">
        <v>7169</v>
      </c>
      <c r="C1724" s="1013" t="s">
        <v>4405</v>
      </c>
      <c r="D1724" s="1013" t="s">
        <v>5099</v>
      </c>
      <c r="E1724" s="1014">
        <v>5954</v>
      </c>
      <c r="F1724" s="1013" t="s">
        <v>679</v>
      </c>
      <c r="G1724" s="1014" t="s">
        <v>13</v>
      </c>
      <c r="H1724" s="1015">
        <v>1116996</v>
      </c>
      <c r="I1724" s="1016" t="s">
        <v>6899</v>
      </c>
    </row>
    <row r="1725" spans="2:9" ht="15.75" x14ac:dyDescent="0.25">
      <c r="B1725" s="1365" t="s">
        <v>7169</v>
      </c>
      <c r="C1725" s="1013" t="s">
        <v>4454</v>
      </c>
      <c r="D1725" s="1013" t="s">
        <v>4634</v>
      </c>
      <c r="E1725" s="1014">
        <v>5955</v>
      </c>
      <c r="F1725" s="1013" t="s">
        <v>5810</v>
      </c>
      <c r="G1725" s="1014" t="s">
        <v>266</v>
      </c>
      <c r="H1725" s="1015">
        <v>431386</v>
      </c>
      <c r="I1725" s="1016" t="s">
        <v>6899</v>
      </c>
    </row>
    <row r="1726" spans="2:9" ht="15.75" x14ac:dyDescent="0.25">
      <c r="B1726" s="1365" t="s">
        <v>6897</v>
      </c>
      <c r="C1726" s="1013" t="s">
        <v>4799</v>
      </c>
      <c r="D1726" s="1013" t="s">
        <v>5199</v>
      </c>
      <c r="E1726" s="1014">
        <v>5966</v>
      </c>
      <c r="F1726" s="1013" t="s">
        <v>680</v>
      </c>
      <c r="G1726" s="1014" t="s">
        <v>12</v>
      </c>
      <c r="H1726" s="1015">
        <v>3856</v>
      </c>
      <c r="I1726" s="1016" t="s">
        <v>6899</v>
      </c>
    </row>
    <row r="1727" spans="2:9" ht="15.75" x14ac:dyDescent="0.25">
      <c r="B1727" s="1365" t="s">
        <v>6897</v>
      </c>
      <c r="C1727" s="1013" t="s">
        <v>4799</v>
      </c>
      <c r="D1727" s="1013" t="s">
        <v>5199</v>
      </c>
      <c r="E1727" s="1014">
        <v>5967</v>
      </c>
      <c r="F1727" s="1013" t="s">
        <v>681</v>
      </c>
      <c r="G1727" s="1014" t="s">
        <v>12</v>
      </c>
      <c r="H1727" s="1015">
        <v>29553</v>
      </c>
      <c r="I1727" s="1016" t="s">
        <v>6899</v>
      </c>
    </row>
    <row r="1728" spans="2:9" ht="15.75" x14ac:dyDescent="0.25">
      <c r="B1728" s="1365" t="s">
        <v>6897</v>
      </c>
      <c r="C1728" s="1013" t="s">
        <v>4799</v>
      </c>
      <c r="D1728" s="1013" t="s">
        <v>5199</v>
      </c>
      <c r="E1728" s="1014">
        <v>5968</v>
      </c>
      <c r="F1728" s="1013" t="s">
        <v>682</v>
      </c>
      <c r="G1728" s="1014" t="s">
        <v>12</v>
      </c>
      <c r="H1728" s="1015">
        <v>91253</v>
      </c>
      <c r="I1728" s="1016" t="s">
        <v>6899</v>
      </c>
    </row>
    <row r="1729" spans="2:9" ht="15.75" x14ac:dyDescent="0.25">
      <c r="B1729" s="1365" t="s">
        <v>6897</v>
      </c>
      <c r="C1729" s="1013" t="s">
        <v>4799</v>
      </c>
      <c r="D1729" s="1013" t="s">
        <v>5199</v>
      </c>
      <c r="E1729" s="1014">
        <v>5969</v>
      </c>
      <c r="F1729" s="1013" t="s">
        <v>683</v>
      </c>
      <c r="G1729" s="1014" t="s">
        <v>12</v>
      </c>
      <c r="H1729" s="1015">
        <v>90204</v>
      </c>
      <c r="I1729" s="1016" t="s">
        <v>6899</v>
      </c>
    </row>
    <row r="1730" spans="2:9" ht="15.75" x14ac:dyDescent="0.25">
      <c r="B1730" s="1365" t="s">
        <v>6897</v>
      </c>
      <c r="C1730" s="1013" t="s">
        <v>4799</v>
      </c>
      <c r="D1730" s="1013" t="s">
        <v>5199</v>
      </c>
      <c r="E1730" s="1014">
        <v>5970</v>
      </c>
      <c r="F1730" s="1013" t="s">
        <v>684</v>
      </c>
      <c r="G1730" s="1014" t="s">
        <v>12</v>
      </c>
      <c r="H1730" s="1015">
        <v>316351</v>
      </c>
      <c r="I1730" s="1016" t="s">
        <v>6899</v>
      </c>
    </row>
    <row r="1731" spans="2:9" ht="15.75" x14ac:dyDescent="0.25">
      <c r="B1731" s="1365" t="s">
        <v>6897</v>
      </c>
      <c r="C1731" s="1013" t="s">
        <v>4799</v>
      </c>
      <c r="D1731" s="1013" t="s">
        <v>5199</v>
      </c>
      <c r="E1731" s="1014">
        <v>5971</v>
      </c>
      <c r="F1731" s="1013" t="s">
        <v>5811</v>
      </c>
      <c r="G1731" s="1014" t="s">
        <v>12</v>
      </c>
      <c r="H1731" s="1015">
        <v>380557</v>
      </c>
      <c r="I1731" s="1016" t="s">
        <v>6899</v>
      </c>
    </row>
    <row r="1732" spans="2:9" ht="15.75" x14ac:dyDescent="0.25">
      <c r="B1732" s="1365" t="s">
        <v>6897</v>
      </c>
      <c r="C1732" s="1013" t="s">
        <v>4799</v>
      </c>
      <c r="D1732" s="1013" t="s">
        <v>5199</v>
      </c>
      <c r="E1732" s="1014">
        <v>5972</v>
      </c>
      <c r="F1732" s="1013" t="s">
        <v>685</v>
      </c>
      <c r="G1732" s="1014" t="s">
        <v>12</v>
      </c>
      <c r="H1732" s="1015">
        <v>357697</v>
      </c>
      <c r="I1732" s="1016" t="s">
        <v>6899</v>
      </c>
    </row>
    <row r="1733" spans="2:9" ht="15.75" x14ac:dyDescent="0.25">
      <c r="B1733" s="1365" t="s">
        <v>7169</v>
      </c>
      <c r="C1733" s="1013" t="s">
        <v>4799</v>
      </c>
      <c r="D1733" s="1013" t="s">
        <v>4800</v>
      </c>
      <c r="E1733" s="1014">
        <v>5975</v>
      </c>
      <c r="F1733" s="1013" t="s">
        <v>5812</v>
      </c>
      <c r="G1733" s="1014" t="s">
        <v>202</v>
      </c>
      <c r="H1733" s="1015">
        <v>33422</v>
      </c>
      <c r="I1733" s="1016" t="s">
        <v>4398</v>
      </c>
    </row>
    <row r="1734" spans="2:9" ht="15.75" x14ac:dyDescent="0.25">
      <c r="B1734" s="1365" t="s">
        <v>7169</v>
      </c>
      <c r="C1734" s="1013" t="s">
        <v>4468</v>
      </c>
      <c r="D1734" s="1013" t="s">
        <v>1798</v>
      </c>
      <c r="E1734" s="1014">
        <v>5976</v>
      </c>
      <c r="F1734" s="1013" t="s">
        <v>686</v>
      </c>
      <c r="G1734" s="1014" t="s">
        <v>13</v>
      </c>
      <c r="H1734" s="1015">
        <v>64416</v>
      </c>
      <c r="I1734" s="1016" t="s">
        <v>4398</v>
      </c>
    </row>
    <row r="1735" spans="2:9" ht="15.75" x14ac:dyDescent="0.25">
      <c r="B1735" s="1365" t="s">
        <v>7169</v>
      </c>
      <c r="C1735" s="1013" t="s">
        <v>4420</v>
      </c>
      <c r="D1735" s="1013" t="s">
        <v>4420</v>
      </c>
      <c r="E1735" s="1014">
        <v>5992</v>
      </c>
      <c r="F1735" s="1013" t="s">
        <v>687</v>
      </c>
      <c r="G1735" s="1014" t="s">
        <v>13</v>
      </c>
      <c r="H1735" s="1015">
        <v>1124965</v>
      </c>
      <c r="I1735" s="1016" t="s">
        <v>6899</v>
      </c>
    </row>
    <row r="1736" spans="2:9" ht="15.75" x14ac:dyDescent="0.25">
      <c r="B1736" s="1365" t="s">
        <v>7169</v>
      </c>
      <c r="C1736" s="1013" t="s">
        <v>4454</v>
      </c>
      <c r="D1736" s="1013" t="s">
        <v>5477</v>
      </c>
      <c r="E1736" s="1014">
        <v>5993</v>
      </c>
      <c r="F1736" s="1013" t="s">
        <v>688</v>
      </c>
      <c r="G1736" s="1014" t="s">
        <v>546</v>
      </c>
      <c r="H1736" s="1015">
        <v>4280888</v>
      </c>
      <c r="I1736" s="1016" t="s">
        <v>6899</v>
      </c>
    </row>
    <row r="1737" spans="2:9" ht="15.75" x14ac:dyDescent="0.25">
      <c r="B1737" s="1365" t="s">
        <v>7169</v>
      </c>
      <c r="C1737" s="1013" t="s">
        <v>4420</v>
      </c>
      <c r="D1737" s="1013" t="s">
        <v>4420</v>
      </c>
      <c r="E1737" s="1014">
        <v>5994</v>
      </c>
      <c r="F1737" s="1013" t="s">
        <v>689</v>
      </c>
      <c r="G1737" s="1014" t="s">
        <v>13</v>
      </c>
      <c r="H1737" s="1015">
        <v>262985</v>
      </c>
      <c r="I1737" s="1016" t="s">
        <v>6899</v>
      </c>
    </row>
    <row r="1738" spans="2:9" ht="15.75" x14ac:dyDescent="0.25">
      <c r="B1738" s="1365" t="s">
        <v>7169</v>
      </c>
      <c r="C1738" s="1013" t="s">
        <v>4420</v>
      </c>
      <c r="D1738" s="1013" t="s">
        <v>4420</v>
      </c>
      <c r="E1738" s="1014">
        <v>5995</v>
      </c>
      <c r="F1738" s="1013" t="s">
        <v>690</v>
      </c>
      <c r="G1738" s="1014" t="s">
        <v>13</v>
      </c>
      <c r="H1738" s="1015">
        <v>541515</v>
      </c>
      <c r="I1738" s="1016" t="s">
        <v>6899</v>
      </c>
    </row>
    <row r="1739" spans="2:9" ht="15.75" x14ac:dyDescent="0.25">
      <c r="B1739" s="1365" t="s">
        <v>7169</v>
      </c>
      <c r="C1739" s="1013" t="s">
        <v>4472</v>
      </c>
      <c r="D1739" s="1013" t="s">
        <v>4812</v>
      </c>
      <c r="E1739" s="1014">
        <v>5996</v>
      </c>
      <c r="F1739" s="1013" t="s">
        <v>5813</v>
      </c>
      <c r="G1739" s="1014" t="s">
        <v>13</v>
      </c>
      <c r="H1739" s="1015">
        <v>40294</v>
      </c>
      <c r="I1739" s="1016" t="s">
        <v>6899</v>
      </c>
    </row>
    <row r="1740" spans="2:9" ht="15.75" x14ac:dyDescent="0.25">
      <c r="B1740" s="1365" t="s">
        <v>7169</v>
      </c>
      <c r="C1740" s="1013" t="s">
        <v>4410</v>
      </c>
      <c r="D1740" s="1013" t="s">
        <v>4415</v>
      </c>
      <c r="E1740" s="1014">
        <v>5997</v>
      </c>
      <c r="F1740" s="1013" t="s">
        <v>5814</v>
      </c>
      <c r="G1740" s="1014" t="s">
        <v>12</v>
      </c>
      <c r="H1740" s="1015">
        <v>93879</v>
      </c>
      <c r="I1740" s="1016" t="s">
        <v>6899</v>
      </c>
    </row>
    <row r="1741" spans="2:9" ht="15.75" x14ac:dyDescent="0.25">
      <c r="B1741" s="1365" t="s">
        <v>7169</v>
      </c>
      <c r="C1741" s="1013" t="s">
        <v>4461</v>
      </c>
      <c r="D1741" s="1013" t="s">
        <v>4461</v>
      </c>
      <c r="E1741" s="1014">
        <v>5998</v>
      </c>
      <c r="F1741" s="1013" t="s">
        <v>691</v>
      </c>
      <c r="G1741" s="1014" t="s">
        <v>266</v>
      </c>
      <c r="H1741" s="1015">
        <v>95774</v>
      </c>
      <c r="I1741" s="1016" t="s">
        <v>4398</v>
      </c>
    </row>
    <row r="1742" spans="2:9" ht="15.75" x14ac:dyDescent="0.25">
      <c r="B1742" s="1365" t="s">
        <v>7169</v>
      </c>
      <c r="C1742" s="1013" t="s">
        <v>4461</v>
      </c>
      <c r="D1742" s="1013" t="s">
        <v>4461</v>
      </c>
      <c r="E1742" s="1014">
        <v>5999</v>
      </c>
      <c r="F1742" s="1013" t="s">
        <v>5815</v>
      </c>
      <c r="G1742" s="1014" t="s">
        <v>266</v>
      </c>
      <c r="H1742" s="1015">
        <v>1380400</v>
      </c>
      <c r="I1742" s="1016" t="s">
        <v>6899</v>
      </c>
    </row>
    <row r="1743" spans="2:9" ht="15.75" x14ac:dyDescent="0.25">
      <c r="B1743" s="1365" t="s">
        <v>7169</v>
      </c>
      <c r="C1743" s="1013" t="s">
        <v>4431</v>
      </c>
      <c r="D1743" s="1013" t="s">
        <v>4432</v>
      </c>
      <c r="E1743" s="1014">
        <v>6004</v>
      </c>
      <c r="F1743" s="1013" t="s">
        <v>692</v>
      </c>
      <c r="G1743" s="1014" t="s">
        <v>266</v>
      </c>
      <c r="H1743" s="1015">
        <v>17278541</v>
      </c>
      <c r="I1743" s="1016" t="s">
        <v>6899</v>
      </c>
    </row>
    <row r="1744" spans="2:9" ht="15.75" x14ac:dyDescent="0.25">
      <c r="B1744" s="1365" t="s">
        <v>7169</v>
      </c>
      <c r="C1744" s="1013" t="s">
        <v>4431</v>
      </c>
      <c r="D1744" s="1013" t="s">
        <v>4432</v>
      </c>
      <c r="E1744" s="1014">
        <v>6006</v>
      </c>
      <c r="F1744" s="1013" t="s">
        <v>5816</v>
      </c>
      <c r="G1744" s="1014" t="s">
        <v>266</v>
      </c>
      <c r="H1744" s="1015">
        <v>2236103</v>
      </c>
      <c r="I1744" s="1016" t="s">
        <v>4398</v>
      </c>
    </row>
    <row r="1745" spans="2:9" ht="15.75" x14ac:dyDescent="0.25">
      <c r="B1745" s="1365" t="s">
        <v>7169</v>
      </c>
      <c r="C1745" s="1013" t="s">
        <v>4468</v>
      </c>
      <c r="D1745" s="1013" t="s">
        <v>4469</v>
      </c>
      <c r="E1745" s="1014">
        <v>6007</v>
      </c>
      <c r="F1745" s="1013" t="s">
        <v>5817</v>
      </c>
      <c r="G1745" s="1014" t="s">
        <v>3</v>
      </c>
      <c r="H1745" s="1015">
        <v>1789454</v>
      </c>
      <c r="I1745" s="1016" t="s">
        <v>6899</v>
      </c>
    </row>
    <row r="1746" spans="2:9" ht="15.75" x14ac:dyDescent="0.25">
      <c r="B1746" s="1365" t="s">
        <v>7169</v>
      </c>
      <c r="C1746" s="1013" t="s">
        <v>5425</v>
      </c>
      <c r="D1746" s="1013" t="s">
        <v>5674</v>
      </c>
      <c r="E1746" s="1014">
        <v>6008</v>
      </c>
      <c r="F1746" s="1013" t="s">
        <v>693</v>
      </c>
      <c r="G1746" s="1014" t="s">
        <v>12</v>
      </c>
      <c r="H1746" s="1015">
        <v>2469</v>
      </c>
      <c r="I1746" s="1016" t="s">
        <v>4398</v>
      </c>
    </row>
    <row r="1747" spans="2:9" ht="15.75" x14ac:dyDescent="0.25">
      <c r="B1747" s="1365" t="s">
        <v>7169</v>
      </c>
      <c r="C1747" s="1013" t="s">
        <v>5425</v>
      </c>
      <c r="D1747" s="1013" t="s">
        <v>5674</v>
      </c>
      <c r="E1747" s="1014">
        <v>6009</v>
      </c>
      <c r="F1747" s="1013" t="s">
        <v>694</v>
      </c>
      <c r="G1747" s="1014" t="s">
        <v>12</v>
      </c>
      <c r="H1747" s="1015">
        <v>2765</v>
      </c>
      <c r="I1747" s="1016" t="s">
        <v>4398</v>
      </c>
    </row>
    <row r="1748" spans="2:9" ht="15.75" x14ac:dyDescent="0.25">
      <c r="B1748" s="1365" t="s">
        <v>7169</v>
      </c>
      <c r="C1748" s="1013" t="s">
        <v>4401</v>
      </c>
      <c r="D1748" s="1013" t="s">
        <v>4401</v>
      </c>
      <c r="E1748" s="1014">
        <v>6010</v>
      </c>
      <c r="F1748" s="1013" t="s">
        <v>5818</v>
      </c>
      <c r="G1748" s="1014" t="s">
        <v>13</v>
      </c>
      <c r="H1748" s="1015">
        <v>39409</v>
      </c>
      <c r="I1748" s="1016" t="s">
        <v>6899</v>
      </c>
    </row>
    <row r="1749" spans="2:9" ht="15.75" x14ac:dyDescent="0.25">
      <c r="B1749" s="1365" t="s">
        <v>7169</v>
      </c>
      <c r="C1749" s="1013" t="s">
        <v>4472</v>
      </c>
      <c r="D1749" s="1013" t="s">
        <v>4817</v>
      </c>
      <c r="E1749" s="1014">
        <v>6011</v>
      </c>
      <c r="F1749" s="1013" t="s">
        <v>5819</v>
      </c>
      <c r="G1749" s="1014" t="s">
        <v>266</v>
      </c>
      <c r="H1749" s="1015">
        <v>148387</v>
      </c>
      <c r="I1749" s="1016" t="s">
        <v>6899</v>
      </c>
    </row>
    <row r="1750" spans="2:9" ht="15.75" x14ac:dyDescent="0.25">
      <c r="B1750" s="1365" t="s">
        <v>7169</v>
      </c>
      <c r="C1750" s="1013" t="s">
        <v>4396</v>
      </c>
      <c r="D1750" s="1013" t="s">
        <v>5392</v>
      </c>
      <c r="E1750" s="1014">
        <v>6015</v>
      </c>
      <c r="F1750" s="1013" t="s">
        <v>695</v>
      </c>
      <c r="G1750" s="1014" t="s">
        <v>12</v>
      </c>
      <c r="H1750" s="1015">
        <v>53060</v>
      </c>
      <c r="I1750" s="1016" t="s">
        <v>4398</v>
      </c>
    </row>
    <row r="1751" spans="2:9" ht="15.75" x14ac:dyDescent="0.25">
      <c r="B1751" s="1365" t="s">
        <v>7169</v>
      </c>
      <c r="C1751" s="1013" t="s">
        <v>4410</v>
      </c>
      <c r="D1751" s="1013" t="s">
        <v>4642</v>
      </c>
      <c r="E1751" s="1014">
        <v>6016</v>
      </c>
      <c r="F1751" s="1013" t="s">
        <v>5820</v>
      </c>
      <c r="G1751" s="1014" t="s">
        <v>3</v>
      </c>
      <c r="H1751" s="1015">
        <v>145351</v>
      </c>
      <c r="I1751" s="1016" t="s">
        <v>6899</v>
      </c>
    </row>
    <row r="1752" spans="2:9" ht="15.75" x14ac:dyDescent="0.25">
      <c r="B1752" s="1365" t="s">
        <v>7169</v>
      </c>
      <c r="C1752" s="1013" t="s">
        <v>4410</v>
      </c>
      <c r="D1752" s="1013" t="s">
        <v>4415</v>
      </c>
      <c r="E1752" s="1014">
        <v>6020</v>
      </c>
      <c r="F1752" s="1013" t="s">
        <v>5821</v>
      </c>
      <c r="G1752" s="1014" t="s">
        <v>3</v>
      </c>
      <c r="H1752" s="1015">
        <v>34029</v>
      </c>
      <c r="I1752" s="1016" t="s">
        <v>6899</v>
      </c>
    </row>
    <row r="1753" spans="2:9" ht="15.75" x14ac:dyDescent="0.25">
      <c r="B1753" s="1365" t="s">
        <v>7169</v>
      </c>
      <c r="C1753" s="1013" t="s">
        <v>4468</v>
      </c>
      <c r="D1753" s="1013" t="s">
        <v>4469</v>
      </c>
      <c r="E1753" s="1014">
        <v>6021</v>
      </c>
      <c r="F1753" s="1013" t="s">
        <v>5822</v>
      </c>
      <c r="G1753" s="1014" t="s">
        <v>3</v>
      </c>
      <c r="H1753" s="1015">
        <v>730054</v>
      </c>
      <c r="I1753" s="1016" t="s">
        <v>6899</v>
      </c>
    </row>
    <row r="1754" spans="2:9" ht="15.75" x14ac:dyDescent="0.25">
      <c r="B1754" s="1365" t="s">
        <v>7169</v>
      </c>
      <c r="C1754" s="1013" t="s">
        <v>4454</v>
      </c>
      <c r="D1754" s="1013" t="s">
        <v>4634</v>
      </c>
      <c r="E1754" s="1014">
        <v>6029</v>
      </c>
      <c r="F1754" s="1013" t="s">
        <v>5823</v>
      </c>
      <c r="G1754" s="1014" t="s">
        <v>266</v>
      </c>
      <c r="H1754" s="1015">
        <v>574488</v>
      </c>
      <c r="I1754" s="1016" t="s">
        <v>6899</v>
      </c>
    </row>
    <row r="1755" spans="2:9" ht="15.75" x14ac:dyDescent="0.25">
      <c r="B1755" s="1365" t="s">
        <v>7169</v>
      </c>
      <c r="C1755" s="1013" t="s">
        <v>4454</v>
      </c>
      <c r="D1755" s="1013" t="s">
        <v>4634</v>
      </c>
      <c r="E1755" s="1014">
        <v>6030</v>
      </c>
      <c r="F1755" s="1013" t="s">
        <v>5824</v>
      </c>
      <c r="G1755" s="1014" t="s">
        <v>266</v>
      </c>
      <c r="H1755" s="1015">
        <v>565044</v>
      </c>
      <c r="I1755" s="1016" t="s">
        <v>6899</v>
      </c>
    </row>
    <row r="1756" spans="2:9" ht="15.75" x14ac:dyDescent="0.25">
      <c r="B1756" s="1365" t="s">
        <v>7169</v>
      </c>
      <c r="C1756" s="1013" t="s">
        <v>4454</v>
      </c>
      <c r="D1756" s="1013" t="s">
        <v>4634</v>
      </c>
      <c r="E1756" s="1014">
        <v>6031</v>
      </c>
      <c r="F1756" s="1013" t="s">
        <v>5825</v>
      </c>
      <c r="G1756" s="1014" t="s">
        <v>266</v>
      </c>
      <c r="H1756" s="1015">
        <v>553976</v>
      </c>
      <c r="I1756" s="1016" t="s">
        <v>6899</v>
      </c>
    </row>
    <row r="1757" spans="2:9" ht="15.75" x14ac:dyDescent="0.25">
      <c r="B1757" s="1365" t="s">
        <v>7169</v>
      </c>
      <c r="C1757" s="1013" t="s">
        <v>4454</v>
      </c>
      <c r="D1757" s="1013" t="s">
        <v>4634</v>
      </c>
      <c r="E1757" s="1014">
        <v>6032</v>
      </c>
      <c r="F1757" s="1013" t="s">
        <v>5826</v>
      </c>
      <c r="G1757" s="1014" t="s">
        <v>266</v>
      </c>
      <c r="H1757" s="1015">
        <v>565044</v>
      </c>
      <c r="I1757" s="1016" t="s">
        <v>6899</v>
      </c>
    </row>
    <row r="1758" spans="2:9" ht="15.75" x14ac:dyDescent="0.25">
      <c r="B1758" s="1365" t="s">
        <v>7169</v>
      </c>
      <c r="C1758" s="1013" t="s">
        <v>4454</v>
      </c>
      <c r="D1758" s="1013" t="s">
        <v>4634</v>
      </c>
      <c r="E1758" s="1014">
        <v>6033</v>
      </c>
      <c r="F1758" s="1013" t="s">
        <v>5827</v>
      </c>
      <c r="G1758" s="1014" t="s">
        <v>266</v>
      </c>
      <c r="H1758" s="1015">
        <v>565044</v>
      </c>
      <c r="I1758" s="1016" t="s">
        <v>6899</v>
      </c>
    </row>
    <row r="1759" spans="2:9" ht="15.75" x14ac:dyDescent="0.25">
      <c r="B1759" s="1365" t="s">
        <v>7169</v>
      </c>
      <c r="C1759" s="1013" t="s">
        <v>4454</v>
      </c>
      <c r="D1759" s="1013" t="s">
        <v>4634</v>
      </c>
      <c r="E1759" s="1014">
        <v>6034</v>
      </c>
      <c r="F1759" s="1013" t="s">
        <v>5828</v>
      </c>
      <c r="G1759" s="1014" t="s">
        <v>266</v>
      </c>
      <c r="H1759" s="1015">
        <v>466836</v>
      </c>
      <c r="I1759" s="1016" t="s">
        <v>6899</v>
      </c>
    </row>
    <row r="1760" spans="2:9" ht="15.75" x14ac:dyDescent="0.25">
      <c r="B1760" s="1365" t="s">
        <v>7169</v>
      </c>
      <c r="C1760" s="1013" t="s">
        <v>4405</v>
      </c>
      <c r="D1760" s="1013" t="s">
        <v>4579</v>
      </c>
      <c r="E1760" s="1014">
        <v>6036</v>
      </c>
      <c r="F1760" s="1013" t="s">
        <v>5829</v>
      </c>
      <c r="G1760" s="1014" t="s">
        <v>266</v>
      </c>
      <c r="H1760" s="1015">
        <v>7982922</v>
      </c>
      <c r="I1760" s="1016" t="s">
        <v>4398</v>
      </c>
    </row>
    <row r="1761" spans="2:9" ht="15.75" x14ac:dyDescent="0.25">
      <c r="B1761" s="1365" t="s">
        <v>7169</v>
      </c>
      <c r="C1761" s="1013" t="s">
        <v>4405</v>
      </c>
      <c r="D1761" s="1013" t="s">
        <v>4579</v>
      </c>
      <c r="E1761" s="1014">
        <v>6037</v>
      </c>
      <c r="F1761" s="1013" t="s">
        <v>5830</v>
      </c>
      <c r="G1761" s="1014" t="s">
        <v>266</v>
      </c>
      <c r="H1761" s="1015">
        <v>4879044</v>
      </c>
      <c r="I1761" s="1016" t="s">
        <v>6899</v>
      </c>
    </row>
    <row r="1762" spans="2:9" ht="15.75" x14ac:dyDescent="0.25">
      <c r="B1762" s="1365" t="s">
        <v>7169</v>
      </c>
      <c r="C1762" s="1013" t="s">
        <v>4405</v>
      </c>
      <c r="D1762" s="1013" t="s">
        <v>4579</v>
      </c>
      <c r="E1762" s="1014">
        <v>6038</v>
      </c>
      <c r="F1762" s="1013" t="s">
        <v>5831</v>
      </c>
      <c r="G1762" s="1014" t="s">
        <v>266</v>
      </c>
      <c r="H1762" s="1015">
        <v>6014073</v>
      </c>
      <c r="I1762" s="1016" t="s">
        <v>6899</v>
      </c>
    </row>
    <row r="1763" spans="2:9" ht="15.75" x14ac:dyDescent="0.25">
      <c r="B1763" s="1365" t="s">
        <v>7169</v>
      </c>
      <c r="C1763" s="1013" t="s">
        <v>4405</v>
      </c>
      <c r="D1763" s="1013" t="s">
        <v>4579</v>
      </c>
      <c r="E1763" s="1014">
        <v>6039</v>
      </c>
      <c r="F1763" s="1013" t="s">
        <v>5832</v>
      </c>
      <c r="G1763" s="1014" t="s">
        <v>266</v>
      </c>
      <c r="H1763" s="1015">
        <v>7579042</v>
      </c>
      <c r="I1763" s="1016" t="s">
        <v>6899</v>
      </c>
    </row>
    <row r="1764" spans="2:9" ht="15.75" x14ac:dyDescent="0.25">
      <c r="B1764" s="1365" t="s">
        <v>7169</v>
      </c>
      <c r="C1764" s="1013" t="s">
        <v>4405</v>
      </c>
      <c r="D1764" s="1013" t="s">
        <v>4579</v>
      </c>
      <c r="E1764" s="1014">
        <v>6040</v>
      </c>
      <c r="F1764" s="1013" t="s">
        <v>5833</v>
      </c>
      <c r="G1764" s="1014" t="s">
        <v>266</v>
      </c>
      <c r="H1764" s="1015">
        <v>13811546</v>
      </c>
      <c r="I1764" s="1016" t="s">
        <v>6899</v>
      </c>
    </row>
    <row r="1765" spans="2:9" ht="15.75" x14ac:dyDescent="0.25">
      <c r="B1765" s="1365" t="s">
        <v>7169</v>
      </c>
      <c r="C1765" s="1013" t="s">
        <v>4431</v>
      </c>
      <c r="D1765" s="1013" t="s">
        <v>4432</v>
      </c>
      <c r="E1765" s="1014">
        <v>6041</v>
      </c>
      <c r="F1765" s="1013" t="s">
        <v>5834</v>
      </c>
      <c r="G1765" s="1014" t="s">
        <v>266</v>
      </c>
      <c r="H1765" s="1015">
        <v>4384543</v>
      </c>
      <c r="I1765" s="1016" t="s">
        <v>6899</v>
      </c>
    </row>
    <row r="1766" spans="2:9" ht="15.75" x14ac:dyDescent="0.25">
      <c r="B1766" s="1365" t="s">
        <v>7169</v>
      </c>
      <c r="C1766" s="1013" t="s">
        <v>4431</v>
      </c>
      <c r="D1766" s="1013" t="s">
        <v>4432</v>
      </c>
      <c r="E1766" s="1014">
        <v>6042</v>
      </c>
      <c r="F1766" s="1013" t="s">
        <v>5835</v>
      </c>
      <c r="G1766" s="1014" t="s">
        <v>266</v>
      </c>
      <c r="H1766" s="1015">
        <v>4880918</v>
      </c>
      <c r="I1766" s="1016" t="s">
        <v>6899</v>
      </c>
    </row>
    <row r="1767" spans="2:9" ht="15.75" x14ac:dyDescent="0.25">
      <c r="B1767" s="1365" t="s">
        <v>7169</v>
      </c>
      <c r="C1767" s="1013" t="s">
        <v>4431</v>
      </c>
      <c r="D1767" s="1013" t="s">
        <v>4432</v>
      </c>
      <c r="E1767" s="1014">
        <v>6043</v>
      </c>
      <c r="F1767" s="1013" t="s">
        <v>5836</v>
      </c>
      <c r="G1767" s="1014" t="s">
        <v>266</v>
      </c>
      <c r="H1767" s="1015">
        <v>4761828</v>
      </c>
      <c r="I1767" s="1016" t="s">
        <v>6899</v>
      </c>
    </row>
    <row r="1768" spans="2:9" ht="15.75" x14ac:dyDescent="0.25">
      <c r="B1768" s="1365" t="s">
        <v>7169</v>
      </c>
      <c r="C1768" s="1013" t="s">
        <v>4431</v>
      </c>
      <c r="D1768" s="1013" t="s">
        <v>4432</v>
      </c>
      <c r="E1768" s="1014">
        <v>6044</v>
      </c>
      <c r="F1768" s="1013" t="s">
        <v>5837</v>
      </c>
      <c r="G1768" s="1014" t="s">
        <v>266</v>
      </c>
      <c r="H1768" s="1015">
        <v>4431703</v>
      </c>
      <c r="I1768" s="1016" t="s">
        <v>6899</v>
      </c>
    </row>
    <row r="1769" spans="2:9" ht="15.75" x14ac:dyDescent="0.25">
      <c r="B1769" s="1365" t="s">
        <v>7169</v>
      </c>
      <c r="C1769" s="1013" t="s">
        <v>4431</v>
      </c>
      <c r="D1769" s="1013" t="s">
        <v>4432</v>
      </c>
      <c r="E1769" s="1014">
        <v>6045</v>
      </c>
      <c r="F1769" s="1013" t="s">
        <v>696</v>
      </c>
      <c r="G1769" s="1014" t="s">
        <v>266</v>
      </c>
      <c r="H1769" s="1015">
        <v>5889779</v>
      </c>
      <c r="I1769" s="1016" t="s">
        <v>6899</v>
      </c>
    </row>
    <row r="1770" spans="2:9" ht="15.75" x14ac:dyDescent="0.25">
      <c r="B1770" s="1365" t="s">
        <v>7169</v>
      </c>
      <c r="C1770" s="1013" t="s">
        <v>4454</v>
      </c>
      <c r="D1770" s="1013" t="s">
        <v>4455</v>
      </c>
      <c r="E1770" s="1014">
        <v>6046</v>
      </c>
      <c r="F1770" s="1013" t="s">
        <v>5838</v>
      </c>
      <c r="G1770" s="1014" t="s">
        <v>266</v>
      </c>
      <c r="H1770" s="1015">
        <v>600744</v>
      </c>
      <c r="I1770" s="1016" t="s">
        <v>4398</v>
      </c>
    </row>
    <row r="1771" spans="2:9" ht="15.75" x14ac:dyDescent="0.25">
      <c r="B1771" s="1365" t="s">
        <v>7169</v>
      </c>
      <c r="C1771" s="1013" t="s">
        <v>4799</v>
      </c>
      <c r="D1771" s="1013" t="s">
        <v>5199</v>
      </c>
      <c r="E1771" s="1014">
        <v>6053</v>
      </c>
      <c r="F1771" s="1013" t="s">
        <v>697</v>
      </c>
      <c r="G1771" s="1014" t="s">
        <v>3</v>
      </c>
      <c r="H1771" s="1015">
        <v>100495</v>
      </c>
      <c r="I1771" s="1016" t="s">
        <v>6899</v>
      </c>
    </row>
    <row r="1772" spans="2:9" ht="15.75" x14ac:dyDescent="0.25">
      <c r="B1772" s="1365" t="s">
        <v>7169</v>
      </c>
      <c r="C1772" s="1013" t="s">
        <v>4431</v>
      </c>
      <c r="D1772" s="1013" t="s">
        <v>4432</v>
      </c>
      <c r="E1772" s="1014">
        <v>6057</v>
      </c>
      <c r="F1772" s="1013" t="s">
        <v>5839</v>
      </c>
      <c r="G1772" s="1014" t="s">
        <v>546</v>
      </c>
      <c r="H1772" s="1015">
        <v>182808</v>
      </c>
      <c r="I1772" s="1016" t="s">
        <v>6899</v>
      </c>
    </row>
    <row r="1773" spans="2:9" ht="15.75" x14ac:dyDescent="0.25">
      <c r="B1773" s="1365" t="s">
        <v>7169</v>
      </c>
      <c r="C1773" s="1013" t="s">
        <v>4431</v>
      </c>
      <c r="D1773" s="1013" t="s">
        <v>4432</v>
      </c>
      <c r="E1773" s="1014">
        <v>6058</v>
      </c>
      <c r="F1773" s="1013" t="s">
        <v>5840</v>
      </c>
      <c r="G1773" s="1014" t="s">
        <v>546</v>
      </c>
      <c r="H1773" s="1015">
        <v>130581</v>
      </c>
      <c r="I1773" s="1016" t="s">
        <v>6899</v>
      </c>
    </row>
    <row r="1774" spans="2:9" ht="15.75" x14ac:dyDescent="0.25">
      <c r="B1774" s="1365" t="s">
        <v>7169</v>
      </c>
      <c r="C1774" s="1013" t="s">
        <v>4454</v>
      </c>
      <c r="D1774" s="1013" t="s">
        <v>4634</v>
      </c>
      <c r="E1774" s="1014">
        <v>6059</v>
      </c>
      <c r="F1774" s="1013" t="s">
        <v>5841</v>
      </c>
      <c r="G1774" s="1014" t="s">
        <v>546</v>
      </c>
      <c r="H1774" s="1015">
        <v>68002</v>
      </c>
      <c r="I1774" s="1016" t="s">
        <v>4398</v>
      </c>
    </row>
    <row r="1775" spans="2:9" ht="15.75" x14ac:dyDescent="0.25">
      <c r="B1775" s="1365" t="s">
        <v>7169</v>
      </c>
      <c r="C1775" s="1013" t="s">
        <v>4408</v>
      </c>
      <c r="D1775" s="1013" t="s">
        <v>5842</v>
      </c>
      <c r="E1775" s="1014">
        <v>6060</v>
      </c>
      <c r="F1775" s="1013" t="s">
        <v>698</v>
      </c>
      <c r="G1775" s="1014" t="s">
        <v>546</v>
      </c>
      <c r="H1775" s="1015">
        <v>1416474</v>
      </c>
      <c r="I1775" s="1016" t="s">
        <v>6899</v>
      </c>
    </row>
    <row r="1776" spans="2:9" ht="15.75" x14ac:dyDescent="0.25">
      <c r="B1776" s="1365" t="s">
        <v>7169</v>
      </c>
      <c r="C1776" s="1013" t="s">
        <v>5363</v>
      </c>
      <c r="D1776" s="1013" t="s">
        <v>5363</v>
      </c>
      <c r="E1776" s="1014">
        <v>6061</v>
      </c>
      <c r="F1776" s="1013" t="s">
        <v>5843</v>
      </c>
      <c r="G1776" s="1014" t="s">
        <v>266</v>
      </c>
      <c r="H1776" s="1015">
        <v>555936</v>
      </c>
      <c r="I1776" s="1016" t="s">
        <v>4398</v>
      </c>
    </row>
    <row r="1777" spans="2:9" ht="15.75" x14ac:dyDescent="0.25">
      <c r="B1777" s="1365" t="s">
        <v>7169</v>
      </c>
      <c r="C1777" s="1013" t="s">
        <v>4468</v>
      </c>
      <c r="D1777" s="1013" t="s">
        <v>4469</v>
      </c>
      <c r="E1777" s="1014">
        <v>6062</v>
      </c>
      <c r="F1777" s="1013" t="s">
        <v>5844</v>
      </c>
      <c r="G1777" s="1014" t="s">
        <v>3</v>
      </c>
      <c r="H1777" s="1015">
        <v>829168</v>
      </c>
      <c r="I1777" s="1016" t="s">
        <v>6899</v>
      </c>
    </row>
    <row r="1778" spans="2:9" ht="15.75" x14ac:dyDescent="0.25">
      <c r="B1778" s="1365" t="s">
        <v>7169</v>
      </c>
      <c r="C1778" s="1013" t="s">
        <v>4468</v>
      </c>
      <c r="D1778" s="1013" t="s">
        <v>1798</v>
      </c>
      <c r="E1778" s="1014">
        <v>6065</v>
      </c>
      <c r="F1778" s="1013" t="s">
        <v>699</v>
      </c>
      <c r="G1778" s="1014" t="s">
        <v>266</v>
      </c>
      <c r="H1778" s="1015">
        <v>1321119</v>
      </c>
      <c r="I1778" s="1016" t="s">
        <v>6899</v>
      </c>
    </row>
    <row r="1779" spans="2:9" ht="15.75" x14ac:dyDescent="0.25">
      <c r="B1779" s="1365" t="s">
        <v>7169</v>
      </c>
      <c r="C1779" s="1013" t="s">
        <v>5425</v>
      </c>
      <c r="D1779" s="1013" t="s">
        <v>5426</v>
      </c>
      <c r="E1779" s="1014">
        <v>6070</v>
      </c>
      <c r="F1779" s="1013" t="s">
        <v>700</v>
      </c>
      <c r="G1779" s="1014" t="s">
        <v>12</v>
      </c>
      <c r="H1779" s="1015">
        <v>101529</v>
      </c>
      <c r="I1779" s="1016" t="s">
        <v>6899</v>
      </c>
    </row>
    <row r="1780" spans="2:9" ht="15.75" x14ac:dyDescent="0.25">
      <c r="B1780" s="1365" t="s">
        <v>7169</v>
      </c>
      <c r="C1780" s="1013" t="s">
        <v>5425</v>
      </c>
      <c r="D1780" s="1013" t="s">
        <v>5426</v>
      </c>
      <c r="E1780" s="1014">
        <v>6073</v>
      </c>
      <c r="F1780" s="1013" t="s">
        <v>5845</v>
      </c>
      <c r="G1780" s="1014" t="s">
        <v>266</v>
      </c>
      <c r="H1780" s="1015">
        <v>5662516</v>
      </c>
      <c r="I1780" s="1016" t="s">
        <v>6899</v>
      </c>
    </row>
    <row r="1781" spans="2:9" ht="15.75" x14ac:dyDescent="0.25">
      <c r="B1781" s="1365" t="s">
        <v>7169</v>
      </c>
      <c r="C1781" s="1013" t="s">
        <v>5425</v>
      </c>
      <c r="D1781" s="1013" t="s">
        <v>5426</v>
      </c>
      <c r="E1781" s="1014">
        <v>6074</v>
      </c>
      <c r="F1781" s="1013" t="s">
        <v>5846</v>
      </c>
      <c r="G1781" s="1014" t="s">
        <v>266</v>
      </c>
      <c r="H1781" s="1015">
        <v>2782474</v>
      </c>
      <c r="I1781" s="1016" t="s">
        <v>6899</v>
      </c>
    </row>
    <row r="1782" spans="2:9" ht="15.75" x14ac:dyDescent="0.25">
      <c r="B1782" s="1365" t="s">
        <v>7169</v>
      </c>
      <c r="C1782" s="1013" t="s">
        <v>5425</v>
      </c>
      <c r="D1782" s="1013" t="s">
        <v>5425</v>
      </c>
      <c r="E1782" s="1014">
        <v>6078</v>
      </c>
      <c r="F1782" s="1013" t="s">
        <v>701</v>
      </c>
      <c r="G1782" s="1014" t="s">
        <v>12</v>
      </c>
      <c r="H1782" s="1015">
        <v>137812</v>
      </c>
      <c r="I1782" s="1016" t="s">
        <v>6899</v>
      </c>
    </row>
    <row r="1783" spans="2:9" ht="15.75" x14ac:dyDescent="0.25">
      <c r="B1783" s="1365" t="s">
        <v>7169</v>
      </c>
      <c r="C1783" s="1013" t="s">
        <v>5425</v>
      </c>
      <c r="D1783" s="1013" t="s">
        <v>5425</v>
      </c>
      <c r="E1783" s="1014">
        <v>6079</v>
      </c>
      <c r="F1783" s="1013" t="s">
        <v>702</v>
      </c>
      <c r="G1783" s="1014" t="s">
        <v>12</v>
      </c>
      <c r="H1783" s="1015">
        <v>134915</v>
      </c>
      <c r="I1783" s="1016" t="s">
        <v>6899</v>
      </c>
    </row>
    <row r="1784" spans="2:9" ht="15.75" x14ac:dyDescent="0.25">
      <c r="B1784" s="1365" t="s">
        <v>7169</v>
      </c>
      <c r="C1784" s="1013" t="s">
        <v>5425</v>
      </c>
      <c r="D1784" s="1013" t="s">
        <v>5425</v>
      </c>
      <c r="E1784" s="1014">
        <v>6082</v>
      </c>
      <c r="F1784" s="1013" t="s">
        <v>5847</v>
      </c>
      <c r="G1784" s="1014" t="s">
        <v>12</v>
      </c>
      <c r="H1784" s="1015">
        <v>63671</v>
      </c>
      <c r="I1784" s="1016" t="s">
        <v>6899</v>
      </c>
    </row>
    <row r="1785" spans="2:9" ht="15.75" x14ac:dyDescent="0.25">
      <c r="B1785" s="1365" t="s">
        <v>6897</v>
      </c>
      <c r="C1785" s="1013" t="s">
        <v>4799</v>
      </c>
      <c r="D1785" s="1013" t="s">
        <v>5199</v>
      </c>
      <c r="E1785" s="1014">
        <v>6083</v>
      </c>
      <c r="F1785" s="1013" t="s">
        <v>703</v>
      </c>
      <c r="G1785" s="1014" t="s">
        <v>12</v>
      </c>
      <c r="H1785" s="1015">
        <v>246126</v>
      </c>
      <c r="I1785" s="1016" t="s">
        <v>6899</v>
      </c>
    </row>
    <row r="1786" spans="2:9" ht="15.75" x14ac:dyDescent="0.25">
      <c r="B1786" s="1365" t="s">
        <v>7169</v>
      </c>
      <c r="C1786" s="1013" t="s">
        <v>5363</v>
      </c>
      <c r="D1786" s="1013" t="s">
        <v>5363</v>
      </c>
      <c r="E1786" s="1014">
        <v>6084</v>
      </c>
      <c r="F1786" s="1013" t="s">
        <v>5848</v>
      </c>
      <c r="G1786" s="1014" t="s">
        <v>266</v>
      </c>
      <c r="H1786" s="1015">
        <v>730</v>
      </c>
      <c r="I1786" s="1016" t="s">
        <v>4398</v>
      </c>
    </row>
    <row r="1787" spans="2:9" ht="15.75" x14ac:dyDescent="0.25">
      <c r="B1787" s="1365" t="s">
        <v>7169</v>
      </c>
      <c r="C1787" s="1013" t="s">
        <v>5363</v>
      </c>
      <c r="D1787" s="1013" t="s">
        <v>5363</v>
      </c>
      <c r="E1787" s="1014">
        <v>6085</v>
      </c>
      <c r="F1787" s="1013" t="s">
        <v>5849</v>
      </c>
      <c r="G1787" s="1014" t="s">
        <v>704</v>
      </c>
      <c r="H1787" s="1015">
        <v>37996</v>
      </c>
      <c r="I1787" s="1016" t="s">
        <v>4398</v>
      </c>
    </row>
    <row r="1788" spans="2:9" ht="15.75" x14ac:dyDescent="0.25">
      <c r="B1788" s="1365" t="s">
        <v>7169</v>
      </c>
      <c r="C1788" s="1013" t="s">
        <v>5366</v>
      </c>
      <c r="D1788" s="1013" t="s">
        <v>5366</v>
      </c>
      <c r="E1788" s="1014">
        <v>6086</v>
      </c>
      <c r="F1788" s="1013" t="s">
        <v>705</v>
      </c>
      <c r="G1788" s="1014" t="s">
        <v>266</v>
      </c>
      <c r="H1788" s="1015">
        <v>14636</v>
      </c>
      <c r="I1788" s="1016" t="s">
        <v>4398</v>
      </c>
    </row>
    <row r="1789" spans="2:9" ht="15.75" x14ac:dyDescent="0.25">
      <c r="B1789" s="1365" t="s">
        <v>7169</v>
      </c>
      <c r="C1789" s="1013" t="s">
        <v>5366</v>
      </c>
      <c r="D1789" s="1013" t="s">
        <v>5366</v>
      </c>
      <c r="E1789" s="1014">
        <v>6087</v>
      </c>
      <c r="F1789" s="1013" t="s">
        <v>706</v>
      </c>
      <c r="G1789" s="1014" t="s">
        <v>266</v>
      </c>
      <c r="H1789" s="1015">
        <v>13574</v>
      </c>
      <c r="I1789" s="1016" t="s">
        <v>4398</v>
      </c>
    </row>
    <row r="1790" spans="2:9" ht="15.75" x14ac:dyDescent="0.25">
      <c r="B1790" s="1365" t="s">
        <v>7169</v>
      </c>
      <c r="C1790" s="1013" t="s">
        <v>5366</v>
      </c>
      <c r="D1790" s="1013" t="s">
        <v>5366</v>
      </c>
      <c r="E1790" s="1014">
        <v>6088</v>
      </c>
      <c r="F1790" s="1013" t="s">
        <v>707</v>
      </c>
      <c r="G1790" s="1014" t="s">
        <v>5850</v>
      </c>
      <c r="H1790" s="1015">
        <v>22205</v>
      </c>
      <c r="I1790" s="1016" t="s">
        <v>4398</v>
      </c>
    </row>
    <row r="1791" spans="2:9" ht="15.75" x14ac:dyDescent="0.25">
      <c r="B1791" s="1365" t="s">
        <v>7169</v>
      </c>
      <c r="C1791" s="1013" t="s">
        <v>4431</v>
      </c>
      <c r="D1791" s="1013" t="s">
        <v>4432</v>
      </c>
      <c r="E1791" s="1014">
        <v>6089</v>
      </c>
      <c r="F1791" s="1013" t="s">
        <v>5851</v>
      </c>
      <c r="G1791" s="1014" t="s">
        <v>266</v>
      </c>
      <c r="H1791" s="1015">
        <v>3083750</v>
      </c>
      <c r="I1791" s="1016" t="s">
        <v>6899</v>
      </c>
    </row>
    <row r="1792" spans="2:9" ht="15.75" x14ac:dyDescent="0.25">
      <c r="B1792" s="1365" t="s">
        <v>7169</v>
      </c>
      <c r="C1792" s="1013" t="s">
        <v>4431</v>
      </c>
      <c r="D1792" s="1013" t="s">
        <v>4432</v>
      </c>
      <c r="E1792" s="1014">
        <v>6090</v>
      </c>
      <c r="F1792" s="1013" t="s">
        <v>5852</v>
      </c>
      <c r="G1792" s="1014" t="s">
        <v>266</v>
      </c>
      <c r="H1792" s="1015">
        <v>3193294</v>
      </c>
      <c r="I1792" s="1016" t="s">
        <v>6899</v>
      </c>
    </row>
    <row r="1793" spans="2:9" ht="15.75" x14ac:dyDescent="0.25">
      <c r="B1793" s="1365" t="s">
        <v>7169</v>
      </c>
      <c r="C1793" s="1013" t="s">
        <v>4431</v>
      </c>
      <c r="D1793" s="1013" t="s">
        <v>4432</v>
      </c>
      <c r="E1793" s="1014">
        <v>6091</v>
      </c>
      <c r="F1793" s="1013" t="s">
        <v>5853</v>
      </c>
      <c r="G1793" s="1014" t="s">
        <v>266</v>
      </c>
      <c r="H1793" s="1015">
        <v>1472399</v>
      </c>
      <c r="I1793" s="1016" t="s">
        <v>6899</v>
      </c>
    </row>
    <row r="1794" spans="2:9" ht="15.75" x14ac:dyDescent="0.25">
      <c r="B1794" s="1365" t="s">
        <v>7169</v>
      </c>
      <c r="C1794" s="1013" t="s">
        <v>4461</v>
      </c>
      <c r="D1794" s="1013" t="s">
        <v>4461</v>
      </c>
      <c r="E1794" s="1014">
        <v>6092</v>
      </c>
      <c r="F1794" s="1013" t="s">
        <v>5854</v>
      </c>
      <c r="G1794" s="1014" t="s">
        <v>266</v>
      </c>
      <c r="H1794" s="1015">
        <v>352542</v>
      </c>
      <c r="I1794" s="1016" t="s">
        <v>6899</v>
      </c>
    </row>
    <row r="1795" spans="2:9" ht="15.75" x14ac:dyDescent="0.25">
      <c r="B1795" s="1365" t="s">
        <v>7169</v>
      </c>
      <c r="C1795" s="1013" t="s">
        <v>4461</v>
      </c>
      <c r="D1795" s="1013" t="s">
        <v>4461</v>
      </c>
      <c r="E1795" s="1014">
        <v>6093</v>
      </c>
      <c r="F1795" s="1013" t="s">
        <v>5855</v>
      </c>
      <c r="G1795" s="1014" t="s">
        <v>266</v>
      </c>
      <c r="H1795" s="1015">
        <v>374563</v>
      </c>
      <c r="I1795" s="1016" t="s">
        <v>6899</v>
      </c>
    </row>
    <row r="1796" spans="2:9" ht="15.75" x14ac:dyDescent="0.25">
      <c r="B1796" s="1365" t="s">
        <v>7169</v>
      </c>
      <c r="C1796" s="1013" t="s">
        <v>4461</v>
      </c>
      <c r="D1796" s="1013" t="s">
        <v>4461</v>
      </c>
      <c r="E1796" s="1014">
        <v>6094</v>
      </c>
      <c r="F1796" s="1013" t="s">
        <v>5856</v>
      </c>
      <c r="G1796" s="1014" t="s">
        <v>266</v>
      </c>
      <c r="H1796" s="1015">
        <v>362032</v>
      </c>
      <c r="I1796" s="1016" t="s">
        <v>6899</v>
      </c>
    </row>
    <row r="1797" spans="2:9" ht="15.75" x14ac:dyDescent="0.25">
      <c r="B1797" s="1365" t="s">
        <v>7169</v>
      </c>
      <c r="C1797" s="1013" t="s">
        <v>4472</v>
      </c>
      <c r="D1797" s="1013" t="s">
        <v>4985</v>
      </c>
      <c r="E1797" s="1014">
        <v>6098</v>
      </c>
      <c r="F1797" s="1013" t="s">
        <v>5857</v>
      </c>
      <c r="G1797" s="1014" t="s">
        <v>12</v>
      </c>
      <c r="H1797" s="1015">
        <v>119456</v>
      </c>
      <c r="I1797" s="1016" t="s">
        <v>6899</v>
      </c>
    </row>
    <row r="1798" spans="2:9" ht="15.75" x14ac:dyDescent="0.25">
      <c r="B1798" s="1365" t="s">
        <v>7169</v>
      </c>
      <c r="C1798" s="1013" t="s">
        <v>4417</v>
      </c>
      <c r="D1798" s="1013" t="s">
        <v>4438</v>
      </c>
      <c r="E1798" s="1014">
        <v>6099</v>
      </c>
      <c r="F1798" s="1013" t="s">
        <v>708</v>
      </c>
      <c r="G1798" s="1014" t="s">
        <v>12</v>
      </c>
      <c r="H1798" s="1015">
        <v>47993</v>
      </c>
      <c r="I1798" s="1016" t="s">
        <v>4398</v>
      </c>
    </row>
    <row r="1799" spans="2:9" ht="15.75" x14ac:dyDescent="0.25">
      <c r="B1799" s="1365" t="s">
        <v>7169</v>
      </c>
      <c r="C1799" s="1013" t="s">
        <v>4417</v>
      </c>
      <c r="D1799" s="1013" t="s">
        <v>4438</v>
      </c>
      <c r="E1799" s="1014">
        <v>6100</v>
      </c>
      <c r="F1799" s="1013" t="s">
        <v>5858</v>
      </c>
      <c r="G1799" s="1014" t="s">
        <v>13</v>
      </c>
      <c r="H1799" s="1015">
        <v>12754</v>
      </c>
      <c r="I1799" s="1016" t="s">
        <v>6899</v>
      </c>
    </row>
    <row r="1800" spans="2:9" ht="15.75" x14ac:dyDescent="0.25">
      <c r="B1800" s="1365" t="s">
        <v>7169</v>
      </c>
      <c r="C1800" s="1013" t="s">
        <v>4417</v>
      </c>
      <c r="D1800" s="1013" t="s">
        <v>4438</v>
      </c>
      <c r="E1800" s="1014">
        <v>6101</v>
      </c>
      <c r="F1800" s="1013" t="s">
        <v>5859</v>
      </c>
      <c r="G1800" s="1014" t="s">
        <v>13</v>
      </c>
      <c r="H1800" s="1015">
        <v>14315</v>
      </c>
      <c r="I1800" s="1016" t="s">
        <v>6899</v>
      </c>
    </row>
    <row r="1801" spans="2:9" ht="15.75" x14ac:dyDescent="0.25">
      <c r="B1801" s="1365" t="s">
        <v>7169</v>
      </c>
      <c r="C1801" s="1013" t="s">
        <v>4417</v>
      </c>
      <c r="D1801" s="1013" t="s">
        <v>4438</v>
      </c>
      <c r="E1801" s="1014">
        <v>6102</v>
      </c>
      <c r="F1801" s="1013" t="s">
        <v>5860</v>
      </c>
      <c r="G1801" s="1014" t="s">
        <v>13</v>
      </c>
      <c r="H1801" s="1015">
        <v>41774</v>
      </c>
      <c r="I1801" s="1016" t="s">
        <v>6899</v>
      </c>
    </row>
    <row r="1802" spans="2:9" ht="15.75" x14ac:dyDescent="0.25">
      <c r="B1802" s="1365" t="s">
        <v>7169</v>
      </c>
      <c r="C1802" s="1013" t="s">
        <v>4420</v>
      </c>
      <c r="D1802" s="1013" t="s">
        <v>4420</v>
      </c>
      <c r="E1802" s="1014">
        <v>6103</v>
      </c>
      <c r="F1802" s="1013" t="s">
        <v>709</v>
      </c>
      <c r="G1802" s="1014" t="s">
        <v>13</v>
      </c>
      <c r="H1802" s="1015">
        <v>162142</v>
      </c>
      <c r="I1802" s="1016" t="s">
        <v>6899</v>
      </c>
    </row>
    <row r="1803" spans="2:9" ht="15.75" x14ac:dyDescent="0.25">
      <c r="B1803" s="1365" t="s">
        <v>7169</v>
      </c>
      <c r="C1803" s="1013" t="s">
        <v>5425</v>
      </c>
      <c r="D1803" s="1013" t="s">
        <v>5592</v>
      </c>
      <c r="E1803" s="1014">
        <v>6104</v>
      </c>
      <c r="F1803" s="1013" t="s">
        <v>5861</v>
      </c>
      <c r="G1803" s="1014" t="s">
        <v>12</v>
      </c>
      <c r="H1803" s="1015">
        <v>120486</v>
      </c>
      <c r="I1803" s="1016" t="s">
        <v>6899</v>
      </c>
    </row>
    <row r="1804" spans="2:9" ht="15.75" x14ac:dyDescent="0.25">
      <c r="B1804" s="1365" t="s">
        <v>7169</v>
      </c>
      <c r="C1804" s="1013" t="s">
        <v>4420</v>
      </c>
      <c r="D1804" s="1013" t="s">
        <v>4420</v>
      </c>
      <c r="E1804" s="1014">
        <v>6115</v>
      </c>
      <c r="F1804" s="1013" t="s">
        <v>5862</v>
      </c>
      <c r="G1804" s="1014" t="s">
        <v>13</v>
      </c>
      <c r="H1804" s="1015">
        <v>936294</v>
      </c>
      <c r="I1804" s="1016" t="s">
        <v>6899</v>
      </c>
    </row>
    <row r="1805" spans="2:9" ht="15.75" x14ac:dyDescent="0.25">
      <c r="B1805" s="1365" t="s">
        <v>7169</v>
      </c>
      <c r="C1805" s="1013" t="s">
        <v>4420</v>
      </c>
      <c r="D1805" s="1013" t="s">
        <v>4420</v>
      </c>
      <c r="E1805" s="1014">
        <v>6116</v>
      </c>
      <c r="F1805" s="1013" t="s">
        <v>5863</v>
      </c>
      <c r="G1805" s="1014" t="s">
        <v>13</v>
      </c>
      <c r="H1805" s="1015">
        <v>1247784</v>
      </c>
      <c r="I1805" s="1016" t="s">
        <v>6899</v>
      </c>
    </row>
    <row r="1806" spans="2:9" ht="15.75" x14ac:dyDescent="0.25">
      <c r="B1806" s="1365" t="s">
        <v>7169</v>
      </c>
      <c r="C1806" s="1013" t="s">
        <v>4420</v>
      </c>
      <c r="D1806" s="1013" t="s">
        <v>4420</v>
      </c>
      <c r="E1806" s="1014">
        <v>6118</v>
      </c>
      <c r="F1806" s="1013" t="s">
        <v>5864</v>
      </c>
      <c r="G1806" s="1014" t="s">
        <v>13</v>
      </c>
      <c r="H1806" s="1015">
        <v>2421041</v>
      </c>
      <c r="I1806" s="1016" t="s">
        <v>6899</v>
      </c>
    </row>
    <row r="1807" spans="2:9" ht="15.75" x14ac:dyDescent="0.25">
      <c r="B1807" s="1365" t="s">
        <v>7169</v>
      </c>
      <c r="C1807" s="1013" t="s">
        <v>4468</v>
      </c>
      <c r="D1807" s="1013" t="s">
        <v>1798</v>
      </c>
      <c r="E1807" s="1014">
        <v>6120</v>
      </c>
      <c r="F1807" s="1013" t="s">
        <v>711</v>
      </c>
      <c r="G1807" s="1014" t="s">
        <v>13</v>
      </c>
      <c r="H1807" s="1015">
        <v>320986</v>
      </c>
      <c r="I1807" s="1016" t="s">
        <v>6899</v>
      </c>
    </row>
    <row r="1808" spans="2:9" ht="15.75" x14ac:dyDescent="0.25">
      <c r="B1808" s="1365" t="s">
        <v>7169</v>
      </c>
      <c r="C1808" s="1013" t="s">
        <v>4461</v>
      </c>
      <c r="D1808" s="1013" t="s">
        <v>4461</v>
      </c>
      <c r="E1808" s="1014">
        <v>6121</v>
      </c>
      <c r="F1808" s="1013" t="s">
        <v>5865</v>
      </c>
      <c r="G1808" s="1014" t="s">
        <v>266</v>
      </c>
      <c r="H1808" s="1015">
        <v>2793349</v>
      </c>
      <c r="I1808" s="1016" t="s">
        <v>4398</v>
      </c>
    </row>
    <row r="1809" spans="2:9" ht="15.75" x14ac:dyDescent="0.25">
      <c r="B1809" s="1365" t="s">
        <v>7169</v>
      </c>
      <c r="C1809" s="1013" t="s">
        <v>4799</v>
      </c>
      <c r="D1809" s="1013" t="s">
        <v>4800</v>
      </c>
      <c r="E1809" s="1014">
        <v>6126</v>
      </c>
      <c r="F1809" s="1013" t="s">
        <v>712</v>
      </c>
      <c r="G1809" s="1014" t="s">
        <v>342</v>
      </c>
      <c r="H1809" s="1015">
        <v>349063</v>
      </c>
      <c r="I1809" s="1016" t="s">
        <v>4398</v>
      </c>
    </row>
    <row r="1810" spans="2:9" ht="15.75" x14ac:dyDescent="0.25">
      <c r="B1810" s="1365" t="s">
        <v>7169</v>
      </c>
      <c r="C1810" s="1013" t="s">
        <v>4405</v>
      </c>
      <c r="D1810" s="1013" t="s">
        <v>4579</v>
      </c>
      <c r="E1810" s="1014">
        <v>6127</v>
      </c>
      <c r="F1810" s="1013" t="s">
        <v>5866</v>
      </c>
      <c r="G1810" s="1014" t="s">
        <v>266</v>
      </c>
      <c r="H1810" s="1015">
        <v>99020</v>
      </c>
      <c r="I1810" s="1016" t="s">
        <v>4398</v>
      </c>
    </row>
    <row r="1811" spans="2:9" ht="15.75" x14ac:dyDescent="0.25">
      <c r="B1811" s="1365" t="s">
        <v>7169</v>
      </c>
      <c r="C1811" s="1013" t="s">
        <v>4468</v>
      </c>
      <c r="D1811" s="1013" t="s">
        <v>4469</v>
      </c>
      <c r="E1811" s="1014">
        <v>6135</v>
      </c>
      <c r="F1811" s="1013" t="s">
        <v>5867</v>
      </c>
      <c r="G1811" s="1014" t="s">
        <v>3</v>
      </c>
      <c r="H1811" s="1015">
        <v>1125748</v>
      </c>
      <c r="I1811" s="1016" t="s">
        <v>6899</v>
      </c>
    </row>
    <row r="1812" spans="2:9" ht="15.75" x14ac:dyDescent="0.25">
      <c r="B1812" s="1365" t="s">
        <v>7169</v>
      </c>
      <c r="C1812" s="1013" t="s">
        <v>4451</v>
      </c>
      <c r="D1812" s="1013" t="s">
        <v>4616</v>
      </c>
      <c r="E1812" s="1014">
        <v>6136</v>
      </c>
      <c r="F1812" s="1013" t="s">
        <v>713</v>
      </c>
      <c r="G1812" s="1014" t="s">
        <v>266</v>
      </c>
      <c r="H1812" s="1015">
        <v>252651</v>
      </c>
      <c r="I1812" s="1016" t="s">
        <v>6899</v>
      </c>
    </row>
    <row r="1813" spans="2:9" ht="15.75" x14ac:dyDescent="0.25">
      <c r="B1813" s="1365" t="s">
        <v>7169</v>
      </c>
      <c r="C1813" s="1013" t="s">
        <v>4472</v>
      </c>
      <c r="D1813" s="1013" t="s">
        <v>4473</v>
      </c>
      <c r="E1813" s="1014">
        <v>6137</v>
      </c>
      <c r="F1813" s="1013" t="s">
        <v>714</v>
      </c>
      <c r="G1813" s="1014" t="s">
        <v>12</v>
      </c>
      <c r="H1813" s="1015">
        <v>285709</v>
      </c>
      <c r="I1813" s="1016" t="s">
        <v>6899</v>
      </c>
    </row>
    <row r="1814" spans="2:9" ht="15.75" x14ac:dyDescent="0.25">
      <c r="B1814" s="1365" t="s">
        <v>7169</v>
      </c>
      <c r="C1814" s="1013" t="s">
        <v>4401</v>
      </c>
      <c r="D1814" s="1013" t="s">
        <v>4401</v>
      </c>
      <c r="E1814" s="1014">
        <v>6141</v>
      </c>
      <c r="F1814" s="1013" t="s">
        <v>715</v>
      </c>
      <c r="G1814" s="1014" t="s">
        <v>12</v>
      </c>
      <c r="H1814" s="1015">
        <v>45591</v>
      </c>
      <c r="I1814" s="1016" t="s">
        <v>6899</v>
      </c>
    </row>
    <row r="1815" spans="2:9" ht="15.75" x14ac:dyDescent="0.25">
      <c r="B1815" s="1365" t="s">
        <v>7169</v>
      </c>
      <c r="C1815" s="1013" t="s">
        <v>4401</v>
      </c>
      <c r="D1815" s="1013" t="s">
        <v>4401</v>
      </c>
      <c r="E1815" s="1014">
        <v>6142</v>
      </c>
      <c r="F1815" s="1013" t="s">
        <v>716</v>
      </c>
      <c r="G1815" s="1014" t="s">
        <v>12</v>
      </c>
      <c r="H1815" s="1015">
        <v>48103</v>
      </c>
      <c r="I1815" s="1016" t="s">
        <v>6899</v>
      </c>
    </row>
    <row r="1816" spans="2:9" ht="15.75" x14ac:dyDescent="0.25">
      <c r="B1816" s="1365" t="s">
        <v>7169</v>
      </c>
      <c r="C1816" s="1013" t="s">
        <v>4401</v>
      </c>
      <c r="D1816" s="1013" t="s">
        <v>4401</v>
      </c>
      <c r="E1816" s="1014">
        <v>6143</v>
      </c>
      <c r="F1816" s="1013" t="s">
        <v>717</v>
      </c>
      <c r="G1816" s="1014" t="s">
        <v>12</v>
      </c>
      <c r="H1816" s="1015">
        <v>81444</v>
      </c>
      <c r="I1816" s="1016" t="s">
        <v>6899</v>
      </c>
    </row>
    <row r="1817" spans="2:9" ht="15.75" x14ac:dyDescent="0.25">
      <c r="B1817" s="1365" t="s">
        <v>7169</v>
      </c>
      <c r="C1817" s="1013" t="s">
        <v>4401</v>
      </c>
      <c r="D1817" s="1013" t="s">
        <v>4401</v>
      </c>
      <c r="E1817" s="1014">
        <v>6144</v>
      </c>
      <c r="F1817" s="1013" t="s">
        <v>718</v>
      </c>
      <c r="G1817" s="1014" t="s">
        <v>12</v>
      </c>
      <c r="H1817" s="1015">
        <v>95420</v>
      </c>
      <c r="I1817" s="1016" t="s">
        <v>6899</v>
      </c>
    </row>
    <row r="1818" spans="2:9" ht="15.75" x14ac:dyDescent="0.25">
      <c r="B1818" s="1365" t="s">
        <v>7169</v>
      </c>
      <c r="C1818" s="1013" t="s">
        <v>4401</v>
      </c>
      <c r="D1818" s="1013" t="s">
        <v>4401</v>
      </c>
      <c r="E1818" s="1014">
        <v>6145</v>
      </c>
      <c r="F1818" s="1013" t="s">
        <v>719</v>
      </c>
      <c r="G1818" s="1014" t="s">
        <v>12</v>
      </c>
      <c r="H1818" s="1015">
        <v>58013</v>
      </c>
      <c r="I1818" s="1016" t="s">
        <v>6899</v>
      </c>
    </row>
    <row r="1819" spans="2:9" ht="15.75" x14ac:dyDescent="0.25">
      <c r="B1819" s="1365" t="s">
        <v>7169</v>
      </c>
      <c r="C1819" s="1013" t="s">
        <v>4401</v>
      </c>
      <c r="D1819" s="1013" t="s">
        <v>4401</v>
      </c>
      <c r="E1819" s="1014">
        <v>6146</v>
      </c>
      <c r="F1819" s="1013" t="s">
        <v>720</v>
      </c>
      <c r="G1819" s="1014" t="s">
        <v>12</v>
      </c>
      <c r="H1819" s="1015">
        <v>40564</v>
      </c>
      <c r="I1819" s="1016" t="s">
        <v>6899</v>
      </c>
    </row>
    <row r="1820" spans="2:9" ht="15.75" x14ac:dyDescent="0.25">
      <c r="B1820" s="1365" t="s">
        <v>7169</v>
      </c>
      <c r="C1820" s="1013" t="s">
        <v>4799</v>
      </c>
      <c r="D1820" s="1013" t="s">
        <v>5199</v>
      </c>
      <c r="E1820" s="1014">
        <v>6148</v>
      </c>
      <c r="F1820" s="1013" t="s">
        <v>5868</v>
      </c>
      <c r="G1820" s="1014" t="s">
        <v>13</v>
      </c>
      <c r="H1820" s="1015">
        <v>60460</v>
      </c>
      <c r="I1820" s="1016" t="s">
        <v>6899</v>
      </c>
    </row>
    <row r="1821" spans="2:9" ht="15.75" x14ac:dyDescent="0.25">
      <c r="B1821" s="1365" t="s">
        <v>7169</v>
      </c>
      <c r="C1821" s="1013" t="s">
        <v>5425</v>
      </c>
      <c r="D1821" s="1013" t="s">
        <v>5592</v>
      </c>
      <c r="E1821" s="1014">
        <v>6149</v>
      </c>
      <c r="F1821" s="1013" t="s">
        <v>721</v>
      </c>
      <c r="G1821" s="1014" t="s">
        <v>13</v>
      </c>
      <c r="H1821" s="1015">
        <v>255798</v>
      </c>
      <c r="I1821" s="1016" t="s">
        <v>6899</v>
      </c>
    </row>
    <row r="1822" spans="2:9" ht="15.75" x14ac:dyDescent="0.25">
      <c r="B1822" s="1365" t="s">
        <v>7169</v>
      </c>
      <c r="C1822" s="1013" t="s">
        <v>4468</v>
      </c>
      <c r="D1822" s="1013" t="s">
        <v>1798</v>
      </c>
      <c r="E1822" s="1014">
        <v>6150</v>
      </c>
      <c r="F1822" s="1013" t="s">
        <v>722</v>
      </c>
      <c r="G1822" s="1014" t="s">
        <v>13</v>
      </c>
      <c r="H1822" s="1015">
        <v>466956</v>
      </c>
      <c r="I1822" s="1016" t="s">
        <v>6899</v>
      </c>
    </row>
    <row r="1823" spans="2:9" ht="15.75" x14ac:dyDescent="0.25">
      <c r="B1823" s="1365" t="s">
        <v>7169</v>
      </c>
      <c r="C1823" s="1013" t="s">
        <v>4396</v>
      </c>
      <c r="D1823" s="1013" t="s">
        <v>4397</v>
      </c>
      <c r="E1823" s="1014">
        <v>6151</v>
      </c>
      <c r="F1823" s="1013" t="s">
        <v>723</v>
      </c>
      <c r="G1823" s="1014" t="s">
        <v>3</v>
      </c>
      <c r="H1823" s="1015">
        <v>8908</v>
      </c>
      <c r="I1823" s="1016" t="s">
        <v>6899</v>
      </c>
    </row>
    <row r="1824" spans="2:9" ht="15.75" x14ac:dyDescent="0.25">
      <c r="B1824" s="1365" t="s">
        <v>7169</v>
      </c>
      <c r="C1824" s="1013" t="s">
        <v>4799</v>
      </c>
      <c r="D1824" s="1013" t="s">
        <v>5199</v>
      </c>
      <c r="E1824" s="1014">
        <v>6152</v>
      </c>
      <c r="F1824" s="1013" t="s">
        <v>724</v>
      </c>
      <c r="G1824" s="1014" t="s">
        <v>12</v>
      </c>
      <c r="H1824" s="1015">
        <v>570</v>
      </c>
      <c r="I1824" s="1016" t="s">
        <v>4398</v>
      </c>
    </row>
    <row r="1825" spans="2:9" ht="15.75" x14ac:dyDescent="0.25">
      <c r="B1825" s="1365" t="s">
        <v>7169</v>
      </c>
      <c r="C1825" s="1013" t="s">
        <v>4799</v>
      </c>
      <c r="D1825" s="1013" t="s">
        <v>5199</v>
      </c>
      <c r="E1825" s="1014">
        <v>6153</v>
      </c>
      <c r="F1825" s="1013" t="s">
        <v>725</v>
      </c>
      <c r="G1825" s="1014" t="s">
        <v>12</v>
      </c>
      <c r="H1825" s="1015">
        <v>1122</v>
      </c>
      <c r="I1825" s="1016" t="s">
        <v>4398</v>
      </c>
    </row>
    <row r="1826" spans="2:9" ht="15.75" x14ac:dyDescent="0.25">
      <c r="B1826" s="1365" t="s">
        <v>7169</v>
      </c>
      <c r="C1826" s="1013" t="s">
        <v>4799</v>
      </c>
      <c r="D1826" s="1013" t="s">
        <v>5199</v>
      </c>
      <c r="E1826" s="1014">
        <v>6154</v>
      </c>
      <c r="F1826" s="1013" t="s">
        <v>726</v>
      </c>
      <c r="G1826" s="1014" t="s">
        <v>12</v>
      </c>
      <c r="H1826" s="1015">
        <v>402</v>
      </c>
      <c r="I1826" s="1016" t="s">
        <v>6899</v>
      </c>
    </row>
    <row r="1827" spans="2:9" ht="15.75" x14ac:dyDescent="0.25">
      <c r="B1827" s="1365" t="s">
        <v>7169</v>
      </c>
      <c r="C1827" s="1013" t="s">
        <v>4799</v>
      </c>
      <c r="D1827" s="1013" t="s">
        <v>5199</v>
      </c>
      <c r="E1827" s="1014">
        <v>6155</v>
      </c>
      <c r="F1827" s="1013" t="s">
        <v>727</v>
      </c>
      <c r="G1827" s="1014" t="s">
        <v>266</v>
      </c>
      <c r="H1827" s="1015">
        <v>211559</v>
      </c>
      <c r="I1827" s="1016" t="s">
        <v>6899</v>
      </c>
    </row>
    <row r="1828" spans="2:9" ht="15.75" x14ac:dyDescent="0.25">
      <c r="B1828" s="1365" t="s">
        <v>7169</v>
      </c>
      <c r="C1828" s="1013" t="s">
        <v>4799</v>
      </c>
      <c r="D1828" s="1013" t="s">
        <v>5199</v>
      </c>
      <c r="E1828" s="1014">
        <v>6156</v>
      </c>
      <c r="F1828" s="1013" t="s">
        <v>728</v>
      </c>
      <c r="G1828" s="1014" t="s">
        <v>12</v>
      </c>
      <c r="H1828" s="1015">
        <v>249</v>
      </c>
      <c r="I1828" s="1016" t="s">
        <v>4398</v>
      </c>
    </row>
    <row r="1829" spans="2:9" ht="15.75" x14ac:dyDescent="0.25">
      <c r="B1829" s="1365" t="s">
        <v>7169</v>
      </c>
      <c r="C1829" s="1013" t="s">
        <v>4799</v>
      </c>
      <c r="D1829" s="1013" t="s">
        <v>5199</v>
      </c>
      <c r="E1829" s="1014">
        <v>6157</v>
      </c>
      <c r="F1829" s="1013" t="s">
        <v>729</v>
      </c>
      <c r="G1829" s="1014" t="s">
        <v>12</v>
      </c>
      <c r="H1829" s="1015">
        <v>889</v>
      </c>
      <c r="I1829" s="1016" t="s">
        <v>6899</v>
      </c>
    </row>
    <row r="1830" spans="2:9" ht="15.75" x14ac:dyDescent="0.25">
      <c r="B1830" s="1365" t="s">
        <v>7169</v>
      </c>
      <c r="C1830" s="1013" t="s">
        <v>4791</v>
      </c>
      <c r="D1830" s="1013" t="s">
        <v>5165</v>
      </c>
      <c r="E1830" s="1014">
        <v>6159</v>
      </c>
      <c r="F1830" s="1013" t="s">
        <v>730</v>
      </c>
      <c r="G1830" s="1014" t="s">
        <v>12</v>
      </c>
      <c r="H1830" s="1015">
        <v>103</v>
      </c>
      <c r="I1830" s="1016" t="s">
        <v>4398</v>
      </c>
    </row>
    <row r="1831" spans="2:9" ht="15.75" x14ac:dyDescent="0.25">
      <c r="B1831" s="1365" t="s">
        <v>7169</v>
      </c>
      <c r="C1831" s="1013" t="s">
        <v>4420</v>
      </c>
      <c r="D1831" s="1013" t="s">
        <v>4420</v>
      </c>
      <c r="E1831" s="1014">
        <v>6160</v>
      </c>
      <c r="F1831" s="1013" t="s">
        <v>731</v>
      </c>
      <c r="G1831" s="1014" t="s">
        <v>13</v>
      </c>
      <c r="H1831" s="1015">
        <v>15500</v>
      </c>
      <c r="I1831" s="1016" t="s">
        <v>3538</v>
      </c>
    </row>
    <row r="1832" spans="2:9" ht="15.75" x14ac:dyDescent="0.25">
      <c r="B1832" s="1365" t="s">
        <v>7169</v>
      </c>
      <c r="C1832" s="1013" t="s">
        <v>4420</v>
      </c>
      <c r="D1832" s="1013" t="s">
        <v>4420</v>
      </c>
      <c r="E1832" s="1014">
        <v>6161</v>
      </c>
      <c r="F1832" s="1013" t="s">
        <v>732</v>
      </c>
      <c r="G1832" s="1014" t="s">
        <v>13</v>
      </c>
      <c r="H1832" s="1015">
        <v>13090</v>
      </c>
      <c r="I1832" s="1016" t="s">
        <v>6899</v>
      </c>
    </row>
    <row r="1833" spans="2:9" ht="15.75" x14ac:dyDescent="0.25">
      <c r="B1833" s="1365" t="s">
        <v>7169</v>
      </c>
      <c r="C1833" s="1013" t="s">
        <v>4791</v>
      </c>
      <c r="D1833" s="1013" t="s">
        <v>5165</v>
      </c>
      <c r="E1833" s="1014">
        <v>6162</v>
      </c>
      <c r="F1833" s="1013" t="s">
        <v>733</v>
      </c>
      <c r="G1833" s="1014" t="s">
        <v>12</v>
      </c>
      <c r="H1833" s="1015">
        <v>149</v>
      </c>
      <c r="I1833" s="1016" t="s">
        <v>4398</v>
      </c>
    </row>
    <row r="1834" spans="2:9" ht="15.75" x14ac:dyDescent="0.25">
      <c r="B1834" s="1365" t="s">
        <v>7169</v>
      </c>
      <c r="C1834" s="1013" t="s">
        <v>4791</v>
      </c>
      <c r="D1834" s="1013" t="s">
        <v>4792</v>
      </c>
      <c r="E1834" s="1014">
        <v>6163</v>
      </c>
      <c r="F1834" s="1013" t="s">
        <v>5869</v>
      </c>
      <c r="G1834" s="1014" t="s">
        <v>12</v>
      </c>
      <c r="H1834" s="1015">
        <v>286875</v>
      </c>
      <c r="I1834" s="1016" t="s">
        <v>6899</v>
      </c>
    </row>
    <row r="1835" spans="2:9" ht="15.75" x14ac:dyDescent="0.25">
      <c r="B1835" s="1365" t="s">
        <v>7169</v>
      </c>
      <c r="C1835" s="1013" t="s">
        <v>4791</v>
      </c>
      <c r="D1835" s="1013" t="s">
        <v>4792</v>
      </c>
      <c r="E1835" s="1014">
        <v>6164</v>
      </c>
      <c r="F1835" s="1013" t="s">
        <v>5870</v>
      </c>
      <c r="G1835" s="1014" t="s">
        <v>12</v>
      </c>
      <c r="H1835" s="1015">
        <v>299664</v>
      </c>
      <c r="I1835" s="1016" t="s">
        <v>6899</v>
      </c>
    </row>
    <row r="1836" spans="2:9" ht="15.75" x14ac:dyDescent="0.25">
      <c r="B1836" s="1365" t="s">
        <v>7169</v>
      </c>
      <c r="C1836" s="1013" t="s">
        <v>4451</v>
      </c>
      <c r="D1836" s="1013" t="s">
        <v>4616</v>
      </c>
      <c r="E1836" s="1014">
        <v>6165</v>
      </c>
      <c r="F1836" s="1013" t="s">
        <v>5871</v>
      </c>
      <c r="G1836" s="1014" t="s">
        <v>266</v>
      </c>
      <c r="H1836" s="1015">
        <v>32151</v>
      </c>
      <c r="I1836" s="1016" t="s">
        <v>6899</v>
      </c>
    </row>
    <row r="1837" spans="2:9" ht="15.75" x14ac:dyDescent="0.25">
      <c r="B1837" s="1365" t="s">
        <v>6897</v>
      </c>
      <c r="C1837" s="1013" t="s">
        <v>5188</v>
      </c>
      <c r="D1837" s="1013" t="s">
        <v>5189</v>
      </c>
      <c r="E1837" s="1014">
        <v>6166</v>
      </c>
      <c r="F1837" s="1013" t="s">
        <v>734</v>
      </c>
      <c r="G1837" s="1014" t="s">
        <v>12</v>
      </c>
      <c r="H1837" s="1015">
        <v>33264</v>
      </c>
      <c r="I1837" s="1016" t="s">
        <v>6899</v>
      </c>
    </row>
    <row r="1838" spans="2:9" ht="15.75" x14ac:dyDescent="0.25">
      <c r="B1838" s="1365" t="s">
        <v>6897</v>
      </c>
      <c r="C1838" s="1013" t="s">
        <v>5188</v>
      </c>
      <c r="D1838" s="1013" t="s">
        <v>5189</v>
      </c>
      <c r="E1838" s="1014">
        <v>6167</v>
      </c>
      <c r="F1838" s="1013" t="s">
        <v>5872</v>
      </c>
      <c r="G1838" s="1014" t="s">
        <v>12</v>
      </c>
      <c r="H1838" s="1015">
        <v>27000</v>
      </c>
      <c r="I1838" s="1016" t="s">
        <v>6899</v>
      </c>
    </row>
    <row r="1839" spans="2:9" ht="15.75" x14ac:dyDescent="0.25">
      <c r="B1839" s="1365" t="s">
        <v>6897</v>
      </c>
      <c r="C1839" s="1013" t="s">
        <v>4417</v>
      </c>
      <c r="D1839" s="1013" t="s">
        <v>4418</v>
      </c>
      <c r="E1839" s="1014">
        <v>6168</v>
      </c>
      <c r="F1839" s="1013" t="s">
        <v>5873</v>
      </c>
      <c r="G1839" s="1014" t="s">
        <v>13</v>
      </c>
      <c r="H1839" s="1015">
        <v>20037</v>
      </c>
      <c r="I1839" s="1016" t="s">
        <v>6899</v>
      </c>
    </row>
    <row r="1840" spans="2:9" ht="15.75" x14ac:dyDescent="0.25">
      <c r="B1840" s="1365" t="s">
        <v>7169</v>
      </c>
      <c r="C1840" s="1013" t="s">
        <v>4799</v>
      </c>
      <c r="D1840" s="1013" t="s">
        <v>5874</v>
      </c>
      <c r="E1840" s="1014">
        <v>6169</v>
      </c>
      <c r="F1840" s="1013" t="s">
        <v>5875</v>
      </c>
      <c r="G1840" s="1014" t="s">
        <v>546</v>
      </c>
      <c r="H1840" s="1015">
        <v>10984</v>
      </c>
      <c r="I1840" s="1016" t="s">
        <v>3538</v>
      </c>
    </row>
    <row r="1841" spans="2:9" ht="15.75" x14ac:dyDescent="0.25">
      <c r="B1841" s="1365" t="s">
        <v>7169</v>
      </c>
      <c r="C1841" s="1013" t="s">
        <v>4799</v>
      </c>
      <c r="D1841" s="1013" t="s">
        <v>5874</v>
      </c>
      <c r="E1841" s="1014">
        <v>6170</v>
      </c>
      <c r="F1841" s="1013" t="s">
        <v>735</v>
      </c>
      <c r="G1841" s="1014" t="s">
        <v>546</v>
      </c>
      <c r="H1841" s="1015">
        <v>9929</v>
      </c>
      <c r="I1841" s="1016" t="s">
        <v>3538</v>
      </c>
    </row>
    <row r="1842" spans="2:9" ht="15.75" x14ac:dyDescent="0.25">
      <c r="B1842" s="1365" t="s">
        <v>7169</v>
      </c>
      <c r="C1842" s="1013" t="s">
        <v>4799</v>
      </c>
      <c r="D1842" s="1013" t="s">
        <v>5874</v>
      </c>
      <c r="E1842" s="1014">
        <v>6172</v>
      </c>
      <c r="F1842" s="1013" t="s">
        <v>736</v>
      </c>
      <c r="G1842" s="1014" t="s">
        <v>546</v>
      </c>
      <c r="H1842" s="1015">
        <v>2897</v>
      </c>
      <c r="I1842" s="1016" t="s">
        <v>3538</v>
      </c>
    </row>
    <row r="1843" spans="2:9" ht="15.75" x14ac:dyDescent="0.25">
      <c r="B1843" s="1365" t="s">
        <v>7169</v>
      </c>
      <c r="C1843" s="1013" t="s">
        <v>4799</v>
      </c>
      <c r="D1843" s="1013" t="s">
        <v>5876</v>
      </c>
      <c r="E1843" s="1014">
        <v>6175</v>
      </c>
      <c r="F1843" s="1013" t="s">
        <v>5877</v>
      </c>
      <c r="G1843" s="1014" t="s">
        <v>737</v>
      </c>
      <c r="H1843" s="1015">
        <v>99025</v>
      </c>
      <c r="I1843" s="1016" t="s">
        <v>4398</v>
      </c>
    </row>
    <row r="1844" spans="2:9" ht="15.75" x14ac:dyDescent="0.25">
      <c r="B1844" s="1365" t="s">
        <v>7169</v>
      </c>
      <c r="C1844" s="1013" t="s">
        <v>4799</v>
      </c>
      <c r="D1844" s="1013" t="s">
        <v>5876</v>
      </c>
      <c r="E1844" s="1014">
        <v>6176</v>
      </c>
      <c r="F1844" s="1013" t="s">
        <v>738</v>
      </c>
      <c r="G1844" s="1014" t="s">
        <v>739</v>
      </c>
      <c r="H1844" s="1015">
        <v>30783</v>
      </c>
      <c r="I1844" s="1016" t="s">
        <v>4398</v>
      </c>
    </row>
    <row r="1845" spans="2:9" ht="15.75" x14ac:dyDescent="0.25">
      <c r="B1845" s="1365" t="s">
        <v>7169</v>
      </c>
      <c r="C1845" s="1013" t="s">
        <v>4454</v>
      </c>
      <c r="D1845" s="1013" t="s">
        <v>4634</v>
      </c>
      <c r="E1845" s="1014">
        <v>6178</v>
      </c>
      <c r="F1845" s="1013" t="s">
        <v>5878</v>
      </c>
      <c r="G1845" s="1014" t="s">
        <v>546</v>
      </c>
      <c r="H1845" s="1015">
        <v>23551</v>
      </c>
      <c r="I1845" s="1016" t="s">
        <v>6899</v>
      </c>
    </row>
    <row r="1846" spans="2:9" ht="15.75" x14ac:dyDescent="0.25">
      <c r="B1846" s="1365" t="s">
        <v>7169</v>
      </c>
      <c r="C1846" s="1013" t="s">
        <v>4454</v>
      </c>
      <c r="D1846" s="1013" t="s">
        <v>4634</v>
      </c>
      <c r="E1846" s="1014">
        <v>6179</v>
      </c>
      <c r="F1846" s="1013" t="s">
        <v>5879</v>
      </c>
      <c r="G1846" s="1014" t="s">
        <v>546</v>
      </c>
      <c r="H1846" s="1015">
        <v>18694</v>
      </c>
      <c r="I1846" s="1016" t="s">
        <v>6899</v>
      </c>
    </row>
    <row r="1847" spans="2:9" ht="15.75" x14ac:dyDescent="0.25">
      <c r="B1847" s="1365" t="s">
        <v>7169</v>
      </c>
      <c r="C1847" s="1013" t="s">
        <v>4454</v>
      </c>
      <c r="D1847" s="1013" t="s">
        <v>4634</v>
      </c>
      <c r="E1847" s="1014">
        <v>6180</v>
      </c>
      <c r="F1847" s="1013" t="s">
        <v>5880</v>
      </c>
      <c r="G1847" s="1014" t="s">
        <v>546</v>
      </c>
      <c r="H1847" s="1015">
        <v>27676</v>
      </c>
      <c r="I1847" s="1016" t="s">
        <v>6899</v>
      </c>
    </row>
    <row r="1848" spans="2:9" ht="15.75" x14ac:dyDescent="0.25">
      <c r="B1848" s="1365" t="s">
        <v>7169</v>
      </c>
      <c r="C1848" s="1013" t="s">
        <v>4454</v>
      </c>
      <c r="D1848" s="1013" t="s">
        <v>4634</v>
      </c>
      <c r="E1848" s="1014">
        <v>6181</v>
      </c>
      <c r="F1848" s="1013" t="s">
        <v>740</v>
      </c>
      <c r="G1848" s="1014" t="s">
        <v>546</v>
      </c>
      <c r="H1848" s="1015">
        <v>2470</v>
      </c>
      <c r="I1848" s="1016" t="s">
        <v>3538</v>
      </c>
    </row>
    <row r="1849" spans="2:9" ht="15.75" x14ac:dyDescent="0.25">
      <c r="B1849" s="1365" t="s">
        <v>6897</v>
      </c>
      <c r="C1849" s="1013" t="s">
        <v>4799</v>
      </c>
      <c r="D1849" s="1013" t="s">
        <v>5199</v>
      </c>
      <c r="E1849" s="1014">
        <v>6184</v>
      </c>
      <c r="F1849" s="1013" t="s">
        <v>741</v>
      </c>
      <c r="G1849" s="1014" t="s">
        <v>12</v>
      </c>
      <c r="H1849" s="1015">
        <v>18783</v>
      </c>
      <c r="I1849" s="1016" t="s">
        <v>6899</v>
      </c>
    </row>
    <row r="1850" spans="2:9" ht="15.75" x14ac:dyDescent="0.25">
      <c r="B1850" s="1365" t="s">
        <v>7169</v>
      </c>
      <c r="C1850" s="1013" t="s">
        <v>4420</v>
      </c>
      <c r="D1850" s="1013" t="s">
        <v>4420</v>
      </c>
      <c r="E1850" s="1014">
        <v>6185</v>
      </c>
      <c r="F1850" s="1013" t="s">
        <v>5881</v>
      </c>
      <c r="G1850" s="1014" t="s">
        <v>266</v>
      </c>
      <c r="H1850" s="1015">
        <v>857214</v>
      </c>
      <c r="I1850" s="1016" t="s">
        <v>6899</v>
      </c>
    </row>
    <row r="1851" spans="2:9" ht="15.75" x14ac:dyDescent="0.25">
      <c r="B1851" s="1365" t="s">
        <v>7169</v>
      </c>
      <c r="C1851" s="1013" t="s">
        <v>4454</v>
      </c>
      <c r="D1851" s="1013" t="s">
        <v>5477</v>
      </c>
      <c r="E1851" s="1014">
        <v>6186</v>
      </c>
      <c r="F1851" s="1013" t="s">
        <v>5882</v>
      </c>
      <c r="G1851" s="1014" t="s">
        <v>546</v>
      </c>
      <c r="H1851" s="1015">
        <v>19042</v>
      </c>
      <c r="I1851" s="1016" t="s">
        <v>3538</v>
      </c>
    </row>
    <row r="1852" spans="2:9" ht="15.75" x14ac:dyDescent="0.25">
      <c r="B1852" s="1365" t="s">
        <v>7169</v>
      </c>
      <c r="C1852" s="1013" t="s">
        <v>4454</v>
      </c>
      <c r="D1852" s="1013" t="s">
        <v>4634</v>
      </c>
      <c r="E1852" s="1014">
        <v>6187</v>
      </c>
      <c r="F1852" s="1013" t="s">
        <v>5883</v>
      </c>
      <c r="G1852" s="1014" t="s">
        <v>546</v>
      </c>
      <c r="H1852" s="1015">
        <v>169650</v>
      </c>
      <c r="I1852" s="1016" t="s">
        <v>3538</v>
      </c>
    </row>
    <row r="1853" spans="2:9" ht="15.75" x14ac:dyDescent="0.25">
      <c r="B1853" s="1365" t="s">
        <v>7169</v>
      </c>
      <c r="C1853" s="1013" t="s">
        <v>4461</v>
      </c>
      <c r="D1853" s="1013" t="s">
        <v>4461</v>
      </c>
      <c r="E1853" s="1014">
        <v>6188</v>
      </c>
      <c r="F1853" s="1013" t="s">
        <v>5884</v>
      </c>
      <c r="G1853" s="1014" t="s">
        <v>13</v>
      </c>
      <c r="H1853" s="1015">
        <v>191400</v>
      </c>
      <c r="I1853" s="1016" t="s">
        <v>6899</v>
      </c>
    </row>
    <row r="1854" spans="2:9" ht="15.75" x14ac:dyDescent="0.25">
      <c r="B1854" s="1365" t="s">
        <v>7169</v>
      </c>
      <c r="C1854" s="1013" t="s">
        <v>4454</v>
      </c>
      <c r="D1854" s="1013" t="s">
        <v>4634</v>
      </c>
      <c r="E1854" s="1014">
        <v>6189</v>
      </c>
      <c r="F1854" s="1013" t="s">
        <v>742</v>
      </c>
      <c r="G1854" s="1014" t="s">
        <v>548</v>
      </c>
      <c r="H1854" s="1015">
        <v>2959838</v>
      </c>
      <c r="I1854" s="1016" t="s">
        <v>4398</v>
      </c>
    </row>
    <row r="1855" spans="2:9" ht="15.75" x14ac:dyDescent="0.25">
      <c r="B1855" s="1365" t="s">
        <v>7169</v>
      </c>
      <c r="C1855" s="1013" t="s">
        <v>5363</v>
      </c>
      <c r="D1855" s="1013" t="s">
        <v>5363</v>
      </c>
      <c r="E1855" s="1014">
        <v>6190</v>
      </c>
      <c r="F1855" s="1013" t="s">
        <v>743</v>
      </c>
      <c r="G1855" s="1014" t="s">
        <v>744</v>
      </c>
      <c r="H1855" s="1015">
        <v>662</v>
      </c>
      <c r="I1855" s="1016" t="s">
        <v>4398</v>
      </c>
    </row>
    <row r="1856" spans="2:9" ht="15.75" x14ac:dyDescent="0.25">
      <c r="B1856" s="1365" t="s">
        <v>7169</v>
      </c>
      <c r="C1856" s="1013" t="s">
        <v>5292</v>
      </c>
      <c r="D1856" s="1013" t="s">
        <v>5292</v>
      </c>
      <c r="E1856" s="1014">
        <v>6191</v>
      </c>
      <c r="F1856" s="1013" t="s">
        <v>5885</v>
      </c>
      <c r="G1856" s="1014" t="s">
        <v>12</v>
      </c>
      <c r="H1856" s="1015">
        <v>132087</v>
      </c>
      <c r="I1856" s="1016" t="s">
        <v>6899</v>
      </c>
    </row>
    <row r="1857" spans="2:9" ht="15.75" x14ac:dyDescent="0.25">
      <c r="B1857" s="1365" t="s">
        <v>7169</v>
      </c>
      <c r="C1857" s="1013" t="s">
        <v>5292</v>
      </c>
      <c r="D1857" s="1013" t="s">
        <v>5292</v>
      </c>
      <c r="E1857" s="1014">
        <v>6192</v>
      </c>
      <c r="F1857" s="1013" t="s">
        <v>5886</v>
      </c>
      <c r="G1857" s="1014" t="s">
        <v>12</v>
      </c>
      <c r="H1857" s="1015">
        <v>104508</v>
      </c>
      <c r="I1857" s="1016" t="s">
        <v>6899</v>
      </c>
    </row>
    <row r="1858" spans="2:9" ht="15.75" x14ac:dyDescent="0.25">
      <c r="B1858" s="1365" t="s">
        <v>7169</v>
      </c>
      <c r="C1858" s="1013" t="s">
        <v>4468</v>
      </c>
      <c r="D1858" s="1013" t="s">
        <v>4469</v>
      </c>
      <c r="E1858" s="1014">
        <v>6193</v>
      </c>
      <c r="F1858" s="1013" t="s">
        <v>5887</v>
      </c>
      <c r="G1858" s="1014" t="s">
        <v>3</v>
      </c>
      <c r="H1858" s="1015">
        <v>766225</v>
      </c>
      <c r="I1858" s="1016" t="s">
        <v>6899</v>
      </c>
    </row>
    <row r="1859" spans="2:9" ht="15.75" x14ac:dyDescent="0.25">
      <c r="B1859" s="1365" t="s">
        <v>7169</v>
      </c>
      <c r="C1859" s="1013" t="s">
        <v>5292</v>
      </c>
      <c r="D1859" s="1013" t="s">
        <v>5293</v>
      </c>
      <c r="E1859" s="1014">
        <v>6194</v>
      </c>
      <c r="F1859" s="1013" t="s">
        <v>5888</v>
      </c>
      <c r="G1859" s="1014" t="s">
        <v>13</v>
      </c>
      <c r="H1859" s="1015">
        <v>541838</v>
      </c>
      <c r="I1859" s="1016" t="s">
        <v>6899</v>
      </c>
    </row>
    <row r="1860" spans="2:9" ht="15.75" x14ac:dyDescent="0.25">
      <c r="B1860" s="1365" t="s">
        <v>7169</v>
      </c>
      <c r="C1860" s="1013" t="s">
        <v>4468</v>
      </c>
      <c r="D1860" s="1013" t="s">
        <v>4469</v>
      </c>
      <c r="E1860" s="1014">
        <v>6198</v>
      </c>
      <c r="F1860" s="1013" t="s">
        <v>5889</v>
      </c>
      <c r="G1860" s="1014" t="s">
        <v>13</v>
      </c>
      <c r="H1860" s="1015">
        <v>235075</v>
      </c>
      <c r="I1860" s="1016" t="s">
        <v>6899</v>
      </c>
    </row>
    <row r="1861" spans="2:9" ht="15.75" x14ac:dyDescent="0.25">
      <c r="B1861" s="1365" t="s">
        <v>7169</v>
      </c>
      <c r="C1861" s="1013" t="s">
        <v>4468</v>
      </c>
      <c r="D1861" s="1013" t="s">
        <v>4469</v>
      </c>
      <c r="E1861" s="1014">
        <v>6200</v>
      </c>
      <c r="F1861" s="1013" t="s">
        <v>5890</v>
      </c>
      <c r="G1861" s="1014" t="s">
        <v>3</v>
      </c>
      <c r="H1861" s="1015">
        <v>925565</v>
      </c>
      <c r="I1861" s="1016" t="s">
        <v>6899</v>
      </c>
    </row>
    <row r="1862" spans="2:9" ht="15.75" x14ac:dyDescent="0.25">
      <c r="B1862" s="1365" t="s">
        <v>7169</v>
      </c>
      <c r="C1862" s="1013" t="s">
        <v>4468</v>
      </c>
      <c r="D1862" s="1013" t="s">
        <v>4469</v>
      </c>
      <c r="E1862" s="1014">
        <v>6201</v>
      </c>
      <c r="F1862" s="1013" t="s">
        <v>5891</v>
      </c>
      <c r="G1862" s="1014" t="s">
        <v>3</v>
      </c>
      <c r="H1862" s="1015">
        <v>995251</v>
      </c>
      <c r="I1862" s="1016" t="s">
        <v>6899</v>
      </c>
    </row>
    <row r="1863" spans="2:9" ht="15.75" x14ac:dyDescent="0.25">
      <c r="B1863" s="1365" t="s">
        <v>7169</v>
      </c>
      <c r="C1863" s="1013" t="s">
        <v>5425</v>
      </c>
      <c r="D1863" s="1013" t="s">
        <v>5426</v>
      </c>
      <c r="E1863" s="1014">
        <v>6202</v>
      </c>
      <c r="F1863" s="1013" t="s">
        <v>5892</v>
      </c>
      <c r="G1863" s="1014" t="s">
        <v>13</v>
      </c>
      <c r="H1863" s="1015">
        <v>34682</v>
      </c>
      <c r="I1863" s="1016" t="s">
        <v>6899</v>
      </c>
    </row>
    <row r="1864" spans="2:9" ht="15.75" x14ac:dyDescent="0.25">
      <c r="B1864" s="1365" t="s">
        <v>7169</v>
      </c>
      <c r="C1864" s="1013" t="s">
        <v>4799</v>
      </c>
      <c r="D1864" s="1013" t="s">
        <v>5199</v>
      </c>
      <c r="E1864" s="1014">
        <v>6203</v>
      </c>
      <c r="F1864" s="1013" t="s">
        <v>5893</v>
      </c>
      <c r="G1864" s="1014" t="s">
        <v>12</v>
      </c>
      <c r="H1864" s="1015">
        <v>27346</v>
      </c>
      <c r="I1864" s="1016" t="s">
        <v>6899</v>
      </c>
    </row>
    <row r="1865" spans="2:9" ht="15.75" x14ac:dyDescent="0.25">
      <c r="B1865" s="1365" t="s">
        <v>7169</v>
      </c>
      <c r="C1865" s="1013" t="s">
        <v>4799</v>
      </c>
      <c r="D1865" s="1013" t="s">
        <v>5199</v>
      </c>
      <c r="E1865" s="1014">
        <v>6204</v>
      </c>
      <c r="F1865" s="1013" t="s">
        <v>5894</v>
      </c>
      <c r="G1865" s="1014" t="s">
        <v>13</v>
      </c>
      <c r="H1865" s="1015">
        <v>29969</v>
      </c>
      <c r="I1865" s="1016" t="s">
        <v>4398</v>
      </c>
    </row>
    <row r="1866" spans="2:9" ht="15.75" x14ac:dyDescent="0.25">
      <c r="B1866" s="1365" t="s">
        <v>7169</v>
      </c>
      <c r="C1866" s="1013" t="s">
        <v>5425</v>
      </c>
      <c r="D1866" s="1013" t="s">
        <v>5426</v>
      </c>
      <c r="E1866" s="1014">
        <v>6206</v>
      </c>
      <c r="F1866" s="1013" t="s">
        <v>5895</v>
      </c>
      <c r="G1866" s="1014" t="s">
        <v>13</v>
      </c>
      <c r="H1866" s="1015">
        <v>119583</v>
      </c>
      <c r="I1866" s="1016" t="s">
        <v>6899</v>
      </c>
    </row>
    <row r="1867" spans="2:9" ht="15.75" x14ac:dyDescent="0.25">
      <c r="B1867" s="1365" t="s">
        <v>7169</v>
      </c>
      <c r="C1867" s="1013" t="s">
        <v>5425</v>
      </c>
      <c r="D1867" s="1013" t="s">
        <v>5592</v>
      </c>
      <c r="E1867" s="1014">
        <v>6207</v>
      </c>
      <c r="F1867" s="1013" t="s">
        <v>5896</v>
      </c>
      <c r="G1867" s="1014" t="s">
        <v>12</v>
      </c>
      <c r="H1867" s="1015">
        <v>168710</v>
      </c>
      <c r="I1867" s="1016" t="s">
        <v>6899</v>
      </c>
    </row>
    <row r="1868" spans="2:9" ht="15.75" x14ac:dyDescent="0.25">
      <c r="B1868" s="1365" t="s">
        <v>7169</v>
      </c>
      <c r="C1868" s="1013" t="s">
        <v>4799</v>
      </c>
      <c r="D1868" s="1013" t="s">
        <v>2314</v>
      </c>
      <c r="E1868" s="1014">
        <v>6212</v>
      </c>
      <c r="F1868" s="1013" t="s">
        <v>5897</v>
      </c>
      <c r="G1868" s="1014" t="s">
        <v>13</v>
      </c>
      <c r="H1868" s="1015">
        <v>13495</v>
      </c>
      <c r="I1868" s="1016" t="s">
        <v>4398</v>
      </c>
    </row>
    <row r="1869" spans="2:9" ht="15.75" x14ac:dyDescent="0.25">
      <c r="B1869" s="1365" t="s">
        <v>7169</v>
      </c>
      <c r="C1869" s="1013" t="s">
        <v>4791</v>
      </c>
      <c r="D1869" s="1013" t="s">
        <v>5165</v>
      </c>
      <c r="E1869" s="1014">
        <v>6213</v>
      </c>
      <c r="F1869" s="1013" t="s">
        <v>5898</v>
      </c>
      <c r="G1869" s="1014" t="s">
        <v>13</v>
      </c>
      <c r="H1869" s="1015">
        <v>17763</v>
      </c>
      <c r="I1869" s="1016" t="s">
        <v>4398</v>
      </c>
    </row>
    <row r="1870" spans="2:9" ht="15.75" x14ac:dyDescent="0.25">
      <c r="B1870" s="1365" t="s">
        <v>7169</v>
      </c>
      <c r="C1870" s="1013" t="s">
        <v>4405</v>
      </c>
      <c r="D1870" s="1013" t="s">
        <v>4579</v>
      </c>
      <c r="E1870" s="1014">
        <v>6214</v>
      </c>
      <c r="F1870" s="1013" t="s">
        <v>5899</v>
      </c>
      <c r="G1870" s="1014" t="s">
        <v>13</v>
      </c>
      <c r="H1870" s="1015">
        <v>37095</v>
      </c>
      <c r="I1870" s="1016" t="s">
        <v>4398</v>
      </c>
    </row>
    <row r="1871" spans="2:9" ht="15.75" x14ac:dyDescent="0.25">
      <c r="B1871" s="1365" t="s">
        <v>7169</v>
      </c>
      <c r="C1871" s="1013" t="s">
        <v>4405</v>
      </c>
      <c r="D1871" s="1013" t="s">
        <v>4579</v>
      </c>
      <c r="E1871" s="1014">
        <v>6215</v>
      </c>
      <c r="F1871" s="1013" t="s">
        <v>745</v>
      </c>
      <c r="G1871" s="1014" t="s">
        <v>13</v>
      </c>
      <c r="H1871" s="1015">
        <v>17253</v>
      </c>
      <c r="I1871" s="1016" t="s">
        <v>4398</v>
      </c>
    </row>
    <row r="1872" spans="2:9" ht="15.75" x14ac:dyDescent="0.25">
      <c r="B1872" s="1365" t="s">
        <v>7169</v>
      </c>
      <c r="C1872" s="1013" t="s">
        <v>4396</v>
      </c>
      <c r="D1872" s="1013" t="s">
        <v>4397</v>
      </c>
      <c r="E1872" s="1014">
        <v>6216</v>
      </c>
      <c r="F1872" s="1013" t="s">
        <v>746</v>
      </c>
      <c r="G1872" s="1014" t="s">
        <v>3</v>
      </c>
      <c r="H1872" s="1015">
        <v>72015</v>
      </c>
      <c r="I1872" s="1016" t="s">
        <v>6899</v>
      </c>
    </row>
    <row r="1873" spans="2:9" ht="15.75" x14ac:dyDescent="0.25">
      <c r="B1873" s="1365" t="s">
        <v>7169</v>
      </c>
      <c r="C1873" s="1013" t="s">
        <v>4396</v>
      </c>
      <c r="D1873" s="1013" t="s">
        <v>4397</v>
      </c>
      <c r="E1873" s="1014">
        <v>6217</v>
      </c>
      <c r="F1873" s="1013" t="s">
        <v>747</v>
      </c>
      <c r="G1873" s="1014" t="s">
        <v>266</v>
      </c>
      <c r="H1873" s="1015">
        <v>21120</v>
      </c>
      <c r="I1873" s="1016" t="s">
        <v>6899</v>
      </c>
    </row>
    <row r="1874" spans="2:9" ht="15.75" x14ac:dyDescent="0.25">
      <c r="B1874" s="1365" t="s">
        <v>7169</v>
      </c>
      <c r="C1874" s="1013" t="s">
        <v>4396</v>
      </c>
      <c r="D1874" s="1013" t="s">
        <v>4397</v>
      </c>
      <c r="E1874" s="1014">
        <v>6218</v>
      </c>
      <c r="F1874" s="1013" t="s">
        <v>748</v>
      </c>
      <c r="G1874" s="1014" t="s">
        <v>266</v>
      </c>
      <c r="H1874" s="1015">
        <v>24219</v>
      </c>
      <c r="I1874" s="1016" t="s">
        <v>6899</v>
      </c>
    </row>
    <row r="1875" spans="2:9" ht="15.75" x14ac:dyDescent="0.25">
      <c r="B1875" s="1365" t="s">
        <v>7169</v>
      </c>
      <c r="C1875" s="1013" t="s">
        <v>4451</v>
      </c>
      <c r="D1875" s="1013" t="s">
        <v>4452</v>
      </c>
      <c r="E1875" s="1014">
        <v>6219</v>
      </c>
      <c r="F1875" s="1013" t="s">
        <v>5900</v>
      </c>
      <c r="G1875" s="1014" t="s">
        <v>266</v>
      </c>
      <c r="H1875" s="1015">
        <v>653799</v>
      </c>
      <c r="I1875" s="1016" t="s">
        <v>6899</v>
      </c>
    </row>
    <row r="1876" spans="2:9" ht="15.75" x14ac:dyDescent="0.25">
      <c r="B1876" s="1365" t="s">
        <v>7169</v>
      </c>
      <c r="C1876" s="1013" t="s">
        <v>5292</v>
      </c>
      <c r="D1876" s="1013" t="s">
        <v>5293</v>
      </c>
      <c r="E1876" s="1014">
        <v>6221</v>
      </c>
      <c r="F1876" s="1013" t="s">
        <v>5901</v>
      </c>
      <c r="G1876" s="1014" t="s">
        <v>12</v>
      </c>
      <c r="H1876" s="1015">
        <v>492409</v>
      </c>
      <c r="I1876" s="1016" t="s">
        <v>6899</v>
      </c>
    </row>
    <row r="1877" spans="2:9" ht="15.75" x14ac:dyDescent="0.25">
      <c r="B1877" s="1365" t="s">
        <v>7169</v>
      </c>
      <c r="C1877" s="1013" t="s">
        <v>5292</v>
      </c>
      <c r="D1877" s="1013" t="s">
        <v>5292</v>
      </c>
      <c r="E1877" s="1014">
        <v>6224</v>
      </c>
      <c r="F1877" s="1013" t="s">
        <v>5902</v>
      </c>
      <c r="G1877" s="1014" t="s">
        <v>12</v>
      </c>
      <c r="H1877" s="1015">
        <v>13330</v>
      </c>
      <c r="I1877" s="1016" t="s">
        <v>6899</v>
      </c>
    </row>
    <row r="1878" spans="2:9" ht="15.75" x14ac:dyDescent="0.25">
      <c r="B1878" s="1365" t="s">
        <v>7169</v>
      </c>
      <c r="C1878" s="1013" t="s">
        <v>4401</v>
      </c>
      <c r="D1878" s="1013" t="s">
        <v>4401</v>
      </c>
      <c r="E1878" s="1014">
        <v>6225</v>
      </c>
      <c r="F1878" s="1013" t="s">
        <v>5903</v>
      </c>
      <c r="G1878" s="1014" t="s">
        <v>13</v>
      </c>
      <c r="H1878" s="1015">
        <v>20748</v>
      </c>
      <c r="I1878" s="1016" t="s">
        <v>6899</v>
      </c>
    </row>
    <row r="1879" spans="2:9" ht="15.75" x14ac:dyDescent="0.25">
      <c r="B1879" s="1365" t="s">
        <v>7169</v>
      </c>
      <c r="C1879" s="1013" t="s">
        <v>4401</v>
      </c>
      <c r="D1879" s="1013" t="s">
        <v>4401</v>
      </c>
      <c r="E1879" s="1014">
        <v>6226</v>
      </c>
      <c r="F1879" s="1013" t="s">
        <v>5904</v>
      </c>
      <c r="G1879" s="1014" t="s">
        <v>12</v>
      </c>
      <c r="H1879" s="1015">
        <v>12062</v>
      </c>
      <c r="I1879" s="1016" t="s">
        <v>6899</v>
      </c>
    </row>
    <row r="1880" spans="2:9" ht="15.75" x14ac:dyDescent="0.25">
      <c r="B1880" s="1365" t="s">
        <v>7169</v>
      </c>
      <c r="C1880" s="1013" t="s">
        <v>4401</v>
      </c>
      <c r="D1880" s="1013" t="s">
        <v>4401</v>
      </c>
      <c r="E1880" s="1014">
        <v>6227</v>
      </c>
      <c r="F1880" s="1013" t="s">
        <v>5905</v>
      </c>
      <c r="G1880" s="1014" t="s">
        <v>3</v>
      </c>
      <c r="H1880" s="1015">
        <v>75040</v>
      </c>
      <c r="I1880" s="1016" t="s">
        <v>6899</v>
      </c>
    </row>
    <row r="1881" spans="2:9" ht="15.75" x14ac:dyDescent="0.25">
      <c r="B1881" s="1365" t="s">
        <v>7169</v>
      </c>
      <c r="C1881" s="1013" t="s">
        <v>4401</v>
      </c>
      <c r="D1881" s="1013" t="s">
        <v>4401</v>
      </c>
      <c r="E1881" s="1014">
        <v>6228</v>
      </c>
      <c r="F1881" s="1013" t="s">
        <v>5906</v>
      </c>
      <c r="G1881" s="1014" t="s">
        <v>3</v>
      </c>
      <c r="H1881" s="1015">
        <v>75353</v>
      </c>
      <c r="I1881" s="1016" t="s">
        <v>6899</v>
      </c>
    </row>
    <row r="1882" spans="2:9" ht="15.75" x14ac:dyDescent="0.25">
      <c r="B1882" s="1365" t="s">
        <v>7169</v>
      </c>
      <c r="C1882" s="1013" t="s">
        <v>4401</v>
      </c>
      <c r="D1882" s="1013" t="s">
        <v>4401</v>
      </c>
      <c r="E1882" s="1014">
        <v>6229</v>
      </c>
      <c r="F1882" s="1013" t="s">
        <v>5907</v>
      </c>
      <c r="G1882" s="1014" t="s">
        <v>12</v>
      </c>
      <c r="H1882" s="1015">
        <v>10431</v>
      </c>
      <c r="I1882" s="1016" t="s">
        <v>6899</v>
      </c>
    </row>
    <row r="1883" spans="2:9" ht="15.75" x14ac:dyDescent="0.25">
      <c r="B1883" s="1365" t="s">
        <v>7169</v>
      </c>
      <c r="C1883" s="1013" t="s">
        <v>4401</v>
      </c>
      <c r="D1883" s="1013" t="s">
        <v>4401</v>
      </c>
      <c r="E1883" s="1014">
        <v>6230</v>
      </c>
      <c r="F1883" s="1013" t="s">
        <v>5908</v>
      </c>
      <c r="G1883" s="1014" t="s">
        <v>12</v>
      </c>
      <c r="H1883" s="1015">
        <v>8506</v>
      </c>
      <c r="I1883" s="1016" t="s">
        <v>6899</v>
      </c>
    </row>
    <row r="1884" spans="2:9" ht="15.75" x14ac:dyDescent="0.25">
      <c r="B1884" s="1365" t="s">
        <v>7169</v>
      </c>
      <c r="C1884" s="1013" t="s">
        <v>4401</v>
      </c>
      <c r="D1884" s="1013" t="s">
        <v>4401</v>
      </c>
      <c r="E1884" s="1014">
        <v>6231</v>
      </c>
      <c r="F1884" s="1013" t="s">
        <v>5909</v>
      </c>
      <c r="G1884" s="1014" t="s">
        <v>12</v>
      </c>
      <c r="H1884" s="1015">
        <v>12535</v>
      </c>
      <c r="I1884" s="1016" t="s">
        <v>6899</v>
      </c>
    </row>
    <row r="1885" spans="2:9" ht="15.75" x14ac:dyDescent="0.25">
      <c r="B1885" s="1365" t="s">
        <v>7169</v>
      </c>
      <c r="C1885" s="1013" t="s">
        <v>4401</v>
      </c>
      <c r="D1885" s="1013" t="s">
        <v>4401</v>
      </c>
      <c r="E1885" s="1014">
        <v>6232</v>
      </c>
      <c r="F1885" s="1013" t="s">
        <v>5910</v>
      </c>
      <c r="G1885" s="1014" t="s">
        <v>3</v>
      </c>
      <c r="H1885" s="1015">
        <v>103073</v>
      </c>
      <c r="I1885" s="1016" t="s">
        <v>6899</v>
      </c>
    </row>
    <row r="1886" spans="2:9" ht="15.75" x14ac:dyDescent="0.25">
      <c r="B1886" s="1365" t="s">
        <v>7169</v>
      </c>
      <c r="C1886" s="1013" t="s">
        <v>4401</v>
      </c>
      <c r="D1886" s="1013" t="s">
        <v>4401</v>
      </c>
      <c r="E1886" s="1014">
        <v>6233</v>
      </c>
      <c r="F1886" s="1013" t="s">
        <v>749</v>
      </c>
      <c r="G1886" s="1014" t="s">
        <v>3</v>
      </c>
      <c r="H1886" s="1015">
        <v>117389</v>
      </c>
      <c r="I1886" s="1016" t="s">
        <v>6899</v>
      </c>
    </row>
    <row r="1887" spans="2:9" ht="15.75" x14ac:dyDescent="0.25">
      <c r="B1887" s="1365" t="s">
        <v>7169</v>
      </c>
      <c r="C1887" s="1013" t="s">
        <v>4401</v>
      </c>
      <c r="D1887" s="1013" t="s">
        <v>4401</v>
      </c>
      <c r="E1887" s="1014">
        <v>6234</v>
      </c>
      <c r="F1887" s="1013" t="s">
        <v>5911</v>
      </c>
      <c r="G1887" s="1014" t="s">
        <v>3</v>
      </c>
      <c r="H1887" s="1015">
        <v>100000</v>
      </c>
      <c r="I1887" s="1016" t="s">
        <v>6899</v>
      </c>
    </row>
    <row r="1888" spans="2:9" ht="15.75" x14ac:dyDescent="0.25">
      <c r="B1888" s="1365" t="s">
        <v>7169</v>
      </c>
      <c r="C1888" s="1013" t="s">
        <v>4401</v>
      </c>
      <c r="D1888" s="1013" t="s">
        <v>4401</v>
      </c>
      <c r="E1888" s="1014">
        <v>6235</v>
      </c>
      <c r="F1888" s="1013" t="s">
        <v>5912</v>
      </c>
      <c r="G1888" s="1014" t="s">
        <v>12</v>
      </c>
      <c r="H1888" s="1015">
        <v>14439</v>
      </c>
      <c r="I1888" s="1016" t="s">
        <v>6899</v>
      </c>
    </row>
    <row r="1889" spans="2:9" ht="15.75" x14ac:dyDescent="0.25">
      <c r="B1889" s="1365" t="s">
        <v>7169</v>
      </c>
      <c r="C1889" s="1013" t="s">
        <v>4401</v>
      </c>
      <c r="D1889" s="1013" t="s">
        <v>4401</v>
      </c>
      <c r="E1889" s="1014">
        <v>6236</v>
      </c>
      <c r="F1889" s="1013" t="s">
        <v>5913</v>
      </c>
      <c r="G1889" s="1014" t="s">
        <v>13</v>
      </c>
      <c r="H1889" s="1015">
        <v>31842</v>
      </c>
      <c r="I1889" s="1016" t="s">
        <v>6899</v>
      </c>
    </row>
    <row r="1890" spans="2:9" ht="15.75" x14ac:dyDescent="0.25">
      <c r="B1890" s="1365" t="s">
        <v>7169</v>
      </c>
      <c r="C1890" s="1013" t="s">
        <v>4401</v>
      </c>
      <c r="D1890" s="1013" t="s">
        <v>4401</v>
      </c>
      <c r="E1890" s="1014">
        <v>6237</v>
      </c>
      <c r="F1890" s="1013" t="s">
        <v>5914</v>
      </c>
      <c r="G1890" s="1014" t="s">
        <v>13</v>
      </c>
      <c r="H1890" s="1015">
        <v>32727</v>
      </c>
      <c r="I1890" s="1016" t="s">
        <v>6899</v>
      </c>
    </row>
    <row r="1891" spans="2:9" ht="15.75" x14ac:dyDescent="0.25">
      <c r="B1891" s="1365" t="s">
        <v>7169</v>
      </c>
      <c r="C1891" s="1013" t="s">
        <v>4401</v>
      </c>
      <c r="D1891" s="1013" t="s">
        <v>4401</v>
      </c>
      <c r="E1891" s="1014">
        <v>6238</v>
      </c>
      <c r="F1891" s="1013" t="s">
        <v>5915</v>
      </c>
      <c r="G1891" s="1014" t="s">
        <v>13</v>
      </c>
      <c r="H1891" s="1015">
        <v>6857</v>
      </c>
      <c r="I1891" s="1016" t="s">
        <v>6899</v>
      </c>
    </row>
    <row r="1892" spans="2:9" ht="15.75" x14ac:dyDescent="0.25">
      <c r="B1892" s="1365" t="s">
        <v>7169</v>
      </c>
      <c r="C1892" s="1013" t="s">
        <v>4468</v>
      </c>
      <c r="D1892" s="1013" t="s">
        <v>4468</v>
      </c>
      <c r="E1892" s="1014">
        <v>6239</v>
      </c>
      <c r="F1892" s="1013" t="s">
        <v>750</v>
      </c>
      <c r="G1892" s="1014" t="s">
        <v>12</v>
      </c>
      <c r="H1892" s="1015">
        <v>89114</v>
      </c>
      <c r="I1892" s="1016" t="s">
        <v>6899</v>
      </c>
    </row>
    <row r="1893" spans="2:9" ht="15.75" x14ac:dyDescent="0.25">
      <c r="B1893" s="1365" t="s">
        <v>7169</v>
      </c>
      <c r="C1893" s="1013" t="s">
        <v>4472</v>
      </c>
      <c r="D1893" s="1013" t="s">
        <v>4473</v>
      </c>
      <c r="E1893" s="1014">
        <v>6246</v>
      </c>
      <c r="F1893" s="1013" t="s">
        <v>751</v>
      </c>
      <c r="G1893" s="1014" t="s">
        <v>12</v>
      </c>
      <c r="H1893" s="1015">
        <v>246663</v>
      </c>
      <c r="I1893" s="1016" t="s">
        <v>6899</v>
      </c>
    </row>
    <row r="1894" spans="2:9" ht="15.75" x14ac:dyDescent="0.25">
      <c r="B1894" s="1365" t="s">
        <v>7169</v>
      </c>
      <c r="C1894" s="1013" t="s">
        <v>4468</v>
      </c>
      <c r="D1894" s="1013" t="s">
        <v>1798</v>
      </c>
      <c r="E1894" s="1014">
        <v>6247</v>
      </c>
      <c r="F1894" s="1013" t="s">
        <v>5916</v>
      </c>
      <c r="G1894" s="1014" t="s">
        <v>752</v>
      </c>
      <c r="H1894" s="1015">
        <v>2134</v>
      </c>
      <c r="I1894" s="1016" t="s">
        <v>6899</v>
      </c>
    </row>
    <row r="1895" spans="2:9" ht="15.75" x14ac:dyDescent="0.25">
      <c r="B1895" s="1365" t="s">
        <v>7169</v>
      </c>
      <c r="C1895" s="1013" t="s">
        <v>4468</v>
      </c>
      <c r="D1895" s="1013" t="s">
        <v>1798</v>
      </c>
      <c r="E1895" s="1014">
        <v>6249</v>
      </c>
      <c r="F1895" s="1013" t="s">
        <v>5917</v>
      </c>
      <c r="G1895" s="1014" t="s">
        <v>752</v>
      </c>
      <c r="H1895" s="1015">
        <v>1977</v>
      </c>
      <c r="I1895" s="1016" t="s">
        <v>6899</v>
      </c>
    </row>
    <row r="1896" spans="2:9" ht="15.75" x14ac:dyDescent="0.25">
      <c r="B1896" s="1365" t="s">
        <v>7169</v>
      </c>
      <c r="C1896" s="1013" t="s">
        <v>4468</v>
      </c>
      <c r="D1896" s="1013" t="s">
        <v>1798</v>
      </c>
      <c r="E1896" s="1014">
        <v>6250</v>
      </c>
      <c r="F1896" s="1013" t="s">
        <v>5918</v>
      </c>
      <c r="G1896" s="1014" t="s">
        <v>752</v>
      </c>
      <c r="H1896" s="1015">
        <v>2378</v>
      </c>
      <c r="I1896" s="1016" t="s">
        <v>6899</v>
      </c>
    </row>
    <row r="1897" spans="2:9" ht="15.75" x14ac:dyDescent="0.25">
      <c r="B1897" s="1365" t="s">
        <v>7169</v>
      </c>
      <c r="C1897" s="1013" t="s">
        <v>4468</v>
      </c>
      <c r="D1897" s="1013" t="s">
        <v>1798</v>
      </c>
      <c r="E1897" s="1014">
        <v>6251</v>
      </c>
      <c r="F1897" s="1013" t="s">
        <v>5919</v>
      </c>
      <c r="G1897" s="1014" t="s">
        <v>752</v>
      </c>
      <c r="H1897" s="1015">
        <v>2969</v>
      </c>
      <c r="I1897" s="1016" t="s">
        <v>6899</v>
      </c>
    </row>
    <row r="1898" spans="2:9" ht="15.75" x14ac:dyDescent="0.25">
      <c r="B1898" s="1365" t="s">
        <v>7169</v>
      </c>
      <c r="C1898" s="1013" t="s">
        <v>4472</v>
      </c>
      <c r="D1898" s="1013" t="s">
        <v>4812</v>
      </c>
      <c r="E1898" s="1014">
        <v>6253</v>
      </c>
      <c r="F1898" s="1013" t="s">
        <v>753</v>
      </c>
      <c r="G1898" s="1014" t="s">
        <v>13</v>
      </c>
      <c r="H1898" s="1015">
        <v>698818</v>
      </c>
      <c r="I1898" s="1016" t="s">
        <v>4398</v>
      </c>
    </row>
    <row r="1899" spans="2:9" ht="15.75" x14ac:dyDescent="0.25">
      <c r="B1899" s="1365" t="s">
        <v>7169</v>
      </c>
      <c r="C1899" s="1013" t="s">
        <v>4472</v>
      </c>
      <c r="D1899" s="1013" t="s">
        <v>4812</v>
      </c>
      <c r="E1899" s="1014">
        <v>6254</v>
      </c>
      <c r="F1899" s="1013" t="s">
        <v>754</v>
      </c>
      <c r="G1899" s="1014" t="s">
        <v>13</v>
      </c>
      <c r="H1899" s="1015">
        <v>695163</v>
      </c>
      <c r="I1899" s="1016" t="s">
        <v>4398</v>
      </c>
    </row>
    <row r="1900" spans="2:9" ht="15.75" x14ac:dyDescent="0.25">
      <c r="B1900" s="1365" t="s">
        <v>7169</v>
      </c>
      <c r="C1900" s="1013" t="s">
        <v>1474</v>
      </c>
      <c r="D1900" s="1013" t="s">
        <v>5380</v>
      </c>
      <c r="E1900" s="1014">
        <v>6255</v>
      </c>
      <c r="F1900" s="1013" t="s">
        <v>5920</v>
      </c>
      <c r="G1900" s="1014" t="s">
        <v>266</v>
      </c>
      <c r="H1900" s="1015">
        <v>215356</v>
      </c>
      <c r="I1900" s="1016" t="s">
        <v>6899</v>
      </c>
    </row>
    <row r="1901" spans="2:9" ht="15.75" x14ac:dyDescent="0.25">
      <c r="B1901" s="1365" t="s">
        <v>7169</v>
      </c>
      <c r="C1901" s="1013" t="s">
        <v>1474</v>
      </c>
      <c r="D1901" s="1013" t="s">
        <v>5380</v>
      </c>
      <c r="E1901" s="1014">
        <v>6256</v>
      </c>
      <c r="F1901" s="1013" t="s">
        <v>755</v>
      </c>
      <c r="G1901" s="1014" t="s">
        <v>266</v>
      </c>
      <c r="H1901" s="1015">
        <v>195280</v>
      </c>
      <c r="I1901" s="1016" t="s">
        <v>6899</v>
      </c>
    </row>
    <row r="1902" spans="2:9" ht="15.75" x14ac:dyDescent="0.25">
      <c r="B1902" s="1365" t="s">
        <v>7169</v>
      </c>
      <c r="C1902" s="1013" t="s">
        <v>1474</v>
      </c>
      <c r="D1902" s="1013" t="s">
        <v>5380</v>
      </c>
      <c r="E1902" s="1014">
        <v>6257</v>
      </c>
      <c r="F1902" s="1013" t="s">
        <v>756</v>
      </c>
      <c r="G1902" s="1014" t="s">
        <v>266</v>
      </c>
      <c r="H1902" s="1015">
        <v>136041</v>
      </c>
      <c r="I1902" s="1016" t="s">
        <v>6899</v>
      </c>
    </row>
    <row r="1903" spans="2:9" ht="15.75" x14ac:dyDescent="0.25">
      <c r="B1903" s="1365" t="s">
        <v>7169</v>
      </c>
      <c r="C1903" s="1013" t="s">
        <v>1474</v>
      </c>
      <c r="D1903" s="1013" t="s">
        <v>5380</v>
      </c>
      <c r="E1903" s="1014">
        <v>6258</v>
      </c>
      <c r="F1903" s="1013" t="s">
        <v>5921</v>
      </c>
      <c r="G1903" s="1014" t="s">
        <v>266</v>
      </c>
      <c r="H1903" s="1015">
        <v>149654</v>
      </c>
      <c r="I1903" s="1016" t="s">
        <v>6899</v>
      </c>
    </row>
    <row r="1904" spans="2:9" ht="15.75" x14ac:dyDescent="0.25">
      <c r="B1904" s="1365" t="s">
        <v>7169</v>
      </c>
      <c r="C1904" s="1013" t="s">
        <v>1474</v>
      </c>
      <c r="D1904" s="1013" t="s">
        <v>5380</v>
      </c>
      <c r="E1904" s="1014">
        <v>6259</v>
      </c>
      <c r="F1904" s="1013" t="s">
        <v>757</v>
      </c>
      <c r="G1904" s="1014" t="s">
        <v>266</v>
      </c>
      <c r="H1904" s="1015">
        <v>831489</v>
      </c>
      <c r="I1904" s="1016" t="s">
        <v>6899</v>
      </c>
    </row>
    <row r="1905" spans="2:9" ht="15.75" x14ac:dyDescent="0.25">
      <c r="B1905" s="1365" t="s">
        <v>7169</v>
      </c>
      <c r="C1905" s="1013" t="s">
        <v>1474</v>
      </c>
      <c r="D1905" s="1013" t="s">
        <v>5380</v>
      </c>
      <c r="E1905" s="1014">
        <v>6260</v>
      </c>
      <c r="F1905" s="1013" t="s">
        <v>758</v>
      </c>
      <c r="G1905" s="1014" t="s">
        <v>266</v>
      </c>
      <c r="H1905" s="1015">
        <v>726638</v>
      </c>
      <c r="I1905" s="1016" t="s">
        <v>6899</v>
      </c>
    </row>
    <row r="1906" spans="2:9" ht="15.75" x14ac:dyDescent="0.25">
      <c r="B1906" s="1365" t="s">
        <v>7169</v>
      </c>
      <c r="C1906" s="1013" t="s">
        <v>1474</v>
      </c>
      <c r="D1906" s="1013" t="s">
        <v>5380</v>
      </c>
      <c r="E1906" s="1014">
        <v>6261</v>
      </c>
      <c r="F1906" s="1013" t="s">
        <v>759</v>
      </c>
      <c r="G1906" s="1014" t="s">
        <v>266</v>
      </c>
      <c r="H1906" s="1015">
        <v>115101</v>
      </c>
      <c r="I1906" s="1016" t="s">
        <v>6899</v>
      </c>
    </row>
    <row r="1907" spans="2:9" ht="15.75" x14ac:dyDescent="0.25">
      <c r="B1907" s="1365" t="s">
        <v>7169</v>
      </c>
      <c r="C1907" s="1013" t="s">
        <v>4468</v>
      </c>
      <c r="D1907" s="1013" t="s">
        <v>4814</v>
      </c>
      <c r="E1907" s="1014">
        <v>6262</v>
      </c>
      <c r="F1907" s="1013" t="s">
        <v>760</v>
      </c>
      <c r="G1907" s="1014" t="s">
        <v>12</v>
      </c>
      <c r="H1907" s="1015">
        <v>57060</v>
      </c>
      <c r="I1907" s="1016" t="s">
        <v>6899</v>
      </c>
    </row>
    <row r="1908" spans="2:9" ht="15.75" x14ac:dyDescent="0.25">
      <c r="B1908" s="1365" t="s">
        <v>7169</v>
      </c>
      <c r="C1908" s="1013" t="s">
        <v>4468</v>
      </c>
      <c r="D1908" s="1013" t="s">
        <v>4814</v>
      </c>
      <c r="E1908" s="1014">
        <v>6263</v>
      </c>
      <c r="F1908" s="1013" t="s">
        <v>761</v>
      </c>
      <c r="G1908" s="1014" t="s">
        <v>12</v>
      </c>
      <c r="H1908" s="1015">
        <v>10993</v>
      </c>
      <c r="I1908" s="1016" t="s">
        <v>6899</v>
      </c>
    </row>
    <row r="1909" spans="2:9" ht="15.75" x14ac:dyDescent="0.25">
      <c r="B1909" s="1365" t="s">
        <v>7169</v>
      </c>
      <c r="C1909" s="1013" t="s">
        <v>4468</v>
      </c>
      <c r="D1909" s="1013" t="s">
        <v>1798</v>
      </c>
      <c r="E1909" s="1014">
        <v>6264</v>
      </c>
      <c r="F1909" s="1013" t="s">
        <v>762</v>
      </c>
      <c r="G1909" s="1014" t="s">
        <v>266</v>
      </c>
      <c r="H1909" s="1015">
        <v>11986</v>
      </c>
      <c r="I1909" s="1016" t="s">
        <v>6899</v>
      </c>
    </row>
    <row r="1910" spans="2:9" ht="15.75" x14ac:dyDescent="0.25">
      <c r="B1910" s="1365" t="s">
        <v>7169</v>
      </c>
      <c r="C1910" s="1013" t="s">
        <v>4468</v>
      </c>
      <c r="D1910" s="1013" t="s">
        <v>4814</v>
      </c>
      <c r="E1910" s="1014">
        <v>6265</v>
      </c>
      <c r="F1910" s="1013" t="s">
        <v>763</v>
      </c>
      <c r="G1910" s="1014" t="s">
        <v>12</v>
      </c>
      <c r="H1910" s="1015">
        <v>16049</v>
      </c>
      <c r="I1910" s="1016" t="s">
        <v>6899</v>
      </c>
    </row>
    <row r="1911" spans="2:9" ht="15.75" x14ac:dyDescent="0.25">
      <c r="B1911" s="1365" t="s">
        <v>7169</v>
      </c>
      <c r="C1911" s="1013" t="s">
        <v>4468</v>
      </c>
      <c r="D1911" s="1013" t="s">
        <v>4814</v>
      </c>
      <c r="E1911" s="1014">
        <v>6266</v>
      </c>
      <c r="F1911" s="1013" t="s">
        <v>764</v>
      </c>
      <c r="G1911" s="1014" t="s">
        <v>12</v>
      </c>
      <c r="H1911" s="1015">
        <v>21555</v>
      </c>
      <c r="I1911" s="1016" t="s">
        <v>6899</v>
      </c>
    </row>
    <row r="1912" spans="2:9" ht="15.75" x14ac:dyDescent="0.25">
      <c r="B1912" s="1365" t="s">
        <v>7169</v>
      </c>
      <c r="C1912" s="1013" t="s">
        <v>5292</v>
      </c>
      <c r="D1912" s="1013" t="s">
        <v>5293</v>
      </c>
      <c r="E1912" s="1014">
        <v>6267</v>
      </c>
      <c r="F1912" s="1013" t="s">
        <v>765</v>
      </c>
      <c r="G1912" s="1014" t="s">
        <v>266</v>
      </c>
      <c r="H1912" s="1015">
        <v>1478712</v>
      </c>
      <c r="I1912" s="1016" t="s">
        <v>6899</v>
      </c>
    </row>
    <row r="1913" spans="2:9" ht="15.75" x14ac:dyDescent="0.25">
      <c r="B1913" s="1365" t="s">
        <v>7169</v>
      </c>
      <c r="C1913" s="1013" t="s">
        <v>4417</v>
      </c>
      <c r="D1913" s="1013" t="s">
        <v>4438</v>
      </c>
      <c r="E1913" s="1014">
        <v>6269</v>
      </c>
      <c r="F1913" s="1013" t="s">
        <v>766</v>
      </c>
      <c r="G1913" s="1014" t="s">
        <v>12</v>
      </c>
      <c r="H1913" s="1015">
        <v>57820</v>
      </c>
      <c r="I1913" s="1016" t="s">
        <v>6899</v>
      </c>
    </row>
    <row r="1914" spans="2:9" ht="15.75" x14ac:dyDescent="0.25">
      <c r="B1914" s="1365" t="s">
        <v>7169</v>
      </c>
      <c r="C1914" s="1013" t="s">
        <v>1474</v>
      </c>
      <c r="D1914" s="1013" t="s">
        <v>5380</v>
      </c>
      <c r="E1914" s="1014">
        <v>6271</v>
      </c>
      <c r="F1914" s="1013" t="s">
        <v>767</v>
      </c>
      <c r="G1914" s="1014" t="s">
        <v>266</v>
      </c>
      <c r="H1914" s="1015">
        <v>151640</v>
      </c>
      <c r="I1914" s="1016" t="s">
        <v>6899</v>
      </c>
    </row>
    <row r="1915" spans="2:9" ht="15.75" x14ac:dyDescent="0.25">
      <c r="B1915" s="1365" t="s">
        <v>7169</v>
      </c>
      <c r="C1915" s="1013" t="s">
        <v>4468</v>
      </c>
      <c r="D1915" s="1013" t="s">
        <v>1798</v>
      </c>
      <c r="E1915" s="1014">
        <v>6273</v>
      </c>
      <c r="F1915" s="1013" t="s">
        <v>769</v>
      </c>
      <c r="G1915" s="1014" t="s">
        <v>768</v>
      </c>
      <c r="H1915" s="1015">
        <v>3760</v>
      </c>
      <c r="I1915" s="1016" t="s">
        <v>4398</v>
      </c>
    </row>
    <row r="1916" spans="2:9" ht="15.75" x14ac:dyDescent="0.25">
      <c r="B1916" s="1365" t="s">
        <v>7169</v>
      </c>
      <c r="C1916" s="1013" t="s">
        <v>5292</v>
      </c>
      <c r="D1916" s="1013" t="s">
        <v>5293</v>
      </c>
      <c r="E1916" s="1014">
        <v>6275</v>
      </c>
      <c r="F1916" s="1013" t="s">
        <v>5922</v>
      </c>
      <c r="G1916" s="1014" t="s">
        <v>13</v>
      </c>
      <c r="H1916" s="1015">
        <v>126606</v>
      </c>
      <c r="I1916" s="1016" t="s">
        <v>6899</v>
      </c>
    </row>
    <row r="1917" spans="2:9" ht="15.75" x14ac:dyDescent="0.25">
      <c r="B1917" s="1365" t="s">
        <v>7169</v>
      </c>
      <c r="C1917" s="1013" t="s">
        <v>5292</v>
      </c>
      <c r="D1917" s="1013" t="s">
        <v>5293</v>
      </c>
      <c r="E1917" s="1014">
        <v>6276</v>
      </c>
      <c r="F1917" s="1013" t="s">
        <v>5923</v>
      </c>
      <c r="G1917" s="1014" t="s">
        <v>13</v>
      </c>
      <c r="H1917" s="1015">
        <v>133206</v>
      </c>
      <c r="I1917" s="1016" t="s">
        <v>6899</v>
      </c>
    </row>
    <row r="1918" spans="2:9" ht="15.75" x14ac:dyDescent="0.25">
      <c r="B1918" s="1365" t="s">
        <v>7169</v>
      </c>
      <c r="C1918" s="1013" t="s">
        <v>5292</v>
      </c>
      <c r="D1918" s="1013" t="s">
        <v>5293</v>
      </c>
      <c r="E1918" s="1014">
        <v>6278</v>
      </c>
      <c r="F1918" s="1013" t="s">
        <v>770</v>
      </c>
      <c r="G1918" s="1014" t="s">
        <v>13</v>
      </c>
      <c r="H1918" s="1015">
        <v>52487</v>
      </c>
      <c r="I1918" s="1016" t="s">
        <v>6899</v>
      </c>
    </row>
    <row r="1919" spans="2:9" ht="15.75" x14ac:dyDescent="0.25">
      <c r="B1919" s="1365" t="s">
        <v>7169</v>
      </c>
      <c r="C1919" s="1013" t="s">
        <v>5292</v>
      </c>
      <c r="D1919" s="1013" t="s">
        <v>5293</v>
      </c>
      <c r="E1919" s="1014">
        <v>6279</v>
      </c>
      <c r="F1919" s="1013" t="s">
        <v>5924</v>
      </c>
      <c r="G1919" s="1014" t="s">
        <v>13</v>
      </c>
      <c r="H1919" s="1015">
        <v>49706</v>
      </c>
      <c r="I1919" s="1016" t="s">
        <v>6899</v>
      </c>
    </row>
    <row r="1920" spans="2:9" ht="15.75" x14ac:dyDescent="0.25">
      <c r="B1920" s="1365" t="s">
        <v>7169</v>
      </c>
      <c r="C1920" s="1013" t="s">
        <v>5292</v>
      </c>
      <c r="D1920" s="1013" t="s">
        <v>5293</v>
      </c>
      <c r="E1920" s="1014">
        <v>6280</v>
      </c>
      <c r="F1920" s="1013" t="s">
        <v>5925</v>
      </c>
      <c r="G1920" s="1014" t="s">
        <v>12</v>
      </c>
      <c r="H1920" s="1015">
        <v>189755</v>
      </c>
      <c r="I1920" s="1016" t="s">
        <v>6899</v>
      </c>
    </row>
    <row r="1921" spans="2:9" ht="15.75" x14ac:dyDescent="0.25">
      <c r="B1921" s="1365" t="s">
        <v>7169</v>
      </c>
      <c r="C1921" s="1013" t="s">
        <v>5292</v>
      </c>
      <c r="D1921" s="1013" t="s">
        <v>5293</v>
      </c>
      <c r="E1921" s="1014">
        <v>6281</v>
      </c>
      <c r="F1921" s="1013" t="s">
        <v>771</v>
      </c>
      <c r="G1921" s="1014" t="s">
        <v>12</v>
      </c>
      <c r="H1921" s="1015">
        <v>53496</v>
      </c>
      <c r="I1921" s="1016" t="s">
        <v>6899</v>
      </c>
    </row>
    <row r="1922" spans="2:9" ht="15.75" x14ac:dyDescent="0.25">
      <c r="B1922" s="1365" t="s">
        <v>7169</v>
      </c>
      <c r="C1922" s="1013" t="s">
        <v>5292</v>
      </c>
      <c r="D1922" s="1013" t="s">
        <v>5293</v>
      </c>
      <c r="E1922" s="1014">
        <v>6282</v>
      </c>
      <c r="F1922" s="1013" t="s">
        <v>5926</v>
      </c>
      <c r="G1922" s="1014" t="s">
        <v>12</v>
      </c>
      <c r="H1922" s="1015">
        <v>70496</v>
      </c>
      <c r="I1922" s="1016" t="s">
        <v>6899</v>
      </c>
    </row>
    <row r="1923" spans="2:9" ht="15.75" x14ac:dyDescent="0.25">
      <c r="B1923" s="1365" t="s">
        <v>7169</v>
      </c>
      <c r="C1923" s="1013" t="s">
        <v>5292</v>
      </c>
      <c r="D1923" s="1013" t="s">
        <v>5293</v>
      </c>
      <c r="E1923" s="1014">
        <v>6283</v>
      </c>
      <c r="F1923" s="1013" t="s">
        <v>772</v>
      </c>
      <c r="G1923" s="1014" t="s">
        <v>12</v>
      </c>
      <c r="H1923" s="1015">
        <v>140925</v>
      </c>
      <c r="I1923" s="1016" t="s">
        <v>6899</v>
      </c>
    </row>
    <row r="1924" spans="2:9" ht="15.75" x14ac:dyDescent="0.25">
      <c r="B1924" s="1365" t="s">
        <v>7169</v>
      </c>
      <c r="C1924" s="1013" t="s">
        <v>5292</v>
      </c>
      <c r="D1924" s="1013" t="s">
        <v>5293</v>
      </c>
      <c r="E1924" s="1014">
        <v>6284</v>
      </c>
      <c r="F1924" s="1013" t="s">
        <v>773</v>
      </c>
      <c r="G1924" s="1014" t="s">
        <v>12</v>
      </c>
      <c r="H1924" s="1015">
        <v>53706</v>
      </c>
      <c r="I1924" s="1016" t="s">
        <v>6899</v>
      </c>
    </row>
    <row r="1925" spans="2:9" ht="15.75" x14ac:dyDescent="0.25">
      <c r="B1925" s="1365" t="s">
        <v>7169</v>
      </c>
      <c r="C1925" s="1013" t="s">
        <v>5292</v>
      </c>
      <c r="D1925" s="1013" t="s">
        <v>5293</v>
      </c>
      <c r="E1925" s="1014">
        <v>6285</v>
      </c>
      <c r="F1925" s="1013" t="s">
        <v>774</v>
      </c>
      <c r="G1925" s="1014" t="s">
        <v>3</v>
      </c>
      <c r="H1925" s="1015">
        <v>681170</v>
      </c>
      <c r="I1925" s="1016" t="s">
        <v>6899</v>
      </c>
    </row>
    <row r="1926" spans="2:9" ht="15.75" x14ac:dyDescent="0.25">
      <c r="B1926" s="1365" t="s">
        <v>7169</v>
      </c>
      <c r="C1926" s="1013" t="s">
        <v>5292</v>
      </c>
      <c r="D1926" s="1013" t="s">
        <v>5293</v>
      </c>
      <c r="E1926" s="1014">
        <v>6286</v>
      </c>
      <c r="F1926" s="1013" t="s">
        <v>775</v>
      </c>
      <c r="G1926" s="1014" t="s">
        <v>12</v>
      </c>
      <c r="H1926" s="1015">
        <v>119157</v>
      </c>
      <c r="I1926" s="1016" t="s">
        <v>6899</v>
      </c>
    </row>
    <row r="1927" spans="2:9" ht="15.75" x14ac:dyDescent="0.25">
      <c r="B1927" s="1365" t="s">
        <v>7169</v>
      </c>
      <c r="C1927" s="1013" t="s">
        <v>5292</v>
      </c>
      <c r="D1927" s="1013" t="s">
        <v>5293</v>
      </c>
      <c r="E1927" s="1014">
        <v>6287</v>
      </c>
      <c r="F1927" s="1013" t="s">
        <v>5927</v>
      </c>
      <c r="G1927" s="1014" t="s">
        <v>13</v>
      </c>
      <c r="H1927" s="1015">
        <v>24793</v>
      </c>
      <c r="I1927" s="1016" t="s">
        <v>6899</v>
      </c>
    </row>
    <row r="1928" spans="2:9" ht="15.75" x14ac:dyDescent="0.25">
      <c r="B1928" s="1365" t="s">
        <v>7169</v>
      </c>
      <c r="C1928" s="1013" t="s">
        <v>5292</v>
      </c>
      <c r="D1928" s="1013" t="s">
        <v>5293</v>
      </c>
      <c r="E1928" s="1014">
        <v>6288</v>
      </c>
      <c r="F1928" s="1013" t="s">
        <v>5928</v>
      </c>
      <c r="G1928" s="1014" t="s">
        <v>13</v>
      </c>
      <c r="H1928" s="1015">
        <v>19486</v>
      </c>
      <c r="I1928" s="1016" t="s">
        <v>6899</v>
      </c>
    </row>
    <row r="1929" spans="2:9" ht="15.75" x14ac:dyDescent="0.25">
      <c r="B1929" s="1365" t="s">
        <v>7169</v>
      </c>
      <c r="C1929" s="1013" t="s">
        <v>5292</v>
      </c>
      <c r="D1929" s="1013" t="s">
        <v>5293</v>
      </c>
      <c r="E1929" s="1014">
        <v>6289</v>
      </c>
      <c r="F1929" s="1013" t="s">
        <v>5929</v>
      </c>
      <c r="G1929" s="1014" t="s">
        <v>13</v>
      </c>
      <c r="H1929" s="1015">
        <v>26532</v>
      </c>
      <c r="I1929" s="1016" t="s">
        <v>6899</v>
      </c>
    </row>
    <row r="1930" spans="2:9" ht="15.75" x14ac:dyDescent="0.25">
      <c r="B1930" s="1365" t="s">
        <v>7169</v>
      </c>
      <c r="C1930" s="1013" t="s">
        <v>5292</v>
      </c>
      <c r="D1930" s="1013" t="s">
        <v>5293</v>
      </c>
      <c r="E1930" s="1014">
        <v>6290</v>
      </c>
      <c r="F1930" s="1013" t="s">
        <v>776</v>
      </c>
      <c r="G1930" s="1014" t="s">
        <v>6</v>
      </c>
      <c r="H1930" s="1015">
        <v>28393</v>
      </c>
      <c r="I1930" s="1016" t="s">
        <v>6899</v>
      </c>
    </row>
    <row r="1931" spans="2:9" ht="15.75" x14ac:dyDescent="0.25">
      <c r="B1931" s="1365" t="s">
        <v>7169</v>
      </c>
      <c r="C1931" s="1013" t="s">
        <v>5292</v>
      </c>
      <c r="D1931" s="1013" t="s">
        <v>5293</v>
      </c>
      <c r="E1931" s="1014">
        <v>6291</v>
      </c>
      <c r="F1931" s="1013" t="s">
        <v>5930</v>
      </c>
      <c r="G1931" s="1014" t="s">
        <v>13</v>
      </c>
      <c r="H1931" s="1015">
        <v>21096</v>
      </c>
      <c r="I1931" s="1016" t="s">
        <v>6899</v>
      </c>
    </row>
    <row r="1932" spans="2:9" ht="15.75" x14ac:dyDescent="0.25">
      <c r="B1932" s="1365" t="s">
        <v>7169</v>
      </c>
      <c r="C1932" s="1013" t="s">
        <v>5292</v>
      </c>
      <c r="D1932" s="1013" t="s">
        <v>5293</v>
      </c>
      <c r="E1932" s="1014">
        <v>6292</v>
      </c>
      <c r="F1932" s="1013" t="s">
        <v>5931</v>
      </c>
      <c r="G1932" s="1014" t="s">
        <v>6</v>
      </c>
      <c r="H1932" s="1015">
        <v>28934</v>
      </c>
      <c r="I1932" s="1016" t="s">
        <v>6899</v>
      </c>
    </row>
    <row r="1933" spans="2:9" ht="15.75" x14ac:dyDescent="0.25">
      <c r="B1933" s="1365" t="s">
        <v>7169</v>
      </c>
      <c r="C1933" s="1013" t="s">
        <v>5292</v>
      </c>
      <c r="D1933" s="1013" t="s">
        <v>5293</v>
      </c>
      <c r="E1933" s="1014">
        <v>6294</v>
      </c>
      <c r="F1933" s="1013" t="s">
        <v>777</v>
      </c>
      <c r="G1933" s="1014" t="s">
        <v>13</v>
      </c>
      <c r="H1933" s="1015">
        <v>41100</v>
      </c>
      <c r="I1933" s="1016" t="s">
        <v>6899</v>
      </c>
    </row>
    <row r="1934" spans="2:9" ht="15.75" x14ac:dyDescent="0.25">
      <c r="B1934" s="1365" t="s">
        <v>7169</v>
      </c>
      <c r="C1934" s="1013" t="s">
        <v>5292</v>
      </c>
      <c r="D1934" s="1013" t="s">
        <v>5293</v>
      </c>
      <c r="E1934" s="1014">
        <v>6295</v>
      </c>
      <c r="F1934" s="1013" t="s">
        <v>778</v>
      </c>
      <c r="G1934" s="1014" t="s">
        <v>13</v>
      </c>
      <c r="H1934" s="1015">
        <v>41059</v>
      </c>
      <c r="I1934" s="1016" t="s">
        <v>6899</v>
      </c>
    </row>
    <row r="1935" spans="2:9" ht="15.75" x14ac:dyDescent="0.25">
      <c r="B1935" s="1365" t="s">
        <v>7169</v>
      </c>
      <c r="C1935" s="1013" t="s">
        <v>5292</v>
      </c>
      <c r="D1935" s="1013" t="s">
        <v>5293</v>
      </c>
      <c r="E1935" s="1014">
        <v>6296</v>
      </c>
      <c r="F1935" s="1013" t="s">
        <v>779</v>
      </c>
      <c r="G1935" s="1014" t="s">
        <v>13</v>
      </c>
      <c r="H1935" s="1015">
        <v>62325</v>
      </c>
      <c r="I1935" s="1016" t="s">
        <v>6899</v>
      </c>
    </row>
    <row r="1936" spans="2:9" ht="15.75" x14ac:dyDescent="0.25">
      <c r="B1936" s="1365" t="s">
        <v>7169</v>
      </c>
      <c r="C1936" s="1013" t="s">
        <v>5292</v>
      </c>
      <c r="D1936" s="1013" t="s">
        <v>5293</v>
      </c>
      <c r="E1936" s="1014">
        <v>6297</v>
      </c>
      <c r="F1936" s="1013" t="s">
        <v>5932</v>
      </c>
      <c r="G1936" s="1014" t="s">
        <v>3</v>
      </c>
      <c r="H1936" s="1015">
        <v>750260</v>
      </c>
      <c r="I1936" s="1016" t="s">
        <v>6899</v>
      </c>
    </row>
    <row r="1937" spans="2:9" ht="15.75" x14ac:dyDescent="0.25">
      <c r="B1937" s="1365" t="s">
        <v>7169</v>
      </c>
      <c r="C1937" s="1013" t="s">
        <v>5292</v>
      </c>
      <c r="D1937" s="1013" t="s">
        <v>5293</v>
      </c>
      <c r="E1937" s="1014">
        <v>6298</v>
      </c>
      <c r="F1937" s="1013" t="s">
        <v>780</v>
      </c>
      <c r="G1937" s="1014" t="s">
        <v>3</v>
      </c>
      <c r="H1937" s="1015">
        <v>671060</v>
      </c>
      <c r="I1937" s="1016" t="s">
        <v>6899</v>
      </c>
    </row>
    <row r="1938" spans="2:9" ht="15.75" x14ac:dyDescent="0.25">
      <c r="B1938" s="1365" t="s">
        <v>7169</v>
      </c>
      <c r="C1938" s="1013" t="s">
        <v>4417</v>
      </c>
      <c r="D1938" s="1013" t="s">
        <v>4631</v>
      </c>
      <c r="E1938" s="1014">
        <v>6299</v>
      </c>
      <c r="F1938" s="1013" t="s">
        <v>781</v>
      </c>
      <c r="G1938" s="1014" t="s">
        <v>3</v>
      </c>
      <c r="H1938" s="1015">
        <v>653972</v>
      </c>
      <c r="I1938" s="1016" t="s">
        <v>6899</v>
      </c>
    </row>
    <row r="1939" spans="2:9" ht="15.75" x14ac:dyDescent="0.25">
      <c r="B1939" s="1365" t="s">
        <v>7169</v>
      </c>
      <c r="C1939" s="1013" t="s">
        <v>5292</v>
      </c>
      <c r="D1939" s="1013" t="s">
        <v>5293</v>
      </c>
      <c r="E1939" s="1014">
        <v>6300</v>
      </c>
      <c r="F1939" s="1013" t="s">
        <v>5933</v>
      </c>
      <c r="G1939" s="1014" t="s">
        <v>3</v>
      </c>
      <c r="H1939" s="1015">
        <v>792559</v>
      </c>
      <c r="I1939" s="1016" t="s">
        <v>6899</v>
      </c>
    </row>
    <row r="1940" spans="2:9" ht="15.75" x14ac:dyDescent="0.25">
      <c r="B1940" s="1365" t="s">
        <v>7169</v>
      </c>
      <c r="C1940" s="1013" t="s">
        <v>5292</v>
      </c>
      <c r="D1940" s="1013" t="s">
        <v>5293</v>
      </c>
      <c r="E1940" s="1014">
        <v>6301</v>
      </c>
      <c r="F1940" s="1013" t="s">
        <v>5934</v>
      </c>
      <c r="G1940" s="1014" t="s">
        <v>3</v>
      </c>
      <c r="H1940" s="1015">
        <v>948407</v>
      </c>
      <c r="I1940" s="1016" t="s">
        <v>6899</v>
      </c>
    </row>
    <row r="1941" spans="2:9" ht="15.75" x14ac:dyDescent="0.25">
      <c r="B1941" s="1365" t="s">
        <v>7169</v>
      </c>
      <c r="C1941" s="1013" t="s">
        <v>5292</v>
      </c>
      <c r="D1941" s="1013" t="s">
        <v>5293</v>
      </c>
      <c r="E1941" s="1014">
        <v>6302</v>
      </c>
      <c r="F1941" s="1013" t="s">
        <v>5935</v>
      </c>
      <c r="G1941" s="1014" t="s">
        <v>3</v>
      </c>
      <c r="H1941" s="1015">
        <v>778167</v>
      </c>
      <c r="I1941" s="1016" t="s">
        <v>6899</v>
      </c>
    </row>
    <row r="1942" spans="2:9" ht="15.75" x14ac:dyDescent="0.25">
      <c r="B1942" s="1365" t="s">
        <v>7169</v>
      </c>
      <c r="C1942" s="1013" t="s">
        <v>4472</v>
      </c>
      <c r="D1942" s="1013" t="s">
        <v>4817</v>
      </c>
      <c r="E1942" s="1014">
        <v>6303</v>
      </c>
      <c r="F1942" s="1013" t="s">
        <v>782</v>
      </c>
      <c r="G1942" s="1014" t="s">
        <v>12</v>
      </c>
      <c r="H1942" s="1015">
        <v>8878</v>
      </c>
      <c r="I1942" s="1016" t="s">
        <v>6899</v>
      </c>
    </row>
    <row r="1943" spans="2:9" ht="15.75" x14ac:dyDescent="0.25">
      <c r="B1943" s="1365" t="s">
        <v>7169</v>
      </c>
      <c r="C1943" s="1013" t="s">
        <v>4799</v>
      </c>
      <c r="D1943" s="1013" t="s">
        <v>5199</v>
      </c>
      <c r="E1943" s="1014">
        <v>6304</v>
      </c>
      <c r="F1943" s="1013" t="s">
        <v>783</v>
      </c>
      <c r="G1943" s="1014" t="s">
        <v>12</v>
      </c>
      <c r="H1943" s="1015">
        <v>7940</v>
      </c>
      <c r="I1943" s="1016" t="s">
        <v>6899</v>
      </c>
    </row>
    <row r="1944" spans="2:9" ht="15.75" x14ac:dyDescent="0.25">
      <c r="B1944" s="1365" t="s">
        <v>7169</v>
      </c>
      <c r="C1944" s="1013" t="s">
        <v>4799</v>
      </c>
      <c r="D1944" s="1013" t="s">
        <v>5199</v>
      </c>
      <c r="E1944" s="1014">
        <v>6305</v>
      </c>
      <c r="F1944" s="1013" t="s">
        <v>784</v>
      </c>
      <c r="G1944" s="1014" t="s">
        <v>12</v>
      </c>
      <c r="H1944" s="1015">
        <v>20107</v>
      </c>
      <c r="I1944" s="1016" t="s">
        <v>6899</v>
      </c>
    </row>
    <row r="1945" spans="2:9" ht="15.75" x14ac:dyDescent="0.25">
      <c r="B1945" s="1365" t="s">
        <v>7169</v>
      </c>
      <c r="C1945" s="1013" t="s">
        <v>4799</v>
      </c>
      <c r="D1945" s="1013" t="s">
        <v>5199</v>
      </c>
      <c r="E1945" s="1014">
        <v>6306</v>
      </c>
      <c r="F1945" s="1013" t="s">
        <v>785</v>
      </c>
      <c r="G1945" s="1014" t="s">
        <v>13</v>
      </c>
      <c r="H1945" s="1015">
        <v>10612</v>
      </c>
      <c r="I1945" s="1016" t="s">
        <v>6899</v>
      </c>
    </row>
    <row r="1946" spans="2:9" ht="15.75" x14ac:dyDescent="0.25">
      <c r="B1946" s="1365" t="s">
        <v>7169</v>
      </c>
      <c r="C1946" s="1013" t="s">
        <v>4799</v>
      </c>
      <c r="D1946" s="1013" t="s">
        <v>5199</v>
      </c>
      <c r="E1946" s="1014">
        <v>6308</v>
      </c>
      <c r="F1946" s="1013" t="s">
        <v>786</v>
      </c>
      <c r="G1946" s="1014" t="s">
        <v>12</v>
      </c>
      <c r="H1946" s="1015">
        <v>4503</v>
      </c>
      <c r="I1946" s="1016" t="s">
        <v>6899</v>
      </c>
    </row>
    <row r="1947" spans="2:9" ht="15.75" x14ac:dyDescent="0.25">
      <c r="B1947" s="1365" t="s">
        <v>7169</v>
      </c>
      <c r="C1947" s="1013" t="s">
        <v>1474</v>
      </c>
      <c r="D1947" s="1013" t="s">
        <v>4940</v>
      </c>
      <c r="E1947" s="1014">
        <v>6309</v>
      </c>
      <c r="F1947" s="1013" t="s">
        <v>787</v>
      </c>
      <c r="G1947" s="1014" t="s">
        <v>12</v>
      </c>
      <c r="H1947" s="1015">
        <v>18184</v>
      </c>
      <c r="I1947" s="1016" t="s">
        <v>4398</v>
      </c>
    </row>
    <row r="1948" spans="2:9" ht="15.75" x14ac:dyDescent="0.25">
      <c r="B1948" s="1365" t="s">
        <v>6897</v>
      </c>
      <c r="C1948" s="1013" t="s">
        <v>4791</v>
      </c>
      <c r="D1948" s="1013" t="s">
        <v>4792</v>
      </c>
      <c r="E1948" s="1014">
        <v>6311</v>
      </c>
      <c r="F1948" s="1013" t="s">
        <v>5936</v>
      </c>
      <c r="G1948" s="1014" t="s">
        <v>12</v>
      </c>
      <c r="H1948" s="1015">
        <v>442650</v>
      </c>
      <c r="I1948" s="1016" t="s">
        <v>6899</v>
      </c>
    </row>
    <row r="1949" spans="2:9" ht="15.75" x14ac:dyDescent="0.25">
      <c r="B1949" s="1365" t="s">
        <v>7169</v>
      </c>
      <c r="C1949" s="1013" t="s">
        <v>4472</v>
      </c>
      <c r="D1949" s="1013" t="s">
        <v>4817</v>
      </c>
      <c r="E1949" s="1014">
        <v>6313</v>
      </c>
      <c r="F1949" s="1013" t="s">
        <v>5937</v>
      </c>
      <c r="G1949" s="1014" t="s">
        <v>3</v>
      </c>
      <c r="H1949" s="1015">
        <v>1060435</v>
      </c>
      <c r="I1949" s="1016" t="s">
        <v>6899</v>
      </c>
    </row>
    <row r="1950" spans="2:9" ht="15.75" x14ac:dyDescent="0.25">
      <c r="B1950" s="1365" t="s">
        <v>7169</v>
      </c>
      <c r="C1950" s="1013" t="s">
        <v>4472</v>
      </c>
      <c r="D1950" s="1013" t="s">
        <v>4817</v>
      </c>
      <c r="E1950" s="1014">
        <v>6314</v>
      </c>
      <c r="F1950" s="1013" t="s">
        <v>7218</v>
      </c>
      <c r="G1950" s="1014" t="s">
        <v>3</v>
      </c>
      <c r="H1950" s="1015">
        <v>1084714</v>
      </c>
      <c r="I1950" s="1016" t="s">
        <v>6899</v>
      </c>
    </row>
    <row r="1951" spans="2:9" ht="15.75" x14ac:dyDescent="0.25">
      <c r="B1951" s="1365" t="s">
        <v>7169</v>
      </c>
      <c r="C1951" s="1013" t="s">
        <v>4472</v>
      </c>
      <c r="D1951" s="1013" t="s">
        <v>4817</v>
      </c>
      <c r="E1951" s="1014">
        <v>6315</v>
      </c>
      <c r="F1951" s="1013" t="s">
        <v>7219</v>
      </c>
      <c r="G1951" s="1014" t="s">
        <v>3</v>
      </c>
      <c r="H1951" s="1015">
        <v>1106276</v>
      </c>
      <c r="I1951" s="1016" t="s">
        <v>6899</v>
      </c>
    </row>
    <row r="1952" spans="2:9" ht="15.75" x14ac:dyDescent="0.25">
      <c r="B1952" s="1365" t="s">
        <v>7169</v>
      </c>
      <c r="C1952" s="1013" t="s">
        <v>4472</v>
      </c>
      <c r="D1952" s="1013" t="s">
        <v>4817</v>
      </c>
      <c r="E1952" s="1014">
        <v>6316</v>
      </c>
      <c r="F1952" s="1013" t="s">
        <v>7220</v>
      </c>
      <c r="G1952" s="1014" t="s">
        <v>3</v>
      </c>
      <c r="H1952" s="1015">
        <v>1162891</v>
      </c>
      <c r="I1952" s="1016" t="s">
        <v>6899</v>
      </c>
    </row>
    <row r="1953" spans="2:9" ht="15.75" x14ac:dyDescent="0.25">
      <c r="B1953" s="1365" t="s">
        <v>7169</v>
      </c>
      <c r="C1953" s="1013" t="s">
        <v>4468</v>
      </c>
      <c r="D1953" s="1013" t="s">
        <v>4469</v>
      </c>
      <c r="E1953" s="1014">
        <v>6317</v>
      </c>
      <c r="F1953" s="1013" t="s">
        <v>5938</v>
      </c>
      <c r="G1953" s="1014" t="s">
        <v>13</v>
      </c>
      <c r="H1953" s="1015">
        <v>5506138</v>
      </c>
      <c r="I1953" s="1016" t="s">
        <v>6899</v>
      </c>
    </row>
    <row r="1954" spans="2:9" ht="15.75" x14ac:dyDescent="0.25">
      <c r="B1954" s="1365" t="s">
        <v>7169</v>
      </c>
      <c r="C1954" s="1013" t="s">
        <v>4799</v>
      </c>
      <c r="D1954" s="1013" t="s">
        <v>5874</v>
      </c>
      <c r="E1954" s="1014">
        <v>6318</v>
      </c>
      <c r="F1954" s="1013" t="s">
        <v>5939</v>
      </c>
      <c r="G1954" s="1014" t="s">
        <v>546</v>
      </c>
      <c r="H1954" s="1015">
        <v>117810</v>
      </c>
      <c r="I1954" s="1016" t="s">
        <v>3538</v>
      </c>
    </row>
    <row r="1955" spans="2:9" ht="15.75" x14ac:dyDescent="0.25">
      <c r="B1955" s="1365" t="s">
        <v>7169</v>
      </c>
      <c r="C1955" s="1013" t="s">
        <v>4468</v>
      </c>
      <c r="D1955" s="1013" t="s">
        <v>4469</v>
      </c>
      <c r="E1955" s="1014">
        <v>6319</v>
      </c>
      <c r="F1955" s="1013" t="s">
        <v>5940</v>
      </c>
      <c r="G1955" s="1014" t="s">
        <v>13</v>
      </c>
      <c r="H1955" s="1015">
        <v>3676242</v>
      </c>
      <c r="I1955" s="1016" t="s">
        <v>6899</v>
      </c>
    </row>
    <row r="1956" spans="2:9" ht="15.75" x14ac:dyDescent="0.25">
      <c r="B1956" s="1365" t="s">
        <v>7169</v>
      </c>
      <c r="C1956" s="1013" t="s">
        <v>4405</v>
      </c>
      <c r="D1956" s="1013" t="s">
        <v>4579</v>
      </c>
      <c r="E1956" s="1014">
        <v>6320</v>
      </c>
      <c r="F1956" s="1013" t="s">
        <v>5941</v>
      </c>
      <c r="G1956" s="1014" t="s">
        <v>266</v>
      </c>
      <c r="H1956" s="1015">
        <v>4419394</v>
      </c>
      <c r="I1956" s="1016" t="s">
        <v>6899</v>
      </c>
    </row>
    <row r="1957" spans="2:9" ht="15.75" x14ac:dyDescent="0.25">
      <c r="B1957" s="1365" t="s">
        <v>7169</v>
      </c>
      <c r="C1957" s="1013" t="s">
        <v>4468</v>
      </c>
      <c r="D1957" s="1013" t="s">
        <v>4469</v>
      </c>
      <c r="E1957" s="1014">
        <v>6321</v>
      </c>
      <c r="F1957" s="1013" t="s">
        <v>5942</v>
      </c>
      <c r="G1957" s="1014" t="s">
        <v>3</v>
      </c>
      <c r="H1957" s="1015">
        <v>909235</v>
      </c>
      <c r="I1957" s="1016" t="s">
        <v>6899</v>
      </c>
    </row>
    <row r="1958" spans="2:9" ht="15.75" x14ac:dyDescent="0.25">
      <c r="B1958" s="1365" t="s">
        <v>7169</v>
      </c>
      <c r="C1958" s="1013" t="s">
        <v>1474</v>
      </c>
      <c r="D1958" s="1013" t="s">
        <v>5380</v>
      </c>
      <c r="E1958" s="1014">
        <v>6322</v>
      </c>
      <c r="F1958" s="1013" t="s">
        <v>5943</v>
      </c>
      <c r="G1958" s="1014" t="s">
        <v>266</v>
      </c>
      <c r="H1958" s="1015">
        <v>187980</v>
      </c>
      <c r="I1958" s="1016" t="s">
        <v>6899</v>
      </c>
    </row>
    <row r="1959" spans="2:9" ht="15.75" x14ac:dyDescent="0.25">
      <c r="B1959" s="1365" t="s">
        <v>7169</v>
      </c>
      <c r="C1959" s="1013" t="s">
        <v>4468</v>
      </c>
      <c r="D1959" s="1013" t="s">
        <v>4469</v>
      </c>
      <c r="E1959" s="1014">
        <v>6323</v>
      </c>
      <c r="F1959" s="1013" t="s">
        <v>5944</v>
      </c>
      <c r="G1959" s="1014" t="s">
        <v>13</v>
      </c>
      <c r="H1959" s="1015">
        <v>845776</v>
      </c>
      <c r="I1959" s="1016" t="s">
        <v>6899</v>
      </c>
    </row>
    <row r="1960" spans="2:9" ht="15.75" x14ac:dyDescent="0.25">
      <c r="B1960" s="1365" t="s">
        <v>7169</v>
      </c>
      <c r="C1960" s="1013" t="s">
        <v>1474</v>
      </c>
      <c r="D1960" s="1013" t="s">
        <v>5380</v>
      </c>
      <c r="E1960" s="1014">
        <v>6324</v>
      </c>
      <c r="F1960" s="1013" t="s">
        <v>5945</v>
      </c>
      <c r="G1960" s="1014" t="s">
        <v>266</v>
      </c>
      <c r="H1960" s="1015">
        <v>80798</v>
      </c>
      <c r="I1960" s="1016" t="s">
        <v>6899</v>
      </c>
    </row>
    <row r="1961" spans="2:9" ht="15.75" x14ac:dyDescent="0.25">
      <c r="B1961" s="1365" t="s">
        <v>7169</v>
      </c>
      <c r="C1961" s="1013" t="s">
        <v>4405</v>
      </c>
      <c r="D1961" s="1013" t="s">
        <v>5099</v>
      </c>
      <c r="E1961" s="1014">
        <v>6325</v>
      </c>
      <c r="F1961" s="1013" t="s">
        <v>788</v>
      </c>
      <c r="G1961" s="1014" t="s">
        <v>266</v>
      </c>
      <c r="H1961" s="1015">
        <v>83291</v>
      </c>
      <c r="I1961" s="1016" t="s">
        <v>6899</v>
      </c>
    </row>
    <row r="1962" spans="2:9" ht="15.75" x14ac:dyDescent="0.25">
      <c r="B1962" s="1365" t="s">
        <v>7169</v>
      </c>
      <c r="C1962" s="1013" t="s">
        <v>5946</v>
      </c>
      <c r="D1962" s="1013" t="s">
        <v>5947</v>
      </c>
      <c r="E1962" s="1014">
        <v>6326</v>
      </c>
      <c r="F1962" s="1013" t="s">
        <v>5948</v>
      </c>
      <c r="G1962" s="1014" t="s">
        <v>3</v>
      </c>
      <c r="H1962" s="1015">
        <v>180643</v>
      </c>
      <c r="I1962" s="1016" t="s">
        <v>6899</v>
      </c>
    </row>
    <row r="1963" spans="2:9" ht="15.75" x14ac:dyDescent="0.25">
      <c r="B1963" s="1365" t="s">
        <v>7169</v>
      </c>
      <c r="C1963" s="1013" t="s">
        <v>4420</v>
      </c>
      <c r="D1963" s="1013" t="s">
        <v>4420</v>
      </c>
      <c r="E1963" s="1014">
        <v>6327</v>
      </c>
      <c r="F1963" s="1013" t="s">
        <v>789</v>
      </c>
      <c r="G1963" s="1014" t="s">
        <v>790</v>
      </c>
      <c r="H1963" s="1015">
        <v>595000</v>
      </c>
      <c r="I1963" s="1016" t="s">
        <v>6899</v>
      </c>
    </row>
    <row r="1964" spans="2:9" ht="15.75" x14ac:dyDescent="0.25">
      <c r="B1964" s="1365" t="s">
        <v>7169</v>
      </c>
      <c r="C1964" s="1013" t="s">
        <v>4420</v>
      </c>
      <c r="D1964" s="1013" t="s">
        <v>4420</v>
      </c>
      <c r="E1964" s="1014">
        <v>6328</v>
      </c>
      <c r="F1964" s="1013" t="s">
        <v>791</v>
      </c>
      <c r="G1964" s="1014" t="s">
        <v>790</v>
      </c>
      <c r="H1964" s="1015">
        <v>714000</v>
      </c>
      <c r="I1964" s="1016" t="s">
        <v>6899</v>
      </c>
    </row>
    <row r="1965" spans="2:9" ht="15.75" x14ac:dyDescent="0.25">
      <c r="B1965" s="1365" t="s">
        <v>7169</v>
      </c>
      <c r="C1965" s="1013" t="s">
        <v>4420</v>
      </c>
      <c r="D1965" s="1013" t="s">
        <v>4420</v>
      </c>
      <c r="E1965" s="1014">
        <v>6329</v>
      </c>
      <c r="F1965" s="1013" t="s">
        <v>792</v>
      </c>
      <c r="G1965" s="1014" t="s">
        <v>790</v>
      </c>
      <c r="H1965" s="1015">
        <v>952000</v>
      </c>
      <c r="I1965" s="1016" t="s">
        <v>6899</v>
      </c>
    </row>
    <row r="1966" spans="2:9" ht="15.75" x14ac:dyDescent="0.25">
      <c r="B1966" s="1365" t="s">
        <v>7169</v>
      </c>
      <c r="C1966" s="1013" t="s">
        <v>4799</v>
      </c>
      <c r="D1966" s="1013" t="s">
        <v>5199</v>
      </c>
      <c r="E1966" s="1014">
        <v>6333</v>
      </c>
      <c r="F1966" s="1013" t="s">
        <v>5949</v>
      </c>
      <c r="G1966" s="1014" t="s">
        <v>3</v>
      </c>
      <c r="H1966" s="1015">
        <v>243814</v>
      </c>
      <c r="I1966" s="1016" t="s">
        <v>6899</v>
      </c>
    </row>
    <row r="1967" spans="2:9" ht="15.75" x14ac:dyDescent="0.25">
      <c r="B1967" s="1365" t="s">
        <v>7169</v>
      </c>
      <c r="C1967" s="1013" t="s">
        <v>4468</v>
      </c>
      <c r="D1967" s="1013" t="s">
        <v>1798</v>
      </c>
      <c r="E1967" s="1014">
        <v>6335</v>
      </c>
      <c r="F1967" s="1013" t="s">
        <v>5950</v>
      </c>
      <c r="G1967" s="1014" t="s">
        <v>13</v>
      </c>
      <c r="H1967" s="1015">
        <v>140937</v>
      </c>
      <c r="I1967" s="1016" t="s">
        <v>4398</v>
      </c>
    </row>
    <row r="1968" spans="2:9" ht="15.75" x14ac:dyDescent="0.25">
      <c r="B1968" s="1365" t="s">
        <v>7169</v>
      </c>
      <c r="C1968" s="1013" t="s">
        <v>5292</v>
      </c>
      <c r="D1968" s="1013" t="s">
        <v>5293</v>
      </c>
      <c r="E1968" s="1014">
        <v>6339</v>
      </c>
      <c r="F1968" s="1013" t="s">
        <v>793</v>
      </c>
      <c r="G1968" s="1014" t="s">
        <v>266</v>
      </c>
      <c r="H1968" s="1015">
        <v>5554596</v>
      </c>
      <c r="I1968" s="1016" t="s">
        <v>6899</v>
      </c>
    </row>
    <row r="1969" spans="2:9" ht="15.75" x14ac:dyDescent="0.25">
      <c r="B1969" s="1365" t="s">
        <v>7169</v>
      </c>
      <c r="C1969" s="1013" t="s">
        <v>4799</v>
      </c>
      <c r="D1969" s="1013" t="s">
        <v>5199</v>
      </c>
      <c r="E1969" s="1014">
        <v>6340</v>
      </c>
      <c r="F1969" s="1013" t="s">
        <v>5951</v>
      </c>
      <c r="G1969" s="1014" t="s">
        <v>3</v>
      </c>
      <c r="H1969" s="1015">
        <v>257950</v>
      </c>
      <c r="I1969" s="1016" t="s">
        <v>6899</v>
      </c>
    </row>
    <row r="1970" spans="2:9" ht="15.75" x14ac:dyDescent="0.25">
      <c r="B1970" s="1365" t="s">
        <v>7169</v>
      </c>
      <c r="C1970" s="1013" t="s">
        <v>4420</v>
      </c>
      <c r="D1970" s="1013" t="s">
        <v>4420</v>
      </c>
      <c r="E1970" s="1014">
        <v>6341</v>
      </c>
      <c r="F1970" s="1013" t="s">
        <v>5952</v>
      </c>
      <c r="G1970" s="1014" t="s">
        <v>266</v>
      </c>
      <c r="H1970" s="1015">
        <v>760637</v>
      </c>
      <c r="I1970" s="1016" t="s">
        <v>6899</v>
      </c>
    </row>
    <row r="1971" spans="2:9" ht="15.75" x14ac:dyDescent="0.25">
      <c r="B1971" s="1365" t="s">
        <v>7169</v>
      </c>
      <c r="C1971" s="1013" t="s">
        <v>4420</v>
      </c>
      <c r="D1971" s="1013" t="s">
        <v>4420</v>
      </c>
      <c r="E1971" s="1014">
        <v>6342</v>
      </c>
      <c r="F1971" s="1013" t="s">
        <v>5953</v>
      </c>
      <c r="G1971" s="1014" t="s">
        <v>266</v>
      </c>
      <c r="H1971" s="1015">
        <v>8257057</v>
      </c>
      <c r="I1971" s="1016" t="s">
        <v>6899</v>
      </c>
    </row>
    <row r="1972" spans="2:9" ht="15.75" x14ac:dyDescent="0.25">
      <c r="B1972" s="1365" t="s">
        <v>7169</v>
      </c>
      <c r="C1972" s="1013" t="s">
        <v>4472</v>
      </c>
      <c r="D1972" s="1013" t="s">
        <v>4812</v>
      </c>
      <c r="E1972" s="1014">
        <v>6343</v>
      </c>
      <c r="F1972" s="1013" t="s">
        <v>5954</v>
      </c>
      <c r="G1972" s="1014" t="s">
        <v>13</v>
      </c>
      <c r="H1972" s="1015">
        <v>871647</v>
      </c>
      <c r="I1972" s="1016" t="s">
        <v>4398</v>
      </c>
    </row>
    <row r="1973" spans="2:9" ht="15.75" x14ac:dyDescent="0.25">
      <c r="B1973" s="1365" t="s">
        <v>7169</v>
      </c>
      <c r="C1973" s="1013" t="s">
        <v>4401</v>
      </c>
      <c r="D1973" s="1013" t="s">
        <v>4401</v>
      </c>
      <c r="E1973" s="1014">
        <v>6346</v>
      </c>
      <c r="F1973" s="1013" t="s">
        <v>5955</v>
      </c>
      <c r="G1973" s="1014" t="s">
        <v>13</v>
      </c>
      <c r="H1973" s="1015">
        <v>34924</v>
      </c>
      <c r="I1973" s="1016" t="s">
        <v>6899</v>
      </c>
    </row>
    <row r="1974" spans="2:9" ht="15.75" x14ac:dyDescent="0.25">
      <c r="B1974" s="1365" t="s">
        <v>7169</v>
      </c>
      <c r="C1974" s="1013" t="s">
        <v>4454</v>
      </c>
      <c r="D1974" s="1013" t="s">
        <v>4455</v>
      </c>
      <c r="E1974" s="1014">
        <v>6352</v>
      </c>
      <c r="F1974" s="1013" t="s">
        <v>5956</v>
      </c>
      <c r="G1974" s="1014" t="s">
        <v>12</v>
      </c>
      <c r="H1974" s="1015">
        <v>94199</v>
      </c>
      <c r="I1974" s="1016" t="s">
        <v>6899</v>
      </c>
    </row>
    <row r="1975" spans="2:9" ht="15.75" x14ac:dyDescent="0.25">
      <c r="B1975" s="1365" t="s">
        <v>7169</v>
      </c>
      <c r="C1975" s="1013" t="s">
        <v>4468</v>
      </c>
      <c r="D1975" s="1013" t="s">
        <v>1798</v>
      </c>
      <c r="E1975" s="1014">
        <v>6353</v>
      </c>
      <c r="F1975" s="1013" t="s">
        <v>5957</v>
      </c>
      <c r="G1975" s="1014" t="s">
        <v>752</v>
      </c>
      <c r="H1975" s="1015">
        <v>2652</v>
      </c>
      <c r="I1975" s="1016" t="s">
        <v>6899</v>
      </c>
    </row>
    <row r="1976" spans="2:9" ht="15.75" x14ac:dyDescent="0.25">
      <c r="B1976" s="1365" t="s">
        <v>7169</v>
      </c>
      <c r="C1976" s="1013" t="s">
        <v>4454</v>
      </c>
      <c r="D1976" s="1013" t="s">
        <v>5477</v>
      </c>
      <c r="E1976" s="1014">
        <v>6364</v>
      </c>
      <c r="F1976" s="1013" t="s">
        <v>5958</v>
      </c>
      <c r="G1976" s="1014" t="s">
        <v>266</v>
      </c>
      <c r="H1976" s="1015">
        <v>7198336</v>
      </c>
      <c r="I1976" s="1016" t="s">
        <v>3538</v>
      </c>
    </row>
    <row r="1977" spans="2:9" ht="15.75" x14ac:dyDescent="0.25">
      <c r="B1977" s="1365" t="s">
        <v>7169</v>
      </c>
      <c r="C1977" s="1013" t="s">
        <v>4454</v>
      </c>
      <c r="D1977" s="1013" t="s">
        <v>5477</v>
      </c>
      <c r="E1977" s="1014">
        <v>6365</v>
      </c>
      <c r="F1977" s="1013" t="s">
        <v>5959</v>
      </c>
      <c r="G1977" s="1014" t="s">
        <v>266</v>
      </c>
      <c r="H1977" s="1015">
        <v>1135334</v>
      </c>
      <c r="I1977" s="1016" t="s">
        <v>3538</v>
      </c>
    </row>
    <row r="1978" spans="2:9" ht="15.75" x14ac:dyDescent="0.25">
      <c r="B1978" s="1365" t="s">
        <v>7169</v>
      </c>
      <c r="C1978" s="1013" t="s">
        <v>4454</v>
      </c>
      <c r="D1978" s="1013" t="s">
        <v>5477</v>
      </c>
      <c r="E1978" s="1014">
        <v>6366</v>
      </c>
      <c r="F1978" s="1013" t="s">
        <v>5960</v>
      </c>
      <c r="G1978" s="1014" t="s">
        <v>266</v>
      </c>
      <c r="H1978" s="1015">
        <v>644555</v>
      </c>
      <c r="I1978" s="1016" t="s">
        <v>3538</v>
      </c>
    </row>
    <row r="1979" spans="2:9" ht="15.75" x14ac:dyDescent="0.25">
      <c r="B1979" s="1365" t="s">
        <v>7169</v>
      </c>
      <c r="C1979" s="1013" t="s">
        <v>4454</v>
      </c>
      <c r="D1979" s="1013" t="s">
        <v>5477</v>
      </c>
      <c r="E1979" s="1014">
        <v>6367</v>
      </c>
      <c r="F1979" s="1013" t="s">
        <v>5961</v>
      </c>
      <c r="G1979" s="1014" t="s">
        <v>266</v>
      </c>
      <c r="H1979" s="1015">
        <v>644555</v>
      </c>
      <c r="I1979" s="1016" t="s">
        <v>3538</v>
      </c>
    </row>
    <row r="1980" spans="2:9" ht="15.75" x14ac:dyDescent="0.25">
      <c r="B1980" s="1365" t="s">
        <v>7169</v>
      </c>
      <c r="C1980" s="1013" t="s">
        <v>4454</v>
      </c>
      <c r="D1980" s="1013" t="s">
        <v>5477</v>
      </c>
      <c r="E1980" s="1014">
        <v>6371</v>
      </c>
      <c r="F1980" s="1013" t="s">
        <v>5962</v>
      </c>
      <c r="G1980" s="1014" t="s">
        <v>266</v>
      </c>
      <c r="H1980" s="1015">
        <v>7198336</v>
      </c>
      <c r="I1980" s="1016" t="s">
        <v>3538</v>
      </c>
    </row>
    <row r="1981" spans="2:9" ht="15.75" x14ac:dyDescent="0.25">
      <c r="B1981" s="1365" t="s">
        <v>7169</v>
      </c>
      <c r="C1981" s="1013" t="s">
        <v>4454</v>
      </c>
      <c r="D1981" s="1013" t="s">
        <v>5477</v>
      </c>
      <c r="E1981" s="1014">
        <v>6372</v>
      </c>
      <c r="F1981" s="1013" t="s">
        <v>5963</v>
      </c>
      <c r="G1981" s="1014" t="s">
        <v>266</v>
      </c>
      <c r="H1981" s="1015">
        <v>8186970</v>
      </c>
      <c r="I1981" s="1016" t="s">
        <v>3538</v>
      </c>
    </row>
    <row r="1982" spans="2:9" ht="15.75" x14ac:dyDescent="0.25">
      <c r="B1982" s="1365" t="s">
        <v>7169</v>
      </c>
      <c r="C1982" s="1013" t="s">
        <v>4454</v>
      </c>
      <c r="D1982" s="1013" t="s">
        <v>5477</v>
      </c>
      <c r="E1982" s="1014">
        <v>6373</v>
      </c>
      <c r="F1982" s="1013" t="s">
        <v>5964</v>
      </c>
      <c r="G1982" s="1014" t="s">
        <v>266</v>
      </c>
      <c r="H1982" s="1015">
        <v>4516249</v>
      </c>
      <c r="I1982" s="1016" t="s">
        <v>3538</v>
      </c>
    </row>
    <row r="1983" spans="2:9" ht="15.75" x14ac:dyDescent="0.25">
      <c r="B1983" s="1365" t="s">
        <v>7169</v>
      </c>
      <c r="C1983" s="1013" t="s">
        <v>4454</v>
      </c>
      <c r="D1983" s="1013" t="s">
        <v>5477</v>
      </c>
      <c r="E1983" s="1014">
        <v>6374</v>
      </c>
      <c r="F1983" s="1013" t="s">
        <v>5965</v>
      </c>
      <c r="G1983" s="1014" t="s">
        <v>266</v>
      </c>
      <c r="H1983" s="1015">
        <v>562329</v>
      </c>
      <c r="I1983" s="1016" t="s">
        <v>3538</v>
      </c>
    </row>
    <row r="1984" spans="2:9" ht="15.75" x14ac:dyDescent="0.25">
      <c r="B1984" s="1365" t="s">
        <v>7169</v>
      </c>
      <c r="C1984" s="1013" t="s">
        <v>4454</v>
      </c>
      <c r="D1984" s="1013" t="s">
        <v>5477</v>
      </c>
      <c r="E1984" s="1014">
        <v>6375</v>
      </c>
      <c r="F1984" s="1013" t="s">
        <v>5966</v>
      </c>
      <c r="G1984" s="1014" t="s">
        <v>266</v>
      </c>
      <c r="H1984" s="1015">
        <v>689085</v>
      </c>
      <c r="I1984" s="1016" t="s">
        <v>3538</v>
      </c>
    </row>
    <row r="1985" spans="2:9" ht="15.75" x14ac:dyDescent="0.25">
      <c r="B1985" s="1365" t="s">
        <v>7169</v>
      </c>
      <c r="C1985" s="1013" t="s">
        <v>4454</v>
      </c>
      <c r="D1985" s="1013" t="s">
        <v>5477</v>
      </c>
      <c r="E1985" s="1014">
        <v>6376</v>
      </c>
      <c r="F1985" s="1013" t="s">
        <v>5967</v>
      </c>
      <c r="G1985" s="1014" t="s">
        <v>266</v>
      </c>
      <c r="H1985" s="1015">
        <v>689085</v>
      </c>
      <c r="I1985" s="1016" t="s">
        <v>3538</v>
      </c>
    </row>
    <row r="1986" spans="2:9" ht="15.75" x14ac:dyDescent="0.25">
      <c r="B1986" s="1365" t="s">
        <v>7169</v>
      </c>
      <c r="C1986" s="1013" t="s">
        <v>4454</v>
      </c>
      <c r="D1986" s="1013" t="s">
        <v>5477</v>
      </c>
      <c r="E1986" s="1014">
        <v>6377</v>
      </c>
      <c r="F1986" s="1013" t="s">
        <v>5968</v>
      </c>
      <c r="G1986" s="1014" t="s">
        <v>266</v>
      </c>
      <c r="H1986" s="1015">
        <v>689085</v>
      </c>
      <c r="I1986" s="1016" t="s">
        <v>3538</v>
      </c>
    </row>
    <row r="1987" spans="2:9" ht="15.75" x14ac:dyDescent="0.25">
      <c r="B1987" s="1365" t="s">
        <v>7169</v>
      </c>
      <c r="C1987" s="1013" t="s">
        <v>4454</v>
      </c>
      <c r="D1987" s="1013" t="s">
        <v>5477</v>
      </c>
      <c r="E1987" s="1014">
        <v>6379</v>
      </c>
      <c r="F1987" s="1013" t="s">
        <v>5969</v>
      </c>
      <c r="G1987" s="1014" t="s">
        <v>266</v>
      </c>
      <c r="H1987" s="1015">
        <v>668780</v>
      </c>
      <c r="I1987" s="1016" t="s">
        <v>3538</v>
      </c>
    </row>
    <row r="1988" spans="2:9" ht="15.75" x14ac:dyDescent="0.25">
      <c r="B1988" s="1365" t="s">
        <v>7169</v>
      </c>
      <c r="C1988" s="1013" t="s">
        <v>4405</v>
      </c>
      <c r="D1988" s="1013" t="s">
        <v>4579</v>
      </c>
      <c r="E1988" s="1014">
        <v>6380</v>
      </c>
      <c r="F1988" s="1013" t="s">
        <v>5970</v>
      </c>
      <c r="G1988" s="1014" t="s">
        <v>13</v>
      </c>
      <c r="H1988" s="1015">
        <v>82684</v>
      </c>
      <c r="I1988" s="1016" t="s">
        <v>4398</v>
      </c>
    </row>
    <row r="1989" spans="2:9" ht="15.75" x14ac:dyDescent="0.25">
      <c r="B1989" s="1365" t="s">
        <v>7169</v>
      </c>
      <c r="C1989" s="1013" t="s">
        <v>4405</v>
      </c>
      <c r="D1989" s="1013" t="s">
        <v>4579</v>
      </c>
      <c r="E1989" s="1014">
        <v>6381</v>
      </c>
      <c r="F1989" s="1013" t="s">
        <v>794</v>
      </c>
      <c r="G1989" s="1014" t="s">
        <v>13</v>
      </c>
      <c r="H1989" s="1015">
        <v>5628651</v>
      </c>
      <c r="I1989" s="1016" t="s">
        <v>6899</v>
      </c>
    </row>
    <row r="1990" spans="2:9" ht="15.75" x14ac:dyDescent="0.25">
      <c r="B1990" s="1365" t="s">
        <v>7169</v>
      </c>
      <c r="C1990" s="1013" t="s">
        <v>4461</v>
      </c>
      <c r="D1990" s="1013" t="s">
        <v>4461</v>
      </c>
      <c r="E1990" s="1014">
        <v>6382</v>
      </c>
      <c r="F1990" s="1013" t="s">
        <v>5971</v>
      </c>
      <c r="G1990" s="1014" t="s">
        <v>13</v>
      </c>
      <c r="H1990" s="1015">
        <v>530133</v>
      </c>
      <c r="I1990" s="1016" t="s">
        <v>4398</v>
      </c>
    </row>
    <row r="1991" spans="2:9" ht="15.75" x14ac:dyDescent="0.25">
      <c r="B1991" s="1365" t="s">
        <v>7169</v>
      </c>
      <c r="C1991" s="1013" t="s">
        <v>4405</v>
      </c>
      <c r="D1991" s="1013" t="s">
        <v>4579</v>
      </c>
      <c r="E1991" s="1014">
        <v>6383</v>
      </c>
      <c r="F1991" s="1013" t="s">
        <v>795</v>
      </c>
      <c r="G1991" s="1014" t="s">
        <v>13</v>
      </c>
      <c r="H1991" s="1015">
        <v>541096</v>
      </c>
      <c r="I1991" s="1016" t="s">
        <v>4398</v>
      </c>
    </row>
    <row r="1992" spans="2:9" ht="15.75" x14ac:dyDescent="0.25">
      <c r="B1992" s="1365" t="s">
        <v>7169</v>
      </c>
      <c r="C1992" s="1013" t="s">
        <v>4420</v>
      </c>
      <c r="D1992" s="1013" t="s">
        <v>4420</v>
      </c>
      <c r="E1992" s="1014">
        <v>6387</v>
      </c>
      <c r="F1992" s="1013" t="s">
        <v>5972</v>
      </c>
      <c r="G1992" s="1014" t="s">
        <v>266</v>
      </c>
      <c r="H1992" s="1015">
        <v>18481181</v>
      </c>
      <c r="I1992" s="1016" t="s">
        <v>6899</v>
      </c>
    </row>
    <row r="1993" spans="2:9" ht="15.75" x14ac:dyDescent="0.25">
      <c r="B1993" s="1365" t="s">
        <v>7169</v>
      </c>
      <c r="C1993" s="1013" t="s">
        <v>4420</v>
      </c>
      <c r="D1993" s="1013" t="s">
        <v>4420</v>
      </c>
      <c r="E1993" s="1014">
        <v>6388</v>
      </c>
      <c r="F1993" s="1013" t="s">
        <v>5973</v>
      </c>
      <c r="G1993" s="1014" t="s">
        <v>266</v>
      </c>
      <c r="H1993" s="1015">
        <v>24120654</v>
      </c>
      <c r="I1993" s="1016" t="s">
        <v>6899</v>
      </c>
    </row>
    <row r="1994" spans="2:9" ht="15.75" x14ac:dyDescent="0.25">
      <c r="B1994" s="1365" t="s">
        <v>7169</v>
      </c>
      <c r="C1994" s="1013" t="s">
        <v>4420</v>
      </c>
      <c r="D1994" s="1013" t="s">
        <v>4420</v>
      </c>
      <c r="E1994" s="1014">
        <v>6389</v>
      </c>
      <c r="F1994" s="1013" t="s">
        <v>5974</v>
      </c>
      <c r="G1994" s="1014" t="s">
        <v>266</v>
      </c>
      <c r="H1994" s="1015">
        <v>25913287</v>
      </c>
      <c r="I1994" s="1016" t="s">
        <v>6899</v>
      </c>
    </row>
    <row r="1995" spans="2:9" ht="15.75" x14ac:dyDescent="0.25">
      <c r="B1995" s="1365" t="s">
        <v>7169</v>
      </c>
      <c r="C1995" s="1013" t="s">
        <v>4468</v>
      </c>
      <c r="D1995" s="1013" t="s">
        <v>4469</v>
      </c>
      <c r="E1995" s="1014">
        <v>6392</v>
      </c>
      <c r="F1995" s="1013" t="s">
        <v>5975</v>
      </c>
      <c r="G1995" s="1014" t="s">
        <v>3</v>
      </c>
      <c r="H1995" s="1015">
        <v>2320469</v>
      </c>
      <c r="I1995" s="1016" t="s">
        <v>6899</v>
      </c>
    </row>
    <row r="1996" spans="2:9" ht="15.75" x14ac:dyDescent="0.25">
      <c r="B1996" s="1365" t="s">
        <v>7169</v>
      </c>
      <c r="C1996" s="1013" t="s">
        <v>4468</v>
      </c>
      <c r="D1996" s="1013" t="s">
        <v>4469</v>
      </c>
      <c r="E1996" s="1014">
        <v>6393</v>
      </c>
      <c r="F1996" s="1013" t="s">
        <v>5976</v>
      </c>
      <c r="G1996" s="1014" t="s">
        <v>3</v>
      </c>
      <c r="H1996" s="1015">
        <v>2435658</v>
      </c>
      <c r="I1996" s="1016" t="s">
        <v>6899</v>
      </c>
    </row>
    <row r="1997" spans="2:9" ht="15.75" x14ac:dyDescent="0.25">
      <c r="B1997" s="1365" t="s">
        <v>7169</v>
      </c>
      <c r="C1997" s="1013" t="s">
        <v>4468</v>
      </c>
      <c r="D1997" s="1013" t="s">
        <v>4469</v>
      </c>
      <c r="E1997" s="1014">
        <v>6395</v>
      </c>
      <c r="F1997" s="1013" t="s">
        <v>5977</v>
      </c>
      <c r="G1997" s="1014" t="s">
        <v>3</v>
      </c>
      <c r="H1997" s="1015">
        <v>3261343</v>
      </c>
      <c r="I1997" s="1016" t="s">
        <v>6899</v>
      </c>
    </row>
    <row r="1998" spans="2:9" ht="15.75" x14ac:dyDescent="0.25">
      <c r="B1998" s="1365" t="s">
        <v>7169</v>
      </c>
      <c r="C1998" s="1013" t="s">
        <v>1474</v>
      </c>
      <c r="D1998" s="1013" t="s">
        <v>5380</v>
      </c>
      <c r="E1998" s="1014">
        <v>6396</v>
      </c>
      <c r="F1998" s="1013" t="s">
        <v>5978</v>
      </c>
      <c r="G1998" s="1014" t="s">
        <v>266</v>
      </c>
      <c r="H1998" s="1015">
        <v>438406</v>
      </c>
      <c r="I1998" s="1016" t="s">
        <v>6899</v>
      </c>
    </row>
    <row r="1999" spans="2:9" ht="15.75" x14ac:dyDescent="0.25">
      <c r="B1999" s="1365" t="s">
        <v>7169</v>
      </c>
      <c r="C1999" s="1013" t="s">
        <v>1474</v>
      </c>
      <c r="D1999" s="1013" t="s">
        <v>5380</v>
      </c>
      <c r="E1999" s="1014">
        <v>6397</v>
      </c>
      <c r="F1999" s="1013" t="s">
        <v>5979</v>
      </c>
      <c r="G1999" s="1014" t="s">
        <v>266</v>
      </c>
      <c r="H1999" s="1015">
        <v>266391</v>
      </c>
      <c r="I1999" s="1016" t="s">
        <v>6899</v>
      </c>
    </row>
    <row r="2000" spans="2:9" ht="15.75" x14ac:dyDescent="0.25">
      <c r="B2000" s="1365" t="s">
        <v>7169</v>
      </c>
      <c r="C2000" s="1013" t="s">
        <v>4396</v>
      </c>
      <c r="D2000" s="1013" t="s">
        <v>4399</v>
      </c>
      <c r="E2000" s="1014">
        <v>6400</v>
      </c>
      <c r="F2000" s="1013" t="s">
        <v>5980</v>
      </c>
      <c r="G2000" s="1014" t="s">
        <v>13</v>
      </c>
      <c r="H2000" s="1015">
        <v>808541</v>
      </c>
      <c r="I2000" s="1016" t="s">
        <v>6899</v>
      </c>
    </row>
    <row r="2001" spans="2:9" ht="15.75" x14ac:dyDescent="0.25">
      <c r="B2001" s="1365" t="s">
        <v>7169</v>
      </c>
      <c r="C2001" s="1013" t="s">
        <v>5425</v>
      </c>
      <c r="D2001" s="1013" t="s">
        <v>5590</v>
      </c>
      <c r="E2001" s="1014">
        <v>6407</v>
      </c>
      <c r="F2001" s="1013" t="s">
        <v>5981</v>
      </c>
      <c r="G2001" s="1014" t="s">
        <v>12</v>
      </c>
      <c r="H2001" s="1015">
        <v>256474</v>
      </c>
      <c r="I2001" s="1016" t="s">
        <v>6899</v>
      </c>
    </row>
    <row r="2002" spans="2:9" ht="15.75" x14ac:dyDescent="0.25">
      <c r="B2002" s="1365" t="s">
        <v>7169</v>
      </c>
      <c r="C2002" s="1013" t="s">
        <v>4454</v>
      </c>
      <c r="D2002" s="1013" t="s">
        <v>5477</v>
      </c>
      <c r="E2002" s="1014">
        <v>6413</v>
      </c>
      <c r="F2002" s="1013" t="s">
        <v>5982</v>
      </c>
      <c r="G2002" s="1014" t="s">
        <v>266</v>
      </c>
      <c r="H2002" s="1015">
        <v>1785000</v>
      </c>
      <c r="I2002" s="1016" t="s">
        <v>6899</v>
      </c>
    </row>
    <row r="2003" spans="2:9" ht="15.75" x14ac:dyDescent="0.25">
      <c r="B2003" s="1365" t="s">
        <v>7169</v>
      </c>
      <c r="C2003" s="1013" t="s">
        <v>5425</v>
      </c>
      <c r="D2003" s="1013" t="s">
        <v>5428</v>
      </c>
      <c r="E2003" s="1014">
        <v>6416</v>
      </c>
      <c r="F2003" s="1013" t="s">
        <v>5983</v>
      </c>
      <c r="G2003" s="1014" t="s">
        <v>12</v>
      </c>
      <c r="H2003" s="1015">
        <v>88718</v>
      </c>
      <c r="I2003" s="1016" t="s">
        <v>6899</v>
      </c>
    </row>
    <row r="2004" spans="2:9" ht="15.75" x14ac:dyDescent="0.25">
      <c r="B2004" s="1365" t="s">
        <v>7169</v>
      </c>
      <c r="C2004" s="1013" t="s">
        <v>4468</v>
      </c>
      <c r="D2004" s="1013" t="s">
        <v>4469</v>
      </c>
      <c r="E2004" s="1014">
        <v>6421</v>
      </c>
      <c r="F2004" s="1013" t="s">
        <v>5984</v>
      </c>
      <c r="G2004" s="1014" t="s">
        <v>13</v>
      </c>
      <c r="H2004" s="1015">
        <v>52553</v>
      </c>
      <c r="I2004" s="1016" t="s">
        <v>6899</v>
      </c>
    </row>
    <row r="2005" spans="2:9" ht="15.75" x14ac:dyDescent="0.25">
      <c r="B2005" s="1365" t="s">
        <v>7169</v>
      </c>
      <c r="C2005" s="1013" t="s">
        <v>4420</v>
      </c>
      <c r="D2005" s="1013" t="s">
        <v>4420</v>
      </c>
      <c r="E2005" s="1014">
        <v>6422</v>
      </c>
      <c r="F2005" s="1013" t="s">
        <v>5985</v>
      </c>
      <c r="G2005" s="1014" t="s">
        <v>266</v>
      </c>
      <c r="H2005" s="1015">
        <v>62216</v>
      </c>
      <c r="I2005" s="1016" t="s">
        <v>6899</v>
      </c>
    </row>
    <row r="2006" spans="2:9" ht="15.75" x14ac:dyDescent="0.25">
      <c r="B2006" s="1365" t="s">
        <v>7169</v>
      </c>
      <c r="C2006" s="1013" t="s">
        <v>4405</v>
      </c>
      <c r="D2006" s="1013" t="s">
        <v>4406</v>
      </c>
      <c r="E2006" s="1014">
        <v>6423</v>
      </c>
      <c r="F2006" s="1013" t="s">
        <v>5986</v>
      </c>
      <c r="G2006" s="1014" t="s">
        <v>266</v>
      </c>
      <c r="H2006" s="1015">
        <v>2843615</v>
      </c>
      <c r="I2006" s="1016" t="s">
        <v>6899</v>
      </c>
    </row>
    <row r="2007" spans="2:9" ht="15.75" x14ac:dyDescent="0.25">
      <c r="B2007" s="1365" t="s">
        <v>7169</v>
      </c>
      <c r="C2007" s="1013" t="s">
        <v>1474</v>
      </c>
      <c r="D2007" s="1013" t="s">
        <v>4940</v>
      </c>
      <c r="E2007" s="1014">
        <v>6425</v>
      </c>
      <c r="F2007" s="1013" t="s">
        <v>5987</v>
      </c>
      <c r="G2007" s="1014" t="s">
        <v>13</v>
      </c>
      <c r="H2007" s="1015">
        <v>112234</v>
      </c>
      <c r="I2007" s="1016" t="s">
        <v>6899</v>
      </c>
    </row>
    <row r="2008" spans="2:9" ht="15.75" x14ac:dyDescent="0.25">
      <c r="B2008" s="1365" t="s">
        <v>7169</v>
      </c>
      <c r="C2008" s="1013" t="s">
        <v>4451</v>
      </c>
      <c r="D2008" s="1013" t="s">
        <v>4616</v>
      </c>
      <c r="E2008" s="1014">
        <v>6426</v>
      </c>
      <c r="F2008" s="1013" t="s">
        <v>5988</v>
      </c>
      <c r="G2008" s="1014" t="s">
        <v>266</v>
      </c>
      <c r="H2008" s="1015">
        <v>1239971</v>
      </c>
      <c r="I2008" s="1016" t="s">
        <v>6899</v>
      </c>
    </row>
    <row r="2009" spans="2:9" ht="15.75" x14ac:dyDescent="0.25">
      <c r="B2009" s="1365" t="s">
        <v>7169</v>
      </c>
      <c r="C2009" s="1013" t="s">
        <v>4417</v>
      </c>
      <c r="D2009" s="1013" t="s">
        <v>4418</v>
      </c>
      <c r="E2009" s="1014">
        <v>6427</v>
      </c>
      <c r="F2009" s="1013" t="s">
        <v>5989</v>
      </c>
      <c r="G2009" s="1014" t="s">
        <v>13</v>
      </c>
      <c r="H2009" s="1015">
        <v>36607</v>
      </c>
      <c r="I2009" s="1016" t="s">
        <v>6899</v>
      </c>
    </row>
    <row r="2010" spans="2:9" ht="15.75" x14ac:dyDescent="0.25">
      <c r="B2010" s="1365" t="s">
        <v>7169</v>
      </c>
      <c r="C2010" s="1013" t="s">
        <v>4468</v>
      </c>
      <c r="D2010" s="1013" t="s">
        <v>4469</v>
      </c>
      <c r="E2010" s="1014">
        <v>6428</v>
      </c>
      <c r="F2010" s="1013" t="s">
        <v>5990</v>
      </c>
      <c r="G2010" s="1014" t="s">
        <v>3</v>
      </c>
      <c r="H2010" s="1015">
        <v>1076046</v>
      </c>
      <c r="I2010" s="1016" t="s">
        <v>6899</v>
      </c>
    </row>
    <row r="2011" spans="2:9" ht="15.75" x14ac:dyDescent="0.25">
      <c r="B2011" s="1365" t="s">
        <v>7169</v>
      </c>
      <c r="C2011" s="1013" t="s">
        <v>4799</v>
      </c>
      <c r="D2011" s="1013" t="s">
        <v>1604</v>
      </c>
      <c r="E2011" s="1014">
        <v>6429</v>
      </c>
      <c r="F2011" s="1013" t="s">
        <v>5991</v>
      </c>
      <c r="G2011" s="1014" t="s">
        <v>13</v>
      </c>
      <c r="H2011" s="1015">
        <v>56315</v>
      </c>
      <c r="I2011" s="1016" t="s">
        <v>6899</v>
      </c>
    </row>
    <row r="2012" spans="2:9" ht="15.75" x14ac:dyDescent="0.25">
      <c r="B2012" s="1365" t="s">
        <v>7169</v>
      </c>
      <c r="C2012" s="1013" t="s">
        <v>4799</v>
      </c>
      <c r="D2012" s="1013" t="s">
        <v>5199</v>
      </c>
      <c r="E2012" s="1014">
        <v>6431</v>
      </c>
      <c r="F2012" s="1013" t="s">
        <v>796</v>
      </c>
      <c r="G2012" s="1014" t="s">
        <v>3</v>
      </c>
      <c r="H2012" s="1015">
        <v>1413073</v>
      </c>
      <c r="I2012" s="1016" t="s">
        <v>6899</v>
      </c>
    </row>
    <row r="2013" spans="2:9" ht="15.75" x14ac:dyDescent="0.25">
      <c r="B2013" s="1365" t="s">
        <v>7169</v>
      </c>
      <c r="C2013" s="1013" t="s">
        <v>4468</v>
      </c>
      <c r="D2013" s="1013" t="s">
        <v>1798</v>
      </c>
      <c r="E2013" s="1014">
        <v>6433</v>
      </c>
      <c r="F2013" s="1013" t="s">
        <v>5992</v>
      </c>
      <c r="G2013" s="1014" t="s">
        <v>6</v>
      </c>
      <c r="H2013" s="1015">
        <v>17111</v>
      </c>
      <c r="I2013" s="1016" t="s">
        <v>6899</v>
      </c>
    </row>
    <row r="2014" spans="2:9" ht="15.75" x14ac:dyDescent="0.25">
      <c r="B2014" s="1365" t="s">
        <v>7169</v>
      </c>
      <c r="C2014" s="1013" t="s">
        <v>4468</v>
      </c>
      <c r="D2014" s="1013" t="s">
        <v>1798</v>
      </c>
      <c r="E2014" s="1014">
        <v>6434</v>
      </c>
      <c r="F2014" s="1013" t="s">
        <v>5993</v>
      </c>
      <c r="G2014" s="1014" t="s">
        <v>6</v>
      </c>
      <c r="H2014" s="1015">
        <v>16475</v>
      </c>
      <c r="I2014" s="1016" t="s">
        <v>6899</v>
      </c>
    </row>
    <row r="2015" spans="2:9" ht="15.75" x14ac:dyDescent="0.25">
      <c r="B2015" s="1365" t="s">
        <v>7169</v>
      </c>
      <c r="C2015" s="1013" t="s">
        <v>4468</v>
      </c>
      <c r="D2015" s="1013" t="s">
        <v>1798</v>
      </c>
      <c r="E2015" s="1014">
        <v>6435</v>
      </c>
      <c r="F2015" s="1013" t="s">
        <v>5994</v>
      </c>
      <c r="G2015" s="1014" t="s">
        <v>6</v>
      </c>
      <c r="H2015" s="1015">
        <v>17414</v>
      </c>
      <c r="I2015" s="1016" t="s">
        <v>6899</v>
      </c>
    </row>
    <row r="2016" spans="2:9" ht="15.75" x14ac:dyDescent="0.25">
      <c r="B2016" s="1365" t="s">
        <v>7169</v>
      </c>
      <c r="C2016" s="1013" t="s">
        <v>4468</v>
      </c>
      <c r="D2016" s="1013" t="s">
        <v>1798</v>
      </c>
      <c r="E2016" s="1014">
        <v>6436</v>
      </c>
      <c r="F2016" s="1013" t="s">
        <v>5995</v>
      </c>
      <c r="G2016" s="1014" t="s">
        <v>6</v>
      </c>
      <c r="H2016" s="1015">
        <v>16980</v>
      </c>
      <c r="I2016" s="1016" t="s">
        <v>6899</v>
      </c>
    </row>
    <row r="2017" spans="2:9" ht="15.75" x14ac:dyDescent="0.25">
      <c r="B2017" s="1365" t="s">
        <v>7169</v>
      </c>
      <c r="C2017" s="1013" t="s">
        <v>4468</v>
      </c>
      <c r="D2017" s="1013" t="s">
        <v>1798</v>
      </c>
      <c r="E2017" s="1014">
        <v>6437</v>
      </c>
      <c r="F2017" s="1013" t="s">
        <v>5996</v>
      </c>
      <c r="G2017" s="1014" t="s">
        <v>6</v>
      </c>
      <c r="H2017" s="1015">
        <v>17111</v>
      </c>
      <c r="I2017" s="1016" t="s">
        <v>6899</v>
      </c>
    </row>
    <row r="2018" spans="2:9" ht="15.75" x14ac:dyDescent="0.25">
      <c r="B2018" s="1365" t="s">
        <v>7169</v>
      </c>
      <c r="C2018" s="1013" t="s">
        <v>4420</v>
      </c>
      <c r="D2018" s="1013" t="s">
        <v>4420</v>
      </c>
      <c r="E2018" s="1014">
        <v>6438</v>
      </c>
      <c r="F2018" s="1013" t="s">
        <v>797</v>
      </c>
      <c r="G2018" s="1014" t="s">
        <v>13</v>
      </c>
      <c r="H2018" s="1015">
        <v>20205</v>
      </c>
      <c r="I2018" s="1016" t="s">
        <v>6899</v>
      </c>
    </row>
    <row r="2019" spans="2:9" ht="15.75" x14ac:dyDescent="0.25">
      <c r="B2019" s="1365" t="s">
        <v>7169</v>
      </c>
      <c r="C2019" s="1013" t="s">
        <v>4420</v>
      </c>
      <c r="D2019" s="1013" t="s">
        <v>4420</v>
      </c>
      <c r="E2019" s="1014">
        <v>6439</v>
      </c>
      <c r="F2019" s="1013" t="s">
        <v>798</v>
      </c>
      <c r="G2019" s="1014" t="s">
        <v>13</v>
      </c>
      <c r="H2019" s="1015">
        <v>21734</v>
      </c>
      <c r="I2019" s="1016" t="s">
        <v>6899</v>
      </c>
    </row>
    <row r="2020" spans="2:9" ht="15.75" x14ac:dyDescent="0.25">
      <c r="B2020" s="1365" t="s">
        <v>7169</v>
      </c>
      <c r="C2020" s="1013" t="s">
        <v>4468</v>
      </c>
      <c r="D2020" s="1013" t="s">
        <v>1798</v>
      </c>
      <c r="E2020" s="1014">
        <v>6440</v>
      </c>
      <c r="F2020" s="1013" t="s">
        <v>799</v>
      </c>
      <c r="G2020" s="1014" t="s">
        <v>6</v>
      </c>
      <c r="H2020" s="1015">
        <v>541</v>
      </c>
      <c r="I2020" s="1016" t="s">
        <v>6899</v>
      </c>
    </row>
    <row r="2021" spans="2:9" ht="15.75" x14ac:dyDescent="0.25">
      <c r="B2021" s="1365" t="s">
        <v>7169</v>
      </c>
      <c r="C2021" s="1013" t="s">
        <v>4468</v>
      </c>
      <c r="D2021" s="1013" t="s">
        <v>1798</v>
      </c>
      <c r="E2021" s="1014">
        <v>6441</v>
      </c>
      <c r="F2021" s="1013" t="s">
        <v>800</v>
      </c>
      <c r="G2021" s="1014" t="s">
        <v>6</v>
      </c>
      <c r="H2021" s="1015">
        <v>781</v>
      </c>
      <c r="I2021" s="1016" t="s">
        <v>6899</v>
      </c>
    </row>
    <row r="2022" spans="2:9" ht="15.75" x14ac:dyDescent="0.25">
      <c r="B2022" s="1365" t="s">
        <v>7169</v>
      </c>
      <c r="C2022" s="1013" t="s">
        <v>4468</v>
      </c>
      <c r="D2022" s="1013" t="s">
        <v>1798</v>
      </c>
      <c r="E2022" s="1014">
        <v>6442</v>
      </c>
      <c r="F2022" s="1013" t="s">
        <v>801</v>
      </c>
      <c r="G2022" s="1014" t="s">
        <v>6</v>
      </c>
      <c r="H2022" s="1015">
        <v>901</v>
      </c>
      <c r="I2022" s="1016" t="s">
        <v>6899</v>
      </c>
    </row>
    <row r="2023" spans="2:9" ht="15.75" x14ac:dyDescent="0.25">
      <c r="B2023" s="1365" t="s">
        <v>7169</v>
      </c>
      <c r="C2023" s="1013" t="s">
        <v>4468</v>
      </c>
      <c r="D2023" s="1013" t="s">
        <v>1798</v>
      </c>
      <c r="E2023" s="1014">
        <v>6443</v>
      </c>
      <c r="F2023" s="1013" t="s">
        <v>802</v>
      </c>
      <c r="G2023" s="1014" t="s">
        <v>6</v>
      </c>
      <c r="H2023" s="1015">
        <v>1022</v>
      </c>
      <c r="I2023" s="1016" t="s">
        <v>6899</v>
      </c>
    </row>
    <row r="2024" spans="2:9" ht="15.75" x14ac:dyDescent="0.25">
      <c r="B2024" s="1365" t="s">
        <v>7169</v>
      </c>
      <c r="C2024" s="1013" t="s">
        <v>4468</v>
      </c>
      <c r="D2024" s="1013" t="s">
        <v>1798</v>
      </c>
      <c r="E2024" s="1014">
        <v>6444</v>
      </c>
      <c r="F2024" s="1013" t="s">
        <v>803</v>
      </c>
      <c r="G2024" s="1014" t="s">
        <v>6</v>
      </c>
      <c r="H2024" s="1015">
        <v>1384</v>
      </c>
      <c r="I2024" s="1016" t="s">
        <v>6899</v>
      </c>
    </row>
    <row r="2025" spans="2:9" ht="15.75" x14ac:dyDescent="0.25">
      <c r="B2025" s="1365" t="s">
        <v>7169</v>
      </c>
      <c r="C2025" s="1013" t="s">
        <v>4468</v>
      </c>
      <c r="D2025" s="1013" t="s">
        <v>1798</v>
      </c>
      <c r="E2025" s="1014">
        <v>6445</v>
      </c>
      <c r="F2025" s="1013" t="s">
        <v>804</v>
      </c>
      <c r="G2025" s="1014" t="s">
        <v>6</v>
      </c>
      <c r="H2025" s="1015">
        <v>1442</v>
      </c>
      <c r="I2025" s="1016" t="s">
        <v>6899</v>
      </c>
    </row>
    <row r="2026" spans="2:9" ht="15.75" x14ac:dyDescent="0.25">
      <c r="B2026" s="1365" t="s">
        <v>7169</v>
      </c>
      <c r="C2026" s="1013" t="s">
        <v>4468</v>
      </c>
      <c r="D2026" s="1013" t="s">
        <v>1798</v>
      </c>
      <c r="E2026" s="1014">
        <v>6446</v>
      </c>
      <c r="F2026" s="1013" t="s">
        <v>805</v>
      </c>
      <c r="G2026" s="1014" t="s">
        <v>6</v>
      </c>
      <c r="H2026" s="1015">
        <v>1616</v>
      </c>
      <c r="I2026" s="1016" t="s">
        <v>6899</v>
      </c>
    </row>
    <row r="2027" spans="2:9" ht="15.75" x14ac:dyDescent="0.25">
      <c r="B2027" s="1365" t="s">
        <v>7169</v>
      </c>
      <c r="C2027" s="1013" t="s">
        <v>4461</v>
      </c>
      <c r="D2027" s="1013" t="s">
        <v>4461</v>
      </c>
      <c r="E2027" s="1014">
        <v>6448</v>
      </c>
      <c r="F2027" s="1013" t="s">
        <v>806</v>
      </c>
      <c r="G2027" s="1014" t="s">
        <v>266</v>
      </c>
      <c r="H2027" s="1015">
        <v>1655492</v>
      </c>
      <c r="I2027" s="1016" t="s">
        <v>4398</v>
      </c>
    </row>
    <row r="2028" spans="2:9" ht="15.75" x14ac:dyDescent="0.25">
      <c r="B2028" s="1365" t="s">
        <v>7169</v>
      </c>
      <c r="C2028" s="1013" t="s">
        <v>4420</v>
      </c>
      <c r="D2028" s="1013" t="s">
        <v>4420</v>
      </c>
      <c r="E2028" s="1014">
        <v>6449</v>
      </c>
      <c r="F2028" s="1013" t="s">
        <v>5997</v>
      </c>
      <c r="G2028" s="1014" t="s">
        <v>266</v>
      </c>
      <c r="H2028" s="1015">
        <v>618928</v>
      </c>
      <c r="I2028" s="1016" t="s">
        <v>4398</v>
      </c>
    </row>
    <row r="2029" spans="2:9" ht="15.75" x14ac:dyDescent="0.25">
      <c r="B2029" s="1365" t="s">
        <v>7169</v>
      </c>
      <c r="C2029" s="1013" t="s">
        <v>4799</v>
      </c>
      <c r="D2029" s="1013" t="s">
        <v>5199</v>
      </c>
      <c r="E2029" s="1014">
        <v>6450</v>
      </c>
      <c r="F2029" s="1013" t="s">
        <v>807</v>
      </c>
      <c r="G2029" s="1014" t="s">
        <v>12</v>
      </c>
      <c r="H2029" s="1015">
        <v>5545</v>
      </c>
      <c r="I2029" s="1016" t="s">
        <v>6899</v>
      </c>
    </row>
    <row r="2030" spans="2:9" ht="15.75" x14ac:dyDescent="0.25">
      <c r="B2030" s="1365" t="s">
        <v>7169</v>
      </c>
      <c r="C2030" s="1013" t="s">
        <v>4799</v>
      </c>
      <c r="D2030" s="1013" t="s">
        <v>5199</v>
      </c>
      <c r="E2030" s="1014">
        <v>6451</v>
      </c>
      <c r="F2030" s="1013" t="s">
        <v>5998</v>
      </c>
      <c r="G2030" s="1014" t="s">
        <v>13</v>
      </c>
      <c r="H2030" s="1015">
        <v>14243</v>
      </c>
      <c r="I2030" s="1016" t="s">
        <v>6899</v>
      </c>
    </row>
    <row r="2031" spans="2:9" ht="15.75" x14ac:dyDescent="0.25">
      <c r="B2031" s="1365" t="s">
        <v>6897</v>
      </c>
      <c r="C2031" s="1013" t="s">
        <v>5188</v>
      </c>
      <c r="D2031" s="1013" t="s">
        <v>5190</v>
      </c>
      <c r="E2031" s="1014">
        <v>6452</v>
      </c>
      <c r="F2031" s="1013" t="s">
        <v>808</v>
      </c>
      <c r="G2031" s="1014" t="s">
        <v>12</v>
      </c>
      <c r="H2031" s="1015">
        <v>4344</v>
      </c>
      <c r="I2031" s="1016" t="s">
        <v>6899</v>
      </c>
    </row>
    <row r="2032" spans="2:9" ht="15.75" x14ac:dyDescent="0.25">
      <c r="B2032" s="1365" t="s">
        <v>7169</v>
      </c>
      <c r="C2032" s="1013" t="s">
        <v>4472</v>
      </c>
      <c r="D2032" s="1013" t="s">
        <v>4817</v>
      </c>
      <c r="E2032" s="1014">
        <v>6456</v>
      </c>
      <c r="F2032" s="1013" t="s">
        <v>7221</v>
      </c>
      <c r="G2032" s="1014" t="s">
        <v>3</v>
      </c>
      <c r="H2032" s="1015">
        <v>1076846</v>
      </c>
      <c r="I2032" s="1016" t="s">
        <v>6899</v>
      </c>
    </row>
    <row r="2033" spans="2:9" ht="15.75" x14ac:dyDescent="0.25">
      <c r="B2033" s="1365" t="s">
        <v>7169</v>
      </c>
      <c r="C2033" s="1013" t="s">
        <v>4799</v>
      </c>
      <c r="D2033" s="1013" t="s">
        <v>4800</v>
      </c>
      <c r="E2033" s="1014">
        <v>6457</v>
      </c>
      <c r="F2033" s="1013" t="s">
        <v>809</v>
      </c>
      <c r="G2033" s="1014" t="s">
        <v>202</v>
      </c>
      <c r="H2033" s="1015">
        <v>89854</v>
      </c>
      <c r="I2033" s="1016" t="s">
        <v>4398</v>
      </c>
    </row>
    <row r="2034" spans="2:9" ht="15.75" x14ac:dyDescent="0.25">
      <c r="B2034" s="1365" t="s">
        <v>7169</v>
      </c>
      <c r="C2034" s="1013" t="s">
        <v>4454</v>
      </c>
      <c r="D2034" s="1013" t="s">
        <v>4455</v>
      </c>
      <c r="E2034" s="1014">
        <v>6458</v>
      </c>
      <c r="F2034" s="1013" t="s">
        <v>5999</v>
      </c>
      <c r="G2034" s="1014" t="s">
        <v>13</v>
      </c>
      <c r="H2034" s="1015">
        <v>11543</v>
      </c>
      <c r="I2034" s="1016" t="s">
        <v>4398</v>
      </c>
    </row>
    <row r="2035" spans="2:9" ht="15.75" x14ac:dyDescent="0.25">
      <c r="B2035" s="1365" t="s">
        <v>7169</v>
      </c>
      <c r="C2035" s="1013" t="s">
        <v>4472</v>
      </c>
      <c r="D2035" s="1013" t="s">
        <v>4985</v>
      </c>
      <c r="E2035" s="1014">
        <v>6459</v>
      </c>
      <c r="F2035" s="1013" t="s">
        <v>6000</v>
      </c>
      <c r="G2035" s="1014" t="s">
        <v>12</v>
      </c>
      <c r="H2035" s="1015">
        <v>50556</v>
      </c>
      <c r="I2035" s="1016" t="s">
        <v>6899</v>
      </c>
    </row>
    <row r="2036" spans="2:9" ht="15.75" x14ac:dyDescent="0.25">
      <c r="B2036" s="1365" t="s">
        <v>6897</v>
      </c>
      <c r="C2036" s="1013" t="s">
        <v>5188</v>
      </c>
      <c r="D2036" s="1013" t="s">
        <v>5189</v>
      </c>
      <c r="E2036" s="1014">
        <v>6460</v>
      </c>
      <c r="F2036" s="1013" t="s">
        <v>810</v>
      </c>
      <c r="G2036" s="1014" t="s">
        <v>12</v>
      </c>
      <c r="H2036" s="1015">
        <v>60363</v>
      </c>
      <c r="I2036" s="1016" t="s">
        <v>6899</v>
      </c>
    </row>
    <row r="2037" spans="2:9" ht="15.75" x14ac:dyDescent="0.25">
      <c r="B2037" s="1365" t="s">
        <v>7169</v>
      </c>
      <c r="C2037" s="1013" t="s">
        <v>5363</v>
      </c>
      <c r="D2037" s="1013" t="s">
        <v>5363</v>
      </c>
      <c r="E2037" s="1014">
        <v>6461</v>
      </c>
      <c r="F2037" s="1013" t="s">
        <v>811</v>
      </c>
      <c r="G2037" s="1014" t="s">
        <v>546</v>
      </c>
      <c r="H2037" s="1015">
        <v>7658</v>
      </c>
      <c r="I2037" s="1016" t="s">
        <v>3538</v>
      </c>
    </row>
    <row r="2038" spans="2:9" ht="15.75" x14ac:dyDescent="0.25">
      <c r="B2038" s="1365" t="s">
        <v>7222</v>
      </c>
      <c r="C2038" s="1013" t="s">
        <v>4408</v>
      </c>
      <c r="D2038" s="1013" t="s">
        <v>4408</v>
      </c>
      <c r="E2038" s="1014">
        <v>6462</v>
      </c>
      <c r="F2038" s="1013" t="s">
        <v>6001</v>
      </c>
      <c r="G2038" s="1014" t="s">
        <v>812</v>
      </c>
      <c r="H2038" s="1015">
        <v>1760</v>
      </c>
      <c r="I2038" s="1016" t="s">
        <v>6899</v>
      </c>
    </row>
    <row r="2039" spans="2:9" ht="15.75" x14ac:dyDescent="0.25">
      <c r="B2039" s="1365" t="s">
        <v>7222</v>
      </c>
      <c r="C2039" s="1013" t="s">
        <v>4408</v>
      </c>
      <c r="D2039" s="1013" t="s">
        <v>4408</v>
      </c>
      <c r="E2039" s="1014">
        <v>6463</v>
      </c>
      <c r="F2039" s="1013" t="s">
        <v>6002</v>
      </c>
      <c r="G2039" s="1014" t="s">
        <v>3</v>
      </c>
      <c r="H2039" s="1015">
        <v>7000</v>
      </c>
      <c r="I2039" s="1016" t="s">
        <v>6899</v>
      </c>
    </row>
    <row r="2040" spans="2:9" ht="15.75" x14ac:dyDescent="0.25">
      <c r="B2040" s="1365" t="s">
        <v>7222</v>
      </c>
      <c r="C2040" s="1013" t="s">
        <v>4472</v>
      </c>
      <c r="D2040" s="1013" t="s">
        <v>4817</v>
      </c>
      <c r="E2040" s="1014">
        <v>6464</v>
      </c>
      <c r="F2040" s="1013" t="s">
        <v>6003</v>
      </c>
      <c r="G2040" s="1014" t="s">
        <v>12</v>
      </c>
      <c r="H2040" s="1015">
        <v>3484</v>
      </c>
      <c r="I2040" s="1016" t="s">
        <v>6899</v>
      </c>
    </row>
    <row r="2041" spans="2:9" ht="15.75" x14ac:dyDescent="0.25">
      <c r="B2041" s="1365" t="s">
        <v>7222</v>
      </c>
      <c r="C2041" s="1013" t="s">
        <v>4799</v>
      </c>
      <c r="D2041" s="1013" t="s">
        <v>4800</v>
      </c>
      <c r="E2041" s="1014">
        <v>6465</v>
      </c>
      <c r="F2041" s="1013" t="s">
        <v>813</v>
      </c>
      <c r="G2041" s="1014" t="s">
        <v>202</v>
      </c>
      <c r="H2041" s="1015">
        <v>24160</v>
      </c>
      <c r="I2041" s="1016" t="s">
        <v>4398</v>
      </c>
    </row>
    <row r="2042" spans="2:9" ht="15.75" x14ac:dyDescent="0.25">
      <c r="B2042" s="1365" t="s">
        <v>7222</v>
      </c>
      <c r="C2042" s="1013" t="s">
        <v>4472</v>
      </c>
      <c r="D2042" s="1013" t="s">
        <v>4817</v>
      </c>
      <c r="E2042" s="1014">
        <v>6466</v>
      </c>
      <c r="F2042" s="1013" t="s">
        <v>7223</v>
      </c>
      <c r="G2042" s="1014" t="s">
        <v>3</v>
      </c>
      <c r="H2042" s="1015">
        <v>1080150</v>
      </c>
      <c r="I2042" s="1016" t="s">
        <v>6899</v>
      </c>
    </row>
    <row r="2043" spans="2:9" ht="15.75" x14ac:dyDescent="0.25">
      <c r="B2043" s="1365" t="s">
        <v>7222</v>
      </c>
      <c r="C2043" s="1013" t="s">
        <v>4454</v>
      </c>
      <c r="D2043" s="1013" t="s">
        <v>4455</v>
      </c>
      <c r="E2043" s="1014">
        <v>6467</v>
      </c>
      <c r="F2043" s="1013" t="s">
        <v>6004</v>
      </c>
      <c r="G2043" s="1014" t="s">
        <v>13</v>
      </c>
      <c r="H2043" s="1015">
        <v>11297</v>
      </c>
      <c r="I2043" s="1016" t="s">
        <v>4398</v>
      </c>
    </row>
    <row r="2044" spans="2:9" ht="15.75" x14ac:dyDescent="0.25">
      <c r="B2044" s="1365" t="s">
        <v>7222</v>
      </c>
      <c r="C2044" s="1013" t="s">
        <v>5425</v>
      </c>
      <c r="D2044" s="1013" t="s">
        <v>5590</v>
      </c>
      <c r="E2044" s="1014">
        <v>6469</v>
      </c>
      <c r="F2044" s="1013" t="s">
        <v>6005</v>
      </c>
      <c r="G2044" s="1014" t="s">
        <v>12</v>
      </c>
      <c r="H2044" s="1015">
        <v>344300</v>
      </c>
      <c r="I2044" s="1016" t="s">
        <v>6899</v>
      </c>
    </row>
    <row r="2045" spans="2:9" ht="15.75" x14ac:dyDescent="0.25">
      <c r="B2045" s="1365" t="s">
        <v>7222</v>
      </c>
      <c r="C2045" s="1013" t="s">
        <v>4410</v>
      </c>
      <c r="D2045" s="1013" t="s">
        <v>4642</v>
      </c>
      <c r="E2045" s="1014">
        <v>6471</v>
      </c>
      <c r="F2045" s="1013" t="s">
        <v>6006</v>
      </c>
      <c r="G2045" s="1014" t="s">
        <v>3</v>
      </c>
      <c r="H2045" s="1015">
        <v>174406</v>
      </c>
      <c r="I2045" s="1016" t="s">
        <v>6899</v>
      </c>
    </row>
    <row r="2046" spans="2:9" ht="15.75" x14ac:dyDescent="0.25">
      <c r="B2046" s="1365" t="s">
        <v>7222</v>
      </c>
      <c r="C2046" s="1013" t="s">
        <v>4472</v>
      </c>
      <c r="D2046" s="1013" t="s">
        <v>4817</v>
      </c>
      <c r="E2046" s="1014">
        <v>6472</v>
      </c>
      <c r="F2046" s="1013" t="s">
        <v>7224</v>
      </c>
      <c r="G2046" s="1014" t="s">
        <v>3</v>
      </c>
      <c r="H2046" s="1015">
        <v>1191150</v>
      </c>
      <c r="I2046" s="1016" t="s">
        <v>6899</v>
      </c>
    </row>
    <row r="2047" spans="2:9" ht="15.75" x14ac:dyDescent="0.25">
      <c r="B2047" s="1365" t="s">
        <v>7222</v>
      </c>
      <c r="C2047" s="1013" t="s">
        <v>4410</v>
      </c>
      <c r="D2047" s="1013" t="s">
        <v>4642</v>
      </c>
      <c r="E2047" s="1014">
        <v>6473</v>
      </c>
      <c r="F2047" s="1013" t="s">
        <v>6007</v>
      </c>
      <c r="G2047" s="1014" t="s">
        <v>3</v>
      </c>
      <c r="H2047" s="1015">
        <v>159831</v>
      </c>
      <c r="I2047" s="1016" t="s">
        <v>6899</v>
      </c>
    </row>
    <row r="2048" spans="2:9" ht="15.75" x14ac:dyDescent="0.25">
      <c r="B2048" s="1365" t="s">
        <v>7222</v>
      </c>
      <c r="C2048" s="1013" t="s">
        <v>4410</v>
      </c>
      <c r="D2048" s="1013" t="s">
        <v>4642</v>
      </c>
      <c r="E2048" s="1014">
        <v>6474</v>
      </c>
      <c r="F2048" s="1013" t="s">
        <v>6008</v>
      </c>
      <c r="G2048" s="1014" t="s">
        <v>3</v>
      </c>
      <c r="H2048" s="1015">
        <v>171376</v>
      </c>
      <c r="I2048" s="1016" t="s">
        <v>6899</v>
      </c>
    </row>
    <row r="2049" spans="2:9" ht="15.75" x14ac:dyDescent="0.25">
      <c r="B2049" s="1365" t="s">
        <v>7222</v>
      </c>
      <c r="C2049" s="1013" t="s">
        <v>4417</v>
      </c>
      <c r="D2049" s="1013" t="s">
        <v>4418</v>
      </c>
      <c r="E2049" s="1014">
        <v>6475</v>
      </c>
      <c r="F2049" s="1013" t="s">
        <v>6009</v>
      </c>
      <c r="G2049" s="1014" t="s">
        <v>13</v>
      </c>
      <c r="H2049" s="1015">
        <v>73237</v>
      </c>
      <c r="I2049" s="1016" t="s">
        <v>6899</v>
      </c>
    </row>
    <row r="2050" spans="2:9" ht="15.75" x14ac:dyDescent="0.25">
      <c r="B2050" s="1365" t="s">
        <v>7222</v>
      </c>
      <c r="C2050" s="1013" t="s">
        <v>4791</v>
      </c>
      <c r="D2050" s="1013" t="s">
        <v>4792</v>
      </c>
      <c r="E2050" s="1014">
        <v>6476</v>
      </c>
      <c r="F2050" s="1013" t="s">
        <v>6010</v>
      </c>
      <c r="G2050" s="1014" t="s">
        <v>12</v>
      </c>
      <c r="H2050" s="1015">
        <v>190464</v>
      </c>
      <c r="I2050" s="1016" t="s">
        <v>6899</v>
      </c>
    </row>
    <row r="2051" spans="2:9" ht="15.75" x14ac:dyDescent="0.25">
      <c r="B2051" s="1365" t="s">
        <v>7222</v>
      </c>
      <c r="C2051" s="1013" t="s">
        <v>4410</v>
      </c>
      <c r="D2051" s="1013" t="s">
        <v>4642</v>
      </c>
      <c r="E2051" s="1014">
        <v>6480</v>
      </c>
      <c r="F2051" s="1013" t="s">
        <v>6011</v>
      </c>
      <c r="G2051" s="1014" t="s">
        <v>3</v>
      </c>
      <c r="H2051" s="1015">
        <v>20618</v>
      </c>
      <c r="I2051" s="1016" t="s">
        <v>6899</v>
      </c>
    </row>
    <row r="2052" spans="2:9" ht="15.75" x14ac:dyDescent="0.25">
      <c r="B2052" s="1365" t="s">
        <v>7222</v>
      </c>
      <c r="C2052" s="1013" t="s">
        <v>5482</v>
      </c>
      <c r="D2052" s="1013" t="s">
        <v>5482</v>
      </c>
      <c r="E2052" s="1014">
        <v>6482</v>
      </c>
      <c r="F2052" s="1013" t="s">
        <v>6012</v>
      </c>
      <c r="G2052" s="1014" t="s">
        <v>202</v>
      </c>
      <c r="H2052" s="1015">
        <v>111754</v>
      </c>
      <c r="I2052" s="1016" t="s">
        <v>4398</v>
      </c>
    </row>
    <row r="2053" spans="2:9" ht="15.75" x14ac:dyDescent="0.25">
      <c r="B2053" s="1365" t="s">
        <v>7222</v>
      </c>
      <c r="C2053" s="1013" t="s">
        <v>4454</v>
      </c>
      <c r="D2053" s="1013" t="s">
        <v>4634</v>
      </c>
      <c r="E2053" s="1014">
        <v>6483</v>
      </c>
      <c r="F2053" s="1013" t="s">
        <v>6013</v>
      </c>
      <c r="G2053" s="1014" t="s">
        <v>546</v>
      </c>
      <c r="H2053" s="1015">
        <v>46450</v>
      </c>
      <c r="I2053" s="1016" t="s">
        <v>4398</v>
      </c>
    </row>
    <row r="2054" spans="2:9" ht="15.75" x14ac:dyDescent="0.25">
      <c r="B2054" s="1365" t="s">
        <v>7222</v>
      </c>
      <c r="C2054" s="1013" t="s">
        <v>4454</v>
      </c>
      <c r="D2054" s="1013" t="s">
        <v>4634</v>
      </c>
      <c r="E2054" s="1014">
        <v>6484</v>
      </c>
      <c r="F2054" s="1013" t="s">
        <v>6014</v>
      </c>
      <c r="G2054" s="1014" t="s">
        <v>546</v>
      </c>
      <c r="H2054" s="1015">
        <v>156876</v>
      </c>
      <c r="I2054" s="1016" t="s">
        <v>4398</v>
      </c>
    </row>
    <row r="2055" spans="2:9" ht="15.75" x14ac:dyDescent="0.25">
      <c r="B2055" s="1365" t="s">
        <v>7222</v>
      </c>
      <c r="C2055" s="1013" t="s">
        <v>4405</v>
      </c>
      <c r="D2055" s="1013" t="s">
        <v>4406</v>
      </c>
      <c r="E2055" s="1014">
        <v>6485</v>
      </c>
      <c r="F2055" s="1013" t="s">
        <v>6015</v>
      </c>
      <c r="G2055" s="1014" t="s">
        <v>266</v>
      </c>
      <c r="H2055" s="1015">
        <v>50404</v>
      </c>
      <c r="I2055" s="1016" t="s">
        <v>6899</v>
      </c>
    </row>
    <row r="2056" spans="2:9" ht="15.75" x14ac:dyDescent="0.25">
      <c r="B2056" s="1365" t="s">
        <v>7222</v>
      </c>
      <c r="C2056" s="1013" t="s">
        <v>4410</v>
      </c>
      <c r="D2056" s="1013" t="s">
        <v>4642</v>
      </c>
      <c r="E2056" s="1014">
        <v>6486</v>
      </c>
      <c r="F2056" s="1013" t="s">
        <v>6016</v>
      </c>
      <c r="G2056" s="1014" t="s">
        <v>3</v>
      </c>
      <c r="H2056" s="1015">
        <v>58812</v>
      </c>
      <c r="I2056" s="1016" t="s">
        <v>6899</v>
      </c>
    </row>
    <row r="2057" spans="2:9" ht="15.75" x14ac:dyDescent="0.25">
      <c r="B2057" s="1365" t="s">
        <v>7222</v>
      </c>
      <c r="C2057" s="1013" t="s">
        <v>4405</v>
      </c>
      <c r="D2057" s="1013" t="s">
        <v>4579</v>
      </c>
      <c r="E2057" s="1014">
        <v>6487</v>
      </c>
      <c r="F2057" s="1013" t="s">
        <v>6017</v>
      </c>
      <c r="G2057" s="1014" t="s">
        <v>266</v>
      </c>
      <c r="H2057" s="1015">
        <v>116108</v>
      </c>
      <c r="I2057" s="1016" t="s">
        <v>6899</v>
      </c>
    </row>
    <row r="2058" spans="2:9" ht="15.75" x14ac:dyDescent="0.25">
      <c r="B2058" s="1365" t="s">
        <v>7222</v>
      </c>
      <c r="C2058" s="1013" t="s">
        <v>4405</v>
      </c>
      <c r="D2058" s="1013" t="s">
        <v>4579</v>
      </c>
      <c r="E2058" s="1014">
        <v>6488</v>
      </c>
      <c r="F2058" s="1013" t="s">
        <v>6018</v>
      </c>
      <c r="G2058" s="1014" t="s">
        <v>13</v>
      </c>
      <c r="H2058" s="1015">
        <v>252619</v>
      </c>
      <c r="I2058" s="1016" t="s">
        <v>6899</v>
      </c>
    </row>
    <row r="2059" spans="2:9" ht="15.75" x14ac:dyDescent="0.25">
      <c r="B2059" s="1365" t="s">
        <v>7222</v>
      </c>
      <c r="C2059" s="1013" t="s">
        <v>4405</v>
      </c>
      <c r="D2059" s="1013" t="s">
        <v>4579</v>
      </c>
      <c r="E2059" s="1014">
        <v>6489</v>
      </c>
      <c r="F2059" s="1013" t="s">
        <v>6019</v>
      </c>
      <c r="G2059" s="1014" t="s">
        <v>13</v>
      </c>
      <c r="H2059" s="1015">
        <v>102436</v>
      </c>
      <c r="I2059" s="1016" t="s">
        <v>6899</v>
      </c>
    </row>
    <row r="2060" spans="2:9" ht="15.75" x14ac:dyDescent="0.25">
      <c r="B2060" s="1365" t="s">
        <v>7222</v>
      </c>
      <c r="C2060" s="1013" t="s">
        <v>4405</v>
      </c>
      <c r="D2060" s="1013" t="s">
        <v>4579</v>
      </c>
      <c r="E2060" s="1014">
        <v>6494</v>
      </c>
      <c r="F2060" s="1013" t="s">
        <v>6020</v>
      </c>
      <c r="G2060" s="1014" t="s">
        <v>13</v>
      </c>
      <c r="H2060" s="1015">
        <v>313671</v>
      </c>
      <c r="I2060" s="1016" t="s">
        <v>4398</v>
      </c>
    </row>
    <row r="2061" spans="2:9" ht="15.75" x14ac:dyDescent="0.25">
      <c r="B2061" s="1365" t="s">
        <v>7222</v>
      </c>
      <c r="C2061" s="1013" t="s">
        <v>4405</v>
      </c>
      <c r="D2061" s="1013" t="s">
        <v>4579</v>
      </c>
      <c r="E2061" s="1014">
        <v>6495</v>
      </c>
      <c r="F2061" s="1013" t="s">
        <v>6021</v>
      </c>
      <c r="G2061" s="1014" t="s">
        <v>13</v>
      </c>
      <c r="H2061" s="1015">
        <v>313671</v>
      </c>
      <c r="I2061" s="1016" t="s">
        <v>4398</v>
      </c>
    </row>
    <row r="2062" spans="2:9" ht="15.75" x14ac:dyDescent="0.25">
      <c r="B2062" s="1365" t="s">
        <v>7222</v>
      </c>
      <c r="C2062" s="1013" t="s">
        <v>4405</v>
      </c>
      <c r="D2062" s="1013" t="s">
        <v>4579</v>
      </c>
      <c r="E2062" s="1014">
        <v>6498</v>
      </c>
      <c r="F2062" s="1013" t="s">
        <v>6022</v>
      </c>
      <c r="G2062" s="1014" t="s">
        <v>266</v>
      </c>
      <c r="H2062" s="1015">
        <v>17975</v>
      </c>
      <c r="I2062" s="1016" t="s">
        <v>4398</v>
      </c>
    </row>
    <row r="2063" spans="2:9" ht="15.75" x14ac:dyDescent="0.25">
      <c r="B2063" s="1365" t="s">
        <v>7222</v>
      </c>
      <c r="C2063" s="1013" t="s">
        <v>4405</v>
      </c>
      <c r="D2063" s="1013" t="s">
        <v>4579</v>
      </c>
      <c r="E2063" s="1014">
        <v>6499</v>
      </c>
      <c r="F2063" s="1013" t="s">
        <v>6023</v>
      </c>
      <c r="G2063" s="1014" t="s">
        <v>13</v>
      </c>
      <c r="H2063" s="1015">
        <v>15162</v>
      </c>
      <c r="I2063" s="1016" t="s">
        <v>4398</v>
      </c>
    </row>
    <row r="2064" spans="2:9" ht="15.75" x14ac:dyDescent="0.25">
      <c r="B2064" s="1365" t="s">
        <v>7222</v>
      </c>
      <c r="C2064" s="1013" t="s">
        <v>4405</v>
      </c>
      <c r="D2064" s="1013" t="s">
        <v>4579</v>
      </c>
      <c r="E2064" s="1014">
        <v>6500</v>
      </c>
      <c r="F2064" s="1013" t="s">
        <v>6024</v>
      </c>
      <c r="G2064" s="1014" t="s">
        <v>266</v>
      </c>
      <c r="H2064" s="1015">
        <v>226045</v>
      </c>
      <c r="I2064" s="1016" t="s">
        <v>6899</v>
      </c>
    </row>
    <row r="2065" spans="2:9" ht="15.75" x14ac:dyDescent="0.25">
      <c r="B2065" s="1365" t="s">
        <v>7222</v>
      </c>
      <c r="C2065" s="1013" t="s">
        <v>4405</v>
      </c>
      <c r="D2065" s="1013" t="s">
        <v>4579</v>
      </c>
      <c r="E2065" s="1014">
        <v>6501</v>
      </c>
      <c r="F2065" s="1013" t="s">
        <v>6025</v>
      </c>
      <c r="G2065" s="1014" t="s">
        <v>266</v>
      </c>
      <c r="H2065" s="1015">
        <v>278174</v>
      </c>
      <c r="I2065" s="1016" t="s">
        <v>6899</v>
      </c>
    </row>
    <row r="2066" spans="2:9" ht="15.75" x14ac:dyDescent="0.25">
      <c r="B2066" s="1365" t="s">
        <v>7222</v>
      </c>
      <c r="C2066" s="1013" t="s">
        <v>4791</v>
      </c>
      <c r="D2066" s="1013" t="s">
        <v>5165</v>
      </c>
      <c r="E2066" s="1014">
        <v>6505</v>
      </c>
      <c r="F2066" s="1013" t="s">
        <v>814</v>
      </c>
      <c r="G2066" s="1014" t="s">
        <v>12</v>
      </c>
      <c r="H2066" s="1015">
        <v>2142</v>
      </c>
      <c r="I2066" s="1016" t="s">
        <v>4398</v>
      </c>
    </row>
    <row r="2067" spans="2:9" ht="15.75" x14ac:dyDescent="0.25">
      <c r="B2067" s="1365" t="s">
        <v>7222</v>
      </c>
      <c r="C2067" s="1013" t="s">
        <v>4799</v>
      </c>
      <c r="D2067" s="1013" t="s">
        <v>2314</v>
      </c>
      <c r="E2067" s="1014">
        <v>6506</v>
      </c>
      <c r="F2067" s="1013" t="s">
        <v>6026</v>
      </c>
      <c r="G2067" s="1014" t="s">
        <v>13</v>
      </c>
      <c r="H2067" s="1015">
        <v>183714</v>
      </c>
      <c r="I2067" s="1016" t="s">
        <v>6899</v>
      </c>
    </row>
    <row r="2068" spans="2:9" ht="15.75" x14ac:dyDescent="0.25">
      <c r="B2068" s="1365" t="s">
        <v>7222</v>
      </c>
      <c r="C2068" s="1013" t="s">
        <v>4799</v>
      </c>
      <c r="D2068" s="1013" t="s">
        <v>6027</v>
      </c>
      <c r="E2068" s="1014">
        <v>6507</v>
      </c>
      <c r="F2068" s="1013" t="s">
        <v>6028</v>
      </c>
      <c r="G2068" s="1014" t="s">
        <v>12</v>
      </c>
      <c r="H2068" s="1015">
        <v>236486</v>
      </c>
      <c r="I2068" s="1016" t="s">
        <v>4398</v>
      </c>
    </row>
    <row r="2069" spans="2:9" ht="15.75" x14ac:dyDescent="0.25">
      <c r="B2069" s="1365" t="s">
        <v>7222</v>
      </c>
      <c r="C2069" s="1013" t="s">
        <v>5188</v>
      </c>
      <c r="D2069" s="1013" t="s">
        <v>5189</v>
      </c>
      <c r="E2069" s="1014">
        <v>6510</v>
      </c>
      <c r="F2069" s="1013" t="s">
        <v>6029</v>
      </c>
      <c r="G2069" s="1014" t="s">
        <v>13</v>
      </c>
      <c r="H2069" s="1015">
        <v>61497</v>
      </c>
      <c r="I2069" s="1016" t="s">
        <v>6899</v>
      </c>
    </row>
    <row r="2070" spans="2:9" ht="15.75" x14ac:dyDescent="0.25">
      <c r="B2070" s="1365" t="s">
        <v>7222</v>
      </c>
      <c r="C2070" s="1013" t="s">
        <v>5425</v>
      </c>
      <c r="D2070" s="1013" t="s">
        <v>5615</v>
      </c>
      <c r="E2070" s="1014">
        <v>6511</v>
      </c>
      <c r="F2070" s="1013" t="s">
        <v>6030</v>
      </c>
      <c r="G2070" s="1014" t="s">
        <v>12</v>
      </c>
      <c r="H2070" s="1015">
        <v>269220</v>
      </c>
      <c r="I2070" s="1016" t="s">
        <v>6899</v>
      </c>
    </row>
    <row r="2071" spans="2:9" ht="15.75" x14ac:dyDescent="0.25">
      <c r="B2071" s="1365" t="s">
        <v>7222</v>
      </c>
      <c r="C2071" s="1013" t="s">
        <v>4468</v>
      </c>
      <c r="D2071" s="1013" t="s">
        <v>4469</v>
      </c>
      <c r="E2071" s="1014">
        <v>6512</v>
      </c>
      <c r="F2071" s="1013" t="s">
        <v>6031</v>
      </c>
      <c r="G2071" s="1014" t="s">
        <v>3</v>
      </c>
      <c r="H2071" s="1015">
        <v>646280</v>
      </c>
      <c r="I2071" s="1016" t="s">
        <v>6899</v>
      </c>
    </row>
    <row r="2072" spans="2:9" ht="15.75" x14ac:dyDescent="0.25">
      <c r="B2072" s="1365" t="s">
        <v>7222</v>
      </c>
      <c r="C2072" s="1013" t="s">
        <v>4461</v>
      </c>
      <c r="D2072" s="1013" t="s">
        <v>4461</v>
      </c>
      <c r="E2072" s="1014">
        <v>6514</v>
      </c>
      <c r="F2072" s="1013" t="s">
        <v>6032</v>
      </c>
      <c r="G2072" s="1014" t="s">
        <v>266</v>
      </c>
      <c r="H2072" s="1015">
        <v>3772</v>
      </c>
      <c r="I2072" s="1016" t="s">
        <v>4398</v>
      </c>
    </row>
    <row r="2073" spans="2:9" ht="15.75" x14ac:dyDescent="0.25">
      <c r="B2073" s="1365" t="s">
        <v>7222</v>
      </c>
      <c r="C2073" s="1013" t="s">
        <v>4405</v>
      </c>
      <c r="D2073" s="1013" t="s">
        <v>4579</v>
      </c>
      <c r="E2073" s="1014">
        <v>6515</v>
      </c>
      <c r="F2073" s="1013" t="s">
        <v>6033</v>
      </c>
      <c r="G2073" s="1014" t="s">
        <v>13</v>
      </c>
      <c r="H2073" s="1015">
        <v>8339</v>
      </c>
      <c r="I2073" s="1016" t="s">
        <v>6899</v>
      </c>
    </row>
    <row r="2074" spans="2:9" ht="15.75" x14ac:dyDescent="0.25">
      <c r="B2074" s="1365" t="s">
        <v>7222</v>
      </c>
      <c r="C2074" s="1013" t="s">
        <v>4468</v>
      </c>
      <c r="D2074" s="1013" t="s">
        <v>1798</v>
      </c>
      <c r="E2074" s="1014">
        <v>6517</v>
      </c>
      <c r="F2074" s="1013" t="s">
        <v>6034</v>
      </c>
      <c r="G2074" s="1014" t="s">
        <v>6</v>
      </c>
      <c r="H2074" s="1015">
        <v>13001</v>
      </c>
      <c r="I2074" s="1016" t="s">
        <v>6899</v>
      </c>
    </row>
    <row r="2075" spans="2:9" ht="15.75" x14ac:dyDescent="0.25">
      <c r="B2075" s="1365" t="s">
        <v>7222</v>
      </c>
      <c r="C2075" s="1013" t="s">
        <v>4420</v>
      </c>
      <c r="D2075" s="1013" t="s">
        <v>4420</v>
      </c>
      <c r="E2075" s="1014">
        <v>6518</v>
      </c>
      <c r="F2075" s="1013" t="s">
        <v>6035</v>
      </c>
      <c r="G2075" s="1014" t="s">
        <v>266</v>
      </c>
      <c r="H2075" s="1015">
        <v>142246</v>
      </c>
      <c r="I2075" s="1016" t="s">
        <v>6899</v>
      </c>
    </row>
    <row r="2076" spans="2:9" ht="15.75" x14ac:dyDescent="0.25">
      <c r="B2076" s="1365" t="s">
        <v>7222</v>
      </c>
      <c r="C2076" s="1013" t="s">
        <v>4420</v>
      </c>
      <c r="D2076" s="1013" t="s">
        <v>4420</v>
      </c>
      <c r="E2076" s="1014">
        <v>6519</v>
      </c>
      <c r="F2076" s="1013" t="s">
        <v>6036</v>
      </c>
      <c r="G2076" s="1014" t="s">
        <v>266</v>
      </c>
      <c r="H2076" s="1015">
        <v>24952</v>
      </c>
      <c r="I2076" s="1016" t="s">
        <v>4398</v>
      </c>
    </row>
    <row r="2077" spans="2:9" ht="15.75" x14ac:dyDescent="0.25">
      <c r="B2077" s="1365" t="s">
        <v>7222</v>
      </c>
      <c r="C2077" s="1013" t="s">
        <v>4420</v>
      </c>
      <c r="D2077" s="1013" t="s">
        <v>4420</v>
      </c>
      <c r="E2077" s="1014">
        <v>6520</v>
      </c>
      <c r="F2077" s="1013" t="s">
        <v>6037</v>
      </c>
      <c r="G2077" s="1014" t="s">
        <v>266</v>
      </c>
      <c r="H2077" s="1015">
        <v>12881</v>
      </c>
      <c r="I2077" s="1016" t="s">
        <v>4398</v>
      </c>
    </row>
    <row r="2078" spans="2:9" ht="15.75" x14ac:dyDescent="0.25">
      <c r="B2078" s="1365" t="s">
        <v>7222</v>
      </c>
      <c r="C2078" s="1013" t="s">
        <v>4420</v>
      </c>
      <c r="D2078" s="1013" t="s">
        <v>4420</v>
      </c>
      <c r="E2078" s="1014">
        <v>6521</v>
      </c>
      <c r="F2078" s="1013" t="s">
        <v>6038</v>
      </c>
      <c r="G2078" s="1014" t="s">
        <v>266</v>
      </c>
      <c r="H2078" s="1015">
        <v>6810</v>
      </c>
      <c r="I2078" s="1016" t="s">
        <v>4398</v>
      </c>
    </row>
    <row r="2079" spans="2:9" ht="15.75" x14ac:dyDescent="0.25">
      <c r="B2079" s="1365" t="s">
        <v>7222</v>
      </c>
      <c r="C2079" s="1013" t="s">
        <v>4461</v>
      </c>
      <c r="D2079" s="1013" t="s">
        <v>4461</v>
      </c>
      <c r="E2079" s="1014">
        <v>6523</v>
      </c>
      <c r="F2079" s="1013" t="s">
        <v>6039</v>
      </c>
      <c r="G2079" s="1014" t="s">
        <v>266</v>
      </c>
      <c r="H2079" s="1015">
        <v>13406</v>
      </c>
      <c r="I2079" s="1016" t="s">
        <v>4398</v>
      </c>
    </row>
    <row r="2080" spans="2:9" ht="15.75" x14ac:dyDescent="0.25">
      <c r="B2080" s="1365" t="s">
        <v>7222</v>
      </c>
      <c r="C2080" s="1013" t="s">
        <v>4461</v>
      </c>
      <c r="D2080" s="1013" t="s">
        <v>4461</v>
      </c>
      <c r="E2080" s="1014">
        <v>6524</v>
      </c>
      <c r="F2080" s="1013" t="s">
        <v>6040</v>
      </c>
      <c r="G2080" s="1014" t="s">
        <v>266</v>
      </c>
      <c r="H2080" s="1015">
        <v>64184</v>
      </c>
      <c r="I2080" s="1016" t="s">
        <v>4398</v>
      </c>
    </row>
    <row r="2081" spans="2:9" ht="15.75" x14ac:dyDescent="0.25">
      <c r="B2081" s="1365" t="s">
        <v>7222</v>
      </c>
      <c r="C2081" s="1013" t="s">
        <v>4461</v>
      </c>
      <c r="D2081" s="1013" t="s">
        <v>4461</v>
      </c>
      <c r="E2081" s="1014">
        <v>6525</v>
      </c>
      <c r="F2081" s="1013" t="s">
        <v>6041</v>
      </c>
      <c r="G2081" s="1014" t="s">
        <v>266</v>
      </c>
      <c r="H2081" s="1015">
        <v>198454</v>
      </c>
      <c r="I2081" s="1016" t="s">
        <v>4398</v>
      </c>
    </row>
    <row r="2082" spans="2:9" ht="15.75" x14ac:dyDescent="0.25">
      <c r="B2082" s="1365" t="s">
        <v>7222</v>
      </c>
      <c r="C2082" s="1013" t="s">
        <v>4405</v>
      </c>
      <c r="D2082" s="1013" t="s">
        <v>4406</v>
      </c>
      <c r="E2082" s="1014">
        <v>6527</v>
      </c>
      <c r="F2082" s="1013" t="s">
        <v>6042</v>
      </c>
      <c r="G2082" s="1014" t="s">
        <v>266</v>
      </c>
      <c r="H2082" s="1015">
        <v>544644</v>
      </c>
      <c r="I2082" s="1016" t="s">
        <v>4398</v>
      </c>
    </row>
    <row r="2083" spans="2:9" ht="15.75" x14ac:dyDescent="0.25">
      <c r="B2083" s="1365" t="s">
        <v>7222</v>
      </c>
      <c r="C2083" s="1013" t="s">
        <v>4405</v>
      </c>
      <c r="D2083" s="1013" t="s">
        <v>4406</v>
      </c>
      <c r="E2083" s="1014">
        <v>6528</v>
      </c>
      <c r="F2083" s="1013" t="s">
        <v>6043</v>
      </c>
      <c r="G2083" s="1014" t="s">
        <v>13</v>
      </c>
      <c r="H2083" s="1015">
        <v>315614</v>
      </c>
      <c r="I2083" s="1016" t="s">
        <v>4398</v>
      </c>
    </row>
    <row r="2084" spans="2:9" ht="15.75" x14ac:dyDescent="0.25">
      <c r="B2084" s="1365" t="s">
        <v>7222</v>
      </c>
      <c r="C2084" s="1013" t="s">
        <v>4405</v>
      </c>
      <c r="D2084" s="1013" t="s">
        <v>4406</v>
      </c>
      <c r="E2084" s="1014">
        <v>6529</v>
      </c>
      <c r="F2084" s="1013" t="s">
        <v>6044</v>
      </c>
      <c r="G2084" s="1014" t="s">
        <v>13</v>
      </c>
      <c r="H2084" s="1015">
        <v>319742</v>
      </c>
      <c r="I2084" s="1016" t="s">
        <v>4398</v>
      </c>
    </row>
    <row r="2085" spans="2:9" ht="15.75" x14ac:dyDescent="0.25">
      <c r="B2085" s="1365" t="s">
        <v>7222</v>
      </c>
      <c r="C2085" s="1013" t="s">
        <v>4405</v>
      </c>
      <c r="D2085" s="1013" t="s">
        <v>4406</v>
      </c>
      <c r="E2085" s="1014">
        <v>6532</v>
      </c>
      <c r="F2085" s="1013" t="s">
        <v>6045</v>
      </c>
      <c r="G2085" s="1014" t="s">
        <v>266</v>
      </c>
      <c r="H2085" s="1015">
        <v>58179</v>
      </c>
      <c r="I2085" s="1016" t="s">
        <v>4398</v>
      </c>
    </row>
    <row r="2086" spans="2:9" ht="15.75" x14ac:dyDescent="0.25">
      <c r="B2086" s="1365" t="s">
        <v>7222</v>
      </c>
      <c r="C2086" s="1013" t="s">
        <v>4454</v>
      </c>
      <c r="D2086" s="1013" t="s">
        <v>4455</v>
      </c>
      <c r="E2086" s="1014">
        <v>6533</v>
      </c>
      <c r="F2086" s="1013" t="s">
        <v>6046</v>
      </c>
      <c r="G2086" s="1014" t="s">
        <v>12</v>
      </c>
      <c r="H2086" s="1015">
        <v>28140</v>
      </c>
      <c r="I2086" s="1016" t="s">
        <v>3538</v>
      </c>
    </row>
    <row r="2087" spans="2:9" ht="15.75" x14ac:dyDescent="0.25">
      <c r="B2087" s="1365" t="s">
        <v>7222</v>
      </c>
      <c r="C2087" s="1013" t="s">
        <v>5425</v>
      </c>
      <c r="D2087" s="1013" t="s">
        <v>5615</v>
      </c>
      <c r="E2087" s="1014">
        <v>6534</v>
      </c>
      <c r="F2087" s="1013" t="s">
        <v>6047</v>
      </c>
      <c r="G2087" s="1014" t="s">
        <v>12</v>
      </c>
      <c r="H2087" s="1015">
        <v>248411</v>
      </c>
      <c r="I2087" s="1016" t="s">
        <v>6899</v>
      </c>
    </row>
    <row r="2088" spans="2:9" ht="15.75" x14ac:dyDescent="0.25">
      <c r="B2088" s="1365" t="s">
        <v>7222</v>
      </c>
      <c r="C2088" s="1013" t="s">
        <v>5425</v>
      </c>
      <c r="D2088" s="1013" t="s">
        <v>5615</v>
      </c>
      <c r="E2088" s="1014">
        <v>6535</v>
      </c>
      <c r="F2088" s="1013" t="s">
        <v>815</v>
      </c>
      <c r="G2088" s="1014" t="s">
        <v>12</v>
      </c>
      <c r="H2088" s="1015">
        <v>46621</v>
      </c>
      <c r="I2088" s="1016" t="s">
        <v>6899</v>
      </c>
    </row>
    <row r="2089" spans="2:9" ht="15.75" x14ac:dyDescent="0.25">
      <c r="B2089" s="1365" t="s">
        <v>7222</v>
      </c>
      <c r="C2089" s="1013" t="s">
        <v>5425</v>
      </c>
      <c r="D2089" s="1013" t="s">
        <v>5426</v>
      </c>
      <c r="E2089" s="1014">
        <v>6536</v>
      </c>
      <c r="F2089" s="1013" t="s">
        <v>6048</v>
      </c>
      <c r="G2089" s="1014" t="s">
        <v>12</v>
      </c>
      <c r="H2089" s="1015">
        <v>46858</v>
      </c>
      <c r="I2089" s="1016" t="s">
        <v>6899</v>
      </c>
    </row>
    <row r="2090" spans="2:9" ht="15.75" x14ac:dyDescent="0.25">
      <c r="B2090" s="1365" t="s">
        <v>7222</v>
      </c>
      <c r="C2090" s="1013" t="s">
        <v>4420</v>
      </c>
      <c r="D2090" s="1013" t="s">
        <v>4420</v>
      </c>
      <c r="E2090" s="1014">
        <v>6538</v>
      </c>
      <c r="F2090" s="1013" t="s">
        <v>6049</v>
      </c>
      <c r="G2090" s="1014" t="s">
        <v>13</v>
      </c>
      <c r="H2090" s="1015">
        <v>212129</v>
      </c>
      <c r="I2090" s="1016" t="s">
        <v>4398</v>
      </c>
    </row>
    <row r="2091" spans="2:9" ht="15.75" x14ac:dyDescent="0.25">
      <c r="B2091" s="1365" t="s">
        <v>7222</v>
      </c>
      <c r="C2091" s="1013" t="s">
        <v>4468</v>
      </c>
      <c r="D2091" s="1013" t="s">
        <v>1798</v>
      </c>
      <c r="E2091" s="1014">
        <v>6541</v>
      </c>
      <c r="F2091" s="1013" t="s">
        <v>6050</v>
      </c>
      <c r="G2091" s="1014" t="s">
        <v>13</v>
      </c>
      <c r="H2091" s="1015">
        <v>322783</v>
      </c>
      <c r="I2091" s="1016" t="s">
        <v>4398</v>
      </c>
    </row>
    <row r="2092" spans="2:9" ht="15.75" x14ac:dyDescent="0.25">
      <c r="B2092" s="1365" t="s">
        <v>7222</v>
      </c>
      <c r="C2092" s="1013" t="s">
        <v>4420</v>
      </c>
      <c r="D2092" s="1013" t="s">
        <v>4420</v>
      </c>
      <c r="E2092" s="1014">
        <v>6542</v>
      </c>
      <c r="F2092" s="1013" t="s">
        <v>6051</v>
      </c>
      <c r="G2092" s="1014" t="s">
        <v>266</v>
      </c>
      <c r="H2092" s="1015">
        <v>72001</v>
      </c>
      <c r="I2092" s="1016" t="s">
        <v>6899</v>
      </c>
    </row>
    <row r="2093" spans="2:9" ht="15.75" x14ac:dyDescent="0.25">
      <c r="B2093" s="1365" t="s">
        <v>7222</v>
      </c>
      <c r="C2093" s="1013" t="s">
        <v>4461</v>
      </c>
      <c r="D2093" s="1013" t="s">
        <v>4461</v>
      </c>
      <c r="E2093" s="1014">
        <v>6543</v>
      </c>
      <c r="F2093" s="1013" t="s">
        <v>6052</v>
      </c>
      <c r="G2093" s="1014" t="s">
        <v>266</v>
      </c>
      <c r="H2093" s="1015">
        <v>7032</v>
      </c>
      <c r="I2093" s="1016" t="s">
        <v>4398</v>
      </c>
    </row>
    <row r="2094" spans="2:9" ht="15.75" x14ac:dyDescent="0.25">
      <c r="B2094" s="1365" t="s">
        <v>7222</v>
      </c>
      <c r="C2094" s="1013" t="s">
        <v>4461</v>
      </c>
      <c r="D2094" s="1013" t="s">
        <v>4461</v>
      </c>
      <c r="E2094" s="1014">
        <v>6544</v>
      </c>
      <c r="F2094" s="1013" t="s">
        <v>6053</v>
      </c>
      <c r="G2094" s="1014" t="s">
        <v>266</v>
      </c>
      <c r="H2094" s="1015">
        <v>7052</v>
      </c>
      <c r="I2094" s="1016" t="s">
        <v>6899</v>
      </c>
    </row>
    <row r="2095" spans="2:9" ht="15.75" x14ac:dyDescent="0.25">
      <c r="B2095" s="1365" t="s">
        <v>7222</v>
      </c>
      <c r="C2095" s="1013" t="s">
        <v>4405</v>
      </c>
      <c r="D2095" s="1013" t="s">
        <v>4406</v>
      </c>
      <c r="E2095" s="1014">
        <v>6547</v>
      </c>
      <c r="F2095" s="1013" t="s">
        <v>6054</v>
      </c>
      <c r="G2095" s="1014" t="s">
        <v>266</v>
      </c>
      <c r="H2095" s="1015">
        <v>330803</v>
      </c>
      <c r="I2095" s="1016" t="s">
        <v>6899</v>
      </c>
    </row>
    <row r="2096" spans="2:9" ht="15.75" x14ac:dyDescent="0.25">
      <c r="B2096" s="1365" t="s">
        <v>7222</v>
      </c>
      <c r="C2096" s="1013" t="s">
        <v>4405</v>
      </c>
      <c r="D2096" s="1013" t="s">
        <v>4406</v>
      </c>
      <c r="E2096" s="1014">
        <v>6548</v>
      </c>
      <c r="F2096" s="1013" t="s">
        <v>6055</v>
      </c>
      <c r="G2096" s="1014" t="s">
        <v>266</v>
      </c>
      <c r="H2096" s="1015">
        <v>252564</v>
      </c>
      <c r="I2096" s="1016" t="s">
        <v>6899</v>
      </c>
    </row>
    <row r="2097" spans="2:9" ht="15.75" x14ac:dyDescent="0.25">
      <c r="B2097" s="1365" t="s">
        <v>7222</v>
      </c>
      <c r="C2097" s="1013" t="s">
        <v>5425</v>
      </c>
      <c r="D2097" s="1013" t="s">
        <v>5615</v>
      </c>
      <c r="E2097" s="1014">
        <v>6551</v>
      </c>
      <c r="F2097" s="1013" t="s">
        <v>6056</v>
      </c>
      <c r="G2097" s="1014" t="s">
        <v>12</v>
      </c>
      <c r="H2097" s="1015">
        <v>152931</v>
      </c>
      <c r="I2097" s="1016" t="s">
        <v>6899</v>
      </c>
    </row>
    <row r="2098" spans="2:9" ht="15.75" x14ac:dyDescent="0.25">
      <c r="B2098" s="1365" t="s">
        <v>7222</v>
      </c>
      <c r="C2098" s="1013" t="s">
        <v>4420</v>
      </c>
      <c r="D2098" s="1013" t="s">
        <v>4420</v>
      </c>
      <c r="E2098" s="1014">
        <v>6553</v>
      </c>
      <c r="F2098" s="1013" t="s">
        <v>6057</v>
      </c>
      <c r="G2098" s="1014" t="s">
        <v>266</v>
      </c>
      <c r="H2098" s="1015">
        <v>26620</v>
      </c>
      <c r="I2098" s="1016" t="s">
        <v>6899</v>
      </c>
    </row>
    <row r="2099" spans="2:9" ht="15.75" x14ac:dyDescent="0.25">
      <c r="B2099" s="1365" t="s">
        <v>7222</v>
      </c>
      <c r="C2099" s="1013" t="s">
        <v>4454</v>
      </c>
      <c r="D2099" s="1013" t="s">
        <v>5477</v>
      </c>
      <c r="E2099" s="1014">
        <v>6554</v>
      </c>
      <c r="F2099" s="1013" t="s">
        <v>6058</v>
      </c>
      <c r="G2099" s="1014" t="s">
        <v>13</v>
      </c>
      <c r="H2099" s="1015">
        <v>385</v>
      </c>
      <c r="I2099" s="1016" t="s">
        <v>4398</v>
      </c>
    </row>
    <row r="2100" spans="2:9" ht="15.75" x14ac:dyDescent="0.25">
      <c r="B2100" s="1365" t="s">
        <v>7222</v>
      </c>
      <c r="C2100" s="1013" t="s">
        <v>4461</v>
      </c>
      <c r="D2100" s="1013" t="s">
        <v>4461</v>
      </c>
      <c r="E2100" s="1014">
        <v>6555</v>
      </c>
      <c r="F2100" s="1013" t="s">
        <v>6059</v>
      </c>
      <c r="G2100" s="1014" t="s">
        <v>266</v>
      </c>
      <c r="H2100" s="1015">
        <v>3588</v>
      </c>
      <c r="I2100" s="1016" t="s">
        <v>6899</v>
      </c>
    </row>
    <row r="2101" spans="2:9" ht="15.75" x14ac:dyDescent="0.25">
      <c r="B2101" s="1365" t="s">
        <v>7222</v>
      </c>
      <c r="C2101" s="1013" t="s">
        <v>4461</v>
      </c>
      <c r="D2101" s="1013" t="s">
        <v>4461</v>
      </c>
      <c r="E2101" s="1014">
        <v>6556</v>
      </c>
      <c r="F2101" s="1013" t="s">
        <v>6060</v>
      </c>
      <c r="G2101" s="1014" t="s">
        <v>266</v>
      </c>
      <c r="H2101" s="1015">
        <v>86764</v>
      </c>
      <c r="I2101" s="1016" t="s">
        <v>6899</v>
      </c>
    </row>
    <row r="2102" spans="2:9" ht="15.75" x14ac:dyDescent="0.25">
      <c r="B2102" s="1365" t="s">
        <v>7222</v>
      </c>
      <c r="C2102" s="1013" t="s">
        <v>4405</v>
      </c>
      <c r="D2102" s="1013" t="s">
        <v>4406</v>
      </c>
      <c r="E2102" s="1014">
        <v>6557</v>
      </c>
      <c r="F2102" s="1013" t="s">
        <v>6061</v>
      </c>
      <c r="G2102" s="1014" t="s">
        <v>266</v>
      </c>
      <c r="H2102" s="1015">
        <v>55065839</v>
      </c>
      <c r="I2102" s="1016" t="s">
        <v>4398</v>
      </c>
    </row>
    <row r="2103" spans="2:9" ht="15.75" x14ac:dyDescent="0.25">
      <c r="B2103" s="1365" t="s">
        <v>7222</v>
      </c>
      <c r="C2103" s="1013" t="s">
        <v>4799</v>
      </c>
      <c r="D2103" s="1013" t="s">
        <v>2314</v>
      </c>
      <c r="E2103" s="1014">
        <v>6559</v>
      </c>
      <c r="F2103" s="1013" t="s">
        <v>817</v>
      </c>
      <c r="G2103" s="1014" t="s">
        <v>266</v>
      </c>
      <c r="H2103" s="1015">
        <v>806620</v>
      </c>
      <c r="I2103" s="1016" t="s">
        <v>6899</v>
      </c>
    </row>
    <row r="2104" spans="2:9" ht="15.75" x14ac:dyDescent="0.25">
      <c r="B2104" s="1365" t="s">
        <v>7222</v>
      </c>
      <c r="C2104" s="1013" t="s">
        <v>4405</v>
      </c>
      <c r="D2104" s="1013" t="s">
        <v>4406</v>
      </c>
      <c r="E2104" s="1014">
        <v>6560</v>
      </c>
      <c r="F2104" s="1013" t="s">
        <v>6062</v>
      </c>
      <c r="G2104" s="1014" t="s">
        <v>266</v>
      </c>
      <c r="H2104" s="1015">
        <v>3939851</v>
      </c>
      <c r="I2104" s="1016" t="s">
        <v>4398</v>
      </c>
    </row>
    <row r="2105" spans="2:9" ht="15.75" x14ac:dyDescent="0.25">
      <c r="B2105" s="1365" t="s">
        <v>7222</v>
      </c>
      <c r="C2105" s="1013" t="s">
        <v>4799</v>
      </c>
      <c r="D2105" s="1013" t="s">
        <v>2314</v>
      </c>
      <c r="E2105" s="1014">
        <v>6562</v>
      </c>
      <c r="F2105" s="1013" t="s">
        <v>818</v>
      </c>
      <c r="G2105" s="1014" t="s">
        <v>12</v>
      </c>
      <c r="H2105" s="1015">
        <v>79583</v>
      </c>
      <c r="I2105" s="1016" t="s">
        <v>6899</v>
      </c>
    </row>
    <row r="2106" spans="2:9" ht="15.75" x14ac:dyDescent="0.25">
      <c r="B2106" s="1365" t="s">
        <v>7222</v>
      </c>
      <c r="C2106" s="1013" t="s">
        <v>4431</v>
      </c>
      <c r="D2106" s="1013" t="s">
        <v>5094</v>
      </c>
      <c r="E2106" s="1014">
        <v>6563</v>
      </c>
      <c r="F2106" s="1013" t="s">
        <v>6063</v>
      </c>
      <c r="G2106" s="1014" t="s">
        <v>13</v>
      </c>
      <c r="H2106" s="1015">
        <v>17525</v>
      </c>
      <c r="I2106" s="1016" t="s">
        <v>4398</v>
      </c>
    </row>
    <row r="2107" spans="2:9" ht="15.75" x14ac:dyDescent="0.25">
      <c r="B2107" s="1365" t="s">
        <v>7222</v>
      </c>
      <c r="C2107" s="1013" t="s">
        <v>4454</v>
      </c>
      <c r="D2107" s="1013" t="s">
        <v>5477</v>
      </c>
      <c r="E2107" s="1014">
        <v>6564</v>
      </c>
      <c r="F2107" s="1013" t="s">
        <v>6064</v>
      </c>
      <c r="G2107" s="1014" t="s">
        <v>12</v>
      </c>
      <c r="H2107" s="1015">
        <v>675030</v>
      </c>
      <c r="I2107" s="1016" t="s">
        <v>6899</v>
      </c>
    </row>
    <row r="2108" spans="2:9" ht="15.75" x14ac:dyDescent="0.25">
      <c r="B2108" s="1365" t="s">
        <v>7222</v>
      </c>
      <c r="C2108" s="1013" t="s">
        <v>4401</v>
      </c>
      <c r="D2108" s="1013" t="s">
        <v>4401</v>
      </c>
      <c r="E2108" s="1014">
        <v>6565</v>
      </c>
      <c r="F2108" s="1013" t="s">
        <v>6065</v>
      </c>
      <c r="G2108" s="1014" t="s">
        <v>13</v>
      </c>
      <c r="H2108" s="1015">
        <v>51433</v>
      </c>
      <c r="I2108" s="1016" t="s">
        <v>6899</v>
      </c>
    </row>
    <row r="2109" spans="2:9" ht="15.75" x14ac:dyDescent="0.25">
      <c r="B2109" s="1365" t="s">
        <v>7222</v>
      </c>
      <c r="C2109" s="1013" t="s">
        <v>5425</v>
      </c>
      <c r="D2109" s="1013" t="s">
        <v>5426</v>
      </c>
      <c r="E2109" s="1014">
        <v>6567</v>
      </c>
      <c r="F2109" s="1013" t="s">
        <v>6066</v>
      </c>
      <c r="G2109" s="1014" t="s">
        <v>13</v>
      </c>
      <c r="H2109" s="1015">
        <v>364003</v>
      </c>
      <c r="I2109" s="1016" t="s">
        <v>6899</v>
      </c>
    </row>
    <row r="2110" spans="2:9" ht="15.75" x14ac:dyDescent="0.25">
      <c r="B2110" s="1365" t="s">
        <v>7222</v>
      </c>
      <c r="C2110" s="1013" t="s">
        <v>5425</v>
      </c>
      <c r="D2110" s="1013" t="s">
        <v>5426</v>
      </c>
      <c r="E2110" s="1014">
        <v>6568</v>
      </c>
      <c r="F2110" s="1013" t="s">
        <v>6067</v>
      </c>
      <c r="G2110" s="1014" t="s">
        <v>13</v>
      </c>
      <c r="H2110" s="1015">
        <v>38005</v>
      </c>
      <c r="I2110" s="1016" t="s">
        <v>4398</v>
      </c>
    </row>
    <row r="2111" spans="2:9" ht="15.75" x14ac:dyDescent="0.25">
      <c r="B2111" s="1365" t="s">
        <v>7222</v>
      </c>
      <c r="C2111" s="1013" t="s">
        <v>4454</v>
      </c>
      <c r="D2111" s="1013" t="s">
        <v>5477</v>
      </c>
      <c r="E2111" s="1014">
        <v>6569</v>
      </c>
      <c r="F2111" s="1013" t="s">
        <v>6068</v>
      </c>
      <c r="G2111" s="1014" t="s">
        <v>266</v>
      </c>
      <c r="H2111" s="1015">
        <v>302508</v>
      </c>
      <c r="I2111" s="1016" t="s">
        <v>3538</v>
      </c>
    </row>
    <row r="2112" spans="2:9" ht="15.75" x14ac:dyDescent="0.25">
      <c r="B2112" s="1365" t="s">
        <v>7222</v>
      </c>
      <c r="C2112" s="1013" t="s">
        <v>4454</v>
      </c>
      <c r="D2112" s="1013" t="s">
        <v>4455</v>
      </c>
      <c r="E2112" s="1014">
        <v>6570</v>
      </c>
      <c r="F2112" s="1013" t="s">
        <v>6069</v>
      </c>
      <c r="G2112" s="1014" t="s">
        <v>12</v>
      </c>
      <c r="H2112" s="1015">
        <v>39640</v>
      </c>
      <c r="I2112" s="1016" t="s">
        <v>3538</v>
      </c>
    </row>
    <row r="2113" spans="2:9" ht="15.75" x14ac:dyDescent="0.25">
      <c r="B2113" s="1365" t="s">
        <v>7222</v>
      </c>
      <c r="C2113" s="1013" t="s">
        <v>4454</v>
      </c>
      <c r="D2113" s="1013" t="s">
        <v>4455</v>
      </c>
      <c r="E2113" s="1014">
        <v>6571</v>
      </c>
      <c r="F2113" s="1013" t="s">
        <v>6070</v>
      </c>
      <c r="G2113" s="1014" t="s">
        <v>13</v>
      </c>
      <c r="H2113" s="1015">
        <v>2505</v>
      </c>
      <c r="I2113" s="1016" t="s">
        <v>3538</v>
      </c>
    </row>
    <row r="2114" spans="2:9" ht="15.75" x14ac:dyDescent="0.25">
      <c r="B2114" s="1365" t="s">
        <v>7222</v>
      </c>
      <c r="C2114" s="1013" t="s">
        <v>4454</v>
      </c>
      <c r="D2114" s="1013" t="s">
        <v>4455</v>
      </c>
      <c r="E2114" s="1014">
        <v>6572</v>
      </c>
      <c r="F2114" s="1013" t="s">
        <v>6071</v>
      </c>
      <c r="G2114" s="1014" t="s">
        <v>13</v>
      </c>
      <c r="H2114" s="1015">
        <v>6900</v>
      </c>
      <c r="I2114" s="1016" t="s">
        <v>3538</v>
      </c>
    </row>
    <row r="2115" spans="2:9" ht="15.75" x14ac:dyDescent="0.25">
      <c r="B2115" s="1365" t="s">
        <v>7222</v>
      </c>
      <c r="C2115" s="1013" t="s">
        <v>4405</v>
      </c>
      <c r="D2115" s="1013" t="s">
        <v>4406</v>
      </c>
      <c r="E2115" s="1014">
        <v>6574</v>
      </c>
      <c r="F2115" s="1013" t="s">
        <v>6072</v>
      </c>
      <c r="G2115" s="1014" t="s">
        <v>266</v>
      </c>
      <c r="H2115" s="1015">
        <v>56905</v>
      </c>
      <c r="I2115" s="1016" t="s">
        <v>6899</v>
      </c>
    </row>
    <row r="2116" spans="2:9" ht="15.75" x14ac:dyDescent="0.25">
      <c r="B2116" s="1365" t="s">
        <v>7222</v>
      </c>
      <c r="C2116" s="1013" t="s">
        <v>4405</v>
      </c>
      <c r="D2116" s="1013" t="s">
        <v>4406</v>
      </c>
      <c r="E2116" s="1014">
        <v>6575</v>
      </c>
      <c r="F2116" s="1013" t="s">
        <v>6073</v>
      </c>
      <c r="G2116" s="1014" t="s">
        <v>266</v>
      </c>
      <c r="H2116" s="1015">
        <v>44962</v>
      </c>
      <c r="I2116" s="1016" t="s">
        <v>6899</v>
      </c>
    </row>
    <row r="2117" spans="2:9" ht="15.75" x14ac:dyDescent="0.25">
      <c r="B2117" s="1365" t="s">
        <v>7222</v>
      </c>
      <c r="C2117" s="1013" t="s">
        <v>4405</v>
      </c>
      <c r="D2117" s="1013" t="s">
        <v>4406</v>
      </c>
      <c r="E2117" s="1014">
        <v>6576</v>
      </c>
      <c r="F2117" s="1013" t="s">
        <v>6074</v>
      </c>
      <c r="G2117" s="1014" t="s">
        <v>266</v>
      </c>
      <c r="H2117" s="1015">
        <v>110306</v>
      </c>
      <c r="I2117" s="1016" t="s">
        <v>6899</v>
      </c>
    </row>
    <row r="2118" spans="2:9" ht="15.75" x14ac:dyDescent="0.25">
      <c r="B2118" s="1365" t="s">
        <v>7222</v>
      </c>
      <c r="C2118" s="1013" t="s">
        <v>4451</v>
      </c>
      <c r="D2118" s="1013" t="s">
        <v>4616</v>
      </c>
      <c r="E2118" s="1014">
        <v>6577</v>
      </c>
      <c r="F2118" s="1013" t="s">
        <v>6075</v>
      </c>
      <c r="G2118" s="1014" t="s">
        <v>266</v>
      </c>
      <c r="H2118" s="1015">
        <v>1094193</v>
      </c>
      <c r="I2118" s="1016" t="s">
        <v>6899</v>
      </c>
    </row>
    <row r="2119" spans="2:9" ht="15.75" x14ac:dyDescent="0.25">
      <c r="B2119" s="1365" t="s">
        <v>7222</v>
      </c>
      <c r="C2119" s="1013" t="s">
        <v>4454</v>
      </c>
      <c r="D2119" s="1013" t="s">
        <v>4455</v>
      </c>
      <c r="E2119" s="1014">
        <v>6579</v>
      </c>
      <c r="F2119" s="1013" t="s">
        <v>6076</v>
      </c>
      <c r="G2119" s="1014" t="s">
        <v>13</v>
      </c>
      <c r="H2119" s="1015">
        <v>7929</v>
      </c>
      <c r="I2119" s="1016" t="s">
        <v>3538</v>
      </c>
    </row>
    <row r="2120" spans="2:9" ht="15.75" x14ac:dyDescent="0.25">
      <c r="B2120" s="1365" t="s">
        <v>7222</v>
      </c>
      <c r="C2120" s="1013" t="s">
        <v>4454</v>
      </c>
      <c r="D2120" s="1013" t="s">
        <v>4455</v>
      </c>
      <c r="E2120" s="1014">
        <v>6580</v>
      </c>
      <c r="F2120" s="1013" t="s">
        <v>6077</v>
      </c>
      <c r="G2120" s="1014" t="s">
        <v>266</v>
      </c>
      <c r="H2120" s="1015">
        <v>35676</v>
      </c>
      <c r="I2120" s="1016" t="s">
        <v>3538</v>
      </c>
    </row>
    <row r="2121" spans="2:9" ht="15.75" x14ac:dyDescent="0.25">
      <c r="B2121" s="1365" t="s">
        <v>7222</v>
      </c>
      <c r="C2121" s="1013" t="s">
        <v>4454</v>
      </c>
      <c r="D2121" s="1013" t="s">
        <v>4455</v>
      </c>
      <c r="E2121" s="1014">
        <v>6581</v>
      </c>
      <c r="F2121" s="1013" t="s">
        <v>6078</v>
      </c>
      <c r="G2121" s="1014" t="s">
        <v>266</v>
      </c>
      <c r="H2121" s="1015">
        <v>10703</v>
      </c>
      <c r="I2121" s="1016" t="s">
        <v>3538</v>
      </c>
    </row>
    <row r="2122" spans="2:9" ht="15.75" x14ac:dyDescent="0.25">
      <c r="B2122" s="1365" t="s">
        <v>7222</v>
      </c>
      <c r="C2122" s="1013" t="s">
        <v>4454</v>
      </c>
      <c r="D2122" s="1013" t="s">
        <v>4455</v>
      </c>
      <c r="E2122" s="1014">
        <v>6582</v>
      </c>
      <c r="F2122" s="1013" t="s">
        <v>6079</v>
      </c>
      <c r="G2122" s="1014" t="s">
        <v>266</v>
      </c>
      <c r="H2122" s="1015">
        <v>179566</v>
      </c>
      <c r="I2122" s="1016" t="s">
        <v>3538</v>
      </c>
    </row>
    <row r="2123" spans="2:9" ht="15.75" x14ac:dyDescent="0.25">
      <c r="B2123" s="1365" t="s">
        <v>7222</v>
      </c>
      <c r="C2123" s="1013" t="s">
        <v>4454</v>
      </c>
      <c r="D2123" s="1013" t="s">
        <v>4455</v>
      </c>
      <c r="E2123" s="1014">
        <v>6583</v>
      </c>
      <c r="F2123" s="1013" t="s">
        <v>6080</v>
      </c>
      <c r="G2123" s="1014" t="s">
        <v>266</v>
      </c>
      <c r="H2123" s="1015">
        <v>127245</v>
      </c>
      <c r="I2123" s="1016" t="s">
        <v>3538</v>
      </c>
    </row>
    <row r="2124" spans="2:9" ht="15.75" x14ac:dyDescent="0.25">
      <c r="B2124" s="1365" t="s">
        <v>7222</v>
      </c>
      <c r="C2124" s="1013" t="s">
        <v>4454</v>
      </c>
      <c r="D2124" s="1013" t="s">
        <v>4455</v>
      </c>
      <c r="E2124" s="1014">
        <v>6584</v>
      </c>
      <c r="F2124" s="1013" t="s">
        <v>6081</v>
      </c>
      <c r="G2124" s="1014" t="s">
        <v>266</v>
      </c>
      <c r="H2124" s="1015">
        <v>15381</v>
      </c>
      <c r="I2124" s="1016" t="s">
        <v>3538</v>
      </c>
    </row>
    <row r="2125" spans="2:9" ht="15.75" x14ac:dyDescent="0.25">
      <c r="B2125" s="1365" t="s">
        <v>7222</v>
      </c>
      <c r="C2125" s="1013" t="s">
        <v>4454</v>
      </c>
      <c r="D2125" s="1013" t="s">
        <v>4455</v>
      </c>
      <c r="E2125" s="1014">
        <v>6585</v>
      </c>
      <c r="F2125" s="1013" t="s">
        <v>6082</v>
      </c>
      <c r="G2125" s="1014" t="s">
        <v>266</v>
      </c>
      <c r="H2125" s="1015">
        <v>165894</v>
      </c>
      <c r="I2125" s="1016" t="s">
        <v>3538</v>
      </c>
    </row>
    <row r="2126" spans="2:9" ht="15.75" x14ac:dyDescent="0.25">
      <c r="B2126" s="1365" t="s">
        <v>7222</v>
      </c>
      <c r="C2126" s="1013" t="s">
        <v>4454</v>
      </c>
      <c r="D2126" s="1013" t="s">
        <v>4455</v>
      </c>
      <c r="E2126" s="1014">
        <v>6586</v>
      </c>
      <c r="F2126" s="1013" t="s">
        <v>6083</v>
      </c>
      <c r="G2126" s="1014" t="s">
        <v>266</v>
      </c>
      <c r="H2126" s="1015">
        <v>71003</v>
      </c>
      <c r="I2126" s="1016" t="s">
        <v>4398</v>
      </c>
    </row>
    <row r="2127" spans="2:9" ht="15.75" x14ac:dyDescent="0.25">
      <c r="B2127" s="1365" t="s">
        <v>7222</v>
      </c>
      <c r="C2127" s="1013" t="s">
        <v>4454</v>
      </c>
      <c r="D2127" s="1013" t="s">
        <v>4455</v>
      </c>
      <c r="E2127" s="1014">
        <v>6587</v>
      </c>
      <c r="F2127" s="1013" t="s">
        <v>6084</v>
      </c>
      <c r="G2127" s="1014" t="s">
        <v>266</v>
      </c>
      <c r="H2127" s="1015">
        <v>63863</v>
      </c>
      <c r="I2127" s="1016" t="s">
        <v>4398</v>
      </c>
    </row>
    <row r="2128" spans="2:9" ht="15.75" x14ac:dyDescent="0.25">
      <c r="B2128" s="1365" t="s">
        <v>7222</v>
      </c>
      <c r="C2128" s="1013" t="s">
        <v>4454</v>
      </c>
      <c r="D2128" s="1013" t="s">
        <v>4455</v>
      </c>
      <c r="E2128" s="1014">
        <v>6588</v>
      </c>
      <c r="F2128" s="1013" t="s">
        <v>6085</v>
      </c>
      <c r="G2128" s="1014" t="s">
        <v>12</v>
      </c>
      <c r="H2128" s="1015">
        <v>51037</v>
      </c>
      <c r="I2128" s="1016" t="s">
        <v>4398</v>
      </c>
    </row>
    <row r="2129" spans="2:9" ht="15.75" x14ac:dyDescent="0.25">
      <c r="B2129" s="1365" t="s">
        <v>7222</v>
      </c>
      <c r="C2129" s="1013" t="s">
        <v>4454</v>
      </c>
      <c r="D2129" s="1013" t="s">
        <v>4455</v>
      </c>
      <c r="E2129" s="1014">
        <v>6589</v>
      </c>
      <c r="F2129" s="1013" t="s">
        <v>6086</v>
      </c>
      <c r="G2129" s="1014" t="s">
        <v>13</v>
      </c>
      <c r="H2129" s="1015">
        <v>29000</v>
      </c>
      <c r="I2129" s="1016" t="s">
        <v>4398</v>
      </c>
    </row>
    <row r="2130" spans="2:9" ht="15.75" x14ac:dyDescent="0.25">
      <c r="B2130" s="1365" t="s">
        <v>7222</v>
      </c>
      <c r="C2130" s="1013" t="s">
        <v>4454</v>
      </c>
      <c r="D2130" s="1013" t="s">
        <v>4455</v>
      </c>
      <c r="E2130" s="1014">
        <v>6590</v>
      </c>
      <c r="F2130" s="1013" t="s">
        <v>6087</v>
      </c>
      <c r="G2130" s="1014" t="s">
        <v>12</v>
      </c>
      <c r="H2130" s="1015">
        <v>35181</v>
      </c>
      <c r="I2130" s="1016" t="s">
        <v>4398</v>
      </c>
    </row>
    <row r="2131" spans="2:9" ht="15.75" x14ac:dyDescent="0.25">
      <c r="B2131" s="1365" t="s">
        <v>7222</v>
      </c>
      <c r="C2131" s="1013" t="s">
        <v>4454</v>
      </c>
      <c r="D2131" s="1013" t="s">
        <v>4455</v>
      </c>
      <c r="E2131" s="1014">
        <v>6591</v>
      </c>
      <c r="F2131" s="1013" t="s">
        <v>6088</v>
      </c>
      <c r="G2131" s="1014" t="s">
        <v>13</v>
      </c>
      <c r="H2131" s="1015">
        <v>15942</v>
      </c>
      <c r="I2131" s="1016" t="s">
        <v>4398</v>
      </c>
    </row>
    <row r="2132" spans="2:9" ht="15.75" x14ac:dyDescent="0.25">
      <c r="B2132" s="1365" t="s">
        <v>7222</v>
      </c>
      <c r="C2132" s="1013" t="s">
        <v>4454</v>
      </c>
      <c r="D2132" s="1013" t="s">
        <v>4455</v>
      </c>
      <c r="E2132" s="1014">
        <v>6592</v>
      </c>
      <c r="F2132" s="1013" t="s">
        <v>6089</v>
      </c>
      <c r="G2132" s="1014" t="s">
        <v>13</v>
      </c>
      <c r="H2132" s="1015">
        <v>15942</v>
      </c>
      <c r="I2132" s="1016" t="s">
        <v>4398</v>
      </c>
    </row>
    <row r="2133" spans="2:9" ht="15.75" x14ac:dyDescent="0.25">
      <c r="B2133" s="1365" t="s">
        <v>7222</v>
      </c>
      <c r="C2133" s="1013" t="s">
        <v>4454</v>
      </c>
      <c r="D2133" s="1013" t="s">
        <v>4455</v>
      </c>
      <c r="E2133" s="1014">
        <v>6593</v>
      </c>
      <c r="F2133" s="1013" t="s">
        <v>6090</v>
      </c>
      <c r="G2133" s="1014" t="s">
        <v>266</v>
      </c>
      <c r="H2133" s="1015">
        <v>266639</v>
      </c>
      <c r="I2133" s="1016" t="s">
        <v>4398</v>
      </c>
    </row>
    <row r="2134" spans="2:9" ht="15.75" x14ac:dyDescent="0.25">
      <c r="B2134" s="1365" t="s">
        <v>7222</v>
      </c>
      <c r="C2134" s="1013" t="s">
        <v>4454</v>
      </c>
      <c r="D2134" s="1013" t="s">
        <v>4455</v>
      </c>
      <c r="E2134" s="1014">
        <v>6594</v>
      </c>
      <c r="F2134" s="1013" t="s">
        <v>6091</v>
      </c>
      <c r="G2134" s="1014" t="s">
        <v>266</v>
      </c>
      <c r="H2134" s="1015">
        <v>43433</v>
      </c>
      <c r="I2134" s="1016" t="s">
        <v>4398</v>
      </c>
    </row>
    <row r="2135" spans="2:9" ht="15.75" x14ac:dyDescent="0.25">
      <c r="B2135" s="1365" t="s">
        <v>7222</v>
      </c>
      <c r="C2135" s="1013" t="s">
        <v>4454</v>
      </c>
      <c r="D2135" s="1013" t="s">
        <v>4455</v>
      </c>
      <c r="E2135" s="1014">
        <v>6595</v>
      </c>
      <c r="F2135" s="1013" t="s">
        <v>6092</v>
      </c>
      <c r="G2135" s="1014" t="s">
        <v>266</v>
      </c>
      <c r="H2135" s="1015">
        <v>16477</v>
      </c>
      <c r="I2135" s="1016" t="s">
        <v>4398</v>
      </c>
    </row>
    <row r="2136" spans="2:9" ht="15.75" x14ac:dyDescent="0.25">
      <c r="B2136" s="1365" t="s">
        <v>7222</v>
      </c>
      <c r="C2136" s="1013" t="s">
        <v>4454</v>
      </c>
      <c r="D2136" s="1013" t="s">
        <v>4455</v>
      </c>
      <c r="E2136" s="1014">
        <v>6596</v>
      </c>
      <c r="F2136" s="1013" t="s">
        <v>6093</v>
      </c>
      <c r="G2136" s="1014" t="s">
        <v>266</v>
      </c>
      <c r="H2136" s="1015">
        <v>202558</v>
      </c>
      <c r="I2136" s="1016" t="s">
        <v>4398</v>
      </c>
    </row>
    <row r="2137" spans="2:9" ht="15.75" x14ac:dyDescent="0.25">
      <c r="B2137" s="1365" t="s">
        <v>7222</v>
      </c>
      <c r="C2137" s="1013" t="s">
        <v>4405</v>
      </c>
      <c r="D2137" s="1013" t="s">
        <v>4406</v>
      </c>
      <c r="E2137" s="1014">
        <v>6598</v>
      </c>
      <c r="F2137" s="1013" t="s">
        <v>6094</v>
      </c>
      <c r="G2137" s="1014" t="s">
        <v>266</v>
      </c>
      <c r="H2137" s="1015">
        <v>28787337</v>
      </c>
      <c r="I2137" s="1016" t="s">
        <v>6899</v>
      </c>
    </row>
    <row r="2138" spans="2:9" ht="15.75" x14ac:dyDescent="0.25">
      <c r="B2138" s="1365" t="s">
        <v>7225</v>
      </c>
      <c r="C2138" s="1013" t="s">
        <v>4461</v>
      </c>
      <c r="D2138" s="1013" t="s">
        <v>4461</v>
      </c>
      <c r="E2138" s="1014">
        <v>6600</v>
      </c>
      <c r="F2138" s="1013" t="s">
        <v>6095</v>
      </c>
      <c r="G2138" s="1014" t="s">
        <v>266</v>
      </c>
      <c r="H2138" s="1015">
        <v>12864</v>
      </c>
      <c r="I2138" s="1016" t="s">
        <v>6899</v>
      </c>
    </row>
    <row r="2139" spans="2:9" ht="15.75" x14ac:dyDescent="0.25">
      <c r="B2139" s="1365" t="s">
        <v>7225</v>
      </c>
      <c r="C2139" s="1013" t="s">
        <v>4468</v>
      </c>
      <c r="D2139" s="1013" t="s">
        <v>4469</v>
      </c>
      <c r="E2139" s="1014">
        <v>6648</v>
      </c>
      <c r="F2139" s="1013" t="s">
        <v>6096</v>
      </c>
      <c r="G2139" s="1014" t="s">
        <v>3</v>
      </c>
      <c r="H2139" s="1015">
        <v>867548</v>
      </c>
      <c r="I2139" s="1016" t="s">
        <v>6899</v>
      </c>
    </row>
    <row r="2140" spans="2:9" ht="15.75" x14ac:dyDescent="0.25">
      <c r="B2140" s="1365" t="s">
        <v>7225</v>
      </c>
      <c r="C2140" s="1013" t="s">
        <v>4468</v>
      </c>
      <c r="D2140" s="1013" t="s">
        <v>4469</v>
      </c>
      <c r="E2140" s="1014">
        <v>6656</v>
      </c>
      <c r="F2140" s="1013" t="s">
        <v>6097</v>
      </c>
      <c r="G2140" s="1014" t="s">
        <v>3</v>
      </c>
      <c r="H2140" s="1015">
        <v>889174</v>
      </c>
      <c r="I2140" s="1016" t="s">
        <v>6899</v>
      </c>
    </row>
    <row r="2141" spans="2:9" ht="15.75" x14ac:dyDescent="0.25">
      <c r="B2141" s="1365" t="s">
        <v>7225</v>
      </c>
      <c r="C2141" s="1013" t="s">
        <v>4405</v>
      </c>
      <c r="D2141" s="1013" t="s">
        <v>4406</v>
      </c>
      <c r="E2141" s="1014">
        <v>6658</v>
      </c>
      <c r="F2141" s="1013" t="s">
        <v>6098</v>
      </c>
      <c r="G2141" s="1014" t="s">
        <v>13</v>
      </c>
      <c r="H2141" s="1015">
        <v>32002</v>
      </c>
      <c r="I2141" s="1016" t="s">
        <v>4398</v>
      </c>
    </row>
    <row r="2142" spans="2:9" ht="15.75" x14ac:dyDescent="0.25">
      <c r="B2142" s="1365" t="s">
        <v>7225</v>
      </c>
      <c r="C2142" s="1013" t="s">
        <v>4468</v>
      </c>
      <c r="D2142" s="1013" t="s">
        <v>4469</v>
      </c>
      <c r="E2142" s="1014">
        <v>6661</v>
      </c>
      <c r="F2142" s="1013" t="s">
        <v>6099</v>
      </c>
      <c r="G2142" s="1014" t="s">
        <v>3</v>
      </c>
      <c r="H2142" s="1015">
        <v>824089</v>
      </c>
      <c r="I2142" s="1016" t="s">
        <v>6899</v>
      </c>
    </row>
    <row r="2143" spans="2:9" ht="15.75" x14ac:dyDescent="0.25">
      <c r="B2143" s="1365" t="s">
        <v>7225</v>
      </c>
      <c r="C2143" s="1013" t="s">
        <v>4468</v>
      </c>
      <c r="D2143" s="1013" t="s">
        <v>4469</v>
      </c>
      <c r="E2143" s="1014">
        <v>6665</v>
      </c>
      <c r="F2143" s="1013" t="s">
        <v>6100</v>
      </c>
      <c r="G2143" s="1014" t="s">
        <v>3</v>
      </c>
      <c r="H2143" s="1015">
        <v>885341</v>
      </c>
      <c r="I2143" s="1016" t="s">
        <v>6899</v>
      </c>
    </row>
    <row r="2144" spans="2:9" ht="15.75" x14ac:dyDescent="0.25">
      <c r="B2144" s="1365" t="s">
        <v>7225</v>
      </c>
      <c r="C2144" s="1013" t="s">
        <v>4405</v>
      </c>
      <c r="D2144" s="1013" t="s">
        <v>4406</v>
      </c>
      <c r="E2144" s="1014">
        <v>6673</v>
      </c>
      <c r="F2144" s="1013" t="s">
        <v>6101</v>
      </c>
      <c r="G2144" s="1014" t="s">
        <v>266</v>
      </c>
      <c r="H2144" s="1015">
        <v>198874</v>
      </c>
      <c r="I2144" s="1016" t="s">
        <v>6899</v>
      </c>
    </row>
    <row r="2145" spans="2:9" ht="15.75" x14ac:dyDescent="0.25">
      <c r="B2145" s="1365" t="s">
        <v>7225</v>
      </c>
      <c r="C2145" s="1013" t="s">
        <v>4405</v>
      </c>
      <c r="D2145" s="1013" t="s">
        <v>4406</v>
      </c>
      <c r="E2145" s="1014">
        <v>6675</v>
      </c>
      <c r="F2145" s="1013" t="s">
        <v>6102</v>
      </c>
      <c r="G2145" s="1014" t="s">
        <v>266</v>
      </c>
      <c r="H2145" s="1015">
        <v>257214</v>
      </c>
      <c r="I2145" s="1016" t="s">
        <v>6899</v>
      </c>
    </row>
    <row r="2146" spans="2:9" ht="15.75" x14ac:dyDescent="0.25">
      <c r="B2146" s="1365" t="s">
        <v>7225</v>
      </c>
      <c r="C2146" s="1013" t="s">
        <v>4405</v>
      </c>
      <c r="D2146" s="1013" t="s">
        <v>4406</v>
      </c>
      <c r="E2146" s="1014">
        <v>6676</v>
      </c>
      <c r="F2146" s="1013" t="s">
        <v>6103</v>
      </c>
      <c r="G2146" s="1014" t="s">
        <v>266</v>
      </c>
      <c r="H2146" s="1015">
        <v>152457</v>
      </c>
      <c r="I2146" s="1016" t="s">
        <v>6899</v>
      </c>
    </row>
    <row r="2147" spans="2:9" ht="15.75" x14ac:dyDescent="0.25">
      <c r="B2147" s="1365" t="s">
        <v>7225</v>
      </c>
      <c r="C2147" s="1013" t="s">
        <v>4431</v>
      </c>
      <c r="D2147" s="1013" t="s">
        <v>4432</v>
      </c>
      <c r="E2147" s="1014">
        <v>6687</v>
      </c>
      <c r="F2147" s="1013" t="s">
        <v>6104</v>
      </c>
      <c r="G2147" s="1014" t="s">
        <v>266</v>
      </c>
      <c r="H2147" s="1015">
        <v>2551943</v>
      </c>
      <c r="I2147" s="1016" t="s">
        <v>6899</v>
      </c>
    </row>
    <row r="2148" spans="2:9" ht="15.75" x14ac:dyDescent="0.25">
      <c r="B2148" s="1365" t="s">
        <v>7225</v>
      </c>
      <c r="C2148" s="1013" t="s">
        <v>4468</v>
      </c>
      <c r="D2148" s="1013" t="s">
        <v>4469</v>
      </c>
      <c r="E2148" s="1014">
        <v>6710</v>
      </c>
      <c r="F2148" s="1013" t="s">
        <v>6105</v>
      </c>
      <c r="G2148" s="1014" t="s">
        <v>3</v>
      </c>
      <c r="H2148" s="1015">
        <v>859674</v>
      </c>
      <c r="I2148" s="1016" t="s">
        <v>6899</v>
      </c>
    </row>
    <row r="2149" spans="2:9" ht="15.75" x14ac:dyDescent="0.25">
      <c r="B2149" s="1365" t="s">
        <v>7225</v>
      </c>
      <c r="C2149" s="1013" t="s">
        <v>4431</v>
      </c>
      <c r="D2149" s="1013" t="s">
        <v>4432</v>
      </c>
      <c r="E2149" s="1014">
        <v>6715</v>
      </c>
      <c r="F2149" s="1013" t="s">
        <v>6106</v>
      </c>
      <c r="G2149" s="1014" t="s">
        <v>266</v>
      </c>
      <c r="H2149" s="1015">
        <v>3125491</v>
      </c>
      <c r="I2149" s="1016" t="s">
        <v>6899</v>
      </c>
    </row>
    <row r="2150" spans="2:9" ht="15.75" x14ac:dyDescent="0.25">
      <c r="B2150" s="1365" t="s">
        <v>7225</v>
      </c>
      <c r="C2150" s="1013" t="s">
        <v>4431</v>
      </c>
      <c r="D2150" s="1013" t="s">
        <v>4432</v>
      </c>
      <c r="E2150" s="1014">
        <v>6717</v>
      </c>
      <c r="F2150" s="1013" t="s">
        <v>6107</v>
      </c>
      <c r="G2150" s="1014" t="s">
        <v>266</v>
      </c>
      <c r="H2150" s="1015">
        <v>2837766</v>
      </c>
      <c r="I2150" s="1016" t="s">
        <v>6899</v>
      </c>
    </row>
    <row r="2151" spans="2:9" ht="15.75" x14ac:dyDescent="0.25">
      <c r="B2151" s="1365" t="s">
        <v>7225</v>
      </c>
      <c r="C2151" s="1013" t="s">
        <v>4431</v>
      </c>
      <c r="D2151" s="1013" t="s">
        <v>4432</v>
      </c>
      <c r="E2151" s="1014">
        <v>6718</v>
      </c>
      <c r="F2151" s="1013" t="s">
        <v>6108</v>
      </c>
      <c r="G2151" s="1014" t="s">
        <v>266</v>
      </c>
      <c r="H2151" s="1015">
        <v>2991992</v>
      </c>
      <c r="I2151" s="1016" t="s">
        <v>6899</v>
      </c>
    </row>
    <row r="2152" spans="2:9" ht="15.75" x14ac:dyDescent="0.25">
      <c r="B2152" s="1365" t="s">
        <v>7225</v>
      </c>
      <c r="C2152" s="1013" t="s">
        <v>4431</v>
      </c>
      <c r="D2152" s="1013" t="s">
        <v>4432</v>
      </c>
      <c r="E2152" s="1014">
        <v>6719</v>
      </c>
      <c r="F2152" s="1013" t="s">
        <v>6109</v>
      </c>
      <c r="G2152" s="1014" t="s">
        <v>266</v>
      </c>
      <c r="H2152" s="1015">
        <v>3468766</v>
      </c>
      <c r="I2152" s="1016" t="s">
        <v>6899</v>
      </c>
    </row>
    <row r="2153" spans="2:9" ht="15.75" x14ac:dyDescent="0.25">
      <c r="B2153" s="1365" t="s">
        <v>7225</v>
      </c>
      <c r="C2153" s="1013" t="s">
        <v>4431</v>
      </c>
      <c r="D2153" s="1013" t="s">
        <v>4432</v>
      </c>
      <c r="E2153" s="1014">
        <v>6720</v>
      </c>
      <c r="F2153" s="1013" t="s">
        <v>6110</v>
      </c>
      <c r="G2153" s="1014" t="s">
        <v>266</v>
      </c>
      <c r="H2153" s="1015">
        <v>3919292</v>
      </c>
      <c r="I2153" s="1016" t="s">
        <v>6899</v>
      </c>
    </row>
    <row r="2154" spans="2:9" ht="15.75" x14ac:dyDescent="0.25">
      <c r="B2154" s="1365" t="s">
        <v>7225</v>
      </c>
      <c r="C2154" s="1013" t="s">
        <v>4431</v>
      </c>
      <c r="D2154" s="1013" t="s">
        <v>4432</v>
      </c>
      <c r="E2154" s="1014">
        <v>6742</v>
      </c>
      <c r="F2154" s="1013" t="s">
        <v>6111</v>
      </c>
      <c r="G2154" s="1014" t="s">
        <v>13</v>
      </c>
      <c r="H2154" s="1015">
        <v>590709</v>
      </c>
      <c r="I2154" s="1016" t="s">
        <v>4398</v>
      </c>
    </row>
    <row r="2155" spans="2:9" ht="15.75" x14ac:dyDescent="0.25">
      <c r="B2155" s="1365" t="s">
        <v>7225</v>
      </c>
      <c r="C2155" s="1013" t="s">
        <v>4461</v>
      </c>
      <c r="D2155" s="1013" t="s">
        <v>4461</v>
      </c>
      <c r="E2155" s="1014">
        <v>6755</v>
      </c>
      <c r="F2155" s="1013" t="s">
        <v>6112</v>
      </c>
      <c r="G2155" s="1014" t="s">
        <v>266</v>
      </c>
      <c r="H2155" s="1015">
        <v>25674</v>
      </c>
      <c r="I2155" s="1016" t="s">
        <v>6899</v>
      </c>
    </row>
    <row r="2156" spans="2:9" ht="15.75" x14ac:dyDescent="0.25">
      <c r="B2156" s="1365" t="s">
        <v>7225</v>
      </c>
      <c r="C2156" s="1013" t="s">
        <v>4468</v>
      </c>
      <c r="D2156" s="1013" t="s">
        <v>4469</v>
      </c>
      <c r="E2156" s="1014">
        <v>6763</v>
      </c>
      <c r="F2156" s="1013" t="s">
        <v>6113</v>
      </c>
      <c r="G2156" s="1014" t="s">
        <v>3</v>
      </c>
      <c r="H2156" s="1015">
        <v>943194</v>
      </c>
      <c r="I2156" s="1016" t="s">
        <v>6899</v>
      </c>
    </row>
    <row r="2157" spans="2:9" ht="15.75" x14ac:dyDescent="0.25">
      <c r="B2157" s="1365" t="s">
        <v>7225</v>
      </c>
      <c r="C2157" s="1013" t="s">
        <v>4468</v>
      </c>
      <c r="D2157" s="1013" t="s">
        <v>4469</v>
      </c>
      <c r="E2157" s="1014">
        <v>6765</v>
      </c>
      <c r="F2157" s="1013" t="s">
        <v>6114</v>
      </c>
      <c r="G2157" s="1014" t="s">
        <v>3</v>
      </c>
      <c r="H2157" s="1015">
        <v>907357</v>
      </c>
      <c r="I2157" s="1016" t="s">
        <v>6899</v>
      </c>
    </row>
    <row r="2158" spans="2:9" ht="15.75" x14ac:dyDescent="0.25">
      <c r="B2158" s="1365" t="s">
        <v>7225</v>
      </c>
      <c r="C2158" s="1013" t="s">
        <v>4468</v>
      </c>
      <c r="D2158" s="1013" t="s">
        <v>4469</v>
      </c>
      <c r="E2158" s="1014">
        <v>6774</v>
      </c>
      <c r="F2158" s="1013" t="s">
        <v>6115</v>
      </c>
      <c r="G2158" s="1014" t="s">
        <v>3</v>
      </c>
      <c r="H2158" s="1015">
        <v>797718</v>
      </c>
      <c r="I2158" s="1016" t="s">
        <v>6899</v>
      </c>
    </row>
    <row r="2159" spans="2:9" ht="15.75" x14ac:dyDescent="0.25">
      <c r="B2159" s="1365" t="s">
        <v>7225</v>
      </c>
      <c r="C2159" s="1013" t="s">
        <v>4468</v>
      </c>
      <c r="D2159" s="1013" t="s">
        <v>4469</v>
      </c>
      <c r="E2159" s="1014">
        <v>6775</v>
      </c>
      <c r="F2159" s="1013" t="s">
        <v>6116</v>
      </c>
      <c r="G2159" s="1014" t="s">
        <v>3</v>
      </c>
      <c r="H2159" s="1015">
        <v>918687</v>
      </c>
      <c r="I2159" s="1016" t="s">
        <v>6899</v>
      </c>
    </row>
    <row r="2160" spans="2:9" ht="15.75" x14ac:dyDescent="0.25">
      <c r="B2160" s="1365" t="s">
        <v>7225</v>
      </c>
      <c r="C2160" s="1013" t="s">
        <v>4454</v>
      </c>
      <c r="D2160" s="1013" t="s">
        <v>4455</v>
      </c>
      <c r="E2160" s="1014">
        <v>6779</v>
      </c>
      <c r="F2160" s="1013" t="s">
        <v>6117</v>
      </c>
      <c r="G2160" s="1014" t="s">
        <v>266</v>
      </c>
      <c r="H2160" s="1015">
        <v>591096</v>
      </c>
      <c r="I2160" s="1016" t="s">
        <v>4398</v>
      </c>
    </row>
    <row r="2161" spans="2:9" ht="15.75" x14ac:dyDescent="0.25">
      <c r="B2161" s="1365" t="s">
        <v>7225</v>
      </c>
      <c r="C2161" s="1013" t="s">
        <v>4461</v>
      </c>
      <c r="D2161" s="1013" t="s">
        <v>4461</v>
      </c>
      <c r="E2161" s="1014">
        <v>6801</v>
      </c>
      <c r="F2161" s="1013" t="s">
        <v>6118</v>
      </c>
      <c r="G2161" s="1014" t="s">
        <v>266</v>
      </c>
      <c r="H2161" s="1015">
        <v>11135</v>
      </c>
      <c r="I2161" s="1016" t="s">
        <v>6899</v>
      </c>
    </row>
    <row r="2162" spans="2:9" ht="15.75" x14ac:dyDescent="0.25">
      <c r="B2162" s="1365" t="s">
        <v>7225</v>
      </c>
      <c r="C2162" s="1013" t="s">
        <v>4454</v>
      </c>
      <c r="D2162" s="1013" t="s">
        <v>4634</v>
      </c>
      <c r="E2162" s="1014">
        <v>6848</v>
      </c>
      <c r="F2162" s="1013" t="s">
        <v>6119</v>
      </c>
      <c r="G2162" s="1014" t="s">
        <v>266</v>
      </c>
      <c r="H2162" s="1015">
        <v>369986</v>
      </c>
      <c r="I2162" s="1016" t="s">
        <v>6899</v>
      </c>
    </row>
    <row r="2163" spans="2:9" ht="15.75" x14ac:dyDescent="0.25">
      <c r="B2163" s="1365" t="s">
        <v>7225</v>
      </c>
      <c r="C2163" s="1013" t="s">
        <v>4454</v>
      </c>
      <c r="D2163" s="1013" t="s">
        <v>4455</v>
      </c>
      <c r="E2163" s="1014">
        <v>6856</v>
      </c>
      <c r="F2163" s="1013" t="s">
        <v>6120</v>
      </c>
      <c r="G2163" s="1014" t="s">
        <v>266</v>
      </c>
      <c r="H2163" s="1015">
        <v>674883</v>
      </c>
      <c r="I2163" s="1016" t="s">
        <v>3538</v>
      </c>
    </row>
    <row r="2164" spans="2:9" ht="15.75" x14ac:dyDescent="0.25">
      <c r="B2164" s="1365" t="s">
        <v>7225</v>
      </c>
      <c r="C2164" s="1013" t="s">
        <v>4461</v>
      </c>
      <c r="D2164" s="1013" t="s">
        <v>4461</v>
      </c>
      <c r="E2164" s="1014">
        <v>6857</v>
      </c>
      <c r="F2164" s="1013" t="s">
        <v>821</v>
      </c>
      <c r="G2164" s="1014" t="s">
        <v>266</v>
      </c>
      <c r="H2164" s="1015">
        <v>55427</v>
      </c>
      <c r="I2164" s="1016" t="s">
        <v>6899</v>
      </c>
    </row>
    <row r="2165" spans="2:9" ht="15.75" x14ac:dyDescent="0.25">
      <c r="B2165" s="1365" t="s">
        <v>7225</v>
      </c>
      <c r="C2165" s="1013" t="s">
        <v>4454</v>
      </c>
      <c r="D2165" s="1013" t="s">
        <v>4455</v>
      </c>
      <c r="E2165" s="1014">
        <v>6864</v>
      </c>
      <c r="F2165" s="1013" t="s">
        <v>6121</v>
      </c>
      <c r="G2165" s="1014" t="s">
        <v>266</v>
      </c>
      <c r="H2165" s="1015">
        <v>51029</v>
      </c>
      <c r="I2165" s="1016" t="s">
        <v>3538</v>
      </c>
    </row>
    <row r="2166" spans="2:9" ht="15.75" x14ac:dyDescent="0.25">
      <c r="B2166" s="1365" t="s">
        <v>7225</v>
      </c>
      <c r="C2166" s="1013" t="s">
        <v>5292</v>
      </c>
      <c r="D2166" s="1013" t="s">
        <v>5293</v>
      </c>
      <c r="E2166" s="1014">
        <v>6866</v>
      </c>
      <c r="F2166" s="1013" t="s">
        <v>6122</v>
      </c>
      <c r="G2166" s="1014" t="s">
        <v>13</v>
      </c>
      <c r="H2166" s="1015">
        <v>41077</v>
      </c>
      <c r="I2166" s="1016" t="s">
        <v>6899</v>
      </c>
    </row>
    <row r="2167" spans="2:9" ht="15.75" x14ac:dyDescent="0.25">
      <c r="B2167" s="1365" t="s">
        <v>7225</v>
      </c>
      <c r="C2167" s="1013" t="s">
        <v>4468</v>
      </c>
      <c r="D2167" s="1013" t="s">
        <v>4469</v>
      </c>
      <c r="E2167" s="1014">
        <v>6868</v>
      </c>
      <c r="F2167" s="1013" t="s">
        <v>6123</v>
      </c>
      <c r="G2167" s="1014" t="s">
        <v>3</v>
      </c>
      <c r="H2167" s="1015">
        <v>1070910</v>
      </c>
      <c r="I2167" s="1016" t="s">
        <v>6899</v>
      </c>
    </row>
    <row r="2168" spans="2:9" ht="15.75" x14ac:dyDescent="0.25">
      <c r="B2168" s="1365" t="s">
        <v>7225</v>
      </c>
      <c r="C2168" s="1013" t="s">
        <v>4468</v>
      </c>
      <c r="D2168" s="1013" t="s">
        <v>4469</v>
      </c>
      <c r="E2168" s="1014">
        <v>6869</v>
      </c>
      <c r="F2168" s="1013" t="s">
        <v>6124</v>
      </c>
      <c r="G2168" s="1014" t="s">
        <v>3</v>
      </c>
      <c r="H2168" s="1015">
        <v>989509</v>
      </c>
      <c r="I2168" s="1016" t="s">
        <v>6899</v>
      </c>
    </row>
    <row r="2169" spans="2:9" ht="15.75" x14ac:dyDescent="0.25">
      <c r="B2169" s="1365" t="s">
        <v>7226</v>
      </c>
      <c r="C2169" s="1013" t="s">
        <v>5363</v>
      </c>
      <c r="D2169" s="1013" t="s">
        <v>5363</v>
      </c>
      <c r="E2169" s="1014">
        <v>6874</v>
      </c>
      <c r="F2169" s="1013" t="s">
        <v>6125</v>
      </c>
      <c r="G2169" s="1014" t="s">
        <v>266</v>
      </c>
      <c r="H2169" s="1015">
        <v>105494</v>
      </c>
      <c r="I2169" s="1016" t="s">
        <v>3538</v>
      </c>
    </row>
    <row r="2170" spans="2:9" ht="15.75" x14ac:dyDescent="0.25">
      <c r="B2170" s="1365" t="s">
        <v>7225</v>
      </c>
      <c r="C2170" s="1013" t="s">
        <v>4468</v>
      </c>
      <c r="D2170" s="1013" t="s">
        <v>4468</v>
      </c>
      <c r="E2170" s="1014">
        <v>6878</v>
      </c>
      <c r="F2170" s="1013" t="s">
        <v>6126</v>
      </c>
      <c r="G2170" s="1014" t="s">
        <v>3</v>
      </c>
      <c r="H2170" s="1015">
        <v>663831</v>
      </c>
      <c r="I2170" s="1016" t="s">
        <v>6899</v>
      </c>
    </row>
    <row r="2171" spans="2:9" ht="15.75" x14ac:dyDescent="0.25">
      <c r="B2171" s="1365" t="s">
        <v>7225</v>
      </c>
      <c r="C2171" s="1013" t="s">
        <v>4468</v>
      </c>
      <c r="D2171" s="1013" t="s">
        <v>4468</v>
      </c>
      <c r="E2171" s="1014">
        <v>6880</v>
      </c>
      <c r="F2171" s="1013" t="s">
        <v>6127</v>
      </c>
      <c r="G2171" s="1014" t="s">
        <v>3</v>
      </c>
      <c r="H2171" s="1015">
        <v>1032916</v>
      </c>
      <c r="I2171" s="1016" t="s">
        <v>6899</v>
      </c>
    </row>
    <row r="2172" spans="2:9" ht="15.75" x14ac:dyDescent="0.25">
      <c r="B2172" s="1365" t="s">
        <v>7225</v>
      </c>
      <c r="C2172" s="1013" t="s">
        <v>4405</v>
      </c>
      <c r="D2172" s="1013" t="s">
        <v>4406</v>
      </c>
      <c r="E2172" s="1014">
        <v>6959</v>
      </c>
      <c r="F2172" s="1013" t="s">
        <v>6128</v>
      </c>
      <c r="G2172" s="1014" t="s">
        <v>13</v>
      </c>
      <c r="H2172" s="1015">
        <v>29686</v>
      </c>
      <c r="I2172" s="1016" t="s">
        <v>4398</v>
      </c>
    </row>
    <row r="2173" spans="2:9" ht="15.75" x14ac:dyDescent="0.25">
      <c r="B2173" s="1365" t="s">
        <v>7225</v>
      </c>
      <c r="C2173" s="1013" t="s">
        <v>4461</v>
      </c>
      <c r="D2173" s="1013" t="s">
        <v>4461</v>
      </c>
      <c r="E2173" s="1014">
        <v>6968</v>
      </c>
      <c r="F2173" s="1013" t="s">
        <v>6129</v>
      </c>
      <c r="G2173" s="1014" t="s">
        <v>13</v>
      </c>
      <c r="H2173" s="1015">
        <v>8028</v>
      </c>
      <c r="I2173" s="1016" t="s">
        <v>4398</v>
      </c>
    </row>
    <row r="2174" spans="2:9" ht="15.75" x14ac:dyDescent="0.25">
      <c r="B2174" s="1365" t="s">
        <v>7225</v>
      </c>
      <c r="C2174" s="1013" t="s">
        <v>5425</v>
      </c>
      <c r="D2174" s="1013" t="s">
        <v>5615</v>
      </c>
      <c r="E2174" s="1014">
        <v>7026</v>
      </c>
      <c r="F2174" s="1013" t="s">
        <v>6130</v>
      </c>
      <c r="G2174" s="1014" t="s">
        <v>12</v>
      </c>
      <c r="H2174" s="1015">
        <v>250043</v>
      </c>
      <c r="I2174" s="1016" t="s">
        <v>6899</v>
      </c>
    </row>
    <row r="2175" spans="2:9" ht="15.75" x14ac:dyDescent="0.25">
      <c r="B2175" s="1365" t="s">
        <v>7225</v>
      </c>
      <c r="C2175" s="1013" t="s">
        <v>4417</v>
      </c>
      <c r="D2175" s="1013" t="s">
        <v>4418</v>
      </c>
      <c r="E2175" s="1014">
        <v>7028</v>
      </c>
      <c r="F2175" s="1013" t="s">
        <v>6131</v>
      </c>
      <c r="G2175" s="1014" t="s">
        <v>13</v>
      </c>
      <c r="H2175" s="1015">
        <v>73392</v>
      </c>
      <c r="I2175" s="1016" t="s">
        <v>6899</v>
      </c>
    </row>
    <row r="2176" spans="2:9" ht="15.75" x14ac:dyDescent="0.25">
      <c r="B2176" s="1365" t="s">
        <v>7225</v>
      </c>
      <c r="C2176" s="1013" t="s">
        <v>4451</v>
      </c>
      <c r="D2176" s="1013" t="s">
        <v>4452</v>
      </c>
      <c r="E2176" s="1014">
        <v>7047</v>
      </c>
      <c r="F2176" s="1013" t="s">
        <v>7227</v>
      </c>
      <c r="G2176" s="1014" t="s">
        <v>266</v>
      </c>
      <c r="H2176" s="1015">
        <v>417879</v>
      </c>
      <c r="I2176" s="1016" t="s">
        <v>6899</v>
      </c>
    </row>
    <row r="2177" spans="2:9" ht="15.75" x14ac:dyDescent="0.25">
      <c r="B2177" s="1365" t="s">
        <v>7225</v>
      </c>
      <c r="C2177" s="1013" t="s">
        <v>4405</v>
      </c>
      <c r="D2177" s="1013" t="s">
        <v>4406</v>
      </c>
      <c r="E2177" s="1014">
        <v>7057</v>
      </c>
      <c r="F2177" s="1013" t="s">
        <v>6132</v>
      </c>
      <c r="G2177" s="1014" t="s">
        <v>266</v>
      </c>
      <c r="H2177" s="1015">
        <v>44847</v>
      </c>
      <c r="I2177" s="1016" t="s">
        <v>4398</v>
      </c>
    </row>
    <row r="2178" spans="2:9" ht="15.75" x14ac:dyDescent="0.25">
      <c r="B2178" s="1365" t="s">
        <v>7225</v>
      </c>
      <c r="C2178" s="1013" t="s">
        <v>4451</v>
      </c>
      <c r="D2178" s="1013" t="s">
        <v>4452</v>
      </c>
      <c r="E2178" s="1014">
        <v>7090</v>
      </c>
      <c r="F2178" s="1013" t="s">
        <v>7228</v>
      </c>
      <c r="G2178" s="1014" t="s">
        <v>12</v>
      </c>
      <c r="H2178" s="1015">
        <v>102027</v>
      </c>
      <c r="I2178" s="1016" t="s">
        <v>6899</v>
      </c>
    </row>
    <row r="2179" spans="2:9" ht="15.75" x14ac:dyDescent="0.25">
      <c r="B2179" s="1365" t="s">
        <v>7225</v>
      </c>
      <c r="C2179" s="1013" t="s">
        <v>4405</v>
      </c>
      <c r="D2179" s="1013" t="s">
        <v>4406</v>
      </c>
      <c r="E2179" s="1014">
        <v>7113</v>
      </c>
      <c r="F2179" s="1013" t="s">
        <v>6133</v>
      </c>
      <c r="G2179" s="1014" t="s">
        <v>13</v>
      </c>
      <c r="H2179" s="1015">
        <v>62639</v>
      </c>
      <c r="I2179" s="1016" t="s">
        <v>4398</v>
      </c>
    </row>
    <row r="2180" spans="2:9" ht="15.75" x14ac:dyDescent="0.25">
      <c r="B2180" s="1365" t="s">
        <v>7225</v>
      </c>
      <c r="C2180" s="1013" t="s">
        <v>5292</v>
      </c>
      <c r="D2180" s="1013" t="s">
        <v>5293</v>
      </c>
      <c r="E2180" s="1014">
        <v>7136</v>
      </c>
      <c r="F2180" s="1013" t="s">
        <v>824</v>
      </c>
      <c r="G2180" s="1014" t="s">
        <v>6</v>
      </c>
      <c r="H2180" s="1015">
        <v>1258</v>
      </c>
      <c r="I2180" s="1016" t="s">
        <v>6899</v>
      </c>
    </row>
    <row r="2181" spans="2:9" ht="15.75" x14ac:dyDescent="0.25">
      <c r="B2181" s="1365" t="s">
        <v>7225</v>
      </c>
      <c r="C2181" s="1013" t="s">
        <v>1474</v>
      </c>
      <c r="D2181" s="1013" t="s">
        <v>5380</v>
      </c>
      <c r="E2181" s="1014">
        <v>7283</v>
      </c>
      <c r="F2181" s="1013" t="s">
        <v>6134</v>
      </c>
      <c r="G2181" s="1014" t="s">
        <v>822</v>
      </c>
      <c r="H2181" s="1015">
        <v>70888</v>
      </c>
      <c r="I2181" s="1016" t="s">
        <v>4398</v>
      </c>
    </row>
    <row r="2182" spans="2:9" ht="15.75" x14ac:dyDescent="0.25">
      <c r="B2182" s="1365" t="s">
        <v>7225</v>
      </c>
      <c r="C2182" s="1013" t="s">
        <v>4405</v>
      </c>
      <c r="D2182" s="1013" t="s">
        <v>4406</v>
      </c>
      <c r="E2182" s="1014">
        <v>7332</v>
      </c>
      <c r="F2182" s="1013" t="s">
        <v>6135</v>
      </c>
      <c r="G2182" s="1014" t="s">
        <v>13</v>
      </c>
      <c r="H2182" s="1015">
        <v>15700</v>
      </c>
      <c r="I2182" s="1016" t="s">
        <v>4398</v>
      </c>
    </row>
    <row r="2183" spans="2:9" ht="15.75" x14ac:dyDescent="0.25">
      <c r="B2183" s="1365" t="s">
        <v>7229</v>
      </c>
      <c r="C2183" s="1013" t="s">
        <v>4405</v>
      </c>
      <c r="D2183" s="1013" t="s">
        <v>4406</v>
      </c>
      <c r="E2183" s="1014">
        <v>7336</v>
      </c>
      <c r="F2183" s="1013" t="s">
        <v>6136</v>
      </c>
      <c r="G2183" s="1014" t="s">
        <v>6</v>
      </c>
      <c r="H2183" s="1015">
        <v>6171</v>
      </c>
      <c r="I2183" s="1016" t="s">
        <v>6899</v>
      </c>
    </row>
    <row r="2184" spans="2:9" ht="15.75" x14ac:dyDescent="0.25">
      <c r="B2184" s="1365" t="s">
        <v>7229</v>
      </c>
      <c r="C2184" s="1013" t="s">
        <v>4461</v>
      </c>
      <c r="D2184" s="1013" t="s">
        <v>4461</v>
      </c>
      <c r="E2184" s="1014">
        <v>7337</v>
      </c>
      <c r="F2184" s="1013" t="s">
        <v>825</v>
      </c>
      <c r="G2184" s="1014" t="s">
        <v>266</v>
      </c>
      <c r="H2184" s="1015">
        <v>5724731</v>
      </c>
      <c r="I2184" s="1016" t="s">
        <v>4398</v>
      </c>
    </row>
    <row r="2185" spans="2:9" ht="15.75" x14ac:dyDescent="0.25">
      <c r="B2185" s="1365" t="s">
        <v>7229</v>
      </c>
      <c r="C2185" s="1013" t="s">
        <v>4454</v>
      </c>
      <c r="D2185" s="1013" t="s">
        <v>4634</v>
      </c>
      <c r="E2185" s="1014">
        <v>7338</v>
      </c>
      <c r="F2185" s="1013" t="s">
        <v>6137</v>
      </c>
      <c r="G2185" s="1014" t="s">
        <v>546</v>
      </c>
      <c r="H2185" s="1015">
        <v>392896</v>
      </c>
      <c r="I2185" s="1016" t="s">
        <v>4398</v>
      </c>
    </row>
    <row r="2186" spans="2:9" ht="15.75" x14ac:dyDescent="0.25">
      <c r="B2186" s="1365" t="s">
        <v>7229</v>
      </c>
      <c r="C2186" s="1013" t="s">
        <v>4405</v>
      </c>
      <c r="D2186" s="1013" t="s">
        <v>4406</v>
      </c>
      <c r="E2186" s="1014">
        <v>7339</v>
      </c>
      <c r="F2186" s="1013" t="s">
        <v>6138</v>
      </c>
      <c r="G2186" s="1014" t="s">
        <v>13</v>
      </c>
      <c r="H2186" s="1015">
        <v>3939</v>
      </c>
      <c r="I2186" s="1016" t="s">
        <v>4398</v>
      </c>
    </row>
    <row r="2187" spans="2:9" ht="15.75" x14ac:dyDescent="0.25">
      <c r="B2187" s="1365" t="s">
        <v>7229</v>
      </c>
      <c r="C2187" s="1013" t="s">
        <v>4431</v>
      </c>
      <c r="D2187" s="1013" t="s">
        <v>6139</v>
      </c>
      <c r="E2187" s="1014">
        <v>7340</v>
      </c>
      <c r="F2187" s="1013" t="s">
        <v>6140</v>
      </c>
      <c r="G2187" s="1014" t="s">
        <v>266</v>
      </c>
      <c r="H2187" s="1015">
        <v>3562025</v>
      </c>
      <c r="I2187" s="1016" t="s">
        <v>6899</v>
      </c>
    </row>
    <row r="2188" spans="2:9" ht="15.75" x14ac:dyDescent="0.25">
      <c r="B2188" s="1365" t="s">
        <v>7229</v>
      </c>
      <c r="C2188" s="1013" t="s">
        <v>4461</v>
      </c>
      <c r="D2188" s="1013" t="s">
        <v>4461</v>
      </c>
      <c r="E2188" s="1014">
        <v>7341</v>
      </c>
      <c r="F2188" s="1013" t="s">
        <v>6141</v>
      </c>
      <c r="G2188" s="1014" t="s">
        <v>13</v>
      </c>
      <c r="H2188" s="1015">
        <v>1239643</v>
      </c>
      <c r="I2188" s="1016" t="s">
        <v>6899</v>
      </c>
    </row>
    <row r="2189" spans="2:9" ht="15.75" x14ac:dyDescent="0.25">
      <c r="B2189" s="1365" t="s">
        <v>7229</v>
      </c>
      <c r="C2189" s="1013" t="s">
        <v>4454</v>
      </c>
      <c r="D2189" s="1013" t="s">
        <v>5477</v>
      </c>
      <c r="E2189" s="1014">
        <v>7344</v>
      </c>
      <c r="F2189" s="1013" t="s">
        <v>6142</v>
      </c>
      <c r="G2189" s="1014" t="s">
        <v>13</v>
      </c>
      <c r="H2189" s="1015">
        <v>749</v>
      </c>
      <c r="I2189" s="1016" t="s">
        <v>4398</v>
      </c>
    </row>
    <row r="2190" spans="2:9" ht="15.75" x14ac:dyDescent="0.25">
      <c r="B2190" s="1365" t="s">
        <v>7229</v>
      </c>
      <c r="C2190" s="1013" t="s">
        <v>4468</v>
      </c>
      <c r="D2190" s="1013" t="s">
        <v>4468</v>
      </c>
      <c r="E2190" s="1014">
        <v>7345</v>
      </c>
      <c r="F2190" s="1013" t="s">
        <v>6143</v>
      </c>
      <c r="G2190" s="1014" t="s">
        <v>3</v>
      </c>
      <c r="H2190" s="1015">
        <v>743330</v>
      </c>
      <c r="I2190" s="1016" t="s">
        <v>6899</v>
      </c>
    </row>
    <row r="2191" spans="2:9" ht="15.75" x14ac:dyDescent="0.25">
      <c r="B2191" s="1365" t="s">
        <v>7229</v>
      </c>
      <c r="C2191" s="1013" t="s">
        <v>4454</v>
      </c>
      <c r="D2191" s="1013" t="s">
        <v>4455</v>
      </c>
      <c r="E2191" s="1014">
        <v>7346</v>
      </c>
      <c r="F2191" s="1013" t="s">
        <v>6144</v>
      </c>
      <c r="G2191" s="1014" t="s">
        <v>12</v>
      </c>
      <c r="H2191" s="1015">
        <v>28140</v>
      </c>
      <c r="I2191" s="1016" t="s">
        <v>3538</v>
      </c>
    </row>
    <row r="2192" spans="2:9" ht="15.75" x14ac:dyDescent="0.25">
      <c r="B2192" s="1365" t="s">
        <v>7229</v>
      </c>
      <c r="C2192" s="1013" t="s">
        <v>4461</v>
      </c>
      <c r="D2192" s="1013" t="s">
        <v>4461</v>
      </c>
      <c r="E2192" s="1014">
        <v>7347</v>
      </c>
      <c r="F2192" s="1013" t="s">
        <v>6145</v>
      </c>
      <c r="G2192" s="1014" t="s">
        <v>266</v>
      </c>
      <c r="H2192" s="1015">
        <v>4652294</v>
      </c>
      <c r="I2192" s="1016" t="s">
        <v>6899</v>
      </c>
    </row>
    <row r="2193" spans="2:9" ht="15.75" x14ac:dyDescent="0.25">
      <c r="B2193" s="1365" t="s">
        <v>7229</v>
      </c>
      <c r="C2193" s="1013" t="s">
        <v>4468</v>
      </c>
      <c r="D2193" s="1013" t="s">
        <v>4468</v>
      </c>
      <c r="E2193" s="1014">
        <v>7348</v>
      </c>
      <c r="F2193" s="1013" t="s">
        <v>6146</v>
      </c>
      <c r="G2193" s="1014" t="s">
        <v>3</v>
      </c>
      <c r="H2193" s="1015">
        <v>806436</v>
      </c>
      <c r="I2193" s="1016" t="s">
        <v>6899</v>
      </c>
    </row>
    <row r="2194" spans="2:9" ht="15.75" x14ac:dyDescent="0.25">
      <c r="B2194" s="1365" t="s">
        <v>7229</v>
      </c>
      <c r="C2194" s="1013" t="s">
        <v>4468</v>
      </c>
      <c r="D2194" s="1013" t="s">
        <v>4468</v>
      </c>
      <c r="E2194" s="1014">
        <v>7349</v>
      </c>
      <c r="F2194" s="1013" t="s">
        <v>6147</v>
      </c>
      <c r="G2194" s="1014" t="s">
        <v>3</v>
      </c>
      <c r="H2194" s="1015">
        <v>792230</v>
      </c>
      <c r="I2194" s="1016" t="s">
        <v>6899</v>
      </c>
    </row>
    <row r="2195" spans="2:9" ht="15.75" x14ac:dyDescent="0.25">
      <c r="B2195" s="1365" t="s">
        <v>7229</v>
      </c>
      <c r="C2195" s="1013" t="s">
        <v>4468</v>
      </c>
      <c r="D2195" s="1013" t="s">
        <v>4468</v>
      </c>
      <c r="E2195" s="1014">
        <v>7351</v>
      </c>
      <c r="F2195" s="1013" t="s">
        <v>6148</v>
      </c>
      <c r="G2195" s="1014" t="s">
        <v>3</v>
      </c>
      <c r="H2195" s="1015">
        <v>818223</v>
      </c>
      <c r="I2195" s="1016" t="s">
        <v>6899</v>
      </c>
    </row>
    <row r="2196" spans="2:9" ht="15.75" x14ac:dyDescent="0.25">
      <c r="B2196" s="1365" t="s">
        <v>7229</v>
      </c>
      <c r="C2196" s="1013" t="s">
        <v>4451</v>
      </c>
      <c r="D2196" s="1013" t="s">
        <v>4616</v>
      </c>
      <c r="E2196" s="1014">
        <v>7353</v>
      </c>
      <c r="F2196" s="1013" t="s">
        <v>6149</v>
      </c>
      <c r="G2196" s="1014" t="s">
        <v>266</v>
      </c>
      <c r="H2196" s="1015">
        <v>1716391</v>
      </c>
      <c r="I2196" s="1016" t="s">
        <v>6899</v>
      </c>
    </row>
    <row r="2197" spans="2:9" ht="15.75" x14ac:dyDescent="0.25">
      <c r="B2197" s="1365" t="s">
        <v>7229</v>
      </c>
      <c r="C2197" s="1013" t="s">
        <v>4461</v>
      </c>
      <c r="D2197" s="1013" t="s">
        <v>4461</v>
      </c>
      <c r="E2197" s="1014">
        <v>7354</v>
      </c>
      <c r="F2197" s="1013" t="s">
        <v>6150</v>
      </c>
      <c r="G2197" s="1014" t="s">
        <v>266</v>
      </c>
      <c r="H2197" s="1015">
        <v>2396527</v>
      </c>
      <c r="I2197" s="1016" t="s">
        <v>6899</v>
      </c>
    </row>
    <row r="2198" spans="2:9" ht="15.75" x14ac:dyDescent="0.25">
      <c r="B2198" s="1365" t="s">
        <v>7229</v>
      </c>
      <c r="C2198" s="1013" t="s">
        <v>4461</v>
      </c>
      <c r="D2198" s="1013" t="s">
        <v>4461</v>
      </c>
      <c r="E2198" s="1014">
        <v>7355</v>
      </c>
      <c r="F2198" s="1013" t="s">
        <v>6151</v>
      </c>
      <c r="G2198" s="1014" t="s">
        <v>266</v>
      </c>
      <c r="H2198" s="1015">
        <v>394800</v>
      </c>
      <c r="I2198" s="1016" t="s">
        <v>6899</v>
      </c>
    </row>
    <row r="2199" spans="2:9" ht="15.75" x14ac:dyDescent="0.25">
      <c r="B2199" s="1365" t="s">
        <v>7229</v>
      </c>
      <c r="C2199" s="1013" t="s">
        <v>4431</v>
      </c>
      <c r="D2199" s="1013" t="s">
        <v>4432</v>
      </c>
      <c r="E2199" s="1014">
        <v>7356</v>
      </c>
      <c r="F2199" s="1013" t="s">
        <v>6152</v>
      </c>
      <c r="G2199" s="1014" t="s">
        <v>266</v>
      </c>
      <c r="H2199" s="1015">
        <v>1941970</v>
      </c>
      <c r="I2199" s="1016" t="s">
        <v>6899</v>
      </c>
    </row>
    <row r="2200" spans="2:9" ht="15.75" x14ac:dyDescent="0.25">
      <c r="B2200" s="1365" t="s">
        <v>7229</v>
      </c>
      <c r="C2200" s="1013" t="s">
        <v>4461</v>
      </c>
      <c r="D2200" s="1013" t="s">
        <v>4461</v>
      </c>
      <c r="E2200" s="1014">
        <v>7357</v>
      </c>
      <c r="F2200" s="1013" t="s">
        <v>6153</v>
      </c>
      <c r="G2200" s="1014" t="s">
        <v>266</v>
      </c>
      <c r="H2200" s="1015">
        <v>573603</v>
      </c>
      <c r="I2200" s="1016" t="s">
        <v>6899</v>
      </c>
    </row>
    <row r="2201" spans="2:9" ht="15.75" x14ac:dyDescent="0.25">
      <c r="B2201" s="1365" t="s">
        <v>7229</v>
      </c>
      <c r="C2201" s="1013" t="s">
        <v>4461</v>
      </c>
      <c r="D2201" s="1013" t="s">
        <v>4461</v>
      </c>
      <c r="E2201" s="1014">
        <v>7358</v>
      </c>
      <c r="F2201" s="1013" t="s">
        <v>6154</v>
      </c>
      <c r="G2201" s="1014" t="s">
        <v>266</v>
      </c>
      <c r="H2201" s="1015">
        <v>381734</v>
      </c>
      <c r="I2201" s="1016" t="s">
        <v>6899</v>
      </c>
    </row>
    <row r="2202" spans="2:9" ht="15.75" x14ac:dyDescent="0.25">
      <c r="B2202" s="1365" t="s">
        <v>7229</v>
      </c>
      <c r="C2202" s="1013" t="s">
        <v>4454</v>
      </c>
      <c r="D2202" s="1013" t="s">
        <v>4634</v>
      </c>
      <c r="E2202" s="1014">
        <v>7359</v>
      </c>
      <c r="F2202" s="1013" t="s">
        <v>6155</v>
      </c>
      <c r="G2202" s="1014" t="s">
        <v>266</v>
      </c>
      <c r="H2202" s="1015">
        <v>382401</v>
      </c>
      <c r="I2202" s="1016" t="s">
        <v>6899</v>
      </c>
    </row>
    <row r="2203" spans="2:9" ht="15.75" x14ac:dyDescent="0.25">
      <c r="B2203" s="1365" t="s">
        <v>7229</v>
      </c>
      <c r="C2203" s="1013" t="s">
        <v>1474</v>
      </c>
      <c r="D2203" s="1013" t="s">
        <v>4940</v>
      </c>
      <c r="E2203" s="1014">
        <v>7362</v>
      </c>
      <c r="F2203" s="1013" t="s">
        <v>6156</v>
      </c>
      <c r="G2203" s="1014" t="s">
        <v>12</v>
      </c>
      <c r="H2203" s="1015">
        <v>12784</v>
      </c>
      <c r="I2203" s="1016" t="s">
        <v>4398</v>
      </c>
    </row>
    <row r="2204" spans="2:9" ht="15.75" x14ac:dyDescent="0.25">
      <c r="B2204" s="1365" t="s">
        <v>7229</v>
      </c>
      <c r="C2204" s="1013" t="s">
        <v>4410</v>
      </c>
      <c r="D2204" s="1013" t="s">
        <v>4415</v>
      </c>
      <c r="E2204" s="1014">
        <v>7364</v>
      </c>
      <c r="F2204" s="1013" t="s">
        <v>6157</v>
      </c>
      <c r="G2204" s="1014" t="s">
        <v>3</v>
      </c>
      <c r="H2204" s="1015">
        <v>91040</v>
      </c>
      <c r="I2204" s="1016" t="s">
        <v>6899</v>
      </c>
    </row>
    <row r="2205" spans="2:9" ht="15.75" x14ac:dyDescent="0.25">
      <c r="B2205" s="1365" t="s">
        <v>7229</v>
      </c>
      <c r="C2205" s="1013" t="s">
        <v>1474</v>
      </c>
      <c r="D2205" s="1013" t="s">
        <v>5380</v>
      </c>
      <c r="E2205" s="1014">
        <v>7365</v>
      </c>
      <c r="F2205" s="1013" t="s">
        <v>6158</v>
      </c>
      <c r="G2205" s="1014" t="s">
        <v>266</v>
      </c>
      <c r="H2205" s="1015">
        <v>673432</v>
      </c>
      <c r="I2205" s="1016" t="s">
        <v>6899</v>
      </c>
    </row>
    <row r="2206" spans="2:9" ht="15.75" x14ac:dyDescent="0.25">
      <c r="B2206" s="1365" t="s">
        <v>7229</v>
      </c>
      <c r="C2206" s="1013" t="s">
        <v>1474</v>
      </c>
      <c r="D2206" s="1013" t="s">
        <v>5380</v>
      </c>
      <c r="E2206" s="1014">
        <v>7366</v>
      </c>
      <c r="F2206" s="1013" t="s">
        <v>6159</v>
      </c>
      <c r="G2206" s="1014" t="s">
        <v>266</v>
      </c>
      <c r="H2206" s="1015">
        <v>217354</v>
      </c>
      <c r="I2206" s="1016" t="s">
        <v>6899</v>
      </c>
    </row>
    <row r="2207" spans="2:9" ht="15.75" x14ac:dyDescent="0.25">
      <c r="B2207" s="1365" t="s">
        <v>7229</v>
      </c>
      <c r="C2207" s="1013" t="s">
        <v>4799</v>
      </c>
      <c r="D2207" s="1013" t="s">
        <v>5199</v>
      </c>
      <c r="E2207" s="1014">
        <v>7368</v>
      </c>
      <c r="F2207" s="1013" t="s">
        <v>6160</v>
      </c>
      <c r="G2207" s="1014" t="s">
        <v>12</v>
      </c>
      <c r="H2207" s="1015">
        <v>52152</v>
      </c>
      <c r="I2207" s="1016" t="s">
        <v>6899</v>
      </c>
    </row>
    <row r="2208" spans="2:9" ht="15.75" x14ac:dyDescent="0.25">
      <c r="B2208" s="1365" t="s">
        <v>7229</v>
      </c>
      <c r="C2208" s="1013" t="s">
        <v>4401</v>
      </c>
      <c r="D2208" s="1013" t="s">
        <v>4401</v>
      </c>
      <c r="E2208" s="1014">
        <v>7369</v>
      </c>
      <c r="F2208" s="1013" t="s">
        <v>6161</v>
      </c>
      <c r="G2208" s="1014" t="s">
        <v>13</v>
      </c>
      <c r="H2208" s="1015">
        <v>9444</v>
      </c>
      <c r="I2208" s="1016" t="s">
        <v>6899</v>
      </c>
    </row>
    <row r="2209" spans="2:9" ht="15.75" x14ac:dyDescent="0.25">
      <c r="B2209" s="1365" t="s">
        <v>7229</v>
      </c>
      <c r="C2209" s="1013" t="s">
        <v>4420</v>
      </c>
      <c r="D2209" s="1013" t="s">
        <v>4420</v>
      </c>
      <c r="E2209" s="1014">
        <v>7370</v>
      </c>
      <c r="F2209" s="1013" t="s">
        <v>6162</v>
      </c>
      <c r="G2209" s="1014" t="s">
        <v>266</v>
      </c>
      <c r="H2209" s="1015">
        <v>1408559</v>
      </c>
      <c r="I2209" s="1016" t="s">
        <v>6899</v>
      </c>
    </row>
    <row r="2210" spans="2:9" ht="15.75" x14ac:dyDescent="0.25">
      <c r="B2210" s="1365" t="s">
        <v>7229</v>
      </c>
      <c r="C2210" s="1013" t="s">
        <v>4420</v>
      </c>
      <c r="D2210" s="1013" t="s">
        <v>4420</v>
      </c>
      <c r="E2210" s="1014">
        <v>7371</v>
      </c>
      <c r="F2210" s="1013" t="s">
        <v>6163</v>
      </c>
      <c r="G2210" s="1014" t="s">
        <v>266</v>
      </c>
      <c r="H2210" s="1015">
        <v>1700341</v>
      </c>
      <c r="I2210" s="1016" t="s">
        <v>6899</v>
      </c>
    </row>
    <row r="2211" spans="2:9" ht="15.75" x14ac:dyDescent="0.25">
      <c r="B2211" s="1365" t="s">
        <v>7229</v>
      </c>
      <c r="C2211" s="1013" t="s">
        <v>4420</v>
      </c>
      <c r="D2211" s="1013" t="s">
        <v>4420</v>
      </c>
      <c r="E2211" s="1014">
        <v>7372</v>
      </c>
      <c r="F2211" s="1013" t="s">
        <v>6164</v>
      </c>
      <c r="G2211" s="1014" t="s">
        <v>266</v>
      </c>
      <c r="H2211" s="1015">
        <v>4631893</v>
      </c>
      <c r="I2211" s="1016" t="s">
        <v>6899</v>
      </c>
    </row>
    <row r="2212" spans="2:9" ht="15.75" x14ac:dyDescent="0.25">
      <c r="B2212" s="1365" t="s">
        <v>7229</v>
      </c>
      <c r="C2212" s="1013" t="s">
        <v>4454</v>
      </c>
      <c r="D2212" s="1013" t="s">
        <v>5477</v>
      </c>
      <c r="E2212" s="1014">
        <v>7374</v>
      </c>
      <c r="F2212" s="1013" t="s">
        <v>6165</v>
      </c>
      <c r="G2212" s="1014" t="s">
        <v>266</v>
      </c>
      <c r="H2212" s="1015">
        <v>49523</v>
      </c>
      <c r="I2212" s="1016" t="s">
        <v>6899</v>
      </c>
    </row>
    <row r="2213" spans="2:9" ht="15.75" x14ac:dyDescent="0.25">
      <c r="B2213" s="1365" t="s">
        <v>7229</v>
      </c>
      <c r="C2213" s="1013" t="s">
        <v>4461</v>
      </c>
      <c r="D2213" s="1013" t="s">
        <v>4461</v>
      </c>
      <c r="E2213" s="1014">
        <v>7375</v>
      </c>
      <c r="F2213" s="1013" t="s">
        <v>6166</v>
      </c>
      <c r="G2213" s="1014" t="s">
        <v>266</v>
      </c>
      <c r="H2213" s="1015">
        <v>1099988</v>
      </c>
      <c r="I2213" s="1016" t="s">
        <v>6899</v>
      </c>
    </row>
    <row r="2214" spans="2:9" ht="15.75" x14ac:dyDescent="0.25">
      <c r="B2214" s="1365" t="s">
        <v>7229</v>
      </c>
      <c r="C2214" s="1013" t="s">
        <v>4461</v>
      </c>
      <c r="D2214" s="1013" t="s">
        <v>4461</v>
      </c>
      <c r="E2214" s="1014">
        <v>7376</v>
      </c>
      <c r="F2214" s="1013" t="s">
        <v>6167</v>
      </c>
      <c r="G2214" s="1014" t="s">
        <v>266</v>
      </c>
      <c r="H2214" s="1015">
        <v>1660286</v>
      </c>
      <c r="I2214" s="1016" t="s">
        <v>6899</v>
      </c>
    </row>
    <row r="2215" spans="2:9" ht="15.75" x14ac:dyDescent="0.25">
      <c r="B2215" s="1365" t="s">
        <v>7229</v>
      </c>
      <c r="C2215" s="1013" t="s">
        <v>4454</v>
      </c>
      <c r="D2215" s="1013" t="s">
        <v>5477</v>
      </c>
      <c r="E2215" s="1014">
        <v>7377</v>
      </c>
      <c r="F2215" s="1013" t="s">
        <v>6168</v>
      </c>
      <c r="G2215" s="1014" t="s">
        <v>266</v>
      </c>
      <c r="H2215" s="1015">
        <v>1004312</v>
      </c>
      <c r="I2215" s="1016" t="s">
        <v>4398</v>
      </c>
    </row>
    <row r="2216" spans="2:9" ht="15.75" x14ac:dyDescent="0.25">
      <c r="B2216" s="1365" t="s">
        <v>7229</v>
      </c>
      <c r="C2216" s="1013" t="s">
        <v>1474</v>
      </c>
      <c r="D2216" s="1013" t="s">
        <v>4940</v>
      </c>
      <c r="E2216" s="1014">
        <v>7378</v>
      </c>
      <c r="F2216" s="1013" t="s">
        <v>6169</v>
      </c>
      <c r="G2216" s="1014" t="s">
        <v>12</v>
      </c>
      <c r="H2216" s="1015">
        <v>25812</v>
      </c>
      <c r="I2216" s="1016" t="s">
        <v>4398</v>
      </c>
    </row>
    <row r="2217" spans="2:9" ht="15.75" x14ac:dyDescent="0.25">
      <c r="B2217" s="1365" t="s">
        <v>7229</v>
      </c>
      <c r="C2217" s="1013" t="s">
        <v>4451</v>
      </c>
      <c r="D2217" s="1013" t="s">
        <v>4452</v>
      </c>
      <c r="E2217" s="1014">
        <v>7379</v>
      </c>
      <c r="F2217" s="1013" t="s">
        <v>7230</v>
      </c>
      <c r="G2217" s="1014" t="s">
        <v>266</v>
      </c>
      <c r="H2217" s="1015">
        <v>541604</v>
      </c>
      <c r="I2217" s="1016" t="s">
        <v>6899</v>
      </c>
    </row>
    <row r="2218" spans="2:9" ht="15.75" x14ac:dyDescent="0.25">
      <c r="B2218" s="1365" t="s">
        <v>7229</v>
      </c>
      <c r="C2218" s="1013" t="s">
        <v>6170</v>
      </c>
      <c r="D2218" s="1013" t="s">
        <v>6170</v>
      </c>
      <c r="E2218" s="1014">
        <v>7380</v>
      </c>
      <c r="F2218" s="1013" t="s">
        <v>6171</v>
      </c>
      <c r="G2218" s="1014" t="s">
        <v>202</v>
      </c>
      <c r="H2218" s="1015">
        <v>17148</v>
      </c>
      <c r="I2218" s="1016" t="s">
        <v>4398</v>
      </c>
    </row>
    <row r="2219" spans="2:9" ht="15.75" x14ac:dyDescent="0.25">
      <c r="B2219" s="1365" t="s">
        <v>7229</v>
      </c>
      <c r="C2219" s="1013" t="s">
        <v>4461</v>
      </c>
      <c r="D2219" s="1013" t="s">
        <v>4461</v>
      </c>
      <c r="E2219" s="1014">
        <v>7384</v>
      </c>
      <c r="F2219" s="1013" t="s">
        <v>6172</v>
      </c>
      <c r="G2219" s="1014" t="s">
        <v>266</v>
      </c>
      <c r="H2219" s="1015">
        <v>7940665</v>
      </c>
      <c r="I2219" s="1016" t="s">
        <v>4398</v>
      </c>
    </row>
    <row r="2220" spans="2:9" ht="15.75" x14ac:dyDescent="0.25">
      <c r="B2220" s="1365" t="s">
        <v>7229</v>
      </c>
      <c r="C2220" s="1013" t="s">
        <v>4468</v>
      </c>
      <c r="D2220" s="1013" t="s">
        <v>1798</v>
      </c>
      <c r="E2220" s="1014">
        <v>7387</v>
      </c>
      <c r="F2220" s="1013" t="s">
        <v>6173</v>
      </c>
      <c r="G2220" s="1014" t="s">
        <v>6</v>
      </c>
      <c r="H2220" s="1015">
        <v>8701</v>
      </c>
      <c r="I2220" s="1016" t="s">
        <v>6899</v>
      </c>
    </row>
    <row r="2221" spans="2:9" ht="15.75" x14ac:dyDescent="0.25">
      <c r="B2221" s="1365" t="s">
        <v>7229</v>
      </c>
      <c r="C2221" s="1013" t="s">
        <v>4461</v>
      </c>
      <c r="D2221" s="1013" t="s">
        <v>4461</v>
      </c>
      <c r="E2221" s="1014">
        <v>7388</v>
      </c>
      <c r="F2221" s="1013" t="s">
        <v>6174</v>
      </c>
      <c r="G2221" s="1014" t="s">
        <v>13</v>
      </c>
      <c r="H2221" s="1015">
        <v>4876072</v>
      </c>
      <c r="I2221" s="1016" t="s">
        <v>6899</v>
      </c>
    </row>
    <row r="2222" spans="2:9" ht="15.75" x14ac:dyDescent="0.25">
      <c r="B2222" s="1365" t="s">
        <v>7229</v>
      </c>
      <c r="C2222" s="1013" t="s">
        <v>4461</v>
      </c>
      <c r="D2222" s="1013" t="s">
        <v>4461</v>
      </c>
      <c r="E2222" s="1014">
        <v>7389</v>
      </c>
      <c r="F2222" s="1013" t="s">
        <v>6175</v>
      </c>
      <c r="G2222" s="1014" t="s">
        <v>6176</v>
      </c>
      <c r="H2222" s="1015">
        <v>7261301</v>
      </c>
      <c r="I2222" s="1016" t="s">
        <v>6899</v>
      </c>
    </row>
    <row r="2223" spans="2:9" ht="15.75" x14ac:dyDescent="0.25">
      <c r="B2223" s="1365" t="s">
        <v>7229</v>
      </c>
      <c r="C2223" s="1013" t="s">
        <v>4417</v>
      </c>
      <c r="D2223" s="1013" t="s">
        <v>4418</v>
      </c>
      <c r="E2223" s="1014">
        <v>7390</v>
      </c>
      <c r="F2223" s="1013" t="s">
        <v>6177</v>
      </c>
      <c r="G2223" s="1014" t="s">
        <v>13</v>
      </c>
      <c r="H2223" s="1015">
        <v>57020</v>
      </c>
      <c r="I2223" s="1016" t="s">
        <v>6899</v>
      </c>
    </row>
    <row r="2224" spans="2:9" ht="15.75" x14ac:dyDescent="0.25">
      <c r="B2224" s="1365" t="s">
        <v>7229</v>
      </c>
      <c r="C2224" s="1013" t="s">
        <v>4461</v>
      </c>
      <c r="D2224" s="1013" t="s">
        <v>4461</v>
      </c>
      <c r="E2224" s="1014">
        <v>7391</v>
      </c>
      <c r="F2224" s="1013" t="s">
        <v>6178</v>
      </c>
      <c r="G2224" s="1014" t="s">
        <v>266</v>
      </c>
      <c r="H2224" s="1015">
        <v>5909526</v>
      </c>
      <c r="I2224" s="1016" t="s">
        <v>4398</v>
      </c>
    </row>
    <row r="2225" spans="2:9" ht="15.75" x14ac:dyDescent="0.25">
      <c r="B2225" s="1365" t="s">
        <v>7229</v>
      </c>
      <c r="C2225" s="1013" t="s">
        <v>4461</v>
      </c>
      <c r="D2225" s="1013" t="s">
        <v>4461</v>
      </c>
      <c r="E2225" s="1014">
        <v>7392</v>
      </c>
      <c r="F2225" s="1013" t="s">
        <v>6179</v>
      </c>
      <c r="G2225" s="1014" t="s">
        <v>266</v>
      </c>
      <c r="H2225" s="1015">
        <v>1779667</v>
      </c>
      <c r="I2225" s="1016" t="s">
        <v>4398</v>
      </c>
    </row>
    <row r="2226" spans="2:9" ht="15.75" x14ac:dyDescent="0.25">
      <c r="B2226" s="1365" t="s">
        <v>7229</v>
      </c>
      <c r="C2226" s="1013" t="s">
        <v>4461</v>
      </c>
      <c r="D2226" s="1013" t="s">
        <v>4461</v>
      </c>
      <c r="E2226" s="1014">
        <v>7393</v>
      </c>
      <c r="F2226" s="1013" t="s">
        <v>6180</v>
      </c>
      <c r="G2226" s="1014" t="s">
        <v>266</v>
      </c>
      <c r="H2226" s="1015">
        <v>8174551</v>
      </c>
      <c r="I2226" s="1016" t="s">
        <v>4398</v>
      </c>
    </row>
    <row r="2227" spans="2:9" ht="15.75" x14ac:dyDescent="0.25">
      <c r="B2227" s="1365" t="s">
        <v>7229</v>
      </c>
      <c r="C2227" s="1013" t="s">
        <v>4461</v>
      </c>
      <c r="D2227" s="1013" t="s">
        <v>4461</v>
      </c>
      <c r="E2227" s="1014">
        <v>7395</v>
      </c>
      <c r="F2227" s="1013" t="s">
        <v>6181</v>
      </c>
      <c r="G2227" s="1014" t="s">
        <v>266</v>
      </c>
      <c r="H2227" s="1015">
        <v>1804726</v>
      </c>
      <c r="I2227" s="1016" t="s">
        <v>4398</v>
      </c>
    </row>
    <row r="2228" spans="2:9" ht="15.75" x14ac:dyDescent="0.25">
      <c r="B2228" s="1365" t="s">
        <v>7229</v>
      </c>
      <c r="C2228" s="1013" t="s">
        <v>4461</v>
      </c>
      <c r="D2228" s="1013" t="s">
        <v>4461</v>
      </c>
      <c r="E2228" s="1014">
        <v>7396</v>
      </c>
      <c r="F2228" s="1013" t="s">
        <v>6182</v>
      </c>
      <c r="G2228" s="1014" t="s">
        <v>266</v>
      </c>
      <c r="H2228" s="1015">
        <v>324297</v>
      </c>
      <c r="I2228" s="1016" t="s">
        <v>4398</v>
      </c>
    </row>
    <row r="2229" spans="2:9" ht="15.75" x14ac:dyDescent="0.25">
      <c r="B2229" s="1365" t="s">
        <v>7229</v>
      </c>
      <c r="C2229" s="1013" t="s">
        <v>4454</v>
      </c>
      <c r="D2229" s="1013" t="s">
        <v>5477</v>
      </c>
      <c r="E2229" s="1014">
        <v>7397</v>
      </c>
      <c r="F2229" s="1013" t="s">
        <v>827</v>
      </c>
      <c r="G2229" s="1014" t="s">
        <v>266</v>
      </c>
      <c r="H2229" s="1015">
        <v>391213</v>
      </c>
      <c r="I2229" s="1016" t="s">
        <v>3538</v>
      </c>
    </row>
    <row r="2230" spans="2:9" ht="15.75" x14ac:dyDescent="0.25">
      <c r="B2230" s="1365" t="s">
        <v>7229</v>
      </c>
      <c r="C2230" s="1013" t="s">
        <v>4454</v>
      </c>
      <c r="D2230" s="1013" t="s">
        <v>5477</v>
      </c>
      <c r="E2230" s="1014">
        <v>7398</v>
      </c>
      <c r="F2230" s="1013" t="s">
        <v>828</v>
      </c>
      <c r="G2230" s="1014" t="s">
        <v>266</v>
      </c>
      <c r="H2230" s="1015">
        <v>426095</v>
      </c>
      <c r="I2230" s="1016" t="s">
        <v>3538</v>
      </c>
    </row>
    <row r="2231" spans="2:9" ht="15.75" x14ac:dyDescent="0.25">
      <c r="B2231" s="1365" t="s">
        <v>7229</v>
      </c>
      <c r="C2231" s="1013" t="s">
        <v>4454</v>
      </c>
      <c r="D2231" s="1013" t="s">
        <v>5477</v>
      </c>
      <c r="E2231" s="1014">
        <v>7399</v>
      </c>
      <c r="F2231" s="1013" t="s">
        <v>829</v>
      </c>
      <c r="G2231" s="1014" t="s">
        <v>266</v>
      </c>
      <c r="H2231" s="1015">
        <v>728782</v>
      </c>
      <c r="I2231" s="1016" t="s">
        <v>6899</v>
      </c>
    </row>
    <row r="2232" spans="2:9" ht="15.75" x14ac:dyDescent="0.25">
      <c r="B2232" s="1365" t="s">
        <v>7229</v>
      </c>
      <c r="C2232" s="1013" t="s">
        <v>4454</v>
      </c>
      <c r="D2232" s="1013" t="s">
        <v>5477</v>
      </c>
      <c r="E2232" s="1014">
        <v>7400</v>
      </c>
      <c r="F2232" s="1013" t="s">
        <v>830</v>
      </c>
      <c r="G2232" s="1014" t="s">
        <v>266</v>
      </c>
      <c r="H2232" s="1015">
        <v>426095</v>
      </c>
      <c r="I2232" s="1016" t="s">
        <v>3538</v>
      </c>
    </row>
    <row r="2233" spans="2:9" ht="15.75" x14ac:dyDescent="0.25">
      <c r="B2233" s="1365" t="s">
        <v>7229</v>
      </c>
      <c r="C2233" s="1013" t="s">
        <v>4454</v>
      </c>
      <c r="D2233" s="1013" t="s">
        <v>5477</v>
      </c>
      <c r="E2233" s="1014">
        <v>7401</v>
      </c>
      <c r="F2233" s="1013" t="s">
        <v>831</v>
      </c>
      <c r="G2233" s="1014" t="s">
        <v>266</v>
      </c>
      <c r="H2233" s="1015">
        <v>728782</v>
      </c>
      <c r="I2233" s="1016" t="s">
        <v>6899</v>
      </c>
    </row>
    <row r="2234" spans="2:9" ht="15.75" x14ac:dyDescent="0.25">
      <c r="B2234" s="1365" t="s">
        <v>7229</v>
      </c>
      <c r="C2234" s="1013" t="s">
        <v>4454</v>
      </c>
      <c r="D2234" s="1013" t="s">
        <v>5477</v>
      </c>
      <c r="E2234" s="1014">
        <v>7406</v>
      </c>
      <c r="F2234" s="1013" t="s">
        <v>6183</v>
      </c>
      <c r="G2234" s="1014" t="s">
        <v>266</v>
      </c>
      <c r="H2234" s="1015">
        <v>428400</v>
      </c>
      <c r="I2234" s="1016" t="s">
        <v>3538</v>
      </c>
    </row>
    <row r="2235" spans="2:9" ht="15.75" x14ac:dyDescent="0.25">
      <c r="B2235" s="1365" t="s">
        <v>7229</v>
      </c>
      <c r="C2235" s="1013" t="s">
        <v>4454</v>
      </c>
      <c r="D2235" s="1013" t="s">
        <v>5477</v>
      </c>
      <c r="E2235" s="1014">
        <v>7407</v>
      </c>
      <c r="F2235" s="1013" t="s">
        <v>833</v>
      </c>
      <c r="G2235" s="1014" t="s">
        <v>266</v>
      </c>
      <c r="H2235" s="1015">
        <v>728782</v>
      </c>
      <c r="I2235" s="1016" t="s">
        <v>6899</v>
      </c>
    </row>
    <row r="2236" spans="2:9" ht="15.75" x14ac:dyDescent="0.25">
      <c r="B2236" s="1365" t="s">
        <v>7229</v>
      </c>
      <c r="C2236" s="1013" t="s">
        <v>4405</v>
      </c>
      <c r="D2236" s="1013" t="s">
        <v>4406</v>
      </c>
      <c r="E2236" s="1014">
        <v>7408</v>
      </c>
      <c r="F2236" s="1013" t="s">
        <v>834</v>
      </c>
      <c r="G2236" s="1014" t="s">
        <v>266</v>
      </c>
      <c r="H2236" s="1015">
        <v>760894</v>
      </c>
      <c r="I2236" s="1016" t="s">
        <v>4398</v>
      </c>
    </row>
    <row r="2237" spans="2:9" ht="15.75" x14ac:dyDescent="0.25">
      <c r="B2237" s="1365" t="s">
        <v>7229</v>
      </c>
      <c r="C2237" s="1013" t="s">
        <v>4405</v>
      </c>
      <c r="D2237" s="1013" t="s">
        <v>4406</v>
      </c>
      <c r="E2237" s="1014">
        <v>7409</v>
      </c>
      <c r="F2237" s="1013" t="s">
        <v>6184</v>
      </c>
      <c r="G2237" s="1014" t="s">
        <v>266</v>
      </c>
      <c r="H2237" s="1015">
        <v>3508830</v>
      </c>
      <c r="I2237" s="1016" t="s">
        <v>6899</v>
      </c>
    </row>
    <row r="2238" spans="2:9" ht="15.75" x14ac:dyDescent="0.25">
      <c r="B2238" s="1365" t="s">
        <v>7229</v>
      </c>
      <c r="C2238" s="1013" t="s">
        <v>4405</v>
      </c>
      <c r="D2238" s="1013" t="s">
        <v>4406</v>
      </c>
      <c r="E2238" s="1014">
        <v>7410</v>
      </c>
      <c r="F2238" s="1013" t="s">
        <v>6185</v>
      </c>
      <c r="G2238" s="1014" t="s">
        <v>266</v>
      </c>
      <c r="H2238" s="1015">
        <v>1969035</v>
      </c>
      <c r="I2238" s="1016" t="s">
        <v>6899</v>
      </c>
    </row>
    <row r="2239" spans="2:9" ht="15.75" x14ac:dyDescent="0.25">
      <c r="B2239" s="1365" t="s">
        <v>7229</v>
      </c>
      <c r="C2239" s="1013" t="s">
        <v>4405</v>
      </c>
      <c r="D2239" s="1013" t="s">
        <v>4406</v>
      </c>
      <c r="E2239" s="1014">
        <v>7411</v>
      </c>
      <c r="F2239" s="1013" t="s">
        <v>6186</v>
      </c>
      <c r="G2239" s="1014" t="s">
        <v>266</v>
      </c>
      <c r="H2239" s="1015">
        <v>1349068</v>
      </c>
      <c r="I2239" s="1016" t="s">
        <v>6899</v>
      </c>
    </row>
    <row r="2240" spans="2:9" ht="15.75" x14ac:dyDescent="0.25">
      <c r="B2240" s="1365" t="s">
        <v>7229</v>
      </c>
      <c r="C2240" s="1013" t="s">
        <v>4461</v>
      </c>
      <c r="D2240" s="1013" t="s">
        <v>4461</v>
      </c>
      <c r="E2240" s="1014">
        <v>7412</v>
      </c>
      <c r="F2240" s="1013" t="s">
        <v>6187</v>
      </c>
      <c r="G2240" s="1014" t="s">
        <v>266</v>
      </c>
      <c r="H2240" s="1015">
        <v>1225865</v>
      </c>
      <c r="I2240" s="1016" t="s">
        <v>4398</v>
      </c>
    </row>
    <row r="2241" spans="2:9" ht="15.75" x14ac:dyDescent="0.25">
      <c r="B2241" s="1365" t="s">
        <v>7229</v>
      </c>
      <c r="C2241" s="1013" t="s">
        <v>4405</v>
      </c>
      <c r="D2241" s="1013" t="s">
        <v>4406</v>
      </c>
      <c r="E2241" s="1014">
        <v>7413</v>
      </c>
      <c r="F2241" s="1013" t="s">
        <v>6188</v>
      </c>
      <c r="G2241" s="1014" t="s">
        <v>266</v>
      </c>
      <c r="H2241" s="1015">
        <v>2227911</v>
      </c>
      <c r="I2241" s="1016" t="s">
        <v>6899</v>
      </c>
    </row>
    <row r="2242" spans="2:9" ht="15.75" x14ac:dyDescent="0.25">
      <c r="B2242" s="1365" t="s">
        <v>7229</v>
      </c>
      <c r="C2242" s="1013" t="s">
        <v>4461</v>
      </c>
      <c r="D2242" s="1013" t="s">
        <v>4461</v>
      </c>
      <c r="E2242" s="1014">
        <v>7414</v>
      </c>
      <c r="F2242" s="1013" t="s">
        <v>6189</v>
      </c>
      <c r="G2242" s="1014" t="s">
        <v>266</v>
      </c>
      <c r="H2242" s="1015">
        <v>2420416</v>
      </c>
      <c r="I2242" s="1016" t="s">
        <v>4398</v>
      </c>
    </row>
    <row r="2243" spans="2:9" ht="15.75" x14ac:dyDescent="0.25">
      <c r="B2243" s="1365" t="s">
        <v>7229</v>
      </c>
      <c r="C2243" s="1013" t="s">
        <v>4461</v>
      </c>
      <c r="D2243" s="1013" t="s">
        <v>4461</v>
      </c>
      <c r="E2243" s="1014">
        <v>7415</v>
      </c>
      <c r="F2243" s="1013" t="s">
        <v>6190</v>
      </c>
      <c r="G2243" s="1014" t="s">
        <v>266</v>
      </c>
      <c r="H2243" s="1015">
        <v>988456</v>
      </c>
      <c r="I2243" s="1016" t="s">
        <v>4398</v>
      </c>
    </row>
    <row r="2244" spans="2:9" ht="15.75" x14ac:dyDescent="0.25">
      <c r="B2244" s="1365" t="s">
        <v>7229</v>
      </c>
      <c r="C2244" s="1013" t="s">
        <v>4468</v>
      </c>
      <c r="D2244" s="1013" t="s">
        <v>4469</v>
      </c>
      <c r="E2244" s="1014">
        <v>7417</v>
      </c>
      <c r="F2244" s="1013" t="s">
        <v>6191</v>
      </c>
      <c r="G2244" s="1014" t="s">
        <v>3</v>
      </c>
      <c r="H2244" s="1015">
        <v>791845</v>
      </c>
      <c r="I2244" s="1016" t="s">
        <v>6899</v>
      </c>
    </row>
    <row r="2245" spans="2:9" ht="15.75" x14ac:dyDescent="0.25">
      <c r="B2245" s="1365" t="s">
        <v>7229</v>
      </c>
      <c r="C2245" s="1013" t="s">
        <v>4461</v>
      </c>
      <c r="D2245" s="1013" t="s">
        <v>4461</v>
      </c>
      <c r="E2245" s="1014">
        <v>7419</v>
      </c>
      <c r="F2245" s="1013" t="s">
        <v>6192</v>
      </c>
      <c r="G2245" s="1014" t="s">
        <v>266</v>
      </c>
      <c r="H2245" s="1015">
        <v>235913</v>
      </c>
      <c r="I2245" s="1016" t="s">
        <v>4398</v>
      </c>
    </row>
    <row r="2246" spans="2:9" ht="15.75" x14ac:dyDescent="0.25">
      <c r="B2246" s="1365" t="s">
        <v>7229</v>
      </c>
      <c r="C2246" s="1013" t="s">
        <v>4461</v>
      </c>
      <c r="D2246" s="1013" t="s">
        <v>4461</v>
      </c>
      <c r="E2246" s="1014">
        <v>7420</v>
      </c>
      <c r="F2246" s="1013" t="s">
        <v>6193</v>
      </c>
      <c r="G2246" s="1014" t="s">
        <v>266</v>
      </c>
      <c r="H2246" s="1015">
        <v>1397483</v>
      </c>
      <c r="I2246" s="1016" t="s">
        <v>4398</v>
      </c>
    </row>
    <row r="2247" spans="2:9" ht="15.75" x14ac:dyDescent="0.25">
      <c r="B2247" s="1365" t="s">
        <v>7229</v>
      </c>
      <c r="C2247" s="1013" t="s">
        <v>4461</v>
      </c>
      <c r="D2247" s="1013" t="s">
        <v>4461</v>
      </c>
      <c r="E2247" s="1014">
        <v>7421</v>
      </c>
      <c r="F2247" s="1013" t="s">
        <v>6194</v>
      </c>
      <c r="G2247" s="1014" t="s">
        <v>266</v>
      </c>
      <c r="H2247" s="1015">
        <v>1266216</v>
      </c>
      <c r="I2247" s="1016" t="s">
        <v>4398</v>
      </c>
    </row>
    <row r="2248" spans="2:9" ht="15.75" x14ac:dyDescent="0.25">
      <c r="B2248" s="1365" t="s">
        <v>7229</v>
      </c>
      <c r="C2248" s="1013" t="s">
        <v>4461</v>
      </c>
      <c r="D2248" s="1013" t="s">
        <v>4461</v>
      </c>
      <c r="E2248" s="1014">
        <v>7422</v>
      </c>
      <c r="F2248" s="1013" t="s">
        <v>6195</v>
      </c>
      <c r="G2248" s="1014" t="s">
        <v>266</v>
      </c>
      <c r="H2248" s="1015">
        <v>2654302</v>
      </c>
      <c r="I2248" s="1016" t="s">
        <v>4398</v>
      </c>
    </row>
    <row r="2249" spans="2:9" ht="15.75" x14ac:dyDescent="0.25">
      <c r="B2249" s="1365" t="s">
        <v>7229</v>
      </c>
      <c r="C2249" s="1013" t="s">
        <v>4461</v>
      </c>
      <c r="D2249" s="1013" t="s">
        <v>4461</v>
      </c>
      <c r="E2249" s="1014">
        <v>7423</v>
      </c>
      <c r="F2249" s="1013" t="s">
        <v>6196</v>
      </c>
      <c r="G2249" s="1014" t="s">
        <v>266</v>
      </c>
      <c r="H2249" s="1015">
        <v>619337</v>
      </c>
      <c r="I2249" s="1016" t="s">
        <v>4398</v>
      </c>
    </row>
    <row r="2250" spans="2:9" ht="15.75" x14ac:dyDescent="0.25">
      <c r="B2250" s="1365" t="s">
        <v>7229</v>
      </c>
      <c r="C2250" s="1013" t="s">
        <v>4461</v>
      </c>
      <c r="D2250" s="1013" t="s">
        <v>4461</v>
      </c>
      <c r="E2250" s="1014">
        <v>7424</v>
      </c>
      <c r="F2250" s="1013" t="s">
        <v>6197</v>
      </c>
      <c r="G2250" s="1014" t="s">
        <v>266</v>
      </c>
      <c r="H2250" s="1015">
        <v>4487079</v>
      </c>
      <c r="I2250" s="1016" t="s">
        <v>4398</v>
      </c>
    </row>
    <row r="2251" spans="2:9" ht="15.75" x14ac:dyDescent="0.25">
      <c r="B2251" s="1365" t="s">
        <v>7229</v>
      </c>
      <c r="C2251" s="1013" t="s">
        <v>4461</v>
      </c>
      <c r="D2251" s="1013" t="s">
        <v>4461</v>
      </c>
      <c r="E2251" s="1014">
        <v>7425</v>
      </c>
      <c r="F2251" s="1013" t="s">
        <v>6198</v>
      </c>
      <c r="G2251" s="1014" t="s">
        <v>266</v>
      </c>
      <c r="H2251" s="1015">
        <v>4720962</v>
      </c>
      <c r="I2251" s="1016" t="s">
        <v>4398</v>
      </c>
    </row>
    <row r="2252" spans="2:9" ht="15.75" x14ac:dyDescent="0.25">
      <c r="B2252" s="1365" t="s">
        <v>7229</v>
      </c>
      <c r="C2252" s="1013" t="s">
        <v>4468</v>
      </c>
      <c r="D2252" s="1013" t="s">
        <v>4469</v>
      </c>
      <c r="E2252" s="1014">
        <v>7426</v>
      </c>
      <c r="F2252" s="1013" t="s">
        <v>6199</v>
      </c>
      <c r="G2252" s="1014" t="s">
        <v>3</v>
      </c>
      <c r="H2252" s="1015">
        <v>809482</v>
      </c>
      <c r="I2252" s="1016" t="s">
        <v>6899</v>
      </c>
    </row>
    <row r="2253" spans="2:9" ht="15.75" x14ac:dyDescent="0.25">
      <c r="B2253" s="1365" t="s">
        <v>7229</v>
      </c>
      <c r="C2253" s="1013" t="s">
        <v>4461</v>
      </c>
      <c r="D2253" s="1013" t="s">
        <v>4461</v>
      </c>
      <c r="E2253" s="1014">
        <v>7427</v>
      </c>
      <c r="F2253" s="1013" t="s">
        <v>6200</v>
      </c>
      <c r="G2253" s="1014" t="s">
        <v>266</v>
      </c>
      <c r="H2253" s="1015">
        <v>2173837</v>
      </c>
      <c r="I2253" s="1016" t="s">
        <v>4398</v>
      </c>
    </row>
    <row r="2254" spans="2:9" ht="15.75" x14ac:dyDescent="0.25">
      <c r="B2254" s="1365" t="s">
        <v>7229</v>
      </c>
      <c r="C2254" s="1013" t="s">
        <v>4461</v>
      </c>
      <c r="D2254" s="1013" t="s">
        <v>4461</v>
      </c>
      <c r="E2254" s="1014">
        <v>7428</v>
      </c>
      <c r="F2254" s="1013" t="s">
        <v>6201</v>
      </c>
      <c r="G2254" s="1014" t="s">
        <v>266</v>
      </c>
      <c r="H2254" s="1015">
        <v>1922338</v>
      </c>
      <c r="I2254" s="1016" t="s">
        <v>4398</v>
      </c>
    </row>
    <row r="2255" spans="2:9" ht="15.75" x14ac:dyDescent="0.25">
      <c r="B2255" s="1365" t="s">
        <v>7229</v>
      </c>
      <c r="C2255" s="1013" t="s">
        <v>4461</v>
      </c>
      <c r="D2255" s="1013" t="s">
        <v>4461</v>
      </c>
      <c r="E2255" s="1014">
        <v>7429</v>
      </c>
      <c r="F2255" s="1013" t="s">
        <v>6202</v>
      </c>
      <c r="G2255" s="1014" t="s">
        <v>266</v>
      </c>
      <c r="H2255" s="1015">
        <v>5916000</v>
      </c>
      <c r="I2255" s="1016" t="s">
        <v>6899</v>
      </c>
    </row>
    <row r="2256" spans="2:9" ht="15.75" x14ac:dyDescent="0.25">
      <c r="B2256" s="1365" t="s">
        <v>7229</v>
      </c>
      <c r="C2256" s="1013" t="s">
        <v>4405</v>
      </c>
      <c r="D2256" s="1013" t="s">
        <v>5099</v>
      </c>
      <c r="E2256" s="1014">
        <v>7430</v>
      </c>
      <c r="F2256" s="1013" t="s">
        <v>6203</v>
      </c>
      <c r="G2256" s="1014" t="s">
        <v>266</v>
      </c>
      <c r="H2256" s="1015">
        <v>400560</v>
      </c>
      <c r="I2256" s="1016" t="s">
        <v>6899</v>
      </c>
    </row>
    <row r="2257" spans="2:9" ht="15.75" x14ac:dyDescent="0.25">
      <c r="B2257" s="1365" t="s">
        <v>7229</v>
      </c>
      <c r="C2257" s="1013" t="s">
        <v>4461</v>
      </c>
      <c r="D2257" s="1013" t="s">
        <v>4461</v>
      </c>
      <c r="E2257" s="1014">
        <v>7431</v>
      </c>
      <c r="F2257" s="1013" t="s">
        <v>6204</v>
      </c>
      <c r="G2257" s="1014" t="s">
        <v>13</v>
      </c>
      <c r="H2257" s="1015">
        <v>1395155</v>
      </c>
      <c r="I2257" s="1016" t="s">
        <v>6899</v>
      </c>
    </row>
    <row r="2258" spans="2:9" ht="15.75" x14ac:dyDescent="0.25">
      <c r="B2258" s="1365" t="s">
        <v>7229</v>
      </c>
      <c r="C2258" s="1013" t="s">
        <v>4420</v>
      </c>
      <c r="D2258" s="1013" t="s">
        <v>4420</v>
      </c>
      <c r="E2258" s="1014">
        <v>7432</v>
      </c>
      <c r="F2258" s="1013" t="s">
        <v>6205</v>
      </c>
      <c r="G2258" s="1014" t="s">
        <v>13</v>
      </c>
      <c r="H2258" s="1015">
        <v>608299</v>
      </c>
      <c r="I2258" s="1016" t="s">
        <v>4398</v>
      </c>
    </row>
    <row r="2259" spans="2:9" ht="15.75" x14ac:dyDescent="0.25">
      <c r="B2259" s="1365" t="s">
        <v>7229</v>
      </c>
      <c r="C2259" s="1013" t="s">
        <v>4420</v>
      </c>
      <c r="D2259" s="1013" t="s">
        <v>4420</v>
      </c>
      <c r="E2259" s="1014">
        <v>7433</v>
      </c>
      <c r="F2259" s="1013" t="s">
        <v>6206</v>
      </c>
      <c r="G2259" s="1014" t="s">
        <v>13</v>
      </c>
      <c r="H2259" s="1015">
        <v>715300</v>
      </c>
      <c r="I2259" s="1016" t="s">
        <v>4398</v>
      </c>
    </row>
    <row r="2260" spans="2:9" ht="15.75" x14ac:dyDescent="0.25">
      <c r="B2260" s="1365" t="s">
        <v>7229</v>
      </c>
      <c r="C2260" s="1013" t="s">
        <v>4420</v>
      </c>
      <c r="D2260" s="1013" t="s">
        <v>4420</v>
      </c>
      <c r="E2260" s="1014">
        <v>7434</v>
      </c>
      <c r="F2260" s="1013" t="s">
        <v>6207</v>
      </c>
      <c r="G2260" s="1014" t="s">
        <v>13</v>
      </c>
      <c r="H2260" s="1015">
        <v>878806</v>
      </c>
      <c r="I2260" s="1016" t="s">
        <v>4398</v>
      </c>
    </row>
    <row r="2261" spans="2:9" ht="15.75" x14ac:dyDescent="0.25">
      <c r="B2261" s="1365" t="s">
        <v>7229</v>
      </c>
      <c r="C2261" s="1013" t="s">
        <v>4420</v>
      </c>
      <c r="D2261" s="1013" t="s">
        <v>4420</v>
      </c>
      <c r="E2261" s="1014">
        <v>7435</v>
      </c>
      <c r="F2261" s="1013" t="s">
        <v>6208</v>
      </c>
      <c r="G2261" s="1014" t="s">
        <v>13</v>
      </c>
      <c r="H2261" s="1015">
        <v>1580066</v>
      </c>
      <c r="I2261" s="1016" t="s">
        <v>4398</v>
      </c>
    </row>
    <row r="2262" spans="2:9" ht="15.75" x14ac:dyDescent="0.25">
      <c r="B2262" s="1365" t="s">
        <v>7229</v>
      </c>
      <c r="C2262" s="1013" t="s">
        <v>4454</v>
      </c>
      <c r="D2262" s="1013" t="s">
        <v>5477</v>
      </c>
      <c r="E2262" s="1014">
        <v>7436</v>
      </c>
      <c r="F2262" s="1013" t="s">
        <v>6209</v>
      </c>
      <c r="G2262" s="1014" t="s">
        <v>266</v>
      </c>
      <c r="H2262" s="1015">
        <v>1214817</v>
      </c>
      <c r="I2262" s="1016" t="s">
        <v>4398</v>
      </c>
    </row>
    <row r="2263" spans="2:9" ht="15.75" x14ac:dyDescent="0.25">
      <c r="B2263" s="1365" t="s">
        <v>7229</v>
      </c>
      <c r="C2263" s="1013" t="s">
        <v>4468</v>
      </c>
      <c r="D2263" s="1013" t="s">
        <v>4468</v>
      </c>
      <c r="E2263" s="1014">
        <v>7437</v>
      </c>
      <c r="F2263" s="1013" t="s">
        <v>6210</v>
      </c>
      <c r="G2263" s="1014" t="s">
        <v>3</v>
      </c>
      <c r="H2263" s="1015">
        <v>973173</v>
      </c>
      <c r="I2263" s="1016" t="s">
        <v>6899</v>
      </c>
    </row>
    <row r="2264" spans="2:9" ht="15.75" x14ac:dyDescent="0.25">
      <c r="B2264" s="1365" t="s">
        <v>7229</v>
      </c>
      <c r="C2264" s="1013" t="s">
        <v>4461</v>
      </c>
      <c r="D2264" s="1013" t="s">
        <v>4461</v>
      </c>
      <c r="E2264" s="1014">
        <v>7438</v>
      </c>
      <c r="F2264" s="1013" t="s">
        <v>6211</v>
      </c>
      <c r="G2264" s="1014" t="s">
        <v>266</v>
      </c>
      <c r="H2264" s="1015">
        <v>4101000</v>
      </c>
      <c r="I2264" s="1016" t="s">
        <v>6899</v>
      </c>
    </row>
    <row r="2265" spans="2:9" ht="15.75" x14ac:dyDescent="0.25">
      <c r="B2265" s="1365" t="s">
        <v>7229</v>
      </c>
      <c r="C2265" s="1013" t="s">
        <v>4420</v>
      </c>
      <c r="D2265" s="1013" t="s">
        <v>4420</v>
      </c>
      <c r="E2265" s="1014">
        <v>7439</v>
      </c>
      <c r="F2265" s="1013" t="s">
        <v>6212</v>
      </c>
      <c r="G2265" s="1014" t="s">
        <v>266</v>
      </c>
      <c r="H2265" s="1015">
        <v>417974</v>
      </c>
      <c r="I2265" s="1016" t="s">
        <v>4398</v>
      </c>
    </row>
    <row r="2266" spans="2:9" ht="15.75" x14ac:dyDescent="0.25">
      <c r="B2266" s="1365" t="s">
        <v>7229</v>
      </c>
      <c r="C2266" s="1013" t="s">
        <v>4461</v>
      </c>
      <c r="D2266" s="1013" t="s">
        <v>4461</v>
      </c>
      <c r="E2266" s="1014">
        <v>7440</v>
      </c>
      <c r="F2266" s="1013" t="s">
        <v>6213</v>
      </c>
      <c r="G2266" s="1014" t="s">
        <v>266</v>
      </c>
      <c r="H2266" s="1015">
        <v>4090792</v>
      </c>
      <c r="I2266" s="1016" t="s">
        <v>6899</v>
      </c>
    </row>
    <row r="2267" spans="2:9" ht="15.75" x14ac:dyDescent="0.25">
      <c r="B2267" s="1365" t="s">
        <v>7229</v>
      </c>
      <c r="C2267" s="1013" t="s">
        <v>4461</v>
      </c>
      <c r="D2267" s="1013" t="s">
        <v>4461</v>
      </c>
      <c r="E2267" s="1014">
        <v>7441</v>
      </c>
      <c r="F2267" s="1013" t="s">
        <v>6214</v>
      </c>
      <c r="G2267" s="1014" t="s">
        <v>266</v>
      </c>
      <c r="H2267" s="1015">
        <v>4090792</v>
      </c>
      <c r="I2267" s="1016" t="s">
        <v>6899</v>
      </c>
    </row>
    <row r="2268" spans="2:9" ht="15.75" x14ac:dyDescent="0.25">
      <c r="B2268" s="1365" t="s">
        <v>7229</v>
      </c>
      <c r="C2268" s="1013" t="s">
        <v>4461</v>
      </c>
      <c r="D2268" s="1013" t="s">
        <v>4461</v>
      </c>
      <c r="E2268" s="1014">
        <v>7442</v>
      </c>
      <c r="F2268" s="1013" t="s">
        <v>6215</v>
      </c>
      <c r="G2268" s="1014" t="s">
        <v>266</v>
      </c>
      <c r="H2268" s="1015">
        <v>4101000</v>
      </c>
      <c r="I2268" s="1016" t="s">
        <v>6899</v>
      </c>
    </row>
    <row r="2269" spans="2:9" ht="15.75" x14ac:dyDescent="0.25">
      <c r="B2269" s="1365" t="s">
        <v>7229</v>
      </c>
      <c r="C2269" s="1013" t="s">
        <v>4417</v>
      </c>
      <c r="D2269" s="1013" t="s">
        <v>4418</v>
      </c>
      <c r="E2269" s="1014">
        <v>7443</v>
      </c>
      <c r="F2269" s="1013" t="s">
        <v>6216</v>
      </c>
      <c r="G2269" s="1014" t="s">
        <v>13</v>
      </c>
      <c r="H2269" s="1015">
        <v>49315</v>
      </c>
      <c r="I2269" s="1016" t="s">
        <v>6899</v>
      </c>
    </row>
    <row r="2270" spans="2:9" ht="15.75" x14ac:dyDescent="0.25">
      <c r="B2270" s="1365" t="s">
        <v>7229</v>
      </c>
      <c r="C2270" s="1013" t="s">
        <v>5366</v>
      </c>
      <c r="D2270" s="1013" t="s">
        <v>5366</v>
      </c>
      <c r="E2270" s="1014">
        <v>7445</v>
      </c>
      <c r="F2270" s="1013" t="s">
        <v>6217</v>
      </c>
      <c r="G2270" s="1014" t="s">
        <v>12</v>
      </c>
      <c r="H2270" s="1015">
        <v>343098</v>
      </c>
      <c r="I2270" s="1016" t="s">
        <v>6899</v>
      </c>
    </row>
    <row r="2271" spans="2:9" ht="15.75" x14ac:dyDescent="0.25">
      <c r="B2271" s="1365" t="s">
        <v>7229</v>
      </c>
      <c r="C2271" s="1013" t="s">
        <v>4420</v>
      </c>
      <c r="D2271" s="1013" t="s">
        <v>4420</v>
      </c>
      <c r="E2271" s="1014">
        <v>7447</v>
      </c>
      <c r="F2271" s="1013" t="s">
        <v>6218</v>
      </c>
      <c r="G2271" s="1014" t="s">
        <v>13</v>
      </c>
      <c r="H2271" s="1015">
        <v>3187347</v>
      </c>
      <c r="I2271" s="1016" t="s">
        <v>4398</v>
      </c>
    </row>
    <row r="2272" spans="2:9" ht="15.75" x14ac:dyDescent="0.25">
      <c r="B2272" s="1365" t="s">
        <v>7229</v>
      </c>
      <c r="C2272" s="1013" t="s">
        <v>4461</v>
      </c>
      <c r="D2272" s="1013" t="s">
        <v>4461</v>
      </c>
      <c r="E2272" s="1014">
        <v>7448</v>
      </c>
      <c r="F2272" s="1013" t="s">
        <v>6219</v>
      </c>
      <c r="G2272" s="1014" t="s">
        <v>266</v>
      </c>
      <c r="H2272" s="1015">
        <v>439406</v>
      </c>
      <c r="I2272" s="1016" t="s">
        <v>4398</v>
      </c>
    </row>
    <row r="2273" spans="2:9" ht="15.75" x14ac:dyDescent="0.25">
      <c r="B2273" s="1365" t="s">
        <v>7229</v>
      </c>
      <c r="C2273" s="1013" t="s">
        <v>4461</v>
      </c>
      <c r="D2273" s="1013" t="s">
        <v>4461</v>
      </c>
      <c r="E2273" s="1014">
        <v>7451</v>
      </c>
      <c r="F2273" s="1013" t="s">
        <v>835</v>
      </c>
      <c r="G2273" s="1014" t="s">
        <v>266</v>
      </c>
      <c r="H2273" s="1015">
        <v>586319</v>
      </c>
      <c r="I2273" s="1016" t="s">
        <v>4398</v>
      </c>
    </row>
    <row r="2274" spans="2:9" ht="15.75" x14ac:dyDescent="0.25">
      <c r="B2274" s="1365" t="s">
        <v>7229</v>
      </c>
      <c r="C2274" s="1013" t="s">
        <v>4405</v>
      </c>
      <c r="D2274" s="1013" t="s">
        <v>4406</v>
      </c>
      <c r="E2274" s="1014">
        <v>7452</v>
      </c>
      <c r="F2274" s="1013" t="s">
        <v>6220</v>
      </c>
      <c r="G2274" s="1014" t="s">
        <v>266</v>
      </c>
      <c r="H2274" s="1015">
        <v>2249002</v>
      </c>
      <c r="I2274" s="1016" t="s">
        <v>6899</v>
      </c>
    </row>
    <row r="2275" spans="2:9" ht="15.75" x14ac:dyDescent="0.25">
      <c r="B2275" s="1365" t="s">
        <v>7229</v>
      </c>
      <c r="C2275" s="1013" t="s">
        <v>4461</v>
      </c>
      <c r="D2275" s="1013" t="s">
        <v>4461</v>
      </c>
      <c r="E2275" s="1014">
        <v>7453</v>
      </c>
      <c r="F2275" s="1013" t="s">
        <v>836</v>
      </c>
      <c r="G2275" s="1014" t="s">
        <v>266</v>
      </c>
      <c r="H2275" s="1015">
        <v>1219598</v>
      </c>
      <c r="I2275" s="1016" t="s">
        <v>4398</v>
      </c>
    </row>
    <row r="2276" spans="2:9" ht="15.75" x14ac:dyDescent="0.25">
      <c r="B2276" s="1365" t="s">
        <v>7229</v>
      </c>
      <c r="C2276" s="1013" t="s">
        <v>4461</v>
      </c>
      <c r="D2276" s="1013" t="s">
        <v>4461</v>
      </c>
      <c r="E2276" s="1014">
        <v>7454</v>
      </c>
      <c r="F2276" s="1013" t="s">
        <v>837</v>
      </c>
      <c r="G2276" s="1014" t="s">
        <v>266</v>
      </c>
      <c r="H2276" s="1015">
        <v>2633461</v>
      </c>
      <c r="I2276" s="1016" t="s">
        <v>4398</v>
      </c>
    </row>
    <row r="2277" spans="2:9" ht="15.75" x14ac:dyDescent="0.25">
      <c r="B2277" s="1365" t="s">
        <v>7229</v>
      </c>
      <c r="C2277" s="1013" t="s">
        <v>4461</v>
      </c>
      <c r="D2277" s="1013" t="s">
        <v>4461</v>
      </c>
      <c r="E2277" s="1014">
        <v>7455</v>
      </c>
      <c r="F2277" s="1013" t="s">
        <v>838</v>
      </c>
      <c r="G2277" s="1014" t="s">
        <v>266</v>
      </c>
      <c r="H2277" s="1015">
        <v>10603457</v>
      </c>
      <c r="I2277" s="1016" t="s">
        <v>4398</v>
      </c>
    </row>
    <row r="2278" spans="2:9" ht="15.75" x14ac:dyDescent="0.25">
      <c r="B2278" s="1365" t="s">
        <v>7229</v>
      </c>
      <c r="C2278" s="1013" t="s">
        <v>4405</v>
      </c>
      <c r="D2278" s="1013" t="s">
        <v>4406</v>
      </c>
      <c r="E2278" s="1014">
        <v>7458</v>
      </c>
      <c r="F2278" s="1013" t="s">
        <v>6221</v>
      </c>
      <c r="G2278" s="1014" t="s">
        <v>266</v>
      </c>
      <c r="H2278" s="1015">
        <v>7468582</v>
      </c>
      <c r="I2278" s="1016" t="s">
        <v>6899</v>
      </c>
    </row>
    <row r="2279" spans="2:9" ht="15.75" x14ac:dyDescent="0.25">
      <c r="B2279" s="1365" t="s">
        <v>7229</v>
      </c>
      <c r="C2279" s="1013" t="s">
        <v>4461</v>
      </c>
      <c r="D2279" s="1013" t="s">
        <v>4461</v>
      </c>
      <c r="E2279" s="1014">
        <v>7459</v>
      </c>
      <c r="F2279" s="1013" t="s">
        <v>6222</v>
      </c>
      <c r="G2279" s="1014" t="s">
        <v>266</v>
      </c>
      <c r="H2279" s="1015">
        <v>5377535</v>
      </c>
      <c r="I2279" s="1016" t="s">
        <v>6899</v>
      </c>
    </row>
    <row r="2280" spans="2:9" ht="15.75" x14ac:dyDescent="0.25">
      <c r="B2280" s="1365" t="s">
        <v>7229</v>
      </c>
      <c r="C2280" s="1013" t="s">
        <v>4405</v>
      </c>
      <c r="D2280" s="1013" t="s">
        <v>4406</v>
      </c>
      <c r="E2280" s="1014">
        <v>7460</v>
      </c>
      <c r="F2280" s="1013" t="s">
        <v>6223</v>
      </c>
      <c r="G2280" s="1014" t="s">
        <v>266</v>
      </c>
      <c r="H2280" s="1015">
        <v>2932327</v>
      </c>
      <c r="I2280" s="1016" t="s">
        <v>6899</v>
      </c>
    </row>
    <row r="2281" spans="2:9" ht="15.75" x14ac:dyDescent="0.25">
      <c r="B2281" s="1365" t="s">
        <v>7229</v>
      </c>
      <c r="C2281" s="1013" t="s">
        <v>4461</v>
      </c>
      <c r="D2281" s="1013" t="s">
        <v>4461</v>
      </c>
      <c r="E2281" s="1014">
        <v>7462</v>
      </c>
      <c r="F2281" s="1013" t="s">
        <v>6224</v>
      </c>
      <c r="G2281" s="1014" t="s">
        <v>266</v>
      </c>
      <c r="H2281" s="1015">
        <v>3813745</v>
      </c>
      <c r="I2281" s="1016" t="s">
        <v>6899</v>
      </c>
    </row>
    <row r="2282" spans="2:9" ht="15.75" x14ac:dyDescent="0.25">
      <c r="B2282" s="1365" t="s">
        <v>7229</v>
      </c>
      <c r="C2282" s="1013" t="s">
        <v>4405</v>
      </c>
      <c r="D2282" s="1013" t="s">
        <v>4406</v>
      </c>
      <c r="E2282" s="1014">
        <v>7464</v>
      </c>
      <c r="F2282" s="1013" t="s">
        <v>6225</v>
      </c>
      <c r="G2282" s="1014" t="s">
        <v>266</v>
      </c>
      <c r="H2282" s="1015">
        <v>3107498</v>
      </c>
      <c r="I2282" s="1016" t="s">
        <v>6899</v>
      </c>
    </row>
    <row r="2283" spans="2:9" ht="15.75" x14ac:dyDescent="0.25">
      <c r="B2283" s="1365" t="s">
        <v>7229</v>
      </c>
      <c r="C2283" s="1013" t="s">
        <v>4461</v>
      </c>
      <c r="D2283" s="1013" t="s">
        <v>4461</v>
      </c>
      <c r="E2283" s="1014">
        <v>7465</v>
      </c>
      <c r="F2283" s="1013" t="s">
        <v>6226</v>
      </c>
      <c r="G2283" s="1014" t="s">
        <v>266</v>
      </c>
      <c r="H2283" s="1015">
        <v>141350</v>
      </c>
      <c r="I2283" s="1016" t="s">
        <v>4398</v>
      </c>
    </row>
    <row r="2284" spans="2:9" ht="15.75" x14ac:dyDescent="0.25">
      <c r="B2284" s="1365" t="s">
        <v>7229</v>
      </c>
      <c r="C2284" s="1013" t="s">
        <v>4461</v>
      </c>
      <c r="D2284" s="1013" t="s">
        <v>4461</v>
      </c>
      <c r="E2284" s="1014">
        <v>7468</v>
      </c>
      <c r="F2284" s="1013" t="s">
        <v>6227</v>
      </c>
      <c r="G2284" s="1014" t="s">
        <v>266</v>
      </c>
      <c r="H2284" s="1015">
        <v>3827159</v>
      </c>
      <c r="I2284" s="1016" t="s">
        <v>6899</v>
      </c>
    </row>
    <row r="2285" spans="2:9" ht="15.75" x14ac:dyDescent="0.25">
      <c r="B2285" s="1365" t="s">
        <v>7229</v>
      </c>
      <c r="C2285" s="1013" t="s">
        <v>4454</v>
      </c>
      <c r="D2285" s="1013" t="s">
        <v>5477</v>
      </c>
      <c r="E2285" s="1014">
        <v>7469</v>
      </c>
      <c r="F2285" s="1013" t="s">
        <v>839</v>
      </c>
      <c r="G2285" s="1014" t="s">
        <v>266</v>
      </c>
      <c r="H2285" s="1015">
        <v>473680</v>
      </c>
      <c r="I2285" s="1016" t="s">
        <v>6899</v>
      </c>
    </row>
    <row r="2286" spans="2:9" ht="15.75" x14ac:dyDescent="0.25">
      <c r="B2286" s="1365" t="s">
        <v>7229</v>
      </c>
      <c r="C2286" s="1013" t="s">
        <v>4454</v>
      </c>
      <c r="D2286" s="1013" t="s">
        <v>5477</v>
      </c>
      <c r="E2286" s="1014">
        <v>7470</v>
      </c>
      <c r="F2286" s="1013" t="s">
        <v>840</v>
      </c>
      <c r="G2286" s="1014" t="s">
        <v>266</v>
      </c>
      <c r="H2286" s="1015">
        <v>384619</v>
      </c>
      <c r="I2286" s="1016" t="s">
        <v>6899</v>
      </c>
    </row>
    <row r="2287" spans="2:9" ht="15.75" x14ac:dyDescent="0.25">
      <c r="B2287" s="1365" t="s">
        <v>7229</v>
      </c>
      <c r="C2287" s="1013" t="s">
        <v>4420</v>
      </c>
      <c r="D2287" s="1013" t="s">
        <v>4420</v>
      </c>
      <c r="E2287" s="1014">
        <v>7472</v>
      </c>
      <c r="F2287" s="1013" t="s">
        <v>6228</v>
      </c>
      <c r="G2287" s="1014" t="s">
        <v>13</v>
      </c>
      <c r="H2287" s="1015">
        <v>1178225</v>
      </c>
      <c r="I2287" s="1016" t="s">
        <v>4398</v>
      </c>
    </row>
    <row r="2288" spans="2:9" ht="15.75" x14ac:dyDescent="0.25">
      <c r="B2288" s="1365" t="s">
        <v>7229</v>
      </c>
      <c r="C2288" s="1013" t="s">
        <v>4420</v>
      </c>
      <c r="D2288" s="1013" t="s">
        <v>4420</v>
      </c>
      <c r="E2288" s="1014">
        <v>7474</v>
      </c>
      <c r="F2288" s="1013" t="s">
        <v>6229</v>
      </c>
      <c r="G2288" s="1014" t="s">
        <v>13</v>
      </c>
      <c r="H2288" s="1015">
        <v>2500578</v>
      </c>
      <c r="I2288" s="1016" t="s">
        <v>4398</v>
      </c>
    </row>
    <row r="2289" spans="2:9" ht="15.75" x14ac:dyDescent="0.25">
      <c r="B2289" s="1365" t="s">
        <v>7229</v>
      </c>
      <c r="C2289" s="1013" t="s">
        <v>4461</v>
      </c>
      <c r="D2289" s="1013" t="s">
        <v>4461</v>
      </c>
      <c r="E2289" s="1014">
        <v>7477</v>
      </c>
      <c r="F2289" s="1013" t="s">
        <v>6230</v>
      </c>
      <c r="G2289" s="1014" t="s">
        <v>266</v>
      </c>
      <c r="H2289" s="1015">
        <v>1208051</v>
      </c>
      <c r="I2289" s="1016" t="s">
        <v>4398</v>
      </c>
    </row>
    <row r="2290" spans="2:9" ht="15.75" x14ac:dyDescent="0.25">
      <c r="B2290" s="1365" t="s">
        <v>7229</v>
      </c>
      <c r="C2290" s="1013" t="s">
        <v>4461</v>
      </c>
      <c r="D2290" s="1013" t="s">
        <v>4461</v>
      </c>
      <c r="E2290" s="1014">
        <v>7480</v>
      </c>
      <c r="F2290" s="1013" t="s">
        <v>6231</v>
      </c>
      <c r="G2290" s="1014" t="s">
        <v>266</v>
      </c>
      <c r="H2290" s="1015">
        <v>2371712</v>
      </c>
      <c r="I2290" s="1016" t="s">
        <v>4398</v>
      </c>
    </row>
    <row r="2291" spans="2:9" ht="15.75" x14ac:dyDescent="0.25">
      <c r="B2291" s="1365" t="s">
        <v>7229</v>
      </c>
      <c r="C2291" s="1013" t="s">
        <v>4461</v>
      </c>
      <c r="D2291" s="1013" t="s">
        <v>4461</v>
      </c>
      <c r="E2291" s="1014">
        <v>7482</v>
      </c>
      <c r="F2291" s="1013" t="s">
        <v>6232</v>
      </c>
      <c r="G2291" s="1014" t="s">
        <v>266</v>
      </c>
      <c r="H2291" s="1015">
        <v>4392309</v>
      </c>
      <c r="I2291" s="1016" t="s">
        <v>4398</v>
      </c>
    </row>
    <row r="2292" spans="2:9" ht="15.75" x14ac:dyDescent="0.25">
      <c r="B2292" s="1365" t="s">
        <v>7229</v>
      </c>
      <c r="C2292" s="1013" t="s">
        <v>4461</v>
      </c>
      <c r="D2292" s="1013" t="s">
        <v>4461</v>
      </c>
      <c r="E2292" s="1014">
        <v>7485</v>
      </c>
      <c r="F2292" s="1013" t="s">
        <v>6233</v>
      </c>
      <c r="G2292" s="1014" t="s">
        <v>266</v>
      </c>
      <c r="H2292" s="1015">
        <v>3356290</v>
      </c>
      <c r="I2292" s="1016" t="s">
        <v>6899</v>
      </c>
    </row>
    <row r="2293" spans="2:9" ht="15.75" x14ac:dyDescent="0.25">
      <c r="B2293" s="1365" t="s">
        <v>7229</v>
      </c>
      <c r="C2293" s="1013" t="s">
        <v>4461</v>
      </c>
      <c r="D2293" s="1013" t="s">
        <v>4461</v>
      </c>
      <c r="E2293" s="1014">
        <v>7486</v>
      </c>
      <c r="F2293" s="1013" t="s">
        <v>6234</v>
      </c>
      <c r="G2293" s="1014" t="s">
        <v>266</v>
      </c>
      <c r="H2293" s="1015">
        <v>9580202</v>
      </c>
      <c r="I2293" s="1016" t="s">
        <v>4398</v>
      </c>
    </row>
    <row r="2294" spans="2:9" ht="15.75" x14ac:dyDescent="0.25">
      <c r="B2294" s="1365" t="s">
        <v>7229</v>
      </c>
      <c r="C2294" s="1013" t="s">
        <v>4461</v>
      </c>
      <c r="D2294" s="1013" t="s">
        <v>4461</v>
      </c>
      <c r="E2294" s="1014">
        <v>7487</v>
      </c>
      <c r="F2294" s="1013" t="s">
        <v>6235</v>
      </c>
      <c r="G2294" s="1014" t="s">
        <v>266</v>
      </c>
      <c r="H2294" s="1015">
        <v>2932008</v>
      </c>
      <c r="I2294" s="1016" t="s">
        <v>4398</v>
      </c>
    </row>
    <row r="2295" spans="2:9" ht="15.75" x14ac:dyDescent="0.25">
      <c r="B2295" s="1365" t="s">
        <v>7229</v>
      </c>
      <c r="C2295" s="1013" t="s">
        <v>4461</v>
      </c>
      <c r="D2295" s="1013" t="s">
        <v>4461</v>
      </c>
      <c r="E2295" s="1014">
        <v>7488</v>
      </c>
      <c r="F2295" s="1013" t="s">
        <v>6236</v>
      </c>
      <c r="G2295" s="1014" t="s">
        <v>266</v>
      </c>
      <c r="H2295" s="1015">
        <v>621016</v>
      </c>
      <c r="I2295" s="1016" t="s">
        <v>4398</v>
      </c>
    </row>
    <row r="2296" spans="2:9" ht="15.75" x14ac:dyDescent="0.25">
      <c r="B2296" s="1365" t="s">
        <v>7229</v>
      </c>
      <c r="C2296" s="1013" t="s">
        <v>4461</v>
      </c>
      <c r="D2296" s="1013" t="s">
        <v>4461</v>
      </c>
      <c r="E2296" s="1014">
        <v>7492</v>
      </c>
      <c r="F2296" s="1013" t="s">
        <v>6237</v>
      </c>
      <c r="G2296" s="1014" t="s">
        <v>266</v>
      </c>
      <c r="H2296" s="1015">
        <v>5329054</v>
      </c>
      <c r="I2296" s="1016" t="s">
        <v>6899</v>
      </c>
    </row>
    <row r="2297" spans="2:9" ht="15.75" x14ac:dyDescent="0.25">
      <c r="B2297" s="1365" t="s">
        <v>7229</v>
      </c>
      <c r="C2297" s="1013" t="s">
        <v>4461</v>
      </c>
      <c r="D2297" s="1013" t="s">
        <v>4461</v>
      </c>
      <c r="E2297" s="1014">
        <v>7493</v>
      </c>
      <c r="F2297" s="1013" t="s">
        <v>6238</v>
      </c>
      <c r="G2297" s="1014" t="s">
        <v>266</v>
      </c>
      <c r="H2297" s="1015">
        <v>156977</v>
      </c>
      <c r="I2297" s="1016" t="s">
        <v>4398</v>
      </c>
    </row>
    <row r="2298" spans="2:9" ht="15.75" x14ac:dyDescent="0.25">
      <c r="B2298" s="1365" t="s">
        <v>7229</v>
      </c>
      <c r="C2298" s="1013" t="s">
        <v>4454</v>
      </c>
      <c r="D2298" s="1013" t="s">
        <v>5477</v>
      </c>
      <c r="E2298" s="1014">
        <v>7494</v>
      </c>
      <c r="F2298" s="1013" t="s">
        <v>6239</v>
      </c>
      <c r="G2298" s="1014" t="s">
        <v>266</v>
      </c>
      <c r="H2298" s="1015">
        <v>700319</v>
      </c>
      <c r="I2298" s="1016" t="s">
        <v>6899</v>
      </c>
    </row>
    <row r="2299" spans="2:9" ht="15.75" x14ac:dyDescent="0.25">
      <c r="B2299" s="1365" t="s">
        <v>7229</v>
      </c>
      <c r="C2299" s="1013" t="s">
        <v>4461</v>
      </c>
      <c r="D2299" s="1013" t="s">
        <v>4461</v>
      </c>
      <c r="E2299" s="1014">
        <v>7495</v>
      </c>
      <c r="F2299" s="1013" t="s">
        <v>6240</v>
      </c>
      <c r="G2299" s="1014" t="s">
        <v>266</v>
      </c>
      <c r="H2299" s="1015">
        <v>4228178</v>
      </c>
      <c r="I2299" s="1016" t="s">
        <v>4398</v>
      </c>
    </row>
    <row r="2300" spans="2:9" ht="15.75" x14ac:dyDescent="0.25">
      <c r="B2300" s="1365" t="s">
        <v>7229</v>
      </c>
      <c r="C2300" s="1013" t="s">
        <v>4454</v>
      </c>
      <c r="D2300" s="1013" t="s">
        <v>5477</v>
      </c>
      <c r="E2300" s="1014">
        <v>7497</v>
      </c>
      <c r="F2300" s="1013" t="s">
        <v>6241</v>
      </c>
      <c r="G2300" s="1014" t="s">
        <v>266</v>
      </c>
      <c r="H2300" s="1015">
        <v>527150</v>
      </c>
      <c r="I2300" s="1016" t="s">
        <v>3538</v>
      </c>
    </row>
    <row r="2301" spans="2:9" ht="15.75" x14ac:dyDescent="0.25">
      <c r="B2301" s="1365" t="s">
        <v>7229</v>
      </c>
      <c r="C2301" s="1013" t="s">
        <v>4454</v>
      </c>
      <c r="D2301" s="1013" t="s">
        <v>5477</v>
      </c>
      <c r="E2301" s="1014">
        <v>7498</v>
      </c>
      <c r="F2301" s="1013" t="s">
        <v>6242</v>
      </c>
      <c r="G2301" s="1014" t="s">
        <v>266</v>
      </c>
      <c r="H2301" s="1015">
        <v>617911</v>
      </c>
      <c r="I2301" s="1016" t="s">
        <v>6899</v>
      </c>
    </row>
    <row r="2302" spans="2:9" ht="15.75" x14ac:dyDescent="0.25">
      <c r="B2302" s="1365" t="s">
        <v>7229</v>
      </c>
      <c r="C2302" s="1013" t="s">
        <v>4454</v>
      </c>
      <c r="D2302" s="1013" t="s">
        <v>5477</v>
      </c>
      <c r="E2302" s="1014">
        <v>7500</v>
      </c>
      <c r="F2302" s="1013" t="s">
        <v>6243</v>
      </c>
      <c r="G2302" s="1014" t="s">
        <v>266</v>
      </c>
      <c r="H2302" s="1015">
        <v>617911</v>
      </c>
      <c r="I2302" s="1016" t="s">
        <v>6899</v>
      </c>
    </row>
    <row r="2303" spans="2:9" ht="15.75" x14ac:dyDescent="0.25">
      <c r="B2303" s="1365" t="s">
        <v>7229</v>
      </c>
      <c r="C2303" s="1013" t="s">
        <v>4454</v>
      </c>
      <c r="D2303" s="1013" t="s">
        <v>5477</v>
      </c>
      <c r="E2303" s="1014">
        <v>7501</v>
      </c>
      <c r="F2303" s="1013" t="s">
        <v>6244</v>
      </c>
      <c r="G2303" s="1014" t="s">
        <v>266</v>
      </c>
      <c r="H2303" s="1015">
        <v>552461</v>
      </c>
      <c r="I2303" s="1016" t="s">
        <v>6899</v>
      </c>
    </row>
    <row r="2304" spans="2:9" ht="15.75" x14ac:dyDescent="0.25">
      <c r="B2304" s="1365" t="s">
        <v>7229</v>
      </c>
      <c r="C2304" s="1013" t="s">
        <v>4405</v>
      </c>
      <c r="D2304" s="1013" t="s">
        <v>4406</v>
      </c>
      <c r="E2304" s="1014">
        <v>7502</v>
      </c>
      <c r="F2304" s="1013" t="s">
        <v>6245</v>
      </c>
      <c r="G2304" s="1014" t="s">
        <v>266</v>
      </c>
      <c r="H2304" s="1015">
        <v>2249002</v>
      </c>
      <c r="I2304" s="1016" t="s">
        <v>6899</v>
      </c>
    </row>
    <row r="2305" spans="2:9" ht="15.75" x14ac:dyDescent="0.25">
      <c r="B2305" s="1365" t="s">
        <v>7229</v>
      </c>
      <c r="C2305" s="1013" t="s">
        <v>4454</v>
      </c>
      <c r="D2305" s="1013" t="s">
        <v>5477</v>
      </c>
      <c r="E2305" s="1014">
        <v>7503</v>
      </c>
      <c r="F2305" s="1013" t="s">
        <v>6246</v>
      </c>
      <c r="G2305" s="1014" t="s">
        <v>266</v>
      </c>
      <c r="H2305" s="1015">
        <v>593330</v>
      </c>
      <c r="I2305" s="1016" t="s">
        <v>6899</v>
      </c>
    </row>
    <row r="2306" spans="2:9" ht="15.75" x14ac:dyDescent="0.25">
      <c r="B2306" s="1365" t="s">
        <v>7229</v>
      </c>
      <c r="C2306" s="1013" t="s">
        <v>4405</v>
      </c>
      <c r="D2306" s="1013" t="s">
        <v>4406</v>
      </c>
      <c r="E2306" s="1014">
        <v>7504</v>
      </c>
      <c r="F2306" s="1013" t="s">
        <v>6247</v>
      </c>
      <c r="G2306" s="1014" t="s">
        <v>266</v>
      </c>
      <c r="H2306" s="1015">
        <v>11620722</v>
      </c>
      <c r="I2306" s="1016" t="s">
        <v>6899</v>
      </c>
    </row>
    <row r="2307" spans="2:9" ht="15.75" x14ac:dyDescent="0.25">
      <c r="B2307" s="1365" t="s">
        <v>7229</v>
      </c>
      <c r="C2307" s="1013" t="s">
        <v>4405</v>
      </c>
      <c r="D2307" s="1013" t="s">
        <v>4406</v>
      </c>
      <c r="E2307" s="1014">
        <v>7505</v>
      </c>
      <c r="F2307" s="1013" t="s">
        <v>6248</v>
      </c>
      <c r="G2307" s="1014" t="s">
        <v>266</v>
      </c>
      <c r="H2307" s="1015">
        <v>2932327</v>
      </c>
      <c r="I2307" s="1016" t="s">
        <v>6899</v>
      </c>
    </row>
    <row r="2308" spans="2:9" ht="15.75" x14ac:dyDescent="0.25">
      <c r="B2308" s="1365" t="s">
        <v>7229</v>
      </c>
      <c r="C2308" s="1013" t="s">
        <v>4405</v>
      </c>
      <c r="D2308" s="1013" t="s">
        <v>4406</v>
      </c>
      <c r="E2308" s="1014">
        <v>7506</v>
      </c>
      <c r="F2308" s="1013" t="s">
        <v>6249</v>
      </c>
      <c r="G2308" s="1014" t="s">
        <v>266</v>
      </c>
      <c r="H2308" s="1015">
        <v>5321232</v>
      </c>
      <c r="I2308" s="1016" t="s">
        <v>6899</v>
      </c>
    </row>
    <row r="2309" spans="2:9" ht="15.75" x14ac:dyDescent="0.25">
      <c r="B2309" s="1365" t="s">
        <v>7229</v>
      </c>
      <c r="C2309" s="1013" t="s">
        <v>4405</v>
      </c>
      <c r="D2309" s="1013" t="s">
        <v>4406</v>
      </c>
      <c r="E2309" s="1014">
        <v>7507</v>
      </c>
      <c r="F2309" s="1013" t="s">
        <v>6250</v>
      </c>
      <c r="G2309" s="1014" t="s">
        <v>266</v>
      </c>
      <c r="H2309" s="1015">
        <v>2216908</v>
      </c>
      <c r="I2309" s="1016" t="s">
        <v>6899</v>
      </c>
    </row>
    <row r="2310" spans="2:9" ht="15.75" x14ac:dyDescent="0.25">
      <c r="B2310" s="1365" t="s">
        <v>7229</v>
      </c>
      <c r="C2310" s="1013" t="s">
        <v>4454</v>
      </c>
      <c r="D2310" s="1013" t="s">
        <v>5477</v>
      </c>
      <c r="E2310" s="1014">
        <v>7508</v>
      </c>
      <c r="F2310" s="1013" t="s">
        <v>6251</v>
      </c>
      <c r="G2310" s="1014" t="s">
        <v>266</v>
      </c>
      <c r="H2310" s="1015">
        <v>505366</v>
      </c>
      <c r="I2310" s="1016" t="s">
        <v>6899</v>
      </c>
    </row>
    <row r="2311" spans="2:9" ht="15.75" x14ac:dyDescent="0.25">
      <c r="B2311" s="1365" t="s">
        <v>7229</v>
      </c>
      <c r="C2311" s="1013" t="s">
        <v>4405</v>
      </c>
      <c r="D2311" s="1013" t="s">
        <v>4406</v>
      </c>
      <c r="E2311" s="1014">
        <v>7510</v>
      </c>
      <c r="F2311" s="1013" t="s">
        <v>6252</v>
      </c>
      <c r="G2311" s="1014" t="s">
        <v>13</v>
      </c>
      <c r="H2311" s="1015">
        <v>229716</v>
      </c>
      <c r="I2311" s="1016" t="s">
        <v>4398</v>
      </c>
    </row>
    <row r="2312" spans="2:9" ht="15.75" x14ac:dyDescent="0.25">
      <c r="B2312" s="1365" t="s">
        <v>7229</v>
      </c>
      <c r="C2312" s="1013" t="s">
        <v>4401</v>
      </c>
      <c r="D2312" s="1013" t="s">
        <v>4401</v>
      </c>
      <c r="E2312" s="1014">
        <v>7512</v>
      </c>
      <c r="F2312" s="1013" t="s">
        <v>6253</v>
      </c>
      <c r="G2312" s="1014" t="s">
        <v>266</v>
      </c>
      <c r="H2312" s="1015">
        <v>590487</v>
      </c>
      <c r="I2312" s="1016" t="s">
        <v>6899</v>
      </c>
    </row>
    <row r="2313" spans="2:9" ht="15.75" x14ac:dyDescent="0.25">
      <c r="B2313" s="1365" t="s">
        <v>7229</v>
      </c>
      <c r="C2313" s="1013" t="s">
        <v>4401</v>
      </c>
      <c r="D2313" s="1013" t="s">
        <v>4401</v>
      </c>
      <c r="E2313" s="1014">
        <v>7513</v>
      </c>
      <c r="F2313" s="1013" t="s">
        <v>6254</v>
      </c>
      <c r="G2313" s="1014" t="s">
        <v>12</v>
      </c>
      <c r="H2313" s="1015">
        <v>29838</v>
      </c>
      <c r="I2313" s="1016" t="s">
        <v>6899</v>
      </c>
    </row>
    <row r="2314" spans="2:9" ht="15.75" x14ac:dyDescent="0.25">
      <c r="B2314" s="1365" t="s">
        <v>7229</v>
      </c>
      <c r="C2314" s="1013" t="s">
        <v>4461</v>
      </c>
      <c r="D2314" s="1013" t="s">
        <v>4461</v>
      </c>
      <c r="E2314" s="1014">
        <v>7514</v>
      </c>
      <c r="F2314" s="1013" t="s">
        <v>6255</v>
      </c>
      <c r="G2314" s="1014" t="s">
        <v>266</v>
      </c>
      <c r="H2314" s="1015">
        <v>528760</v>
      </c>
      <c r="I2314" s="1016" t="s">
        <v>4398</v>
      </c>
    </row>
    <row r="2315" spans="2:9" ht="15.75" x14ac:dyDescent="0.25">
      <c r="B2315" s="1365" t="s">
        <v>7229</v>
      </c>
      <c r="C2315" s="1013" t="s">
        <v>4420</v>
      </c>
      <c r="D2315" s="1013" t="s">
        <v>4420</v>
      </c>
      <c r="E2315" s="1014">
        <v>7515</v>
      </c>
      <c r="F2315" s="1013" t="s">
        <v>6256</v>
      </c>
      <c r="G2315" s="1014" t="s">
        <v>266</v>
      </c>
      <c r="H2315" s="1015">
        <v>1093534</v>
      </c>
      <c r="I2315" s="1016" t="s">
        <v>6899</v>
      </c>
    </row>
    <row r="2316" spans="2:9" ht="15.75" x14ac:dyDescent="0.25">
      <c r="B2316" s="1365" t="s">
        <v>7229</v>
      </c>
      <c r="C2316" s="1013" t="s">
        <v>4468</v>
      </c>
      <c r="D2316" s="1013" t="s">
        <v>1798</v>
      </c>
      <c r="E2316" s="1014">
        <v>7519</v>
      </c>
      <c r="F2316" s="1013" t="s">
        <v>842</v>
      </c>
      <c r="G2316" s="1014" t="s">
        <v>13</v>
      </c>
      <c r="H2316" s="1015">
        <v>809108</v>
      </c>
      <c r="I2316" s="1016" t="s">
        <v>6899</v>
      </c>
    </row>
    <row r="2317" spans="2:9" ht="15.75" x14ac:dyDescent="0.25">
      <c r="B2317" s="1365" t="s">
        <v>7229</v>
      </c>
      <c r="C2317" s="1013" t="s">
        <v>4468</v>
      </c>
      <c r="D2317" s="1013" t="s">
        <v>1798</v>
      </c>
      <c r="E2317" s="1014">
        <v>7521</v>
      </c>
      <c r="F2317" s="1013" t="s">
        <v>843</v>
      </c>
      <c r="G2317" s="1014" t="s">
        <v>13</v>
      </c>
      <c r="H2317" s="1015">
        <v>1245372</v>
      </c>
      <c r="I2317" s="1016" t="s">
        <v>6899</v>
      </c>
    </row>
    <row r="2318" spans="2:9" ht="15.75" x14ac:dyDescent="0.25">
      <c r="B2318" s="1365" t="s">
        <v>7229</v>
      </c>
      <c r="C2318" s="1013" t="s">
        <v>4431</v>
      </c>
      <c r="D2318" s="1013" t="s">
        <v>4432</v>
      </c>
      <c r="E2318" s="1014">
        <v>7522</v>
      </c>
      <c r="F2318" s="1013" t="s">
        <v>6257</v>
      </c>
      <c r="G2318" s="1014" t="s">
        <v>266</v>
      </c>
      <c r="H2318" s="1015">
        <v>4113991</v>
      </c>
      <c r="I2318" s="1016" t="s">
        <v>6899</v>
      </c>
    </row>
    <row r="2319" spans="2:9" ht="15.75" x14ac:dyDescent="0.25">
      <c r="B2319" s="1365" t="s">
        <v>7229</v>
      </c>
      <c r="C2319" s="1013" t="s">
        <v>4454</v>
      </c>
      <c r="D2319" s="1013" t="s">
        <v>4634</v>
      </c>
      <c r="E2319" s="1014">
        <v>7524</v>
      </c>
      <c r="F2319" s="1013" t="s">
        <v>6258</v>
      </c>
      <c r="G2319" s="1014" t="s">
        <v>266</v>
      </c>
      <c r="H2319" s="1015">
        <v>529592</v>
      </c>
      <c r="I2319" s="1016" t="s">
        <v>6899</v>
      </c>
    </row>
    <row r="2320" spans="2:9" ht="15.75" x14ac:dyDescent="0.25">
      <c r="B2320" s="1365" t="s">
        <v>7229</v>
      </c>
      <c r="C2320" s="1013" t="s">
        <v>4420</v>
      </c>
      <c r="D2320" s="1013" t="s">
        <v>4420</v>
      </c>
      <c r="E2320" s="1014">
        <v>7525</v>
      </c>
      <c r="F2320" s="1013" t="s">
        <v>6259</v>
      </c>
      <c r="G2320" s="1014" t="s">
        <v>13</v>
      </c>
      <c r="H2320" s="1015">
        <v>2088195</v>
      </c>
      <c r="I2320" s="1016" t="s">
        <v>4398</v>
      </c>
    </row>
    <row r="2321" spans="2:9" ht="15.75" x14ac:dyDescent="0.25">
      <c r="B2321" s="1365" t="s">
        <v>7231</v>
      </c>
      <c r="C2321" s="1013" t="s">
        <v>4396</v>
      </c>
      <c r="D2321" s="1013" t="s">
        <v>5392</v>
      </c>
      <c r="E2321" s="1014">
        <v>7527</v>
      </c>
      <c r="F2321" s="1013" t="s">
        <v>844</v>
      </c>
      <c r="G2321" s="1014" t="s">
        <v>12</v>
      </c>
      <c r="H2321" s="1015">
        <v>112773</v>
      </c>
      <c r="I2321" s="1016" t="s">
        <v>6899</v>
      </c>
    </row>
    <row r="2322" spans="2:9" ht="15.75" x14ac:dyDescent="0.25">
      <c r="B2322" s="1365" t="s">
        <v>7231</v>
      </c>
      <c r="C2322" s="1013" t="s">
        <v>4396</v>
      </c>
      <c r="D2322" s="1013" t="s">
        <v>5392</v>
      </c>
      <c r="E2322" s="1014">
        <v>7528</v>
      </c>
      <c r="F2322" s="1013" t="s">
        <v>845</v>
      </c>
      <c r="G2322" s="1014" t="s">
        <v>12</v>
      </c>
      <c r="H2322" s="1015">
        <v>136719</v>
      </c>
      <c r="I2322" s="1016" t="s">
        <v>6899</v>
      </c>
    </row>
    <row r="2323" spans="2:9" ht="15.75" x14ac:dyDescent="0.25">
      <c r="B2323" s="1365" t="s">
        <v>7231</v>
      </c>
      <c r="C2323" s="1013" t="s">
        <v>4396</v>
      </c>
      <c r="D2323" s="1013" t="s">
        <v>5392</v>
      </c>
      <c r="E2323" s="1014">
        <v>7529</v>
      </c>
      <c r="F2323" s="1013" t="s">
        <v>6260</v>
      </c>
      <c r="G2323" s="1014" t="s">
        <v>12</v>
      </c>
      <c r="H2323" s="1015">
        <v>162229</v>
      </c>
      <c r="I2323" s="1016" t="s">
        <v>6899</v>
      </c>
    </row>
    <row r="2324" spans="2:9" ht="15.75" x14ac:dyDescent="0.25">
      <c r="B2324" s="1365" t="s">
        <v>7231</v>
      </c>
      <c r="C2324" s="1013" t="s">
        <v>1474</v>
      </c>
      <c r="D2324" s="1013" t="s">
        <v>5380</v>
      </c>
      <c r="E2324" s="1014">
        <v>7531</v>
      </c>
      <c r="F2324" s="1013" t="s">
        <v>6261</v>
      </c>
      <c r="G2324" s="1014" t="s">
        <v>266</v>
      </c>
      <c r="H2324" s="1015">
        <v>839014</v>
      </c>
      <c r="I2324" s="1016" t="s">
        <v>4398</v>
      </c>
    </row>
    <row r="2325" spans="2:9" ht="15.75" x14ac:dyDescent="0.25">
      <c r="B2325" s="1365" t="s">
        <v>7231</v>
      </c>
      <c r="C2325" s="1013" t="s">
        <v>4461</v>
      </c>
      <c r="D2325" s="1013" t="s">
        <v>4461</v>
      </c>
      <c r="E2325" s="1014">
        <v>7532</v>
      </c>
      <c r="F2325" s="1013" t="s">
        <v>846</v>
      </c>
      <c r="G2325" s="1014" t="s">
        <v>266</v>
      </c>
      <c r="H2325" s="1015">
        <v>6888972</v>
      </c>
      <c r="I2325" s="1016" t="s">
        <v>4398</v>
      </c>
    </row>
    <row r="2326" spans="2:9" ht="15.75" x14ac:dyDescent="0.25">
      <c r="B2326" s="1365" t="s">
        <v>7231</v>
      </c>
      <c r="C2326" s="1013" t="s">
        <v>1474</v>
      </c>
      <c r="D2326" s="1013" t="s">
        <v>5380</v>
      </c>
      <c r="E2326" s="1014">
        <v>7533</v>
      </c>
      <c r="F2326" s="1013" t="s">
        <v>6262</v>
      </c>
      <c r="G2326" s="1014" t="s">
        <v>266</v>
      </c>
      <c r="H2326" s="1015">
        <v>895182</v>
      </c>
      <c r="I2326" s="1016" t="s">
        <v>4398</v>
      </c>
    </row>
    <row r="2327" spans="2:9" ht="15.75" x14ac:dyDescent="0.25">
      <c r="B2327" s="1365" t="s">
        <v>7231</v>
      </c>
      <c r="C2327" s="1013" t="s">
        <v>1474</v>
      </c>
      <c r="D2327" s="1013" t="s">
        <v>5380</v>
      </c>
      <c r="E2327" s="1014">
        <v>7534</v>
      </c>
      <c r="F2327" s="1013" t="s">
        <v>6263</v>
      </c>
      <c r="G2327" s="1014" t="s">
        <v>266</v>
      </c>
      <c r="H2327" s="1015">
        <v>839014</v>
      </c>
      <c r="I2327" s="1016" t="s">
        <v>4398</v>
      </c>
    </row>
    <row r="2328" spans="2:9" ht="15.75" x14ac:dyDescent="0.25">
      <c r="B2328" s="1365" t="s">
        <v>7231</v>
      </c>
      <c r="C2328" s="1013" t="s">
        <v>4461</v>
      </c>
      <c r="D2328" s="1013" t="s">
        <v>4461</v>
      </c>
      <c r="E2328" s="1014">
        <v>7535</v>
      </c>
      <c r="F2328" s="1013" t="s">
        <v>847</v>
      </c>
      <c r="G2328" s="1014" t="s">
        <v>266</v>
      </c>
      <c r="H2328" s="1015">
        <v>3001242</v>
      </c>
      <c r="I2328" s="1016" t="s">
        <v>4398</v>
      </c>
    </row>
    <row r="2329" spans="2:9" ht="15.75" x14ac:dyDescent="0.25">
      <c r="B2329" s="1365" t="s">
        <v>7231</v>
      </c>
      <c r="C2329" s="1013" t="s">
        <v>4461</v>
      </c>
      <c r="D2329" s="1013" t="s">
        <v>4461</v>
      </c>
      <c r="E2329" s="1014">
        <v>7536</v>
      </c>
      <c r="F2329" s="1013" t="s">
        <v>848</v>
      </c>
      <c r="G2329" s="1014" t="s">
        <v>266</v>
      </c>
      <c r="H2329" s="1015">
        <v>2077802</v>
      </c>
      <c r="I2329" s="1016" t="s">
        <v>4398</v>
      </c>
    </row>
    <row r="2330" spans="2:9" ht="15.75" x14ac:dyDescent="0.25">
      <c r="B2330" s="1365" t="s">
        <v>7231</v>
      </c>
      <c r="C2330" s="1013" t="s">
        <v>4461</v>
      </c>
      <c r="D2330" s="1013" t="s">
        <v>4461</v>
      </c>
      <c r="E2330" s="1014">
        <v>7537</v>
      </c>
      <c r="F2330" s="1013" t="s">
        <v>849</v>
      </c>
      <c r="G2330" s="1014" t="s">
        <v>266</v>
      </c>
      <c r="H2330" s="1015">
        <v>1117472</v>
      </c>
      <c r="I2330" s="1016" t="s">
        <v>4398</v>
      </c>
    </row>
    <row r="2331" spans="2:9" ht="15.75" x14ac:dyDescent="0.25">
      <c r="B2331" s="1365" t="s">
        <v>7231</v>
      </c>
      <c r="C2331" s="1013" t="s">
        <v>4799</v>
      </c>
      <c r="D2331" s="1013" t="s">
        <v>5199</v>
      </c>
      <c r="E2331" s="1014">
        <v>7538</v>
      </c>
      <c r="F2331" s="1013" t="s">
        <v>6264</v>
      </c>
      <c r="G2331" s="1014" t="s">
        <v>12</v>
      </c>
      <c r="H2331" s="1015">
        <v>52059</v>
      </c>
      <c r="I2331" s="1016" t="s">
        <v>6899</v>
      </c>
    </row>
    <row r="2332" spans="2:9" ht="15.75" x14ac:dyDescent="0.25">
      <c r="B2332" s="1365" t="s">
        <v>7231</v>
      </c>
      <c r="C2332" s="1013" t="s">
        <v>4461</v>
      </c>
      <c r="D2332" s="1013" t="s">
        <v>4461</v>
      </c>
      <c r="E2332" s="1014">
        <v>7546</v>
      </c>
      <c r="F2332" s="1013" t="s">
        <v>6265</v>
      </c>
      <c r="G2332" s="1014" t="s">
        <v>266</v>
      </c>
      <c r="H2332" s="1015">
        <v>122247</v>
      </c>
      <c r="I2332" s="1016" t="s">
        <v>4398</v>
      </c>
    </row>
    <row r="2333" spans="2:9" ht="15.75" x14ac:dyDescent="0.25">
      <c r="B2333" s="1365" t="s">
        <v>7232</v>
      </c>
      <c r="C2333" s="1013" t="s">
        <v>4799</v>
      </c>
      <c r="D2333" s="1013" t="s">
        <v>2314</v>
      </c>
      <c r="E2333" s="1014">
        <v>7548</v>
      </c>
      <c r="F2333" s="1013" t="s">
        <v>6266</v>
      </c>
      <c r="G2333" s="1014" t="s">
        <v>12</v>
      </c>
      <c r="H2333" s="1015">
        <v>172012</v>
      </c>
      <c r="I2333" s="1016" t="s">
        <v>6899</v>
      </c>
    </row>
    <row r="2334" spans="2:9" ht="15.75" x14ac:dyDescent="0.25">
      <c r="B2334" s="1365" t="s">
        <v>7232</v>
      </c>
      <c r="C2334" s="1013" t="s">
        <v>4799</v>
      </c>
      <c r="D2334" s="1013" t="s">
        <v>2314</v>
      </c>
      <c r="E2334" s="1014">
        <v>7549</v>
      </c>
      <c r="F2334" s="1013" t="s">
        <v>850</v>
      </c>
      <c r="G2334" s="1014" t="s">
        <v>266</v>
      </c>
      <c r="H2334" s="1015">
        <v>4651588</v>
      </c>
      <c r="I2334" s="1016" t="s">
        <v>6899</v>
      </c>
    </row>
    <row r="2335" spans="2:9" ht="15.75" x14ac:dyDescent="0.25">
      <c r="B2335" s="1365" t="s">
        <v>7231</v>
      </c>
      <c r="C2335" s="1013" t="s">
        <v>4461</v>
      </c>
      <c r="D2335" s="1013" t="s">
        <v>4461</v>
      </c>
      <c r="E2335" s="1014">
        <v>7553</v>
      </c>
      <c r="F2335" s="1013" t="s">
        <v>851</v>
      </c>
      <c r="G2335" s="1014" t="s">
        <v>266</v>
      </c>
      <c r="H2335" s="1015">
        <v>11045063</v>
      </c>
      <c r="I2335" s="1016" t="s">
        <v>4398</v>
      </c>
    </row>
    <row r="2336" spans="2:9" ht="15.75" x14ac:dyDescent="0.25">
      <c r="B2336" s="1365" t="s">
        <v>7231</v>
      </c>
      <c r="C2336" s="1013" t="s">
        <v>4461</v>
      </c>
      <c r="D2336" s="1013" t="s">
        <v>4461</v>
      </c>
      <c r="E2336" s="1014">
        <v>7555</v>
      </c>
      <c r="F2336" s="1013" t="s">
        <v>6267</v>
      </c>
      <c r="G2336" s="1014" t="s">
        <v>266</v>
      </c>
      <c r="H2336" s="1015">
        <v>1350102</v>
      </c>
      <c r="I2336" s="1016" t="s">
        <v>4398</v>
      </c>
    </row>
    <row r="2337" spans="2:9" ht="15.75" x14ac:dyDescent="0.25">
      <c r="B2337" s="1365" t="s">
        <v>7231</v>
      </c>
      <c r="C2337" s="1013" t="s">
        <v>4461</v>
      </c>
      <c r="D2337" s="1013" t="s">
        <v>4461</v>
      </c>
      <c r="E2337" s="1014">
        <v>7558</v>
      </c>
      <c r="F2337" s="1013" t="s">
        <v>6268</v>
      </c>
      <c r="G2337" s="1014" t="s">
        <v>266</v>
      </c>
      <c r="H2337" s="1015">
        <v>1351762</v>
      </c>
      <c r="I2337" s="1016" t="s">
        <v>4398</v>
      </c>
    </row>
    <row r="2338" spans="2:9" ht="15.75" x14ac:dyDescent="0.25">
      <c r="B2338" s="1365" t="s">
        <v>7231</v>
      </c>
      <c r="C2338" s="1013" t="s">
        <v>4461</v>
      </c>
      <c r="D2338" s="1013" t="s">
        <v>4461</v>
      </c>
      <c r="E2338" s="1014">
        <v>7566</v>
      </c>
      <c r="F2338" s="1013" t="s">
        <v>6269</v>
      </c>
      <c r="G2338" s="1014" t="s">
        <v>266</v>
      </c>
      <c r="H2338" s="1015">
        <v>1047111</v>
      </c>
      <c r="I2338" s="1016" t="s">
        <v>4398</v>
      </c>
    </row>
    <row r="2339" spans="2:9" ht="15.75" x14ac:dyDescent="0.25">
      <c r="B2339" s="1365" t="s">
        <v>7231</v>
      </c>
      <c r="C2339" s="1013" t="s">
        <v>4461</v>
      </c>
      <c r="D2339" s="1013" t="s">
        <v>4461</v>
      </c>
      <c r="E2339" s="1014">
        <v>7567</v>
      </c>
      <c r="F2339" s="1013" t="s">
        <v>6270</v>
      </c>
      <c r="G2339" s="1014" t="s">
        <v>266</v>
      </c>
      <c r="H2339" s="1015">
        <v>725818</v>
      </c>
      <c r="I2339" s="1016" t="s">
        <v>4398</v>
      </c>
    </row>
    <row r="2340" spans="2:9" ht="15.75" x14ac:dyDescent="0.25">
      <c r="B2340" s="1365" t="s">
        <v>7231</v>
      </c>
      <c r="C2340" s="1013" t="s">
        <v>4420</v>
      </c>
      <c r="D2340" s="1013" t="s">
        <v>4420</v>
      </c>
      <c r="E2340" s="1014">
        <v>7569</v>
      </c>
      <c r="F2340" s="1013" t="s">
        <v>6271</v>
      </c>
      <c r="G2340" s="1014" t="s">
        <v>266</v>
      </c>
      <c r="H2340" s="1015">
        <v>1124844</v>
      </c>
      <c r="I2340" s="1016" t="s">
        <v>6899</v>
      </c>
    </row>
    <row r="2341" spans="2:9" ht="15.75" x14ac:dyDescent="0.25">
      <c r="B2341" s="1365" t="s">
        <v>7232</v>
      </c>
      <c r="C2341" s="1013" t="s">
        <v>4454</v>
      </c>
      <c r="D2341" s="1013" t="s">
        <v>5477</v>
      </c>
      <c r="E2341" s="1014">
        <v>7577</v>
      </c>
      <c r="F2341" s="1013" t="s">
        <v>6272</v>
      </c>
      <c r="G2341" s="1014" t="s">
        <v>266</v>
      </c>
      <c r="H2341" s="1015">
        <v>145856</v>
      </c>
      <c r="I2341" s="1016" t="s">
        <v>3538</v>
      </c>
    </row>
    <row r="2342" spans="2:9" ht="15.75" x14ac:dyDescent="0.25">
      <c r="B2342" s="1365" t="s">
        <v>7232</v>
      </c>
      <c r="C2342" s="1013" t="s">
        <v>4454</v>
      </c>
      <c r="D2342" s="1013" t="s">
        <v>5477</v>
      </c>
      <c r="E2342" s="1014">
        <v>7578</v>
      </c>
      <c r="F2342" s="1013" t="s">
        <v>6273</v>
      </c>
      <c r="G2342" s="1014" t="s">
        <v>266</v>
      </c>
      <c r="H2342" s="1015">
        <v>209058</v>
      </c>
      <c r="I2342" s="1016" t="s">
        <v>3538</v>
      </c>
    </row>
    <row r="2343" spans="2:9" ht="15.75" x14ac:dyDescent="0.25">
      <c r="B2343" s="1365" t="s">
        <v>7232</v>
      </c>
      <c r="C2343" s="1013" t="s">
        <v>4454</v>
      </c>
      <c r="D2343" s="1013" t="s">
        <v>5477</v>
      </c>
      <c r="E2343" s="1014">
        <v>7580</v>
      </c>
      <c r="F2343" s="1013" t="s">
        <v>854</v>
      </c>
      <c r="G2343" s="1014" t="s">
        <v>266</v>
      </c>
      <c r="H2343" s="1015">
        <v>91736</v>
      </c>
      <c r="I2343" s="1016" t="s">
        <v>3538</v>
      </c>
    </row>
    <row r="2344" spans="2:9" ht="15.75" x14ac:dyDescent="0.25">
      <c r="B2344" s="1365" t="s">
        <v>7232</v>
      </c>
      <c r="C2344" s="1013" t="s">
        <v>4454</v>
      </c>
      <c r="D2344" s="1013" t="s">
        <v>5477</v>
      </c>
      <c r="E2344" s="1014">
        <v>7584</v>
      </c>
      <c r="F2344" s="1013" t="s">
        <v>6274</v>
      </c>
      <c r="G2344" s="1014" t="s">
        <v>266</v>
      </c>
      <c r="H2344" s="1015">
        <v>80433</v>
      </c>
      <c r="I2344" s="1016" t="s">
        <v>3538</v>
      </c>
    </row>
    <row r="2345" spans="2:9" ht="15.75" x14ac:dyDescent="0.25">
      <c r="B2345" s="1365" t="s">
        <v>7232</v>
      </c>
      <c r="C2345" s="1013" t="s">
        <v>4454</v>
      </c>
      <c r="D2345" s="1013" t="s">
        <v>5477</v>
      </c>
      <c r="E2345" s="1014">
        <v>7586</v>
      </c>
      <c r="F2345" s="1013" t="s">
        <v>855</v>
      </c>
      <c r="G2345" s="1014" t="s">
        <v>266</v>
      </c>
      <c r="H2345" s="1015">
        <v>97350</v>
      </c>
      <c r="I2345" s="1016" t="s">
        <v>3538</v>
      </c>
    </row>
    <row r="2346" spans="2:9" ht="15.75" x14ac:dyDescent="0.25">
      <c r="B2346" s="1365" t="s">
        <v>7232</v>
      </c>
      <c r="C2346" s="1013" t="s">
        <v>4405</v>
      </c>
      <c r="D2346" s="1013" t="s">
        <v>5099</v>
      </c>
      <c r="E2346" s="1014">
        <v>7587</v>
      </c>
      <c r="F2346" s="1013" t="s">
        <v>6275</v>
      </c>
      <c r="G2346" s="1014" t="s">
        <v>13</v>
      </c>
      <c r="H2346" s="1015">
        <v>68723</v>
      </c>
      <c r="I2346" s="1016" t="s">
        <v>6899</v>
      </c>
    </row>
    <row r="2347" spans="2:9" ht="15.75" x14ac:dyDescent="0.25">
      <c r="B2347" s="1365" t="s">
        <v>7232</v>
      </c>
      <c r="C2347" s="1013" t="s">
        <v>4408</v>
      </c>
      <c r="D2347" s="1013" t="s">
        <v>4408</v>
      </c>
      <c r="E2347" s="1014">
        <v>7589</v>
      </c>
      <c r="F2347" s="1013" t="s">
        <v>6276</v>
      </c>
      <c r="G2347" s="1014" t="s">
        <v>266</v>
      </c>
      <c r="H2347" s="1015">
        <v>6875</v>
      </c>
      <c r="I2347" s="1016" t="s">
        <v>6899</v>
      </c>
    </row>
    <row r="2348" spans="2:9" ht="15.75" x14ac:dyDescent="0.25">
      <c r="B2348" s="1365" t="s">
        <v>7233</v>
      </c>
      <c r="C2348" s="1013" t="s">
        <v>4420</v>
      </c>
      <c r="D2348" s="1013" t="s">
        <v>4420</v>
      </c>
      <c r="E2348" s="1014">
        <v>7590</v>
      </c>
      <c r="F2348" s="1013" t="s">
        <v>6277</v>
      </c>
      <c r="G2348" s="1014" t="s">
        <v>266</v>
      </c>
      <c r="H2348" s="1015">
        <v>33200</v>
      </c>
      <c r="I2348" s="1016" t="s">
        <v>6899</v>
      </c>
    </row>
    <row r="2349" spans="2:9" ht="15.75" x14ac:dyDescent="0.25">
      <c r="B2349" s="1365" t="s">
        <v>7233</v>
      </c>
      <c r="C2349" s="1013" t="s">
        <v>4410</v>
      </c>
      <c r="D2349" s="1013" t="s">
        <v>4415</v>
      </c>
      <c r="E2349" s="1014">
        <v>7591</v>
      </c>
      <c r="F2349" s="1013" t="s">
        <v>6278</v>
      </c>
      <c r="G2349" s="1014" t="s">
        <v>3</v>
      </c>
      <c r="H2349" s="1015">
        <v>185667</v>
      </c>
      <c r="I2349" s="1016" t="s">
        <v>6899</v>
      </c>
    </row>
    <row r="2350" spans="2:9" ht="15.75" x14ac:dyDescent="0.25">
      <c r="B2350" s="1365" t="s">
        <v>7233</v>
      </c>
      <c r="C2350" s="1013" t="s">
        <v>4468</v>
      </c>
      <c r="D2350" s="1013" t="s">
        <v>1798</v>
      </c>
      <c r="E2350" s="1014">
        <v>7597</v>
      </c>
      <c r="F2350" s="1013" t="s">
        <v>856</v>
      </c>
      <c r="G2350" s="1014" t="s">
        <v>266</v>
      </c>
      <c r="H2350" s="1015">
        <v>306234</v>
      </c>
      <c r="I2350" s="1016" t="s">
        <v>4398</v>
      </c>
    </row>
    <row r="2351" spans="2:9" ht="15.75" x14ac:dyDescent="0.25">
      <c r="B2351" s="1365" t="s">
        <v>7233</v>
      </c>
      <c r="C2351" s="1013" t="s">
        <v>4799</v>
      </c>
      <c r="D2351" s="1013" t="s">
        <v>2314</v>
      </c>
      <c r="E2351" s="1014">
        <v>7599</v>
      </c>
      <c r="F2351" s="1013" t="s">
        <v>857</v>
      </c>
      <c r="G2351" s="1014" t="s">
        <v>12</v>
      </c>
      <c r="H2351" s="1015">
        <v>450434</v>
      </c>
      <c r="I2351" s="1016" t="s">
        <v>4398</v>
      </c>
    </row>
    <row r="2352" spans="2:9" ht="15.75" x14ac:dyDescent="0.25">
      <c r="B2352" s="1365" t="s">
        <v>7233</v>
      </c>
      <c r="C2352" s="1013" t="s">
        <v>4420</v>
      </c>
      <c r="D2352" s="1013" t="s">
        <v>4420</v>
      </c>
      <c r="E2352" s="1014">
        <v>7600</v>
      </c>
      <c r="F2352" s="1013" t="s">
        <v>6279</v>
      </c>
      <c r="G2352" s="1014" t="s">
        <v>266</v>
      </c>
      <c r="H2352" s="1015">
        <v>18201</v>
      </c>
      <c r="I2352" s="1016" t="s">
        <v>6899</v>
      </c>
    </row>
    <row r="2353" spans="2:9" ht="15.75" x14ac:dyDescent="0.25">
      <c r="B2353" s="1365" t="s">
        <v>7233</v>
      </c>
      <c r="C2353" s="1013" t="s">
        <v>4420</v>
      </c>
      <c r="D2353" s="1013" t="s">
        <v>4420</v>
      </c>
      <c r="E2353" s="1014">
        <v>7602</v>
      </c>
      <c r="F2353" s="1013" t="s">
        <v>6280</v>
      </c>
      <c r="G2353" s="1014" t="s">
        <v>266</v>
      </c>
      <c r="H2353" s="1015">
        <v>35291</v>
      </c>
      <c r="I2353" s="1016" t="s">
        <v>6899</v>
      </c>
    </row>
    <row r="2354" spans="2:9" ht="15.75" x14ac:dyDescent="0.25">
      <c r="B2354" s="1365" t="s">
        <v>7233</v>
      </c>
      <c r="C2354" s="1013" t="s">
        <v>4405</v>
      </c>
      <c r="D2354" s="1013" t="s">
        <v>4406</v>
      </c>
      <c r="E2354" s="1014">
        <v>7606</v>
      </c>
      <c r="F2354" s="1013" t="s">
        <v>6281</v>
      </c>
      <c r="G2354" s="1014" t="s">
        <v>13</v>
      </c>
      <c r="H2354" s="1015">
        <v>33488</v>
      </c>
      <c r="I2354" s="1016" t="s">
        <v>4398</v>
      </c>
    </row>
    <row r="2355" spans="2:9" ht="15.75" x14ac:dyDescent="0.25">
      <c r="B2355" s="1365" t="s">
        <v>7233</v>
      </c>
      <c r="C2355" s="1013" t="s">
        <v>4431</v>
      </c>
      <c r="D2355" s="1013" t="s">
        <v>4432</v>
      </c>
      <c r="E2355" s="1014">
        <v>7609</v>
      </c>
      <c r="F2355" s="1013" t="s">
        <v>858</v>
      </c>
      <c r="G2355" s="1014" t="s">
        <v>13</v>
      </c>
      <c r="H2355" s="1015">
        <v>135901</v>
      </c>
      <c r="I2355" s="1016" t="s">
        <v>4398</v>
      </c>
    </row>
    <row r="2356" spans="2:9" ht="15.75" x14ac:dyDescent="0.25">
      <c r="B2356" s="1365" t="s">
        <v>7233</v>
      </c>
      <c r="C2356" s="1013" t="s">
        <v>4405</v>
      </c>
      <c r="D2356" s="1013" t="s">
        <v>4406</v>
      </c>
      <c r="E2356" s="1014">
        <v>7624</v>
      </c>
      <c r="F2356" s="1013" t="s">
        <v>859</v>
      </c>
      <c r="G2356" s="1014" t="s">
        <v>816</v>
      </c>
      <c r="H2356" s="1015">
        <v>81839</v>
      </c>
      <c r="I2356" s="1016" t="s">
        <v>4398</v>
      </c>
    </row>
    <row r="2357" spans="2:9" ht="15.75" x14ac:dyDescent="0.25">
      <c r="B2357" s="1365" t="s">
        <v>7233</v>
      </c>
      <c r="C2357" s="1013" t="s">
        <v>4461</v>
      </c>
      <c r="D2357" s="1013" t="s">
        <v>4461</v>
      </c>
      <c r="E2357" s="1014">
        <v>7632</v>
      </c>
      <c r="F2357" s="1013" t="s">
        <v>6282</v>
      </c>
      <c r="G2357" s="1014" t="s">
        <v>13</v>
      </c>
      <c r="H2357" s="1015">
        <v>15316</v>
      </c>
      <c r="I2357" s="1016" t="s">
        <v>6899</v>
      </c>
    </row>
    <row r="2358" spans="2:9" ht="15.75" x14ac:dyDescent="0.25">
      <c r="B2358" s="1365" t="s">
        <v>7233</v>
      </c>
      <c r="C2358" s="1013" t="s">
        <v>4405</v>
      </c>
      <c r="D2358" s="1013" t="s">
        <v>4406</v>
      </c>
      <c r="E2358" s="1014">
        <v>7633</v>
      </c>
      <c r="F2358" s="1013" t="s">
        <v>6283</v>
      </c>
      <c r="G2358" s="1014" t="s">
        <v>266</v>
      </c>
      <c r="H2358" s="1015">
        <v>95801</v>
      </c>
      <c r="I2358" s="1016" t="s">
        <v>4398</v>
      </c>
    </row>
    <row r="2359" spans="2:9" ht="15.75" x14ac:dyDescent="0.25">
      <c r="B2359" s="1365" t="s">
        <v>7233</v>
      </c>
      <c r="C2359" s="1013" t="s">
        <v>4405</v>
      </c>
      <c r="D2359" s="1013" t="s">
        <v>4406</v>
      </c>
      <c r="E2359" s="1014">
        <v>7638</v>
      </c>
      <c r="F2359" s="1013" t="s">
        <v>6284</v>
      </c>
      <c r="G2359" s="1014" t="s">
        <v>266</v>
      </c>
      <c r="H2359" s="1015">
        <v>173331</v>
      </c>
      <c r="I2359" s="1016" t="s">
        <v>4398</v>
      </c>
    </row>
    <row r="2360" spans="2:9" ht="15.75" x14ac:dyDescent="0.25">
      <c r="B2360" s="1365" t="s">
        <v>7234</v>
      </c>
      <c r="C2360" s="1013" t="s">
        <v>4472</v>
      </c>
      <c r="D2360" s="1013" t="s">
        <v>4473</v>
      </c>
      <c r="E2360" s="1014">
        <v>7639</v>
      </c>
      <c r="F2360" s="1013" t="s">
        <v>6285</v>
      </c>
      <c r="G2360" s="1014" t="s">
        <v>3</v>
      </c>
      <c r="H2360" s="1015">
        <v>666391</v>
      </c>
      <c r="I2360" s="1016" t="s">
        <v>6899</v>
      </c>
    </row>
    <row r="2361" spans="2:9" ht="15.75" x14ac:dyDescent="0.25">
      <c r="B2361" s="1365" t="s">
        <v>7234</v>
      </c>
      <c r="C2361" s="1013" t="s">
        <v>4405</v>
      </c>
      <c r="D2361" s="1013" t="s">
        <v>4406</v>
      </c>
      <c r="E2361" s="1014">
        <v>7646</v>
      </c>
      <c r="F2361" s="1013" t="s">
        <v>6286</v>
      </c>
      <c r="G2361" s="1014" t="s">
        <v>266</v>
      </c>
      <c r="H2361" s="1015">
        <v>6343125</v>
      </c>
      <c r="I2361" s="1016" t="s">
        <v>6899</v>
      </c>
    </row>
    <row r="2362" spans="2:9" ht="15.75" x14ac:dyDescent="0.25">
      <c r="B2362" s="1365" t="s">
        <v>7234</v>
      </c>
      <c r="C2362" s="1013" t="s">
        <v>4405</v>
      </c>
      <c r="D2362" s="1013" t="s">
        <v>4406</v>
      </c>
      <c r="E2362" s="1014">
        <v>7648</v>
      </c>
      <c r="F2362" s="1013" t="s">
        <v>6287</v>
      </c>
      <c r="G2362" s="1014" t="s">
        <v>266</v>
      </c>
      <c r="H2362" s="1015">
        <v>6577882</v>
      </c>
      <c r="I2362" s="1016" t="s">
        <v>6899</v>
      </c>
    </row>
    <row r="2363" spans="2:9" ht="15.75" x14ac:dyDescent="0.25">
      <c r="B2363" s="1365" t="s">
        <v>7234</v>
      </c>
      <c r="C2363" s="1013" t="s">
        <v>4405</v>
      </c>
      <c r="D2363" s="1013" t="s">
        <v>4406</v>
      </c>
      <c r="E2363" s="1014">
        <v>7652</v>
      </c>
      <c r="F2363" s="1013" t="s">
        <v>6288</v>
      </c>
      <c r="G2363" s="1014" t="s">
        <v>13</v>
      </c>
      <c r="H2363" s="1015">
        <v>176189</v>
      </c>
      <c r="I2363" s="1016" t="s">
        <v>4398</v>
      </c>
    </row>
    <row r="2364" spans="2:9" ht="15.75" x14ac:dyDescent="0.25">
      <c r="B2364" s="1365" t="s">
        <v>7234</v>
      </c>
      <c r="C2364" s="1013" t="s">
        <v>4405</v>
      </c>
      <c r="D2364" s="1013" t="s">
        <v>5099</v>
      </c>
      <c r="E2364" s="1014">
        <v>7653</v>
      </c>
      <c r="F2364" s="1013" t="s">
        <v>6289</v>
      </c>
      <c r="G2364" s="1014" t="s">
        <v>266</v>
      </c>
      <c r="H2364" s="1015">
        <v>397493</v>
      </c>
      <c r="I2364" s="1016" t="s">
        <v>4398</v>
      </c>
    </row>
    <row r="2365" spans="2:9" ht="15.75" x14ac:dyDescent="0.25">
      <c r="B2365" s="1365" t="s">
        <v>7234</v>
      </c>
      <c r="C2365" s="1013" t="s">
        <v>4405</v>
      </c>
      <c r="D2365" s="1013" t="s">
        <v>4406</v>
      </c>
      <c r="E2365" s="1014">
        <v>7655</v>
      </c>
      <c r="F2365" s="1013" t="s">
        <v>6290</v>
      </c>
      <c r="G2365" s="1014" t="s">
        <v>13</v>
      </c>
      <c r="H2365" s="1015">
        <v>105471</v>
      </c>
      <c r="I2365" s="1016" t="s">
        <v>4398</v>
      </c>
    </row>
    <row r="2366" spans="2:9" ht="15.75" x14ac:dyDescent="0.25">
      <c r="B2366" s="1365" t="s">
        <v>7234</v>
      </c>
      <c r="C2366" s="1013" t="s">
        <v>4405</v>
      </c>
      <c r="D2366" s="1013" t="s">
        <v>4406</v>
      </c>
      <c r="E2366" s="1014">
        <v>7656</v>
      </c>
      <c r="F2366" s="1013" t="s">
        <v>6291</v>
      </c>
      <c r="G2366" s="1014" t="s">
        <v>266</v>
      </c>
      <c r="H2366" s="1015">
        <v>1926435</v>
      </c>
      <c r="I2366" s="1016" t="s">
        <v>6899</v>
      </c>
    </row>
    <row r="2367" spans="2:9" ht="15.75" x14ac:dyDescent="0.25">
      <c r="B2367" s="1365" t="s">
        <v>7234</v>
      </c>
      <c r="C2367" s="1013" t="s">
        <v>4468</v>
      </c>
      <c r="D2367" s="1013" t="s">
        <v>4469</v>
      </c>
      <c r="E2367" s="1014">
        <v>7657</v>
      </c>
      <c r="F2367" s="1013" t="s">
        <v>6292</v>
      </c>
      <c r="G2367" s="1014" t="s">
        <v>3</v>
      </c>
      <c r="H2367" s="1015">
        <v>1338934</v>
      </c>
      <c r="I2367" s="1016" t="s">
        <v>6899</v>
      </c>
    </row>
    <row r="2368" spans="2:9" ht="15.75" x14ac:dyDescent="0.25">
      <c r="B2368" s="1365" t="s">
        <v>7234</v>
      </c>
      <c r="C2368" s="1013" t="s">
        <v>4405</v>
      </c>
      <c r="D2368" s="1013" t="s">
        <v>4406</v>
      </c>
      <c r="E2368" s="1014">
        <v>7658</v>
      </c>
      <c r="F2368" s="1013" t="s">
        <v>6293</v>
      </c>
      <c r="G2368" s="1014" t="s">
        <v>13</v>
      </c>
      <c r="H2368" s="1015">
        <v>135767</v>
      </c>
      <c r="I2368" s="1016" t="s">
        <v>4398</v>
      </c>
    </row>
    <row r="2369" spans="2:9" ht="15.75" x14ac:dyDescent="0.25">
      <c r="B2369" s="1365" t="s">
        <v>7234</v>
      </c>
      <c r="C2369" s="1013" t="s">
        <v>4461</v>
      </c>
      <c r="D2369" s="1013" t="s">
        <v>4461</v>
      </c>
      <c r="E2369" s="1014">
        <v>7659</v>
      </c>
      <c r="F2369" s="1013" t="s">
        <v>6294</v>
      </c>
      <c r="G2369" s="1014" t="s">
        <v>266</v>
      </c>
      <c r="H2369" s="1015">
        <v>6634272</v>
      </c>
      <c r="I2369" s="1016" t="s">
        <v>6899</v>
      </c>
    </row>
    <row r="2370" spans="2:9" ht="15.75" x14ac:dyDescent="0.25">
      <c r="B2370" s="1365" t="s">
        <v>7234</v>
      </c>
      <c r="C2370" s="1013" t="s">
        <v>4461</v>
      </c>
      <c r="D2370" s="1013" t="s">
        <v>4461</v>
      </c>
      <c r="E2370" s="1014">
        <v>7660</v>
      </c>
      <c r="F2370" s="1013" t="s">
        <v>6295</v>
      </c>
      <c r="G2370" s="1014" t="s">
        <v>266</v>
      </c>
      <c r="H2370" s="1015">
        <v>2444055</v>
      </c>
      <c r="I2370" s="1016" t="s">
        <v>6899</v>
      </c>
    </row>
    <row r="2371" spans="2:9" ht="15.75" x14ac:dyDescent="0.25">
      <c r="B2371" s="1365" t="s">
        <v>7234</v>
      </c>
      <c r="C2371" s="1013" t="s">
        <v>4405</v>
      </c>
      <c r="D2371" s="1013" t="s">
        <v>4406</v>
      </c>
      <c r="E2371" s="1014">
        <v>7661</v>
      </c>
      <c r="F2371" s="1013" t="s">
        <v>860</v>
      </c>
      <c r="G2371" s="1014" t="s">
        <v>13</v>
      </c>
      <c r="H2371" s="1015">
        <v>244600</v>
      </c>
      <c r="I2371" s="1016" t="s">
        <v>4398</v>
      </c>
    </row>
    <row r="2372" spans="2:9" ht="15.75" x14ac:dyDescent="0.25">
      <c r="B2372" s="1365" t="s">
        <v>7234</v>
      </c>
      <c r="C2372" s="1013" t="s">
        <v>4468</v>
      </c>
      <c r="D2372" s="1013" t="s">
        <v>4468</v>
      </c>
      <c r="E2372" s="1014">
        <v>7662</v>
      </c>
      <c r="F2372" s="1013" t="s">
        <v>861</v>
      </c>
      <c r="G2372" s="1014" t="s">
        <v>3</v>
      </c>
      <c r="H2372" s="1015">
        <v>950440</v>
      </c>
      <c r="I2372" s="1016" t="s">
        <v>6899</v>
      </c>
    </row>
    <row r="2373" spans="2:9" ht="15.75" x14ac:dyDescent="0.25">
      <c r="B2373" s="1365" t="s">
        <v>7234</v>
      </c>
      <c r="C2373" s="1013" t="s">
        <v>4405</v>
      </c>
      <c r="D2373" s="1013" t="s">
        <v>4406</v>
      </c>
      <c r="E2373" s="1014">
        <v>7663</v>
      </c>
      <c r="F2373" s="1013" t="s">
        <v>862</v>
      </c>
      <c r="G2373" s="1014" t="s">
        <v>13</v>
      </c>
      <c r="H2373" s="1015">
        <v>168129</v>
      </c>
      <c r="I2373" s="1016" t="s">
        <v>4398</v>
      </c>
    </row>
    <row r="2374" spans="2:9" ht="15.75" x14ac:dyDescent="0.25">
      <c r="B2374" s="1365" t="s">
        <v>7234</v>
      </c>
      <c r="C2374" s="1013" t="s">
        <v>4405</v>
      </c>
      <c r="D2374" s="1013" t="s">
        <v>4406</v>
      </c>
      <c r="E2374" s="1014">
        <v>7665</v>
      </c>
      <c r="F2374" s="1013" t="s">
        <v>6296</v>
      </c>
      <c r="G2374" s="1014" t="s">
        <v>266</v>
      </c>
      <c r="H2374" s="1015">
        <v>100037</v>
      </c>
      <c r="I2374" s="1016" t="s">
        <v>4398</v>
      </c>
    </row>
    <row r="2375" spans="2:9" ht="15.75" x14ac:dyDescent="0.25">
      <c r="B2375" s="1365" t="s">
        <v>7234</v>
      </c>
      <c r="C2375" s="1013" t="s">
        <v>4405</v>
      </c>
      <c r="D2375" s="1013" t="s">
        <v>4406</v>
      </c>
      <c r="E2375" s="1014">
        <v>7671</v>
      </c>
      <c r="F2375" s="1013" t="s">
        <v>6297</v>
      </c>
      <c r="G2375" s="1014" t="s">
        <v>266</v>
      </c>
      <c r="H2375" s="1015">
        <v>1905555</v>
      </c>
      <c r="I2375" s="1016" t="s">
        <v>6899</v>
      </c>
    </row>
    <row r="2376" spans="2:9" ht="15.75" x14ac:dyDescent="0.25">
      <c r="B2376" s="1365" t="s">
        <v>7234</v>
      </c>
      <c r="C2376" s="1013" t="s">
        <v>4405</v>
      </c>
      <c r="D2376" s="1013" t="s">
        <v>4406</v>
      </c>
      <c r="E2376" s="1014">
        <v>7675</v>
      </c>
      <c r="F2376" s="1013" t="s">
        <v>6298</v>
      </c>
      <c r="G2376" s="1014" t="s">
        <v>266</v>
      </c>
      <c r="H2376" s="1015">
        <v>2904360</v>
      </c>
      <c r="I2376" s="1016" t="s">
        <v>6899</v>
      </c>
    </row>
    <row r="2377" spans="2:9" ht="15.75" x14ac:dyDescent="0.25">
      <c r="B2377" s="1365" t="s">
        <v>7234</v>
      </c>
      <c r="C2377" s="1013" t="s">
        <v>4405</v>
      </c>
      <c r="D2377" s="1013" t="s">
        <v>4406</v>
      </c>
      <c r="E2377" s="1014">
        <v>7676</v>
      </c>
      <c r="F2377" s="1013" t="s">
        <v>6299</v>
      </c>
      <c r="G2377" s="1014" t="s">
        <v>266</v>
      </c>
      <c r="H2377" s="1015">
        <v>361514</v>
      </c>
      <c r="I2377" s="1016" t="s">
        <v>6899</v>
      </c>
    </row>
    <row r="2378" spans="2:9" ht="15.75" x14ac:dyDescent="0.25">
      <c r="B2378" s="1365" t="s">
        <v>7233</v>
      </c>
      <c r="C2378" s="1013" t="s">
        <v>4405</v>
      </c>
      <c r="D2378" s="1013" t="s">
        <v>4406</v>
      </c>
      <c r="E2378" s="1014">
        <v>7679</v>
      </c>
      <c r="F2378" s="1013" t="s">
        <v>6300</v>
      </c>
      <c r="G2378" s="1014" t="s">
        <v>266</v>
      </c>
      <c r="H2378" s="1015">
        <v>406428</v>
      </c>
      <c r="I2378" s="1016" t="s">
        <v>4398</v>
      </c>
    </row>
    <row r="2379" spans="2:9" ht="15.75" x14ac:dyDescent="0.25">
      <c r="B2379" s="1365" t="s">
        <v>7234</v>
      </c>
      <c r="C2379" s="1013" t="s">
        <v>4468</v>
      </c>
      <c r="D2379" s="1013" t="s">
        <v>4469</v>
      </c>
      <c r="E2379" s="1014">
        <v>7680</v>
      </c>
      <c r="F2379" s="1013" t="s">
        <v>6301</v>
      </c>
      <c r="G2379" s="1014" t="s">
        <v>3</v>
      </c>
      <c r="H2379" s="1015">
        <v>869231</v>
      </c>
      <c r="I2379" s="1016" t="s">
        <v>6899</v>
      </c>
    </row>
    <row r="2380" spans="2:9" ht="15.75" x14ac:dyDescent="0.25">
      <c r="B2380" s="1365" t="s">
        <v>7234</v>
      </c>
      <c r="C2380" s="1013" t="s">
        <v>4468</v>
      </c>
      <c r="D2380" s="1013" t="s">
        <v>4469</v>
      </c>
      <c r="E2380" s="1014">
        <v>7681</v>
      </c>
      <c r="F2380" s="1013" t="s">
        <v>6302</v>
      </c>
      <c r="G2380" s="1014" t="s">
        <v>3</v>
      </c>
      <c r="H2380" s="1015">
        <v>976997</v>
      </c>
      <c r="I2380" s="1016" t="s">
        <v>6899</v>
      </c>
    </row>
    <row r="2381" spans="2:9" ht="15.75" x14ac:dyDescent="0.25">
      <c r="B2381" s="1365" t="s">
        <v>7231</v>
      </c>
      <c r="C2381" s="1013" t="s">
        <v>4405</v>
      </c>
      <c r="D2381" s="1013" t="s">
        <v>4406</v>
      </c>
      <c r="E2381" s="1014">
        <v>7687</v>
      </c>
      <c r="F2381" s="1013" t="s">
        <v>6303</v>
      </c>
      <c r="G2381" s="1014" t="s">
        <v>13</v>
      </c>
      <c r="H2381" s="1015">
        <v>256824</v>
      </c>
      <c r="I2381" s="1016" t="s">
        <v>4398</v>
      </c>
    </row>
    <row r="2382" spans="2:9" ht="15.75" x14ac:dyDescent="0.25">
      <c r="B2382" s="1365" t="s">
        <v>7233</v>
      </c>
      <c r="C2382" s="1013" t="s">
        <v>4405</v>
      </c>
      <c r="D2382" s="1013" t="s">
        <v>4406</v>
      </c>
      <c r="E2382" s="1014">
        <v>7690</v>
      </c>
      <c r="F2382" s="1013" t="s">
        <v>6304</v>
      </c>
      <c r="G2382" s="1014" t="s">
        <v>266</v>
      </c>
      <c r="H2382" s="1015">
        <v>4055089</v>
      </c>
      <c r="I2382" s="1016" t="s">
        <v>4398</v>
      </c>
    </row>
    <row r="2383" spans="2:9" ht="15.75" x14ac:dyDescent="0.25">
      <c r="B2383" s="1365" t="s">
        <v>7235</v>
      </c>
      <c r="C2383" s="1013" t="s">
        <v>4420</v>
      </c>
      <c r="D2383" s="1013" t="s">
        <v>4420</v>
      </c>
      <c r="E2383" s="1014">
        <v>7691</v>
      </c>
      <c r="F2383" s="1013" t="s">
        <v>6305</v>
      </c>
      <c r="G2383" s="1014" t="s">
        <v>266</v>
      </c>
      <c r="H2383" s="1015">
        <v>12135</v>
      </c>
      <c r="I2383" s="1016" t="s">
        <v>6899</v>
      </c>
    </row>
    <row r="2384" spans="2:9" ht="15.75" x14ac:dyDescent="0.25">
      <c r="B2384" s="1365" t="s">
        <v>7233</v>
      </c>
      <c r="C2384" s="1013" t="s">
        <v>4405</v>
      </c>
      <c r="D2384" s="1013" t="s">
        <v>4406</v>
      </c>
      <c r="E2384" s="1014">
        <v>7697</v>
      </c>
      <c r="F2384" s="1013" t="s">
        <v>6306</v>
      </c>
      <c r="G2384" s="1014" t="s">
        <v>13</v>
      </c>
      <c r="H2384" s="1015">
        <v>3021534</v>
      </c>
      <c r="I2384" s="1016" t="s">
        <v>4398</v>
      </c>
    </row>
    <row r="2385" spans="2:9" ht="15.75" x14ac:dyDescent="0.25">
      <c r="B2385" s="1365" t="s">
        <v>7233</v>
      </c>
      <c r="C2385" s="1013" t="s">
        <v>4775</v>
      </c>
      <c r="D2385" s="1013" t="s">
        <v>4775</v>
      </c>
      <c r="E2385" s="1014">
        <v>7713</v>
      </c>
      <c r="F2385" s="1013" t="s">
        <v>863</v>
      </c>
      <c r="G2385" s="1014" t="s">
        <v>6</v>
      </c>
      <c r="H2385" s="1015">
        <v>7832</v>
      </c>
      <c r="I2385" s="1016" t="s">
        <v>6899</v>
      </c>
    </row>
    <row r="2386" spans="2:9" ht="15.75" x14ac:dyDescent="0.25">
      <c r="B2386" s="1365" t="s">
        <v>7233</v>
      </c>
      <c r="C2386" s="1013" t="s">
        <v>4775</v>
      </c>
      <c r="D2386" s="1013" t="s">
        <v>4775</v>
      </c>
      <c r="E2386" s="1014">
        <v>7714</v>
      </c>
      <c r="F2386" s="1013" t="s">
        <v>864</v>
      </c>
      <c r="G2386" s="1014" t="s">
        <v>6</v>
      </c>
      <c r="H2386" s="1015">
        <v>7832</v>
      </c>
      <c r="I2386" s="1016" t="s">
        <v>6899</v>
      </c>
    </row>
    <row r="2387" spans="2:9" ht="15.75" x14ac:dyDescent="0.25">
      <c r="B2387" s="1365" t="s">
        <v>7233</v>
      </c>
      <c r="C2387" s="1013" t="s">
        <v>4468</v>
      </c>
      <c r="D2387" s="1013" t="s">
        <v>1798</v>
      </c>
      <c r="E2387" s="1014">
        <v>7715</v>
      </c>
      <c r="F2387" s="1013" t="s">
        <v>865</v>
      </c>
      <c r="G2387" s="1014" t="s">
        <v>266</v>
      </c>
      <c r="H2387" s="1015">
        <v>5492</v>
      </c>
      <c r="I2387" s="1016" t="s">
        <v>6899</v>
      </c>
    </row>
    <row r="2388" spans="2:9" ht="15.75" x14ac:dyDescent="0.25">
      <c r="B2388" s="1365" t="s">
        <v>7234</v>
      </c>
      <c r="C2388" s="1013" t="s">
        <v>4468</v>
      </c>
      <c r="D2388" s="1013" t="s">
        <v>4468</v>
      </c>
      <c r="E2388" s="1014">
        <v>7717</v>
      </c>
      <c r="F2388" s="1013" t="s">
        <v>6307</v>
      </c>
      <c r="G2388" s="1014" t="s">
        <v>3</v>
      </c>
      <c r="H2388" s="1015">
        <v>1884632</v>
      </c>
      <c r="I2388" s="1016" t="s">
        <v>6899</v>
      </c>
    </row>
    <row r="2389" spans="2:9" ht="15.75" x14ac:dyDescent="0.25">
      <c r="B2389" s="1365" t="s">
        <v>7226</v>
      </c>
      <c r="C2389" s="1013" t="s">
        <v>4468</v>
      </c>
      <c r="D2389" s="1013" t="s">
        <v>4469</v>
      </c>
      <c r="E2389" s="1014">
        <v>7720</v>
      </c>
      <c r="F2389" s="1013" t="s">
        <v>6308</v>
      </c>
      <c r="G2389" s="1014" t="s">
        <v>3</v>
      </c>
      <c r="H2389" s="1015">
        <v>12276</v>
      </c>
      <c r="I2389" s="1016" t="s">
        <v>6899</v>
      </c>
    </row>
    <row r="2390" spans="2:9" ht="15.75" x14ac:dyDescent="0.25">
      <c r="B2390" s="1365" t="s">
        <v>7222</v>
      </c>
      <c r="C2390" s="1013" t="s">
        <v>4408</v>
      </c>
      <c r="D2390" s="1013" t="s">
        <v>5842</v>
      </c>
      <c r="E2390" s="1014">
        <v>7722</v>
      </c>
      <c r="F2390" s="1013" t="s">
        <v>6309</v>
      </c>
      <c r="G2390" s="1014" t="s">
        <v>6</v>
      </c>
      <c r="H2390" s="1015">
        <v>3477</v>
      </c>
      <c r="I2390" s="1016" t="s">
        <v>6899</v>
      </c>
    </row>
    <row r="2391" spans="2:9" ht="15.75" x14ac:dyDescent="0.25">
      <c r="B2391" s="1365" t="s">
        <v>7222</v>
      </c>
      <c r="C2391" s="1013" t="s">
        <v>5292</v>
      </c>
      <c r="D2391" s="1013" t="s">
        <v>5292</v>
      </c>
      <c r="E2391" s="1014">
        <v>7723</v>
      </c>
      <c r="F2391" s="1013" t="s">
        <v>6310</v>
      </c>
      <c r="G2391" s="1014" t="s">
        <v>6</v>
      </c>
      <c r="H2391" s="1015">
        <v>7300</v>
      </c>
      <c r="I2391" s="1016" t="s">
        <v>6899</v>
      </c>
    </row>
    <row r="2392" spans="2:9" ht="15.75" x14ac:dyDescent="0.25">
      <c r="B2392" s="1365" t="s">
        <v>7222</v>
      </c>
      <c r="C2392" s="1013" t="s">
        <v>4468</v>
      </c>
      <c r="D2392" s="1013" t="s">
        <v>4468</v>
      </c>
      <c r="E2392" s="1014">
        <v>7725</v>
      </c>
      <c r="F2392" s="1013" t="s">
        <v>6311</v>
      </c>
      <c r="G2392" s="1014" t="s">
        <v>13</v>
      </c>
      <c r="H2392" s="1015">
        <v>1245701</v>
      </c>
      <c r="I2392" s="1016" t="s">
        <v>6899</v>
      </c>
    </row>
    <row r="2393" spans="2:9" ht="15.75" x14ac:dyDescent="0.25">
      <c r="B2393" s="1365" t="s">
        <v>7226</v>
      </c>
      <c r="C2393" s="1013" t="s">
        <v>4461</v>
      </c>
      <c r="D2393" s="1013" t="s">
        <v>4461</v>
      </c>
      <c r="E2393" s="1014">
        <v>7726</v>
      </c>
      <c r="F2393" s="1013" t="s">
        <v>866</v>
      </c>
      <c r="G2393" s="1014" t="s">
        <v>266</v>
      </c>
      <c r="H2393" s="1015">
        <v>2417664</v>
      </c>
      <c r="I2393" s="1016" t="s">
        <v>6899</v>
      </c>
    </row>
    <row r="2394" spans="2:9" ht="15.75" x14ac:dyDescent="0.25">
      <c r="B2394" s="1365" t="s">
        <v>7226</v>
      </c>
      <c r="C2394" s="1013" t="s">
        <v>4461</v>
      </c>
      <c r="D2394" s="1013" t="s">
        <v>4461</v>
      </c>
      <c r="E2394" s="1014">
        <v>7727</v>
      </c>
      <c r="F2394" s="1013" t="s">
        <v>6312</v>
      </c>
      <c r="G2394" s="1014" t="s">
        <v>266</v>
      </c>
      <c r="H2394" s="1015">
        <v>1750508</v>
      </c>
      <c r="I2394" s="1016" t="s">
        <v>4398</v>
      </c>
    </row>
    <row r="2395" spans="2:9" ht="15.75" x14ac:dyDescent="0.25">
      <c r="B2395" s="1365" t="s">
        <v>7226</v>
      </c>
      <c r="C2395" s="1013" t="s">
        <v>4461</v>
      </c>
      <c r="D2395" s="1013" t="s">
        <v>4461</v>
      </c>
      <c r="E2395" s="1014">
        <v>7739</v>
      </c>
      <c r="F2395" s="1013" t="s">
        <v>867</v>
      </c>
      <c r="G2395" s="1014" t="s">
        <v>266</v>
      </c>
      <c r="H2395" s="1015">
        <v>139914</v>
      </c>
      <c r="I2395" s="1016" t="s">
        <v>6899</v>
      </c>
    </row>
    <row r="2396" spans="2:9" ht="15.75" x14ac:dyDescent="0.25">
      <c r="B2396" s="1365" t="s">
        <v>7226</v>
      </c>
      <c r="C2396" s="1013" t="s">
        <v>4461</v>
      </c>
      <c r="D2396" s="1013" t="s">
        <v>4461</v>
      </c>
      <c r="E2396" s="1014">
        <v>7740</v>
      </c>
      <c r="F2396" s="1013" t="s">
        <v>868</v>
      </c>
      <c r="G2396" s="1014" t="s">
        <v>266</v>
      </c>
      <c r="H2396" s="1015">
        <v>275204</v>
      </c>
      <c r="I2396" s="1016" t="s">
        <v>6899</v>
      </c>
    </row>
    <row r="2397" spans="2:9" ht="15.75" x14ac:dyDescent="0.25">
      <c r="B2397" s="1365" t="s">
        <v>7226</v>
      </c>
      <c r="C2397" s="1013" t="s">
        <v>4461</v>
      </c>
      <c r="D2397" s="1013" t="s">
        <v>4461</v>
      </c>
      <c r="E2397" s="1014">
        <v>7741</v>
      </c>
      <c r="F2397" s="1013" t="s">
        <v>869</v>
      </c>
      <c r="G2397" s="1014" t="s">
        <v>266</v>
      </c>
      <c r="H2397" s="1015">
        <v>1367813</v>
      </c>
      <c r="I2397" s="1016" t="s">
        <v>6899</v>
      </c>
    </row>
    <row r="2398" spans="2:9" ht="15.75" x14ac:dyDescent="0.25">
      <c r="B2398" s="1365" t="s">
        <v>7226</v>
      </c>
      <c r="C2398" s="1013" t="s">
        <v>4420</v>
      </c>
      <c r="D2398" s="1013" t="s">
        <v>4420</v>
      </c>
      <c r="E2398" s="1014">
        <v>7744</v>
      </c>
      <c r="F2398" s="1013" t="s">
        <v>6313</v>
      </c>
      <c r="G2398" s="1014" t="s">
        <v>266</v>
      </c>
      <c r="H2398" s="1015">
        <v>135205</v>
      </c>
      <c r="I2398" s="1016" t="s">
        <v>4398</v>
      </c>
    </row>
    <row r="2399" spans="2:9" ht="15.75" x14ac:dyDescent="0.25">
      <c r="B2399" s="1365" t="s">
        <v>7226</v>
      </c>
      <c r="C2399" s="1013" t="s">
        <v>4420</v>
      </c>
      <c r="D2399" s="1013" t="s">
        <v>4420</v>
      </c>
      <c r="E2399" s="1014">
        <v>7745</v>
      </c>
      <c r="F2399" s="1013" t="s">
        <v>870</v>
      </c>
      <c r="G2399" s="1014" t="s">
        <v>266</v>
      </c>
      <c r="H2399" s="1015">
        <v>491797</v>
      </c>
      <c r="I2399" s="1016" t="s">
        <v>4398</v>
      </c>
    </row>
    <row r="2400" spans="2:9" ht="15.75" x14ac:dyDescent="0.25">
      <c r="B2400" s="1365" t="s">
        <v>7226</v>
      </c>
      <c r="C2400" s="1013" t="s">
        <v>5477</v>
      </c>
      <c r="D2400" s="1013" t="s">
        <v>6314</v>
      </c>
      <c r="E2400" s="1014">
        <v>7750</v>
      </c>
      <c r="F2400" s="1013" t="s">
        <v>6315</v>
      </c>
      <c r="G2400" s="1014" t="s">
        <v>13</v>
      </c>
      <c r="H2400" s="1015">
        <v>3919771</v>
      </c>
      <c r="I2400" s="1016" t="s">
        <v>6899</v>
      </c>
    </row>
    <row r="2401" spans="2:9" ht="15.75" x14ac:dyDescent="0.25">
      <c r="B2401" s="1365" t="s">
        <v>7226</v>
      </c>
      <c r="C2401" s="1013" t="s">
        <v>4472</v>
      </c>
      <c r="D2401" s="1013" t="s">
        <v>4817</v>
      </c>
      <c r="E2401" s="1014">
        <v>7751</v>
      </c>
      <c r="F2401" s="1013" t="s">
        <v>6316</v>
      </c>
      <c r="G2401" s="1014" t="s">
        <v>3</v>
      </c>
      <c r="H2401" s="1015">
        <v>122183</v>
      </c>
      <c r="I2401" s="1016" t="s">
        <v>6899</v>
      </c>
    </row>
    <row r="2402" spans="2:9" ht="15.75" x14ac:dyDescent="0.25">
      <c r="B2402" s="1365" t="s">
        <v>7236</v>
      </c>
      <c r="C2402" s="1013" t="s">
        <v>4468</v>
      </c>
      <c r="D2402" s="1013" t="s">
        <v>4469</v>
      </c>
      <c r="E2402" s="1014">
        <v>7768</v>
      </c>
      <c r="F2402" s="1013" t="s">
        <v>6317</v>
      </c>
      <c r="G2402" s="1014" t="s">
        <v>3</v>
      </c>
      <c r="H2402" s="1015">
        <v>810437</v>
      </c>
      <c r="I2402" s="1016" t="s">
        <v>6899</v>
      </c>
    </row>
    <row r="2403" spans="2:9" ht="15.75" x14ac:dyDescent="0.25">
      <c r="B2403" s="1365" t="s">
        <v>7237</v>
      </c>
      <c r="C2403" s="1013" t="s">
        <v>4417</v>
      </c>
      <c r="D2403" s="1013" t="s">
        <v>4418</v>
      </c>
      <c r="E2403" s="1014">
        <v>7771</v>
      </c>
      <c r="F2403" s="1013" t="s">
        <v>6318</v>
      </c>
      <c r="G2403" s="1014" t="s">
        <v>13</v>
      </c>
      <c r="H2403" s="1015">
        <v>108427</v>
      </c>
      <c r="I2403" s="1016" t="s">
        <v>6899</v>
      </c>
    </row>
    <row r="2404" spans="2:9" ht="15.75" x14ac:dyDescent="0.25">
      <c r="B2404" s="1365" t="s">
        <v>7237</v>
      </c>
      <c r="C2404" s="1013" t="s">
        <v>6319</v>
      </c>
      <c r="D2404" s="1013" t="s">
        <v>6319</v>
      </c>
      <c r="E2404" s="1014">
        <v>7772</v>
      </c>
      <c r="F2404" s="1013" t="s">
        <v>6320</v>
      </c>
      <c r="G2404" s="1014" t="s">
        <v>546</v>
      </c>
      <c r="H2404" s="1015">
        <v>30584</v>
      </c>
      <c r="I2404" s="1016" t="s">
        <v>3538</v>
      </c>
    </row>
    <row r="2405" spans="2:9" ht="15.75" x14ac:dyDescent="0.25">
      <c r="B2405" s="1365" t="s">
        <v>7226</v>
      </c>
      <c r="C2405" s="1013" t="s">
        <v>6319</v>
      </c>
      <c r="D2405" s="1013" t="s">
        <v>6319</v>
      </c>
      <c r="E2405" s="1014">
        <v>7773</v>
      </c>
      <c r="F2405" s="1013" t="s">
        <v>6321</v>
      </c>
      <c r="G2405" s="1014" t="s">
        <v>266</v>
      </c>
      <c r="H2405" s="1015">
        <v>6426000</v>
      </c>
      <c r="I2405" s="1016" t="s">
        <v>3538</v>
      </c>
    </row>
    <row r="2406" spans="2:9" ht="15.75" x14ac:dyDescent="0.25">
      <c r="B2406" s="1365" t="s">
        <v>7226</v>
      </c>
      <c r="C2406" s="1013" t="s">
        <v>6319</v>
      </c>
      <c r="D2406" s="1013" t="s">
        <v>6319</v>
      </c>
      <c r="E2406" s="1014">
        <v>7774</v>
      </c>
      <c r="F2406" s="1013" t="s">
        <v>6322</v>
      </c>
      <c r="G2406" s="1014" t="s">
        <v>266</v>
      </c>
      <c r="H2406" s="1015">
        <v>1049580</v>
      </c>
      <c r="I2406" s="1016" t="s">
        <v>3538</v>
      </c>
    </row>
    <row r="2407" spans="2:9" ht="15.75" x14ac:dyDescent="0.25">
      <c r="B2407" s="1365" t="s">
        <v>7226</v>
      </c>
      <c r="C2407" s="1013" t="s">
        <v>1474</v>
      </c>
      <c r="D2407" s="1013" t="s">
        <v>5380</v>
      </c>
      <c r="E2407" s="1014">
        <v>7775</v>
      </c>
      <c r="F2407" s="1013" t="s">
        <v>6323</v>
      </c>
      <c r="G2407" s="1014" t="s">
        <v>12</v>
      </c>
      <c r="H2407" s="1015">
        <v>18936</v>
      </c>
      <c r="I2407" s="1016" t="s">
        <v>6899</v>
      </c>
    </row>
    <row r="2408" spans="2:9" ht="15.75" x14ac:dyDescent="0.25">
      <c r="B2408" s="1365" t="s">
        <v>7226</v>
      </c>
      <c r="C2408" s="1013" t="s">
        <v>4410</v>
      </c>
      <c r="D2408" s="1013" t="s">
        <v>4642</v>
      </c>
      <c r="E2408" s="1014">
        <v>7776</v>
      </c>
      <c r="F2408" s="1013" t="s">
        <v>6324</v>
      </c>
      <c r="G2408" s="1014" t="s">
        <v>3</v>
      </c>
      <c r="H2408" s="1015">
        <v>199873</v>
      </c>
      <c r="I2408" s="1016" t="s">
        <v>6899</v>
      </c>
    </row>
    <row r="2409" spans="2:9" ht="15.75" x14ac:dyDescent="0.25">
      <c r="B2409" s="1365" t="s">
        <v>7226</v>
      </c>
      <c r="C2409" s="1013" t="s">
        <v>1474</v>
      </c>
      <c r="D2409" s="1013" t="s">
        <v>4940</v>
      </c>
      <c r="E2409" s="1014">
        <v>7777</v>
      </c>
      <c r="F2409" s="1013" t="s">
        <v>6325</v>
      </c>
      <c r="G2409" s="1014" t="s">
        <v>13</v>
      </c>
      <c r="H2409" s="1015">
        <v>52004</v>
      </c>
      <c r="I2409" s="1016" t="s">
        <v>6899</v>
      </c>
    </row>
    <row r="2410" spans="2:9" ht="15.75" x14ac:dyDescent="0.25">
      <c r="B2410" s="1365" t="s">
        <v>7226</v>
      </c>
      <c r="C2410" s="1013" t="s">
        <v>4799</v>
      </c>
      <c r="D2410" s="1013" t="s">
        <v>4800</v>
      </c>
      <c r="E2410" s="1014">
        <v>7778</v>
      </c>
      <c r="F2410" s="1013" t="s">
        <v>872</v>
      </c>
      <c r="G2410" s="1014" t="s">
        <v>202</v>
      </c>
      <c r="H2410" s="1015">
        <v>65692</v>
      </c>
      <c r="I2410" s="1016" t="s">
        <v>4398</v>
      </c>
    </row>
    <row r="2411" spans="2:9" ht="15.75" x14ac:dyDescent="0.25">
      <c r="B2411" s="1365" t="s">
        <v>7226</v>
      </c>
      <c r="C2411" s="1013" t="s">
        <v>4799</v>
      </c>
      <c r="D2411" s="1013" t="s">
        <v>4800</v>
      </c>
      <c r="E2411" s="1014">
        <v>7779</v>
      </c>
      <c r="F2411" s="1013" t="s">
        <v>873</v>
      </c>
      <c r="G2411" s="1014" t="s">
        <v>342</v>
      </c>
      <c r="H2411" s="1015">
        <v>193266</v>
      </c>
      <c r="I2411" s="1016" t="s">
        <v>4398</v>
      </c>
    </row>
    <row r="2412" spans="2:9" ht="15.75" x14ac:dyDescent="0.25">
      <c r="B2412" s="1365" t="s">
        <v>7226</v>
      </c>
      <c r="C2412" s="1013" t="s">
        <v>4799</v>
      </c>
      <c r="D2412" s="1013" t="s">
        <v>4800</v>
      </c>
      <c r="E2412" s="1014">
        <v>7780</v>
      </c>
      <c r="F2412" s="1013" t="s">
        <v>6326</v>
      </c>
      <c r="G2412" s="1014" t="s">
        <v>202</v>
      </c>
      <c r="H2412" s="1015">
        <v>29452</v>
      </c>
      <c r="I2412" s="1016" t="s">
        <v>4398</v>
      </c>
    </row>
    <row r="2413" spans="2:9" ht="15.75" x14ac:dyDescent="0.25">
      <c r="B2413" s="1365" t="s">
        <v>7226</v>
      </c>
      <c r="C2413" s="1013" t="s">
        <v>4799</v>
      </c>
      <c r="D2413" s="1013" t="s">
        <v>4800</v>
      </c>
      <c r="E2413" s="1014">
        <v>7781</v>
      </c>
      <c r="F2413" s="1013" t="s">
        <v>874</v>
      </c>
      <c r="G2413" s="1014" t="s">
        <v>342</v>
      </c>
      <c r="H2413" s="1015">
        <v>332252</v>
      </c>
      <c r="I2413" s="1016" t="s">
        <v>4398</v>
      </c>
    </row>
    <row r="2414" spans="2:9" ht="15.75" x14ac:dyDescent="0.25">
      <c r="B2414" s="1365" t="s">
        <v>7226</v>
      </c>
      <c r="C2414" s="1013" t="s">
        <v>4799</v>
      </c>
      <c r="D2414" s="1013" t="s">
        <v>4800</v>
      </c>
      <c r="E2414" s="1014">
        <v>7782</v>
      </c>
      <c r="F2414" s="1013" t="s">
        <v>875</v>
      </c>
      <c r="G2414" s="1014" t="s">
        <v>202</v>
      </c>
      <c r="H2414" s="1015">
        <v>41532</v>
      </c>
      <c r="I2414" s="1016" t="s">
        <v>4398</v>
      </c>
    </row>
    <row r="2415" spans="2:9" ht="15.75" x14ac:dyDescent="0.25">
      <c r="B2415" s="1365" t="s">
        <v>7226</v>
      </c>
      <c r="C2415" s="1013" t="s">
        <v>4799</v>
      </c>
      <c r="D2415" s="1013" t="s">
        <v>4800</v>
      </c>
      <c r="E2415" s="1014">
        <v>7783</v>
      </c>
      <c r="F2415" s="1013" t="s">
        <v>876</v>
      </c>
      <c r="G2415" s="1014" t="s">
        <v>342</v>
      </c>
      <c r="H2415" s="1015">
        <v>996756</v>
      </c>
      <c r="I2415" s="1016" t="s">
        <v>4398</v>
      </c>
    </row>
    <row r="2416" spans="2:9" ht="15.75" x14ac:dyDescent="0.25">
      <c r="B2416" s="1365" t="s">
        <v>7226</v>
      </c>
      <c r="C2416" s="1013" t="s">
        <v>4799</v>
      </c>
      <c r="D2416" s="1013" t="s">
        <v>4800</v>
      </c>
      <c r="E2416" s="1014">
        <v>7784</v>
      </c>
      <c r="F2416" s="1013" t="s">
        <v>877</v>
      </c>
      <c r="G2416" s="1014" t="s">
        <v>342</v>
      </c>
      <c r="H2416" s="1015">
        <v>235619</v>
      </c>
      <c r="I2416" s="1016" t="s">
        <v>4398</v>
      </c>
    </row>
    <row r="2417" spans="2:9" ht="15.75" x14ac:dyDescent="0.25">
      <c r="B2417" s="1365" t="s">
        <v>7226</v>
      </c>
      <c r="C2417" s="1013" t="s">
        <v>4472</v>
      </c>
      <c r="D2417" s="1013" t="s">
        <v>4473</v>
      </c>
      <c r="E2417" s="1014">
        <v>7785</v>
      </c>
      <c r="F2417" s="1013" t="s">
        <v>6327</v>
      </c>
      <c r="G2417" s="1014" t="s">
        <v>3</v>
      </c>
      <c r="H2417" s="1015">
        <v>1066759</v>
      </c>
      <c r="I2417" s="1016" t="s">
        <v>6899</v>
      </c>
    </row>
    <row r="2418" spans="2:9" ht="15.75" x14ac:dyDescent="0.25">
      <c r="B2418" s="1365" t="s">
        <v>7226</v>
      </c>
      <c r="C2418" s="1013" t="s">
        <v>4472</v>
      </c>
      <c r="D2418" s="1013" t="s">
        <v>4473</v>
      </c>
      <c r="E2418" s="1014">
        <v>7786</v>
      </c>
      <c r="F2418" s="1013" t="s">
        <v>6328</v>
      </c>
      <c r="G2418" s="1014" t="s">
        <v>12</v>
      </c>
      <c r="H2418" s="1015">
        <v>2573</v>
      </c>
      <c r="I2418" s="1016" t="s">
        <v>6899</v>
      </c>
    </row>
    <row r="2419" spans="2:9" ht="15.75" x14ac:dyDescent="0.25">
      <c r="B2419" s="1365" t="s">
        <v>7226</v>
      </c>
      <c r="C2419" s="1013" t="s">
        <v>4775</v>
      </c>
      <c r="D2419" s="1013" t="s">
        <v>4775</v>
      </c>
      <c r="E2419" s="1014">
        <v>7787</v>
      </c>
      <c r="F2419" s="1013" t="s">
        <v>6329</v>
      </c>
      <c r="G2419" s="1014" t="s">
        <v>6</v>
      </c>
      <c r="H2419" s="1015">
        <v>9070</v>
      </c>
      <c r="I2419" s="1016" t="s">
        <v>6899</v>
      </c>
    </row>
    <row r="2420" spans="2:9" ht="15.75" x14ac:dyDescent="0.25">
      <c r="B2420" s="1365" t="s">
        <v>7226</v>
      </c>
      <c r="C2420" s="1013" t="s">
        <v>4472</v>
      </c>
      <c r="D2420" s="1013" t="s">
        <v>4812</v>
      </c>
      <c r="E2420" s="1014">
        <v>7788</v>
      </c>
      <c r="F2420" s="1013" t="s">
        <v>6330</v>
      </c>
      <c r="G2420" s="1014" t="s">
        <v>13</v>
      </c>
      <c r="H2420" s="1015">
        <v>2911</v>
      </c>
      <c r="I2420" s="1016" t="s">
        <v>6899</v>
      </c>
    </row>
    <row r="2421" spans="2:9" ht="15.75" x14ac:dyDescent="0.25">
      <c r="B2421" s="1365" t="s">
        <v>7226</v>
      </c>
      <c r="C2421" s="1013" t="s">
        <v>4472</v>
      </c>
      <c r="D2421" s="1013" t="s">
        <v>4812</v>
      </c>
      <c r="E2421" s="1014">
        <v>7789</v>
      </c>
      <c r="F2421" s="1013" t="s">
        <v>6331</v>
      </c>
      <c r="G2421" s="1014" t="s">
        <v>13</v>
      </c>
      <c r="H2421" s="1015">
        <v>7182</v>
      </c>
      <c r="I2421" s="1016" t="s">
        <v>6899</v>
      </c>
    </row>
    <row r="2422" spans="2:9" ht="15.75" x14ac:dyDescent="0.25">
      <c r="B2422" s="1365" t="s">
        <v>7226</v>
      </c>
      <c r="C2422" s="1013" t="s">
        <v>4396</v>
      </c>
      <c r="D2422" s="1013" t="s">
        <v>6332</v>
      </c>
      <c r="E2422" s="1014">
        <v>7790</v>
      </c>
      <c r="F2422" s="1013" t="s">
        <v>6333</v>
      </c>
      <c r="G2422" s="1014" t="s">
        <v>3</v>
      </c>
      <c r="H2422" s="1015">
        <v>55192</v>
      </c>
      <c r="I2422" s="1016" t="s">
        <v>4398</v>
      </c>
    </row>
    <row r="2423" spans="2:9" ht="15.75" x14ac:dyDescent="0.25">
      <c r="B2423" s="1365" t="s">
        <v>7226</v>
      </c>
      <c r="C2423" s="1013" t="s">
        <v>4410</v>
      </c>
      <c r="D2423" s="1013" t="s">
        <v>4642</v>
      </c>
      <c r="E2423" s="1014">
        <v>7791</v>
      </c>
      <c r="F2423" s="1013" t="s">
        <v>6334</v>
      </c>
      <c r="G2423" s="1014" t="s">
        <v>3</v>
      </c>
      <c r="H2423" s="1015">
        <v>191917</v>
      </c>
      <c r="I2423" s="1016" t="s">
        <v>6899</v>
      </c>
    </row>
    <row r="2424" spans="2:9" ht="15.75" x14ac:dyDescent="0.25">
      <c r="B2424" s="1365" t="s">
        <v>7226</v>
      </c>
      <c r="C2424" s="1013" t="s">
        <v>4472</v>
      </c>
      <c r="D2424" s="1013" t="s">
        <v>4817</v>
      </c>
      <c r="E2424" s="1014">
        <v>7792</v>
      </c>
      <c r="F2424" s="1013" t="s">
        <v>6335</v>
      </c>
      <c r="G2424" s="1014" t="s">
        <v>3</v>
      </c>
      <c r="H2424" s="1015">
        <v>123020</v>
      </c>
      <c r="I2424" s="1016" t="s">
        <v>6899</v>
      </c>
    </row>
    <row r="2425" spans="2:9" ht="15.75" x14ac:dyDescent="0.25">
      <c r="B2425" s="1365" t="s">
        <v>7226</v>
      </c>
      <c r="C2425" s="1013" t="s">
        <v>4472</v>
      </c>
      <c r="D2425" s="1013" t="s">
        <v>4817</v>
      </c>
      <c r="E2425" s="1014">
        <v>7793</v>
      </c>
      <c r="F2425" s="1013" t="s">
        <v>6336</v>
      </c>
      <c r="G2425" s="1014" t="s">
        <v>12</v>
      </c>
      <c r="H2425" s="1015">
        <v>3184</v>
      </c>
      <c r="I2425" s="1016" t="s">
        <v>6899</v>
      </c>
    </row>
    <row r="2426" spans="2:9" ht="15.75" x14ac:dyDescent="0.25">
      <c r="B2426" s="1365" t="s">
        <v>7226</v>
      </c>
      <c r="C2426" s="1013" t="s">
        <v>4472</v>
      </c>
      <c r="D2426" s="1013" t="s">
        <v>4817</v>
      </c>
      <c r="E2426" s="1014">
        <v>7794</v>
      </c>
      <c r="F2426" s="1013" t="s">
        <v>7238</v>
      </c>
      <c r="G2426" s="1014" t="s">
        <v>3</v>
      </c>
      <c r="H2426" s="1015">
        <v>1140795</v>
      </c>
      <c r="I2426" s="1016" t="s">
        <v>6899</v>
      </c>
    </row>
    <row r="2427" spans="2:9" ht="15.75" x14ac:dyDescent="0.25">
      <c r="B2427" s="1365" t="s">
        <v>7226</v>
      </c>
      <c r="C2427" s="1013" t="s">
        <v>4472</v>
      </c>
      <c r="D2427" s="1013" t="s">
        <v>4817</v>
      </c>
      <c r="E2427" s="1014">
        <v>7795</v>
      </c>
      <c r="F2427" s="1013" t="s">
        <v>7239</v>
      </c>
      <c r="G2427" s="1014" t="s">
        <v>3</v>
      </c>
      <c r="H2427" s="1015">
        <v>1174870</v>
      </c>
      <c r="I2427" s="1016" t="s">
        <v>6899</v>
      </c>
    </row>
    <row r="2428" spans="2:9" ht="15.75" x14ac:dyDescent="0.25">
      <c r="B2428" s="1365" t="s">
        <v>7226</v>
      </c>
      <c r="C2428" s="1013" t="s">
        <v>4396</v>
      </c>
      <c r="D2428" s="1013" t="s">
        <v>6332</v>
      </c>
      <c r="E2428" s="1014">
        <v>7796</v>
      </c>
      <c r="F2428" s="1013" t="s">
        <v>6337</v>
      </c>
      <c r="G2428" s="1014" t="s">
        <v>3</v>
      </c>
      <c r="H2428" s="1015">
        <v>5678</v>
      </c>
      <c r="I2428" s="1016" t="s">
        <v>4398</v>
      </c>
    </row>
    <row r="2429" spans="2:9" ht="15.75" x14ac:dyDescent="0.25">
      <c r="B2429" s="1365" t="s">
        <v>7226</v>
      </c>
      <c r="C2429" s="1013" t="s">
        <v>4410</v>
      </c>
      <c r="D2429" s="1013" t="s">
        <v>4642</v>
      </c>
      <c r="E2429" s="1014">
        <v>7797</v>
      </c>
      <c r="F2429" s="1013" t="s">
        <v>6338</v>
      </c>
      <c r="G2429" s="1014" t="s">
        <v>3</v>
      </c>
      <c r="H2429" s="1015">
        <v>189960</v>
      </c>
      <c r="I2429" s="1016" t="s">
        <v>6899</v>
      </c>
    </row>
    <row r="2430" spans="2:9" ht="15.75" x14ac:dyDescent="0.25">
      <c r="B2430" s="1365" t="s">
        <v>7226</v>
      </c>
      <c r="C2430" s="1013" t="s">
        <v>4401</v>
      </c>
      <c r="D2430" s="1013" t="s">
        <v>4401</v>
      </c>
      <c r="E2430" s="1014">
        <v>7798</v>
      </c>
      <c r="F2430" s="1013" t="s">
        <v>6339</v>
      </c>
      <c r="G2430" s="1014" t="s">
        <v>3</v>
      </c>
      <c r="H2430" s="1015">
        <v>42146</v>
      </c>
      <c r="I2430" s="1016" t="s">
        <v>6899</v>
      </c>
    </row>
    <row r="2431" spans="2:9" ht="15.75" x14ac:dyDescent="0.25">
      <c r="B2431" s="1365" t="s">
        <v>7226</v>
      </c>
      <c r="C2431" s="1013" t="s">
        <v>4401</v>
      </c>
      <c r="D2431" s="1013" t="s">
        <v>4401</v>
      </c>
      <c r="E2431" s="1014">
        <v>7799</v>
      </c>
      <c r="F2431" s="1013" t="s">
        <v>6340</v>
      </c>
      <c r="G2431" s="1014" t="s">
        <v>12</v>
      </c>
      <c r="H2431" s="1015">
        <v>8295</v>
      </c>
      <c r="I2431" s="1016" t="s">
        <v>6899</v>
      </c>
    </row>
    <row r="2432" spans="2:9" ht="15.75" x14ac:dyDescent="0.25">
      <c r="B2432" s="1365" t="s">
        <v>7226</v>
      </c>
      <c r="C2432" s="1013" t="s">
        <v>4472</v>
      </c>
      <c r="D2432" s="1013" t="s">
        <v>4817</v>
      </c>
      <c r="E2432" s="1014">
        <v>7800</v>
      </c>
      <c r="F2432" s="1013" t="s">
        <v>6341</v>
      </c>
      <c r="G2432" s="1014" t="s">
        <v>3</v>
      </c>
      <c r="H2432" s="1015">
        <v>1190079</v>
      </c>
      <c r="I2432" s="1016" t="s">
        <v>6899</v>
      </c>
    </row>
    <row r="2433" spans="2:9" ht="15.75" x14ac:dyDescent="0.25">
      <c r="B2433" s="1365" t="s">
        <v>7226</v>
      </c>
      <c r="C2433" s="1013" t="s">
        <v>4401</v>
      </c>
      <c r="D2433" s="1013" t="s">
        <v>4401</v>
      </c>
      <c r="E2433" s="1014">
        <v>7801</v>
      </c>
      <c r="F2433" s="1013" t="s">
        <v>6342</v>
      </c>
      <c r="G2433" s="1014" t="s">
        <v>3</v>
      </c>
      <c r="H2433" s="1015">
        <v>62791</v>
      </c>
      <c r="I2433" s="1016" t="s">
        <v>6899</v>
      </c>
    </row>
    <row r="2434" spans="2:9" ht="15.75" x14ac:dyDescent="0.25">
      <c r="B2434" s="1365" t="s">
        <v>7226</v>
      </c>
      <c r="C2434" s="1013" t="s">
        <v>4791</v>
      </c>
      <c r="D2434" s="1013" t="s">
        <v>4792</v>
      </c>
      <c r="E2434" s="1014">
        <v>7802</v>
      </c>
      <c r="F2434" s="1013" t="s">
        <v>6343</v>
      </c>
      <c r="G2434" s="1014" t="s">
        <v>12</v>
      </c>
      <c r="H2434" s="1015">
        <v>200954</v>
      </c>
      <c r="I2434" s="1016" t="s">
        <v>6899</v>
      </c>
    </row>
    <row r="2435" spans="2:9" ht="15.75" x14ac:dyDescent="0.25">
      <c r="B2435" s="1365" t="s">
        <v>7226</v>
      </c>
      <c r="C2435" s="1013" t="s">
        <v>4396</v>
      </c>
      <c r="D2435" s="1013" t="s">
        <v>6332</v>
      </c>
      <c r="E2435" s="1014">
        <v>7803</v>
      </c>
      <c r="F2435" s="1013" t="s">
        <v>878</v>
      </c>
      <c r="G2435" s="1014" t="s">
        <v>12</v>
      </c>
      <c r="H2435" s="1015">
        <v>936</v>
      </c>
      <c r="I2435" s="1016" t="s">
        <v>6899</v>
      </c>
    </row>
    <row r="2436" spans="2:9" ht="15.75" x14ac:dyDescent="0.25">
      <c r="B2436" s="1365" t="s">
        <v>7226</v>
      </c>
      <c r="C2436" s="1013" t="s">
        <v>4791</v>
      </c>
      <c r="D2436" s="1013" t="s">
        <v>4792</v>
      </c>
      <c r="E2436" s="1014">
        <v>7804</v>
      </c>
      <c r="F2436" s="1013" t="s">
        <v>6344</v>
      </c>
      <c r="G2436" s="1014" t="s">
        <v>12</v>
      </c>
      <c r="H2436" s="1015">
        <v>279717</v>
      </c>
      <c r="I2436" s="1016" t="s">
        <v>6899</v>
      </c>
    </row>
    <row r="2437" spans="2:9" ht="15.75" x14ac:dyDescent="0.25">
      <c r="B2437" s="1365" t="s">
        <v>7226</v>
      </c>
      <c r="C2437" s="1013" t="s">
        <v>4775</v>
      </c>
      <c r="D2437" s="1013" t="s">
        <v>4775</v>
      </c>
      <c r="E2437" s="1014">
        <v>7805</v>
      </c>
      <c r="F2437" s="1013" t="s">
        <v>6345</v>
      </c>
      <c r="G2437" s="1014" t="s">
        <v>6</v>
      </c>
      <c r="H2437" s="1015">
        <v>5694</v>
      </c>
      <c r="I2437" s="1016" t="s">
        <v>6899</v>
      </c>
    </row>
    <row r="2438" spans="2:9" ht="15.75" x14ac:dyDescent="0.25">
      <c r="B2438" s="1365" t="s">
        <v>7226</v>
      </c>
      <c r="C2438" s="1013" t="s">
        <v>4472</v>
      </c>
      <c r="D2438" s="1013" t="s">
        <v>4473</v>
      </c>
      <c r="E2438" s="1014">
        <v>7806</v>
      </c>
      <c r="F2438" s="1013" t="s">
        <v>6346</v>
      </c>
      <c r="G2438" s="1014" t="s">
        <v>3</v>
      </c>
      <c r="H2438" s="1015">
        <v>1097447</v>
      </c>
      <c r="I2438" s="1016" t="s">
        <v>6899</v>
      </c>
    </row>
    <row r="2439" spans="2:9" ht="15.75" x14ac:dyDescent="0.25">
      <c r="B2439" s="1365" t="s">
        <v>7226</v>
      </c>
      <c r="C2439" s="1013" t="s">
        <v>4410</v>
      </c>
      <c r="D2439" s="1013" t="s">
        <v>4642</v>
      </c>
      <c r="E2439" s="1014">
        <v>7807</v>
      </c>
      <c r="F2439" s="1013" t="s">
        <v>6347</v>
      </c>
      <c r="G2439" s="1014" t="s">
        <v>3</v>
      </c>
      <c r="H2439" s="1015">
        <v>171398</v>
      </c>
      <c r="I2439" s="1016" t="s">
        <v>6899</v>
      </c>
    </row>
    <row r="2440" spans="2:9" ht="15.75" x14ac:dyDescent="0.25">
      <c r="B2440" s="1365" t="s">
        <v>7226</v>
      </c>
      <c r="C2440" s="1013" t="s">
        <v>4468</v>
      </c>
      <c r="D2440" s="1013" t="s">
        <v>1798</v>
      </c>
      <c r="E2440" s="1014">
        <v>7809</v>
      </c>
      <c r="F2440" s="1013" t="s">
        <v>6348</v>
      </c>
      <c r="G2440" s="1014" t="s">
        <v>13</v>
      </c>
      <c r="H2440" s="1015">
        <v>292990</v>
      </c>
      <c r="I2440" s="1016" t="s">
        <v>3538</v>
      </c>
    </row>
    <row r="2441" spans="2:9" ht="15.75" x14ac:dyDescent="0.25">
      <c r="B2441" s="1365" t="s">
        <v>7226</v>
      </c>
      <c r="C2441" s="1013" t="s">
        <v>5366</v>
      </c>
      <c r="D2441" s="1013" t="s">
        <v>5366</v>
      </c>
      <c r="E2441" s="1014">
        <v>7818</v>
      </c>
      <c r="F2441" s="1013" t="s">
        <v>6349</v>
      </c>
      <c r="G2441" s="1014" t="s">
        <v>546</v>
      </c>
      <c r="H2441" s="1015">
        <v>17694</v>
      </c>
      <c r="I2441" s="1016" t="s">
        <v>4398</v>
      </c>
    </row>
    <row r="2442" spans="2:9" ht="15.75" x14ac:dyDescent="0.25">
      <c r="B2442" s="1365" t="s">
        <v>7226</v>
      </c>
      <c r="C2442" s="1013" t="s">
        <v>5366</v>
      </c>
      <c r="D2442" s="1013" t="s">
        <v>5366</v>
      </c>
      <c r="E2442" s="1014">
        <v>7819</v>
      </c>
      <c r="F2442" s="1013" t="s">
        <v>6350</v>
      </c>
      <c r="G2442" s="1014" t="s">
        <v>546</v>
      </c>
      <c r="H2442" s="1015">
        <v>5504</v>
      </c>
      <c r="I2442" s="1016" t="s">
        <v>3538</v>
      </c>
    </row>
    <row r="2443" spans="2:9" ht="15.75" x14ac:dyDescent="0.25">
      <c r="B2443" s="1365" t="s">
        <v>7226</v>
      </c>
      <c r="C2443" s="1013" t="s">
        <v>5366</v>
      </c>
      <c r="D2443" s="1013" t="s">
        <v>5366</v>
      </c>
      <c r="E2443" s="1014">
        <v>7820</v>
      </c>
      <c r="F2443" s="1013" t="s">
        <v>6351</v>
      </c>
      <c r="G2443" s="1014" t="s">
        <v>266</v>
      </c>
      <c r="H2443" s="1015">
        <v>28416</v>
      </c>
      <c r="I2443" s="1016" t="s">
        <v>6899</v>
      </c>
    </row>
    <row r="2444" spans="2:9" ht="15.75" x14ac:dyDescent="0.25">
      <c r="B2444" s="1365" t="s">
        <v>7240</v>
      </c>
      <c r="C2444" s="1013" t="s">
        <v>4420</v>
      </c>
      <c r="D2444" s="1013" t="s">
        <v>4420</v>
      </c>
      <c r="E2444" s="1014">
        <v>7821</v>
      </c>
      <c r="F2444" s="1013" t="s">
        <v>6352</v>
      </c>
      <c r="G2444" s="1014" t="s">
        <v>13</v>
      </c>
      <c r="H2444" s="1015">
        <v>10532</v>
      </c>
      <c r="I2444" s="1016" t="s">
        <v>6899</v>
      </c>
    </row>
    <row r="2445" spans="2:9" ht="15.75" x14ac:dyDescent="0.25">
      <c r="B2445" s="1365" t="s">
        <v>7240</v>
      </c>
      <c r="C2445" s="1013" t="s">
        <v>4420</v>
      </c>
      <c r="D2445" s="1013" t="s">
        <v>4420</v>
      </c>
      <c r="E2445" s="1014">
        <v>7822</v>
      </c>
      <c r="F2445" s="1013" t="s">
        <v>6353</v>
      </c>
      <c r="G2445" s="1014" t="s">
        <v>13</v>
      </c>
      <c r="H2445" s="1015">
        <v>10815</v>
      </c>
      <c r="I2445" s="1016" t="s">
        <v>6899</v>
      </c>
    </row>
    <row r="2446" spans="2:9" ht="15.75" x14ac:dyDescent="0.25">
      <c r="B2446" s="1365" t="s">
        <v>7240</v>
      </c>
      <c r="C2446" s="1013" t="s">
        <v>4420</v>
      </c>
      <c r="D2446" s="1013" t="s">
        <v>4420</v>
      </c>
      <c r="E2446" s="1014">
        <v>7823</v>
      </c>
      <c r="F2446" s="1013" t="s">
        <v>6354</v>
      </c>
      <c r="G2446" s="1014" t="s">
        <v>13</v>
      </c>
      <c r="H2446" s="1015">
        <v>11695</v>
      </c>
      <c r="I2446" s="1016" t="s">
        <v>6899</v>
      </c>
    </row>
    <row r="2447" spans="2:9" ht="15.75" x14ac:dyDescent="0.25">
      <c r="B2447" s="1365" t="s">
        <v>7240</v>
      </c>
      <c r="C2447" s="1013" t="s">
        <v>4454</v>
      </c>
      <c r="D2447" s="1013" t="s">
        <v>4455</v>
      </c>
      <c r="E2447" s="1014">
        <v>7824</v>
      </c>
      <c r="F2447" s="1013" t="s">
        <v>6355</v>
      </c>
      <c r="G2447" s="1014" t="s">
        <v>266</v>
      </c>
      <c r="H2447" s="1015">
        <v>73153</v>
      </c>
      <c r="I2447" s="1016" t="s">
        <v>6899</v>
      </c>
    </row>
    <row r="2448" spans="2:9" ht="15.75" x14ac:dyDescent="0.25">
      <c r="B2448" s="1365" t="s">
        <v>7240</v>
      </c>
      <c r="C2448" s="1013" t="s">
        <v>4472</v>
      </c>
      <c r="D2448" s="1013" t="s">
        <v>4985</v>
      </c>
      <c r="E2448" s="1014">
        <v>7826</v>
      </c>
      <c r="F2448" s="1013" t="s">
        <v>6356</v>
      </c>
      <c r="G2448" s="1014" t="s">
        <v>12</v>
      </c>
      <c r="H2448" s="1015">
        <v>48708</v>
      </c>
      <c r="I2448" s="1016" t="s">
        <v>6899</v>
      </c>
    </row>
    <row r="2449" spans="2:9" ht="15.75" x14ac:dyDescent="0.25">
      <c r="B2449" s="1365" t="s">
        <v>6897</v>
      </c>
      <c r="C2449" s="1013" t="s">
        <v>5188</v>
      </c>
      <c r="D2449" s="1013" t="s">
        <v>5191</v>
      </c>
      <c r="E2449" s="1014">
        <v>7827</v>
      </c>
      <c r="F2449" s="1013" t="s">
        <v>6357</v>
      </c>
      <c r="G2449" s="1014" t="s">
        <v>12</v>
      </c>
      <c r="H2449" s="1015">
        <v>22003</v>
      </c>
      <c r="I2449" s="1016" t="s">
        <v>6899</v>
      </c>
    </row>
    <row r="2450" spans="2:9" ht="15.75" x14ac:dyDescent="0.25">
      <c r="B2450" s="1365" t="s">
        <v>7240</v>
      </c>
      <c r="C2450" s="1013" t="s">
        <v>4417</v>
      </c>
      <c r="D2450" s="1013" t="s">
        <v>4418</v>
      </c>
      <c r="E2450" s="1014">
        <v>7828</v>
      </c>
      <c r="F2450" s="1013" t="s">
        <v>6358</v>
      </c>
      <c r="G2450" s="1014" t="s">
        <v>13</v>
      </c>
      <c r="H2450" s="1015">
        <v>30276</v>
      </c>
      <c r="I2450" s="1016" t="s">
        <v>4398</v>
      </c>
    </row>
    <row r="2451" spans="2:9" ht="15.75" x14ac:dyDescent="0.25">
      <c r="B2451" s="1365" t="s">
        <v>7240</v>
      </c>
      <c r="C2451" s="1013" t="s">
        <v>4417</v>
      </c>
      <c r="D2451" s="1013" t="s">
        <v>4418</v>
      </c>
      <c r="E2451" s="1014">
        <v>7829</v>
      </c>
      <c r="F2451" s="1013" t="s">
        <v>6359</v>
      </c>
      <c r="G2451" s="1014" t="s">
        <v>13</v>
      </c>
      <c r="H2451" s="1015">
        <v>15139</v>
      </c>
      <c r="I2451" s="1016" t="s">
        <v>4398</v>
      </c>
    </row>
    <row r="2452" spans="2:9" ht="15.75" x14ac:dyDescent="0.25">
      <c r="B2452" s="1365" t="s">
        <v>7240</v>
      </c>
      <c r="C2452" s="1013" t="s">
        <v>4461</v>
      </c>
      <c r="D2452" s="1013" t="s">
        <v>4461</v>
      </c>
      <c r="E2452" s="1014">
        <v>7830</v>
      </c>
      <c r="F2452" s="1013" t="s">
        <v>6360</v>
      </c>
      <c r="G2452" s="1014" t="s">
        <v>266</v>
      </c>
      <c r="H2452" s="1015">
        <v>226525</v>
      </c>
      <c r="I2452" s="1016" t="s">
        <v>6899</v>
      </c>
    </row>
    <row r="2453" spans="2:9" ht="15.75" x14ac:dyDescent="0.25">
      <c r="B2453" s="1365" t="s">
        <v>7240</v>
      </c>
      <c r="C2453" s="1013" t="s">
        <v>4461</v>
      </c>
      <c r="D2453" s="1013" t="s">
        <v>4461</v>
      </c>
      <c r="E2453" s="1014">
        <v>7831</v>
      </c>
      <c r="F2453" s="1013" t="s">
        <v>6361</v>
      </c>
      <c r="G2453" s="1014" t="s">
        <v>266</v>
      </c>
      <c r="H2453" s="1015">
        <v>308281</v>
      </c>
      <c r="I2453" s="1016" t="s">
        <v>6899</v>
      </c>
    </row>
    <row r="2454" spans="2:9" ht="15.75" x14ac:dyDescent="0.25">
      <c r="B2454" s="1365" t="s">
        <v>7240</v>
      </c>
      <c r="C2454" s="1013" t="s">
        <v>4461</v>
      </c>
      <c r="D2454" s="1013" t="s">
        <v>4461</v>
      </c>
      <c r="E2454" s="1014">
        <v>7832</v>
      </c>
      <c r="F2454" s="1013" t="s">
        <v>6362</v>
      </c>
      <c r="G2454" s="1014" t="s">
        <v>266</v>
      </c>
      <c r="H2454" s="1015">
        <v>370090</v>
      </c>
      <c r="I2454" s="1016" t="s">
        <v>6899</v>
      </c>
    </row>
    <row r="2455" spans="2:9" ht="15.75" x14ac:dyDescent="0.25">
      <c r="B2455" s="1365" t="s">
        <v>7240</v>
      </c>
      <c r="C2455" s="1013" t="s">
        <v>4461</v>
      </c>
      <c r="D2455" s="1013" t="s">
        <v>4461</v>
      </c>
      <c r="E2455" s="1014">
        <v>7833</v>
      </c>
      <c r="F2455" s="1013" t="s">
        <v>6363</v>
      </c>
      <c r="G2455" s="1014" t="s">
        <v>266</v>
      </c>
      <c r="H2455" s="1015">
        <v>393854</v>
      </c>
      <c r="I2455" s="1016" t="s">
        <v>6899</v>
      </c>
    </row>
    <row r="2456" spans="2:9" ht="15.75" x14ac:dyDescent="0.25">
      <c r="B2456" s="1365" t="s">
        <v>7240</v>
      </c>
      <c r="C2456" s="1013" t="s">
        <v>4472</v>
      </c>
      <c r="D2456" s="1013" t="s">
        <v>4812</v>
      </c>
      <c r="E2456" s="1014">
        <v>7857</v>
      </c>
      <c r="F2456" s="1013" t="s">
        <v>6364</v>
      </c>
      <c r="G2456" s="1014" t="s">
        <v>266</v>
      </c>
      <c r="H2456" s="1015">
        <v>6643927</v>
      </c>
      <c r="I2456" s="1016" t="s">
        <v>6899</v>
      </c>
    </row>
    <row r="2457" spans="2:9" ht="15.75" x14ac:dyDescent="0.25">
      <c r="B2457" s="1365" t="s">
        <v>7240</v>
      </c>
      <c r="C2457" s="1013" t="s">
        <v>4472</v>
      </c>
      <c r="D2457" s="1013" t="s">
        <v>4812</v>
      </c>
      <c r="E2457" s="1014">
        <v>7859</v>
      </c>
      <c r="F2457" s="1013" t="s">
        <v>6365</v>
      </c>
      <c r="G2457" s="1014" t="s">
        <v>266</v>
      </c>
      <c r="H2457" s="1015">
        <v>3734321</v>
      </c>
      <c r="I2457" s="1016" t="s">
        <v>6899</v>
      </c>
    </row>
    <row r="2458" spans="2:9" ht="15.75" x14ac:dyDescent="0.25">
      <c r="B2458" s="1365" t="s">
        <v>7240</v>
      </c>
      <c r="C2458" s="1013" t="s">
        <v>4472</v>
      </c>
      <c r="D2458" s="1013" t="s">
        <v>4812</v>
      </c>
      <c r="E2458" s="1014">
        <v>7860</v>
      </c>
      <c r="F2458" s="1013" t="s">
        <v>6366</v>
      </c>
      <c r="G2458" s="1014" t="s">
        <v>266</v>
      </c>
      <c r="H2458" s="1015">
        <v>3758314</v>
      </c>
      <c r="I2458" s="1016" t="s">
        <v>6899</v>
      </c>
    </row>
    <row r="2459" spans="2:9" ht="15.75" x14ac:dyDescent="0.25">
      <c r="B2459" s="1365" t="s">
        <v>7240</v>
      </c>
      <c r="C2459" s="1013" t="s">
        <v>4468</v>
      </c>
      <c r="D2459" s="1013" t="s">
        <v>1798</v>
      </c>
      <c r="E2459" s="1014">
        <v>7861</v>
      </c>
      <c r="F2459" s="1013" t="s">
        <v>882</v>
      </c>
      <c r="G2459" s="1014" t="s">
        <v>13</v>
      </c>
      <c r="H2459" s="1015">
        <v>57132</v>
      </c>
      <c r="I2459" s="1016" t="s">
        <v>6899</v>
      </c>
    </row>
    <row r="2460" spans="2:9" ht="15.75" x14ac:dyDescent="0.25">
      <c r="B2460" s="1365" t="s">
        <v>7240</v>
      </c>
      <c r="C2460" s="1013" t="s">
        <v>4454</v>
      </c>
      <c r="D2460" s="1013" t="s">
        <v>4455</v>
      </c>
      <c r="E2460" s="1014">
        <v>7862</v>
      </c>
      <c r="F2460" s="1013" t="s">
        <v>6367</v>
      </c>
      <c r="G2460" s="1014" t="s">
        <v>13</v>
      </c>
      <c r="H2460" s="1015">
        <v>5656</v>
      </c>
      <c r="I2460" s="1016" t="s">
        <v>4398</v>
      </c>
    </row>
    <row r="2461" spans="2:9" ht="15.75" x14ac:dyDescent="0.25">
      <c r="B2461" s="1365" t="s">
        <v>7240</v>
      </c>
      <c r="C2461" s="1013" t="s">
        <v>4454</v>
      </c>
      <c r="D2461" s="1013" t="s">
        <v>4455</v>
      </c>
      <c r="E2461" s="1014">
        <v>7863</v>
      </c>
      <c r="F2461" s="1013" t="s">
        <v>6368</v>
      </c>
      <c r="G2461" s="1014" t="s">
        <v>12</v>
      </c>
      <c r="H2461" s="1015">
        <v>47646</v>
      </c>
      <c r="I2461" s="1016" t="s">
        <v>4398</v>
      </c>
    </row>
    <row r="2462" spans="2:9" ht="15.75" x14ac:dyDescent="0.25">
      <c r="B2462" s="1365" t="s">
        <v>7240</v>
      </c>
      <c r="C2462" s="1013" t="s">
        <v>4799</v>
      </c>
      <c r="D2462" s="1013" t="s">
        <v>5946</v>
      </c>
      <c r="E2462" s="1014">
        <v>7864</v>
      </c>
      <c r="F2462" s="1013" t="s">
        <v>883</v>
      </c>
      <c r="G2462" s="1014" t="s">
        <v>12</v>
      </c>
      <c r="H2462" s="1015">
        <v>8031</v>
      </c>
      <c r="I2462" s="1016" t="s">
        <v>6899</v>
      </c>
    </row>
    <row r="2463" spans="2:9" ht="15.75" x14ac:dyDescent="0.25">
      <c r="B2463" s="1365" t="s">
        <v>7240</v>
      </c>
      <c r="C2463" s="1013" t="s">
        <v>4420</v>
      </c>
      <c r="D2463" s="1013" t="s">
        <v>4420</v>
      </c>
      <c r="E2463" s="1014">
        <v>7865</v>
      </c>
      <c r="F2463" s="1013" t="s">
        <v>6369</v>
      </c>
      <c r="G2463" s="1014" t="s">
        <v>266</v>
      </c>
      <c r="H2463" s="1015">
        <v>200832</v>
      </c>
      <c r="I2463" s="1016" t="s">
        <v>6899</v>
      </c>
    </row>
    <row r="2464" spans="2:9" ht="15.75" x14ac:dyDescent="0.25">
      <c r="B2464" s="1365" t="s">
        <v>7240</v>
      </c>
      <c r="C2464" s="1013" t="s">
        <v>4420</v>
      </c>
      <c r="D2464" s="1013" t="s">
        <v>4420</v>
      </c>
      <c r="E2464" s="1014">
        <v>7869</v>
      </c>
      <c r="F2464" s="1013" t="s">
        <v>6370</v>
      </c>
      <c r="G2464" s="1014" t="s">
        <v>3</v>
      </c>
      <c r="H2464" s="1015">
        <v>74090</v>
      </c>
      <c r="I2464" s="1016" t="s">
        <v>6899</v>
      </c>
    </row>
    <row r="2465" spans="2:9" ht="15.75" x14ac:dyDescent="0.25">
      <c r="B2465" s="1365" t="s">
        <v>7240</v>
      </c>
      <c r="C2465" s="1013" t="s">
        <v>4420</v>
      </c>
      <c r="D2465" s="1013" t="s">
        <v>4420</v>
      </c>
      <c r="E2465" s="1014">
        <v>7870</v>
      </c>
      <c r="F2465" s="1013" t="s">
        <v>6371</v>
      </c>
      <c r="G2465" s="1014" t="s">
        <v>266</v>
      </c>
      <c r="H2465" s="1015">
        <v>1272096</v>
      </c>
      <c r="I2465" s="1016" t="s">
        <v>6899</v>
      </c>
    </row>
    <row r="2466" spans="2:9" ht="15.75" x14ac:dyDescent="0.25">
      <c r="B2466" s="1365" t="s">
        <v>7240</v>
      </c>
      <c r="C2466" s="1013" t="s">
        <v>4420</v>
      </c>
      <c r="D2466" s="1013" t="s">
        <v>4420</v>
      </c>
      <c r="E2466" s="1014">
        <v>7871</v>
      </c>
      <c r="F2466" s="1013" t="s">
        <v>6372</v>
      </c>
      <c r="G2466" s="1014" t="s">
        <v>13</v>
      </c>
      <c r="H2466" s="1015">
        <v>35572</v>
      </c>
      <c r="I2466" s="1016" t="s">
        <v>6899</v>
      </c>
    </row>
    <row r="2467" spans="2:9" ht="15.75" x14ac:dyDescent="0.25">
      <c r="B2467" s="1365" t="s">
        <v>7240</v>
      </c>
      <c r="C2467" s="1013" t="s">
        <v>5366</v>
      </c>
      <c r="D2467" s="1013" t="s">
        <v>5366</v>
      </c>
      <c r="E2467" s="1014">
        <v>7873</v>
      </c>
      <c r="F2467" s="1013" t="s">
        <v>884</v>
      </c>
      <c r="G2467" s="1014" t="s">
        <v>6</v>
      </c>
      <c r="H2467" s="1015">
        <v>1314</v>
      </c>
      <c r="I2467" s="1016" t="s">
        <v>6899</v>
      </c>
    </row>
    <row r="2468" spans="2:9" ht="15.75" x14ac:dyDescent="0.25">
      <c r="B2468" s="1365" t="s">
        <v>7240</v>
      </c>
      <c r="C2468" s="1013" t="s">
        <v>4461</v>
      </c>
      <c r="D2468" s="1013" t="s">
        <v>4461</v>
      </c>
      <c r="E2468" s="1014">
        <v>7875</v>
      </c>
      <c r="F2468" s="1013" t="s">
        <v>6373</v>
      </c>
      <c r="G2468" s="1014" t="s">
        <v>266</v>
      </c>
      <c r="H2468" s="1015">
        <v>37790</v>
      </c>
      <c r="I2468" s="1016" t="s">
        <v>6899</v>
      </c>
    </row>
    <row r="2469" spans="2:9" ht="15.75" x14ac:dyDescent="0.25">
      <c r="B2469" s="1365" t="s">
        <v>7240</v>
      </c>
      <c r="C2469" s="1013" t="s">
        <v>4461</v>
      </c>
      <c r="D2469" s="1013" t="s">
        <v>4461</v>
      </c>
      <c r="E2469" s="1014">
        <v>7876</v>
      </c>
      <c r="F2469" s="1013" t="s">
        <v>6374</v>
      </c>
      <c r="G2469" s="1014" t="s">
        <v>13</v>
      </c>
      <c r="H2469" s="1015">
        <v>1421099</v>
      </c>
      <c r="I2469" s="1016" t="s">
        <v>6899</v>
      </c>
    </row>
    <row r="2470" spans="2:9" ht="15.75" x14ac:dyDescent="0.25">
      <c r="B2470" s="1365" t="s">
        <v>7240</v>
      </c>
      <c r="C2470" s="1013" t="s">
        <v>4420</v>
      </c>
      <c r="D2470" s="1013" t="s">
        <v>4420</v>
      </c>
      <c r="E2470" s="1014">
        <v>7877</v>
      </c>
      <c r="F2470" s="1013" t="s">
        <v>6375</v>
      </c>
      <c r="G2470" s="1014" t="s">
        <v>13</v>
      </c>
      <c r="H2470" s="1015">
        <v>5458</v>
      </c>
      <c r="I2470" s="1016" t="s">
        <v>4398</v>
      </c>
    </row>
    <row r="2471" spans="2:9" ht="15.75" x14ac:dyDescent="0.25">
      <c r="B2471" s="1365" t="s">
        <v>7240</v>
      </c>
      <c r="C2471" s="1013" t="s">
        <v>4417</v>
      </c>
      <c r="D2471" s="1013" t="s">
        <v>4631</v>
      </c>
      <c r="E2471" s="1014">
        <v>7878</v>
      </c>
      <c r="F2471" s="1013" t="s">
        <v>6376</v>
      </c>
      <c r="G2471" s="1014" t="s">
        <v>12</v>
      </c>
      <c r="H2471" s="1015">
        <v>72218</v>
      </c>
      <c r="I2471" s="1016" t="s">
        <v>6899</v>
      </c>
    </row>
    <row r="2472" spans="2:9" ht="15.75" x14ac:dyDescent="0.25">
      <c r="B2472" s="1365" t="s">
        <v>7240</v>
      </c>
      <c r="C2472" s="1013" t="s">
        <v>4420</v>
      </c>
      <c r="D2472" s="1013" t="s">
        <v>4420</v>
      </c>
      <c r="E2472" s="1014">
        <v>7879</v>
      </c>
      <c r="F2472" s="1013" t="s">
        <v>885</v>
      </c>
      <c r="G2472" s="1014" t="s">
        <v>266</v>
      </c>
      <c r="H2472" s="1015">
        <v>263068</v>
      </c>
      <c r="I2472" s="1016" t="s">
        <v>6899</v>
      </c>
    </row>
    <row r="2473" spans="2:9" ht="15.75" x14ac:dyDescent="0.25">
      <c r="B2473" s="1365" t="s">
        <v>7240</v>
      </c>
      <c r="C2473" s="1013" t="s">
        <v>4461</v>
      </c>
      <c r="D2473" s="1013" t="s">
        <v>4461</v>
      </c>
      <c r="E2473" s="1014">
        <v>7880</v>
      </c>
      <c r="F2473" s="1013" t="s">
        <v>6377</v>
      </c>
      <c r="G2473" s="1014" t="s">
        <v>266</v>
      </c>
      <c r="H2473" s="1015">
        <v>38364</v>
      </c>
      <c r="I2473" s="1016" t="s">
        <v>4398</v>
      </c>
    </row>
    <row r="2474" spans="2:9" ht="15.75" x14ac:dyDescent="0.25">
      <c r="B2474" s="1365" t="s">
        <v>7240</v>
      </c>
      <c r="C2474" s="1013" t="s">
        <v>4454</v>
      </c>
      <c r="D2474" s="1013" t="s">
        <v>4455</v>
      </c>
      <c r="E2474" s="1014">
        <v>7881</v>
      </c>
      <c r="F2474" s="1013" t="s">
        <v>886</v>
      </c>
      <c r="G2474" s="1014" t="s">
        <v>266</v>
      </c>
      <c r="H2474" s="1015">
        <v>6025</v>
      </c>
      <c r="I2474" s="1016" t="s">
        <v>3538</v>
      </c>
    </row>
    <row r="2475" spans="2:9" ht="15.75" x14ac:dyDescent="0.25">
      <c r="B2475" s="1365" t="s">
        <v>7240</v>
      </c>
      <c r="C2475" s="1013" t="s">
        <v>4468</v>
      </c>
      <c r="D2475" s="1013" t="s">
        <v>1798</v>
      </c>
      <c r="E2475" s="1014">
        <v>7883</v>
      </c>
      <c r="F2475" s="1013" t="s">
        <v>6378</v>
      </c>
      <c r="G2475" s="1014" t="s">
        <v>752</v>
      </c>
      <c r="H2475" s="1015">
        <v>2223</v>
      </c>
      <c r="I2475" s="1016" t="s">
        <v>6899</v>
      </c>
    </row>
    <row r="2476" spans="2:9" ht="15.75" x14ac:dyDescent="0.25">
      <c r="B2476" s="1365" t="s">
        <v>7240</v>
      </c>
      <c r="C2476" s="1013" t="s">
        <v>4468</v>
      </c>
      <c r="D2476" s="1013" t="s">
        <v>1798</v>
      </c>
      <c r="E2476" s="1014">
        <v>7884</v>
      </c>
      <c r="F2476" s="1013" t="s">
        <v>6379</v>
      </c>
      <c r="G2476" s="1014" t="s">
        <v>752</v>
      </c>
      <c r="H2476" s="1015">
        <v>2101</v>
      </c>
      <c r="I2476" s="1016" t="s">
        <v>6899</v>
      </c>
    </row>
    <row r="2477" spans="2:9" ht="15.75" x14ac:dyDescent="0.25">
      <c r="B2477" s="1365" t="s">
        <v>7240</v>
      </c>
      <c r="C2477" s="1013" t="s">
        <v>4468</v>
      </c>
      <c r="D2477" s="1013" t="s">
        <v>1798</v>
      </c>
      <c r="E2477" s="1014">
        <v>7885</v>
      </c>
      <c r="F2477" s="1013" t="s">
        <v>887</v>
      </c>
      <c r="G2477" s="1014" t="s">
        <v>752</v>
      </c>
      <c r="H2477" s="1015">
        <v>2394</v>
      </c>
      <c r="I2477" s="1016" t="s">
        <v>6899</v>
      </c>
    </row>
    <row r="2478" spans="2:9" ht="15.75" x14ac:dyDescent="0.25">
      <c r="B2478" s="1365" t="s">
        <v>7240</v>
      </c>
      <c r="C2478" s="1013" t="s">
        <v>4468</v>
      </c>
      <c r="D2478" s="1013" t="s">
        <v>1798</v>
      </c>
      <c r="E2478" s="1014">
        <v>7886</v>
      </c>
      <c r="F2478" s="1013" t="s">
        <v>888</v>
      </c>
      <c r="G2478" s="1014" t="s">
        <v>752</v>
      </c>
      <c r="H2478" s="1015">
        <v>1679</v>
      </c>
      <c r="I2478" s="1016" t="s">
        <v>6899</v>
      </c>
    </row>
    <row r="2479" spans="2:9" ht="15.75" x14ac:dyDescent="0.25">
      <c r="B2479" s="1365" t="s">
        <v>7240</v>
      </c>
      <c r="C2479" s="1013" t="s">
        <v>4468</v>
      </c>
      <c r="D2479" s="1013" t="s">
        <v>1798</v>
      </c>
      <c r="E2479" s="1014">
        <v>7887</v>
      </c>
      <c r="F2479" s="1013" t="s">
        <v>889</v>
      </c>
      <c r="G2479" s="1014" t="s">
        <v>752</v>
      </c>
      <c r="H2479" s="1015">
        <v>1869</v>
      </c>
      <c r="I2479" s="1016" t="s">
        <v>6899</v>
      </c>
    </row>
    <row r="2480" spans="2:9" ht="15.75" x14ac:dyDescent="0.25">
      <c r="B2480" s="1365" t="s">
        <v>7240</v>
      </c>
      <c r="C2480" s="1013" t="s">
        <v>4420</v>
      </c>
      <c r="D2480" s="1013" t="s">
        <v>4420</v>
      </c>
      <c r="E2480" s="1014">
        <v>7888</v>
      </c>
      <c r="F2480" s="1013" t="s">
        <v>890</v>
      </c>
      <c r="G2480" s="1014" t="s">
        <v>266</v>
      </c>
      <c r="H2480" s="1015">
        <v>254489</v>
      </c>
      <c r="I2480" s="1016" t="s">
        <v>6899</v>
      </c>
    </row>
    <row r="2481" spans="2:9" ht="15.75" x14ac:dyDescent="0.25">
      <c r="B2481" s="1365" t="s">
        <v>7240</v>
      </c>
      <c r="C2481" s="1013" t="s">
        <v>4468</v>
      </c>
      <c r="D2481" s="1013" t="s">
        <v>1798</v>
      </c>
      <c r="E2481" s="1014">
        <v>7889</v>
      </c>
      <c r="F2481" s="1013" t="s">
        <v>6380</v>
      </c>
      <c r="G2481" s="1014" t="s">
        <v>752</v>
      </c>
      <c r="H2481" s="1015">
        <v>2223</v>
      </c>
      <c r="I2481" s="1016" t="s">
        <v>6899</v>
      </c>
    </row>
    <row r="2482" spans="2:9" ht="15.75" x14ac:dyDescent="0.25">
      <c r="B2482" s="1365" t="s">
        <v>7240</v>
      </c>
      <c r="C2482" s="1013" t="s">
        <v>4431</v>
      </c>
      <c r="D2482" s="1013" t="s">
        <v>4432</v>
      </c>
      <c r="E2482" s="1014">
        <v>7892</v>
      </c>
      <c r="F2482" s="1013" t="s">
        <v>6381</v>
      </c>
      <c r="G2482" s="1014" t="s">
        <v>13</v>
      </c>
      <c r="H2482" s="1015">
        <v>93636</v>
      </c>
      <c r="I2482" s="1016" t="s">
        <v>4398</v>
      </c>
    </row>
    <row r="2483" spans="2:9" ht="15.75" x14ac:dyDescent="0.25">
      <c r="B2483" s="1365" t="s">
        <v>7240</v>
      </c>
      <c r="C2483" s="1013" t="s">
        <v>4420</v>
      </c>
      <c r="D2483" s="1013" t="s">
        <v>4420</v>
      </c>
      <c r="E2483" s="1014">
        <v>7893</v>
      </c>
      <c r="F2483" s="1013" t="s">
        <v>6382</v>
      </c>
      <c r="G2483" s="1014" t="s">
        <v>266</v>
      </c>
      <c r="H2483" s="1015">
        <v>265072</v>
      </c>
      <c r="I2483" s="1016" t="s">
        <v>6899</v>
      </c>
    </row>
    <row r="2484" spans="2:9" ht="15.75" x14ac:dyDescent="0.25">
      <c r="B2484" s="1365" t="s">
        <v>7240</v>
      </c>
      <c r="C2484" s="1013" t="s">
        <v>6319</v>
      </c>
      <c r="D2484" s="1013" t="s">
        <v>6319</v>
      </c>
      <c r="E2484" s="1014">
        <v>7894</v>
      </c>
      <c r="F2484" s="1013" t="s">
        <v>6383</v>
      </c>
      <c r="G2484" s="1014" t="s">
        <v>266</v>
      </c>
      <c r="H2484" s="1015">
        <v>799680</v>
      </c>
      <c r="I2484" s="1016" t="s">
        <v>3538</v>
      </c>
    </row>
    <row r="2485" spans="2:9" ht="15.75" x14ac:dyDescent="0.25">
      <c r="B2485" s="1365" t="s">
        <v>7240</v>
      </c>
      <c r="C2485" s="1013" t="s">
        <v>4454</v>
      </c>
      <c r="D2485" s="1013" t="s">
        <v>4634</v>
      </c>
      <c r="E2485" s="1014">
        <v>7895</v>
      </c>
      <c r="F2485" s="1013" t="s">
        <v>6384</v>
      </c>
      <c r="G2485" s="1014" t="s">
        <v>266</v>
      </c>
      <c r="H2485" s="1015">
        <v>523989</v>
      </c>
      <c r="I2485" s="1016" t="s">
        <v>6899</v>
      </c>
    </row>
    <row r="2486" spans="2:9" ht="15.75" x14ac:dyDescent="0.25">
      <c r="B2486" s="1365" t="s">
        <v>7240</v>
      </c>
      <c r="C2486" s="1013" t="s">
        <v>4472</v>
      </c>
      <c r="D2486" s="1013" t="s">
        <v>4812</v>
      </c>
      <c r="E2486" s="1014">
        <v>7896</v>
      </c>
      <c r="F2486" s="1013" t="s">
        <v>891</v>
      </c>
      <c r="G2486" s="1014" t="s">
        <v>266</v>
      </c>
      <c r="H2486" s="1015">
        <v>938</v>
      </c>
      <c r="I2486" s="1016" t="s">
        <v>6899</v>
      </c>
    </row>
    <row r="2487" spans="2:9" ht="15.75" x14ac:dyDescent="0.25">
      <c r="B2487" s="1365" t="s">
        <v>7240</v>
      </c>
      <c r="C2487" s="1013" t="s">
        <v>4472</v>
      </c>
      <c r="D2487" s="1013" t="s">
        <v>4473</v>
      </c>
      <c r="E2487" s="1014">
        <v>7898</v>
      </c>
      <c r="F2487" s="1013" t="s">
        <v>6385</v>
      </c>
      <c r="G2487" s="1014" t="s">
        <v>3</v>
      </c>
      <c r="H2487" s="1015">
        <v>880933</v>
      </c>
      <c r="I2487" s="1016" t="s">
        <v>6899</v>
      </c>
    </row>
    <row r="2488" spans="2:9" ht="15.75" x14ac:dyDescent="0.25">
      <c r="B2488" s="1365" t="s">
        <v>7240</v>
      </c>
      <c r="C2488" s="1013" t="s">
        <v>4472</v>
      </c>
      <c r="D2488" s="1013" t="s">
        <v>4473</v>
      </c>
      <c r="E2488" s="1014">
        <v>7899</v>
      </c>
      <c r="F2488" s="1013" t="s">
        <v>6386</v>
      </c>
      <c r="G2488" s="1014" t="s">
        <v>3</v>
      </c>
      <c r="H2488" s="1015">
        <v>912889</v>
      </c>
      <c r="I2488" s="1016" t="s">
        <v>6899</v>
      </c>
    </row>
    <row r="2489" spans="2:9" ht="15.75" x14ac:dyDescent="0.25">
      <c r="B2489" s="1365" t="s">
        <v>7240</v>
      </c>
      <c r="C2489" s="1013" t="s">
        <v>1474</v>
      </c>
      <c r="D2489" s="1013" t="s">
        <v>4940</v>
      </c>
      <c r="E2489" s="1014">
        <v>7900</v>
      </c>
      <c r="F2489" s="1013" t="s">
        <v>6387</v>
      </c>
      <c r="G2489" s="1014" t="s">
        <v>12</v>
      </c>
      <c r="H2489" s="1015">
        <v>73369</v>
      </c>
      <c r="I2489" s="1016" t="s">
        <v>6899</v>
      </c>
    </row>
    <row r="2490" spans="2:9" ht="15.75" x14ac:dyDescent="0.25">
      <c r="B2490" s="1365" t="s">
        <v>7240</v>
      </c>
      <c r="C2490" s="1013" t="s">
        <v>4420</v>
      </c>
      <c r="D2490" s="1013" t="s">
        <v>4420</v>
      </c>
      <c r="E2490" s="1014">
        <v>7901</v>
      </c>
      <c r="F2490" s="1013" t="s">
        <v>6388</v>
      </c>
      <c r="G2490" s="1014" t="s">
        <v>202</v>
      </c>
      <c r="H2490" s="1015">
        <v>10270</v>
      </c>
      <c r="I2490" s="1016" t="s">
        <v>6899</v>
      </c>
    </row>
    <row r="2491" spans="2:9" ht="15.75" x14ac:dyDescent="0.25">
      <c r="B2491" s="1365" t="s">
        <v>7240</v>
      </c>
      <c r="C2491" s="1013" t="s">
        <v>1474</v>
      </c>
      <c r="D2491" s="1013" t="s">
        <v>4940</v>
      </c>
      <c r="E2491" s="1014">
        <v>7902</v>
      </c>
      <c r="F2491" s="1013" t="s">
        <v>6389</v>
      </c>
      <c r="G2491" s="1014" t="s">
        <v>13</v>
      </c>
      <c r="H2491" s="1015">
        <v>73921</v>
      </c>
      <c r="I2491" s="1016" t="s">
        <v>6899</v>
      </c>
    </row>
    <row r="2492" spans="2:9" ht="15.75" x14ac:dyDescent="0.25">
      <c r="B2492" s="1365" t="s">
        <v>7240</v>
      </c>
      <c r="C2492" s="1013" t="s">
        <v>4454</v>
      </c>
      <c r="D2492" s="1013" t="s">
        <v>5477</v>
      </c>
      <c r="E2492" s="1014">
        <v>7903</v>
      </c>
      <c r="F2492" s="1013" t="s">
        <v>6390</v>
      </c>
      <c r="G2492" s="1014" t="s">
        <v>266</v>
      </c>
      <c r="H2492" s="1015">
        <v>113050</v>
      </c>
      <c r="I2492" s="1016" t="s">
        <v>3538</v>
      </c>
    </row>
    <row r="2493" spans="2:9" ht="15.75" x14ac:dyDescent="0.25">
      <c r="B2493" s="1365" t="s">
        <v>7240</v>
      </c>
      <c r="C2493" s="1013" t="s">
        <v>4454</v>
      </c>
      <c r="D2493" s="1013" t="s">
        <v>5477</v>
      </c>
      <c r="E2493" s="1014">
        <v>7904</v>
      </c>
      <c r="F2493" s="1013" t="s">
        <v>6391</v>
      </c>
      <c r="G2493" s="1014" t="s">
        <v>546</v>
      </c>
      <c r="H2493" s="1015">
        <v>4561</v>
      </c>
      <c r="I2493" s="1016" t="s">
        <v>3538</v>
      </c>
    </row>
    <row r="2494" spans="2:9" ht="15.75" x14ac:dyDescent="0.25">
      <c r="B2494" s="1365" t="s">
        <v>7226</v>
      </c>
      <c r="C2494" s="1013" t="s">
        <v>4396</v>
      </c>
      <c r="D2494" s="1013" t="s">
        <v>6332</v>
      </c>
      <c r="E2494" s="1014">
        <v>7905</v>
      </c>
      <c r="F2494" s="1013" t="s">
        <v>6392</v>
      </c>
      <c r="G2494" s="1014" t="s">
        <v>3</v>
      </c>
      <c r="H2494" s="1015">
        <v>64479</v>
      </c>
      <c r="I2494" s="1016" t="s">
        <v>6899</v>
      </c>
    </row>
    <row r="2495" spans="2:9" ht="15.75" x14ac:dyDescent="0.25">
      <c r="B2495" s="1365" t="s">
        <v>7226</v>
      </c>
      <c r="C2495" s="1013" t="s">
        <v>4396</v>
      </c>
      <c r="D2495" s="1013" t="s">
        <v>6332</v>
      </c>
      <c r="E2495" s="1014">
        <v>7944</v>
      </c>
      <c r="F2495" s="1013" t="s">
        <v>6393</v>
      </c>
      <c r="G2495" s="1014" t="s">
        <v>3</v>
      </c>
      <c r="H2495" s="1015">
        <v>4711</v>
      </c>
      <c r="I2495" s="1016" t="s">
        <v>4398</v>
      </c>
    </row>
    <row r="2496" spans="2:9" ht="15.75" x14ac:dyDescent="0.25">
      <c r="B2496" s="1365" t="s">
        <v>7226</v>
      </c>
      <c r="C2496" s="1013" t="s">
        <v>4396</v>
      </c>
      <c r="D2496" s="1013" t="s">
        <v>6332</v>
      </c>
      <c r="E2496" s="1014">
        <v>7945</v>
      </c>
      <c r="F2496" s="1013" t="s">
        <v>6394</v>
      </c>
      <c r="G2496" s="1014" t="s">
        <v>3</v>
      </c>
      <c r="H2496" s="1015">
        <v>3934</v>
      </c>
      <c r="I2496" s="1016" t="s">
        <v>4398</v>
      </c>
    </row>
    <row r="2497" spans="2:9" ht="15.75" x14ac:dyDescent="0.25">
      <c r="B2497" s="1365" t="s">
        <v>7226</v>
      </c>
      <c r="C2497" s="1013" t="s">
        <v>4396</v>
      </c>
      <c r="D2497" s="1013" t="s">
        <v>6332</v>
      </c>
      <c r="E2497" s="1014">
        <v>7946</v>
      </c>
      <c r="F2497" s="1013" t="s">
        <v>6395</v>
      </c>
      <c r="G2497" s="1014" t="s">
        <v>3</v>
      </c>
      <c r="H2497" s="1015">
        <v>6771</v>
      </c>
      <c r="I2497" s="1016" t="s">
        <v>4398</v>
      </c>
    </row>
    <row r="2498" spans="2:9" ht="15.75" x14ac:dyDescent="0.25">
      <c r="B2498" s="1365" t="s">
        <v>7240</v>
      </c>
      <c r="C2498" s="1013" t="s">
        <v>4405</v>
      </c>
      <c r="D2498" s="1013" t="s">
        <v>4406</v>
      </c>
      <c r="E2498" s="1014">
        <v>7947</v>
      </c>
      <c r="F2498" s="1013" t="s">
        <v>6396</v>
      </c>
      <c r="G2498" s="1014" t="s">
        <v>13</v>
      </c>
      <c r="H2498" s="1015">
        <v>76557</v>
      </c>
      <c r="I2498" s="1016" t="s">
        <v>6899</v>
      </c>
    </row>
    <row r="2499" spans="2:9" ht="15.75" x14ac:dyDescent="0.25">
      <c r="B2499" s="1365" t="s">
        <v>7240</v>
      </c>
      <c r="C2499" s="1013" t="s">
        <v>4405</v>
      </c>
      <c r="D2499" s="1013" t="s">
        <v>4406</v>
      </c>
      <c r="E2499" s="1014">
        <v>7948</v>
      </c>
      <c r="F2499" s="1013" t="s">
        <v>6397</v>
      </c>
      <c r="G2499" s="1014" t="s">
        <v>13</v>
      </c>
      <c r="H2499" s="1015">
        <v>86434</v>
      </c>
      <c r="I2499" s="1016" t="s">
        <v>6899</v>
      </c>
    </row>
    <row r="2500" spans="2:9" ht="15.75" x14ac:dyDescent="0.25">
      <c r="B2500" s="1365" t="s">
        <v>7240</v>
      </c>
      <c r="C2500" s="1013" t="s">
        <v>4405</v>
      </c>
      <c r="D2500" s="1013" t="s">
        <v>4406</v>
      </c>
      <c r="E2500" s="1014">
        <v>7949</v>
      </c>
      <c r="F2500" s="1013" t="s">
        <v>6398</v>
      </c>
      <c r="G2500" s="1014" t="s">
        <v>13</v>
      </c>
      <c r="H2500" s="1015">
        <v>91029</v>
      </c>
      <c r="I2500" s="1016" t="s">
        <v>6899</v>
      </c>
    </row>
    <row r="2501" spans="2:9" ht="15.75" x14ac:dyDescent="0.25">
      <c r="B2501" s="1365" t="s">
        <v>7240</v>
      </c>
      <c r="C2501" s="1013" t="s">
        <v>4405</v>
      </c>
      <c r="D2501" s="1013" t="s">
        <v>4406</v>
      </c>
      <c r="E2501" s="1014">
        <v>7950</v>
      </c>
      <c r="F2501" s="1013" t="s">
        <v>6399</v>
      </c>
      <c r="G2501" s="1014" t="s">
        <v>13</v>
      </c>
      <c r="H2501" s="1015">
        <v>109813</v>
      </c>
      <c r="I2501" s="1016" t="s">
        <v>6899</v>
      </c>
    </row>
    <row r="2502" spans="2:9" ht="15.75" x14ac:dyDescent="0.25">
      <c r="B2502" s="1365" t="s">
        <v>7240</v>
      </c>
      <c r="C2502" s="1013" t="s">
        <v>4405</v>
      </c>
      <c r="D2502" s="1013" t="s">
        <v>4406</v>
      </c>
      <c r="E2502" s="1014">
        <v>7951</v>
      </c>
      <c r="F2502" s="1013" t="s">
        <v>6400</v>
      </c>
      <c r="G2502" s="1014" t="s">
        <v>13</v>
      </c>
      <c r="H2502" s="1015">
        <v>145568</v>
      </c>
      <c r="I2502" s="1016" t="s">
        <v>6899</v>
      </c>
    </row>
    <row r="2503" spans="2:9" ht="15.75" x14ac:dyDescent="0.25">
      <c r="B2503" s="1365" t="s">
        <v>7240</v>
      </c>
      <c r="C2503" s="1013" t="s">
        <v>4791</v>
      </c>
      <c r="D2503" s="1013" t="s">
        <v>5165</v>
      </c>
      <c r="E2503" s="1014">
        <v>7953</v>
      </c>
      <c r="F2503" s="1013" t="s">
        <v>892</v>
      </c>
      <c r="G2503" s="1014" t="s">
        <v>13</v>
      </c>
      <c r="H2503" s="1015">
        <v>1555968</v>
      </c>
      <c r="I2503" s="1016" t="s">
        <v>6899</v>
      </c>
    </row>
    <row r="2504" spans="2:9" ht="15.75" x14ac:dyDescent="0.25">
      <c r="B2504" s="1365" t="s">
        <v>7240</v>
      </c>
      <c r="C2504" s="1013" t="s">
        <v>4791</v>
      </c>
      <c r="D2504" s="1013" t="s">
        <v>5165</v>
      </c>
      <c r="E2504" s="1014">
        <v>7954</v>
      </c>
      <c r="F2504" s="1013" t="s">
        <v>6401</v>
      </c>
      <c r="G2504" s="1014" t="s">
        <v>266</v>
      </c>
      <c r="H2504" s="1015">
        <v>806333</v>
      </c>
      <c r="I2504" s="1016" t="s">
        <v>6899</v>
      </c>
    </row>
    <row r="2505" spans="2:9" ht="15.75" x14ac:dyDescent="0.25">
      <c r="B2505" s="1365" t="s">
        <v>7240</v>
      </c>
      <c r="C2505" s="1013" t="s">
        <v>4431</v>
      </c>
      <c r="D2505" s="1013" t="s">
        <v>4432</v>
      </c>
      <c r="E2505" s="1014">
        <v>7955</v>
      </c>
      <c r="F2505" s="1013" t="s">
        <v>6402</v>
      </c>
      <c r="G2505" s="1014" t="s">
        <v>266</v>
      </c>
      <c r="H2505" s="1015">
        <v>1067637</v>
      </c>
      <c r="I2505" s="1016" t="s">
        <v>6899</v>
      </c>
    </row>
    <row r="2506" spans="2:9" ht="15.75" x14ac:dyDescent="0.25">
      <c r="B2506" s="1365" t="s">
        <v>7240</v>
      </c>
      <c r="C2506" s="1013" t="s">
        <v>4431</v>
      </c>
      <c r="D2506" s="1013" t="s">
        <v>4432</v>
      </c>
      <c r="E2506" s="1014">
        <v>7956</v>
      </c>
      <c r="F2506" s="1013" t="s">
        <v>6403</v>
      </c>
      <c r="G2506" s="1014" t="s">
        <v>266</v>
      </c>
      <c r="H2506" s="1015">
        <v>1722476</v>
      </c>
      <c r="I2506" s="1016" t="s">
        <v>6899</v>
      </c>
    </row>
    <row r="2507" spans="2:9" ht="15.75" x14ac:dyDescent="0.25">
      <c r="B2507" s="1365" t="s">
        <v>7240</v>
      </c>
      <c r="C2507" s="1013" t="s">
        <v>4454</v>
      </c>
      <c r="D2507" s="1013" t="s">
        <v>4455</v>
      </c>
      <c r="E2507" s="1014">
        <v>7958</v>
      </c>
      <c r="F2507" s="1013" t="s">
        <v>6404</v>
      </c>
      <c r="G2507" s="1014" t="s">
        <v>13</v>
      </c>
      <c r="H2507" s="1015">
        <v>14020</v>
      </c>
      <c r="I2507" s="1016" t="s">
        <v>3538</v>
      </c>
    </row>
    <row r="2508" spans="2:9" ht="15.75" x14ac:dyDescent="0.25">
      <c r="B2508" s="1365" t="s">
        <v>7240</v>
      </c>
      <c r="C2508" s="1013" t="s">
        <v>4454</v>
      </c>
      <c r="D2508" s="1013" t="s">
        <v>4455</v>
      </c>
      <c r="E2508" s="1014">
        <v>7959</v>
      </c>
      <c r="F2508" s="1013" t="s">
        <v>6405</v>
      </c>
      <c r="G2508" s="1014" t="s">
        <v>13</v>
      </c>
      <c r="H2508" s="1015">
        <v>16824</v>
      </c>
      <c r="I2508" s="1016" t="s">
        <v>3538</v>
      </c>
    </row>
    <row r="2509" spans="2:9" ht="15.75" x14ac:dyDescent="0.25">
      <c r="B2509" s="1365" t="s">
        <v>7240</v>
      </c>
      <c r="C2509" s="1013" t="s">
        <v>4454</v>
      </c>
      <c r="D2509" s="1013" t="s">
        <v>4455</v>
      </c>
      <c r="E2509" s="1014">
        <v>7960</v>
      </c>
      <c r="F2509" s="1013" t="s">
        <v>6406</v>
      </c>
      <c r="G2509" s="1014" t="s">
        <v>13</v>
      </c>
      <c r="H2509" s="1015">
        <v>14020</v>
      </c>
      <c r="I2509" s="1016" t="s">
        <v>3538</v>
      </c>
    </row>
    <row r="2510" spans="2:9" ht="15.75" x14ac:dyDescent="0.25">
      <c r="B2510" s="1365" t="s">
        <v>7240</v>
      </c>
      <c r="C2510" s="1013" t="s">
        <v>4454</v>
      </c>
      <c r="D2510" s="1013" t="s">
        <v>4455</v>
      </c>
      <c r="E2510" s="1014">
        <v>7961</v>
      </c>
      <c r="F2510" s="1013" t="s">
        <v>6407</v>
      </c>
      <c r="G2510" s="1014" t="s">
        <v>13</v>
      </c>
      <c r="H2510" s="1015">
        <v>21029</v>
      </c>
      <c r="I2510" s="1016" t="s">
        <v>3538</v>
      </c>
    </row>
    <row r="2511" spans="2:9" ht="15.75" x14ac:dyDescent="0.25">
      <c r="B2511" s="1365" t="s">
        <v>7240</v>
      </c>
      <c r="C2511" s="1013" t="s">
        <v>4454</v>
      </c>
      <c r="D2511" s="1013" t="s">
        <v>4455</v>
      </c>
      <c r="E2511" s="1014">
        <v>7962</v>
      </c>
      <c r="F2511" s="1013" t="s">
        <v>6408</v>
      </c>
      <c r="G2511" s="1014" t="s">
        <v>266</v>
      </c>
      <c r="H2511" s="1015">
        <v>11156</v>
      </c>
      <c r="I2511" s="1016" t="s">
        <v>3538</v>
      </c>
    </row>
    <row r="2512" spans="2:9" ht="15.75" x14ac:dyDescent="0.25">
      <c r="B2512" s="1365" t="s">
        <v>7240</v>
      </c>
      <c r="C2512" s="1013" t="s">
        <v>4454</v>
      </c>
      <c r="D2512" s="1013" t="s">
        <v>4634</v>
      </c>
      <c r="E2512" s="1014">
        <v>7963</v>
      </c>
      <c r="F2512" s="1013" t="s">
        <v>6409</v>
      </c>
      <c r="G2512" s="1014" t="s">
        <v>266</v>
      </c>
      <c r="H2512" s="1015">
        <v>589050</v>
      </c>
      <c r="I2512" s="1016" t="s">
        <v>3538</v>
      </c>
    </row>
    <row r="2513" spans="2:9" ht="15.75" x14ac:dyDescent="0.25">
      <c r="B2513" s="1365" t="s">
        <v>7240</v>
      </c>
      <c r="C2513" s="1013" t="s">
        <v>4454</v>
      </c>
      <c r="D2513" s="1013" t="s">
        <v>4634</v>
      </c>
      <c r="E2513" s="1014">
        <v>7964</v>
      </c>
      <c r="F2513" s="1013" t="s">
        <v>894</v>
      </c>
      <c r="G2513" s="1014" t="s">
        <v>266</v>
      </c>
      <c r="H2513" s="1015">
        <v>589050</v>
      </c>
      <c r="I2513" s="1016" t="s">
        <v>3538</v>
      </c>
    </row>
    <row r="2514" spans="2:9" ht="15.75" x14ac:dyDescent="0.25">
      <c r="B2514" s="1365" t="s">
        <v>7240</v>
      </c>
      <c r="C2514" s="1013" t="s">
        <v>4454</v>
      </c>
      <c r="D2514" s="1013" t="s">
        <v>4634</v>
      </c>
      <c r="E2514" s="1014">
        <v>7965</v>
      </c>
      <c r="F2514" s="1013" t="s">
        <v>6410</v>
      </c>
      <c r="G2514" s="1014" t="s">
        <v>266</v>
      </c>
      <c r="H2514" s="1015">
        <v>4526573</v>
      </c>
      <c r="I2514" s="1016" t="s">
        <v>6899</v>
      </c>
    </row>
    <row r="2515" spans="2:9" ht="15.75" x14ac:dyDescent="0.25">
      <c r="B2515" s="1365" t="s">
        <v>7240</v>
      </c>
      <c r="C2515" s="1013" t="s">
        <v>4431</v>
      </c>
      <c r="D2515" s="1013" t="s">
        <v>4432</v>
      </c>
      <c r="E2515" s="1014">
        <v>7966</v>
      </c>
      <c r="F2515" s="1013" t="s">
        <v>6411</v>
      </c>
      <c r="G2515" s="1014" t="s">
        <v>266</v>
      </c>
      <c r="H2515" s="1015">
        <v>191272</v>
      </c>
      <c r="I2515" s="1016" t="s">
        <v>6899</v>
      </c>
    </row>
    <row r="2516" spans="2:9" ht="15.75" x14ac:dyDescent="0.25">
      <c r="B2516" s="1365" t="s">
        <v>7240</v>
      </c>
      <c r="C2516" s="1013" t="s">
        <v>4408</v>
      </c>
      <c r="D2516" s="1013" t="s">
        <v>4408</v>
      </c>
      <c r="E2516" s="1014">
        <v>7967</v>
      </c>
      <c r="F2516" s="1013" t="s">
        <v>895</v>
      </c>
      <c r="G2516" s="1014" t="s">
        <v>3</v>
      </c>
      <c r="H2516" s="1015">
        <v>7802</v>
      </c>
      <c r="I2516" s="1016" t="s">
        <v>6899</v>
      </c>
    </row>
    <row r="2517" spans="2:9" ht="15.75" x14ac:dyDescent="0.25">
      <c r="B2517" s="1365" t="s">
        <v>7240</v>
      </c>
      <c r="C2517" s="1013" t="s">
        <v>4468</v>
      </c>
      <c r="D2517" s="1013" t="s">
        <v>1798</v>
      </c>
      <c r="E2517" s="1014">
        <v>7968</v>
      </c>
      <c r="F2517" s="1013" t="s">
        <v>6412</v>
      </c>
      <c r="G2517" s="1014" t="s">
        <v>752</v>
      </c>
      <c r="H2517" s="1015">
        <v>1990</v>
      </c>
      <c r="I2517" s="1016" t="s">
        <v>6899</v>
      </c>
    </row>
    <row r="2518" spans="2:9" ht="15.75" x14ac:dyDescent="0.25">
      <c r="B2518" s="1365" t="s">
        <v>7240</v>
      </c>
      <c r="C2518" s="1013" t="s">
        <v>4468</v>
      </c>
      <c r="D2518" s="1013" t="s">
        <v>1798</v>
      </c>
      <c r="E2518" s="1014">
        <v>7969</v>
      </c>
      <c r="F2518" s="1013" t="s">
        <v>6413</v>
      </c>
      <c r="G2518" s="1014" t="s">
        <v>752</v>
      </c>
      <c r="H2518" s="1015">
        <v>1990</v>
      </c>
      <c r="I2518" s="1016" t="s">
        <v>6899</v>
      </c>
    </row>
    <row r="2519" spans="2:9" ht="15.75" x14ac:dyDescent="0.25">
      <c r="B2519" s="1365" t="s">
        <v>7226</v>
      </c>
      <c r="C2519" s="1013" t="s">
        <v>4472</v>
      </c>
      <c r="D2519" s="1013" t="s">
        <v>4817</v>
      </c>
      <c r="E2519" s="1014">
        <v>7972</v>
      </c>
      <c r="F2519" s="1013" t="s">
        <v>6414</v>
      </c>
      <c r="G2519" s="1014" t="s">
        <v>3</v>
      </c>
      <c r="H2519" s="1015">
        <v>23689</v>
      </c>
      <c r="I2519" s="1016" t="s">
        <v>6899</v>
      </c>
    </row>
    <row r="2520" spans="2:9" ht="15.75" x14ac:dyDescent="0.25">
      <c r="B2520" s="1365" t="s">
        <v>7226</v>
      </c>
      <c r="C2520" s="1013" t="s">
        <v>4431</v>
      </c>
      <c r="D2520" s="1013" t="s">
        <v>4432</v>
      </c>
      <c r="E2520" s="1014">
        <v>7974</v>
      </c>
      <c r="F2520" s="1013" t="s">
        <v>6415</v>
      </c>
      <c r="G2520" s="1014" t="s">
        <v>266</v>
      </c>
      <c r="H2520" s="1015">
        <v>719605</v>
      </c>
      <c r="I2520" s="1016" t="s">
        <v>6899</v>
      </c>
    </row>
    <row r="2521" spans="2:9" ht="15.75" x14ac:dyDescent="0.25">
      <c r="B2521" s="1365" t="s">
        <v>7226</v>
      </c>
      <c r="C2521" s="1013" t="s">
        <v>4405</v>
      </c>
      <c r="D2521" s="1013" t="s">
        <v>4406</v>
      </c>
      <c r="E2521" s="1014">
        <v>7989</v>
      </c>
      <c r="F2521" s="1013" t="s">
        <v>6416</v>
      </c>
      <c r="G2521" s="1014" t="s">
        <v>13</v>
      </c>
      <c r="H2521" s="1015">
        <v>104593</v>
      </c>
      <c r="I2521" s="1016" t="s">
        <v>4398</v>
      </c>
    </row>
    <row r="2522" spans="2:9" ht="15.75" x14ac:dyDescent="0.25">
      <c r="B2522" s="1365" t="s">
        <v>7226</v>
      </c>
      <c r="C2522" s="1013" t="s">
        <v>5482</v>
      </c>
      <c r="D2522" s="1013" t="s">
        <v>5482</v>
      </c>
      <c r="E2522" s="1014">
        <v>7990</v>
      </c>
      <c r="F2522" s="1013" t="s">
        <v>6417</v>
      </c>
      <c r="G2522" s="1014" t="s">
        <v>896</v>
      </c>
      <c r="H2522" s="1015">
        <v>130900</v>
      </c>
      <c r="I2522" s="1016" t="s">
        <v>6899</v>
      </c>
    </row>
    <row r="2523" spans="2:9" ht="15.75" x14ac:dyDescent="0.25">
      <c r="B2523" s="1365" t="s">
        <v>7226</v>
      </c>
      <c r="C2523" s="1013" t="s">
        <v>5482</v>
      </c>
      <c r="D2523" s="1013" t="s">
        <v>5482</v>
      </c>
      <c r="E2523" s="1014">
        <v>7991</v>
      </c>
      <c r="F2523" s="1013" t="s">
        <v>6418</v>
      </c>
      <c r="G2523" s="1014" t="s">
        <v>896</v>
      </c>
      <c r="H2523" s="1015">
        <v>113050</v>
      </c>
      <c r="I2523" s="1016" t="s">
        <v>6899</v>
      </c>
    </row>
    <row r="2524" spans="2:9" ht="15.75" x14ac:dyDescent="0.25">
      <c r="B2524" s="1365" t="s">
        <v>7241</v>
      </c>
      <c r="C2524" s="1013" t="s">
        <v>4799</v>
      </c>
      <c r="D2524" s="1013" t="s">
        <v>5946</v>
      </c>
      <c r="E2524" s="1014">
        <v>7992</v>
      </c>
      <c r="F2524" s="1013" t="s">
        <v>6419</v>
      </c>
      <c r="G2524" s="1014" t="s">
        <v>13</v>
      </c>
      <c r="H2524" s="1015">
        <v>19583</v>
      </c>
      <c r="I2524" s="1016" t="s">
        <v>6899</v>
      </c>
    </row>
    <row r="2525" spans="2:9" ht="15.75" x14ac:dyDescent="0.25">
      <c r="B2525" s="1365" t="s">
        <v>7241</v>
      </c>
      <c r="C2525" s="1013" t="s">
        <v>4799</v>
      </c>
      <c r="D2525" s="1013" t="s">
        <v>5946</v>
      </c>
      <c r="E2525" s="1014">
        <v>7993</v>
      </c>
      <c r="F2525" s="1013" t="s">
        <v>6420</v>
      </c>
      <c r="G2525" s="1014" t="s">
        <v>13</v>
      </c>
      <c r="H2525" s="1015">
        <v>26391</v>
      </c>
      <c r="I2525" s="1016" t="s">
        <v>6899</v>
      </c>
    </row>
    <row r="2526" spans="2:9" ht="15.75" x14ac:dyDescent="0.25">
      <c r="B2526" s="1365" t="s">
        <v>7241</v>
      </c>
      <c r="C2526" s="1013" t="s">
        <v>4799</v>
      </c>
      <c r="D2526" s="1013" t="s">
        <v>5946</v>
      </c>
      <c r="E2526" s="1014">
        <v>7994</v>
      </c>
      <c r="F2526" s="1013" t="s">
        <v>6421</v>
      </c>
      <c r="G2526" s="1014" t="s">
        <v>13</v>
      </c>
      <c r="H2526" s="1015">
        <v>59863</v>
      </c>
      <c r="I2526" s="1016" t="s">
        <v>6899</v>
      </c>
    </row>
    <row r="2527" spans="2:9" ht="15.75" x14ac:dyDescent="0.25">
      <c r="B2527" s="1365" t="s">
        <v>7241</v>
      </c>
      <c r="C2527" s="1013" t="s">
        <v>4799</v>
      </c>
      <c r="D2527" s="1013" t="s">
        <v>5946</v>
      </c>
      <c r="E2527" s="1014">
        <v>7995</v>
      </c>
      <c r="F2527" s="1013" t="s">
        <v>6422</v>
      </c>
      <c r="G2527" s="1014" t="s">
        <v>13</v>
      </c>
      <c r="H2527" s="1015">
        <v>1658</v>
      </c>
      <c r="I2527" s="1016" t="s">
        <v>6899</v>
      </c>
    </row>
    <row r="2528" spans="2:9" ht="15.75" x14ac:dyDescent="0.25">
      <c r="B2528" s="1365" t="s">
        <v>7241</v>
      </c>
      <c r="C2528" s="1013" t="s">
        <v>4410</v>
      </c>
      <c r="D2528" s="1013" t="s">
        <v>4642</v>
      </c>
      <c r="E2528" s="1014">
        <v>7996</v>
      </c>
      <c r="F2528" s="1013" t="s">
        <v>897</v>
      </c>
      <c r="G2528" s="1014" t="s">
        <v>3</v>
      </c>
      <c r="H2528" s="1015">
        <v>103838</v>
      </c>
      <c r="I2528" s="1016" t="s">
        <v>6899</v>
      </c>
    </row>
    <row r="2529" spans="2:9" ht="15.75" x14ac:dyDescent="0.25">
      <c r="B2529" s="1365" t="s">
        <v>7241</v>
      </c>
      <c r="C2529" s="1013" t="s">
        <v>4410</v>
      </c>
      <c r="D2529" s="1013" t="s">
        <v>4642</v>
      </c>
      <c r="E2529" s="1014">
        <v>7997</v>
      </c>
      <c r="F2529" s="1013" t="s">
        <v>898</v>
      </c>
      <c r="G2529" s="1014" t="s">
        <v>3</v>
      </c>
      <c r="H2529" s="1015">
        <v>98733</v>
      </c>
      <c r="I2529" s="1016" t="s">
        <v>6899</v>
      </c>
    </row>
    <row r="2530" spans="2:9" ht="15.75" x14ac:dyDescent="0.25">
      <c r="B2530" s="1365" t="s">
        <v>7241</v>
      </c>
      <c r="C2530" s="1013" t="s">
        <v>5366</v>
      </c>
      <c r="D2530" s="1013" t="s">
        <v>5366</v>
      </c>
      <c r="E2530" s="1014">
        <v>8000</v>
      </c>
      <c r="F2530" s="1013" t="s">
        <v>6423</v>
      </c>
      <c r="G2530" s="1014" t="s">
        <v>546</v>
      </c>
      <c r="H2530" s="1015">
        <v>5504</v>
      </c>
      <c r="I2530" s="1016" t="s">
        <v>3538</v>
      </c>
    </row>
    <row r="2531" spans="2:9" ht="15.75" x14ac:dyDescent="0.25">
      <c r="B2531" s="1365" t="s">
        <v>7241</v>
      </c>
      <c r="C2531" s="1013" t="s">
        <v>4420</v>
      </c>
      <c r="D2531" s="1013" t="s">
        <v>4420</v>
      </c>
      <c r="E2531" s="1014">
        <v>8001</v>
      </c>
      <c r="F2531" s="1013" t="s">
        <v>6424</v>
      </c>
      <c r="G2531" s="1014" t="s">
        <v>13</v>
      </c>
      <c r="H2531" s="1015">
        <v>1494569</v>
      </c>
      <c r="I2531" s="1016" t="s">
        <v>3538</v>
      </c>
    </row>
    <row r="2532" spans="2:9" ht="15.75" x14ac:dyDescent="0.25">
      <c r="B2532" s="1365" t="s">
        <v>7241</v>
      </c>
      <c r="C2532" s="1013" t="s">
        <v>4420</v>
      </c>
      <c r="D2532" s="1013" t="s">
        <v>4420</v>
      </c>
      <c r="E2532" s="1014">
        <v>8002</v>
      </c>
      <c r="F2532" s="1013" t="s">
        <v>6425</v>
      </c>
      <c r="G2532" s="1014" t="s">
        <v>13</v>
      </c>
      <c r="H2532" s="1015">
        <v>1639965</v>
      </c>
      <c r="I2532" s="1016" t="s">
        <v>3538</v>
      </c>
    </row>
    <row r="2533" spans="2:9" ht="15.75" x14ac:dyDescent="0.25">
      <c r="B2533" s="1365" t="s">
        <v>7241</v>
      </c>
      <c r="C2533" s="1013" t="s">
        <v>4420</v>
      </c>
      <c r="D2533" s="1013" t="s">
        <v>4420</v>
      </c>
      <c r="E2533" s="1014">
        <v>8003</v>
      </c>
      <c r="F2533" s="1013" t="s">
        <v>6426</v>
      </c>
      <c r="G2533" s="1014" t="s">
        <v>13</v>
      </c>
      <c r="H2533" s="1015">
        <v>1810791</v>
      </c>
      <c r="I2533" s="1016" t="s">
        <v>3538</v>
      </c>
    </row>
    <row r="2534" spans="2:9" ht="15.75" x14ac:dyDescent="0.25">
      <c r="B2534" s="1365" t="s">
        <v>7241</v>
      </c>
      <c r="C2534" s="1013" t="s">
        <v>4420</v>
      </c>
      <c r="D2534" s="1013" t="s">
        <v>4420</v>
      </c>
      <c r="E2534" s="1014">
        <v>8004</v>
      </c>
      <c r="F2534" s="1013" t="s">
        <v>6427</v>
      </c>
      <c r="G2534" s="1014" t="s">
        <v>13</v>
      </c>
      <c r="H2534" s="1015">
        <v>2151732</v>
      </c>
      <c r="I2534" s="1016" t="s">
        <v>3538</v>
      </c>
    </row>
    <row r="2535" spans="2:9" ht="15.75" x14ac:dyDescent="0.25">
      <c r="B2535" s="1365" t="s">
        <v>7241</v>
      </c>
      <c r="C2535" s="1013" t="s">
        <v>4420</v>
      </c>
      <c r="D2535" s="1013" t="s">
        <v>4420</v>
      </c>
      <c r="E2535" s="1014">
        <v>8005</v>
      </c>
      <c r="F2535" s="1013" t="s">
        <v>6428</v>
      </c>
      <c r="G2535" s="1014" t="s">
        <v>13</v>
      </c>
      <c r="H2535" s="1015">
        <v>2457178</v>
      </c>
      <c r="I2535" s="1016" t="s">
        <v>3538</v>
      </c>
    </row>
    <row r="2536" spans="2:9" ht="15.75" x14ac:dyDescent="0.25">
      <c r="B2536" s="1365" t="s">
        <v>7241</v>
      </c>
      <c r="C2536" s="1013" t="s">
        <v>4420</v>
      </c>
      <c r="D2536" s="1013" t="s">
        <v>4420</v>
      </c>
      <c r="E2536" s="1014">
        <v>8006</v>
      </c>
      <c r="F2536" s="1013" t="s">
        <v>6429</v>
      </c>
      <c r="G2536" s="1014" t="s">
        <v>13</v>
      </c>
      <c r="H2536" s="1015">
        <v>2681675</v>
      </c>
      <c r="I2536" s="1016" t="s">
        <v>3538</v>
      </c>
    </row>
    <row r="2537" spans="2:9" ht="15.75" x14ac:dyDescent="0.25">
      <c r="B2537" s="1365" t="s">
        <v>7241</v>
      </c>
      <c r="C2537" s="1013" t="s">
        <v>4420</v>
      </c>
      <c r="D2537" s="1013" t="s">
        <v>4420</v>
      </c>
      <c r="E2537" s="1014">
        <v>8007</v>
      </c>
      <c r="F2537" s="1013" t="s">
        <v>6430</v>
      </c>
      <c r="G2537" s="1014" t="s">
        <v>13</v>
      </c>
      <c r="H2537" s="1015">
        <v>3294385</v>
      </c>
      <c r="I2537" s="1016" t="s">
        <v>3538</v>
      </c>
    </row>
    <row r="2538" spans="2:9" ht="15.75" x14ac:dyDescent="0.25">
      <c r="B2538" s="1365" t="s">
        <v>7241</v>
      </c>
      <c r="C2538" s="1013" t="s">
        <v>4420</v>
      </c>
      <c r="D2538" s="1013" t="s">
        <v>4420</v>
      </c>
      <c r="E2538" s="1014">
        <v>8008</v>
      </c>
      <c r="F2538" s="1013" t="s">
        <v>6431</v>
      </c>
      <c r="G2538" s="1014" t="s">
        <v>13</v>
      </c>
      <c r="H2538" s="1015">
        <v>3657935</v>
      </c>
      <c r="I2538" s="1016" t="s">
        <v>3538</v>
      </c>
    </row>
    <row r="2539" spans="2:9" ht="15.75" x14ac:dyDescent="0.25">
      <c r="B2539" s="1365" t="s">
        <v>7241</v>
      </c>
      <c r="C2539" s="1013" t="s">
        <v>4420</v>
      </c>
      <c r="D2539" s="1013" t="s">
        <v>4420</v>
      </c>
      <c r="E2539" s="1014">
        <v>8009</v>
      </c>
      <c r="F2539" s="1013" t="s">
        <v>6432</v>
      </c>
      <c r="G2539" s="1014" t="s">
        <v>13</v>
      </c>
      <c r="H2539" s="1015">
        <v>4372577</v>
      </c>
      <c r="I2539" s="1016" t="s">
        <v>3538</v>
      </c>
    </row>
    <row r="2540" spans="2:9" ht="15.75" x14ac:dyDescent="0.25">
      <c r="B2540" s="1365" t="s">
        <v>7241</v>
      </c>
      <c r="C2540" s="1013" t="s">
        <v>4420</v>
      </c>
      <c r="D2540" s="1013" t="s">
        <v>4420</v>
      </c>
      <c r="E2540" s="1014">
        <v>8010</v>
      </c>
      <c r="F2540" s="1013" t="s">
        <v>6433</v>
      </c>
      <c r="G2540" s="1014" t="s">
        <v>13</v>
      </c>
      <c r="H2540" s="1015">
        <v>5032889</v>
      </c>
      <c r="I2540" s="1016" t="s">
        <v>3538</v>
      </c>
    </row>
    <row r="2541" spans="2:9" ht="15.75" x14ac:dyDescent="0.25">
      <c r="B2541" s="1365" t="s">
        <v>7241</v>
      </c>
      <c r="C2541" s="1013" t="s">
        <v>4420</v>
      </c>
      <c r="D2541" s="1013" t="s">
        <v>4420</v>
      </c>
      <c r="E2541" s="1014">
        <v>8011</v>
      </c>
      <c r="F2541" s="1013" t="s">
        <v>6434</v>
      </c>
      <c r="G2541" s="1014" t="s">
        <v>13</v>
      </c>
      <c r="H2541" s="1015">
        <v>6617212</v>
      </c>
      <c r="I2541" s="1016" t="s">
        <v>3538</v>
      </c>
    </row>
    <row r="2542" spans="2:9" ht="15.75" x14ac:dyDescent="0.25">
      <c r="B2542" s="1365" t="s">
        <v>7241</v>
      </c>
      <c r="C2542" s="1013" t="s">
        <v>4420</v>
      </c>
      <c r="D2542" s="1013" t="s">
        <v>4420</v>
      </c>
      <c r="E2542" s="1014">
        <v>8012</v>
      </c>
      <c r="F2542" s="1013" t="s">
        <v>6435</v>
      </c>
      <c r="G2542" s="1014" t="s">
        <v>13</v>
      </c>
      <c r="H2542" s="1015">
        <v>8418010</v>
      </c>
      <c r="I2542" s="1016" t="s">
        <v>3538</v>
      </c>
    </row>
    <row r="2543" spans="2:9" ht="15.75" x14ac:dyDescent="0.25">
      <c r="B2543" s="1365" t="s">
        <v>7241</v>
      </c>
      <c r="C2543" s="1013" t="s">
        <v>4420</v>
      </c>
      <c r="D2543" s="1013" t="s">
        <v>4420</v>
      </c>
      <c r="E2543" s="1014">
        <v>8013</v>
      </c>
      <c r="F2543" s="1013" t="s">
        <v>6436</v>
      </c>
      <c r="G2543" s="1014" t="s">
        <v>13</v>
      </c>
      <c r="H2543" s="1015">
        <v>9217716</v>
      </c>
      <c r="I2543" s="1016" t="s">
        <v>3538</v>
      </c>
    </row>
    <row r="2544" spans="2:9" ht="15.75" x14ac:dyDescent="0.25">
      <c r="B2544" s="1365" t="s">
        <v>7241</v>
      </c>
      <c r="C2544" s="1013" t="s">
        <v>4420</v>
      </c>
      <c r="D2544" s="1013" t="s">
        <v>4420</v>
      </c>
      <c r="E2544" s="1014">
        <v>8016</v>
      </c>
      <c r="F2544" s="1013" t="s">
        <v>6437</v>
      </c>
      <c r="G2544" s="1014" t="s">
        <v>13</v>
      </c>
      <c r="H2544" s="1015">
        <v>674888</v>
      </c>
      <c r="I2544" s="1016" t="s">
        <v>4398</v>
      </c>
    </row>
    <row r="2545" spans="2:9" ht="15.75" x14ac:dyDescent="0.25">
      <c r="B2545" s="1365" t="s">
        <v>7241</v>
      </c>
      <c r="C2545" s="1013" t="s">
        <v>4420</v>
      </c>
      <c r="D2545" s="1013" t="s">
        <v>4420</v>
      </c>
      <c r="E2545" s="1014">
        <v>8017</v>
      </c>
      <c r="F2545" s="1013" t="s">
        <v>6438</v>
      </c>
      <c r="G2545" s="1014" t="s">
        <v>266</v>
      </c>
      <c r="H2545" s="1015">
        <v>647036</v>
      </c>
      <c r="I2545" s="1016" t="s">
        <v>4398</v>
      </c>
    </row>
    <row r="2546" spans="2:9" ht="15.75" x14ac:dyDescent="0.25">
      <c r="B2546" s="1365" t="s">
        <v>7241</v>
      </c>
      <c r="C2546" s="1013" t="s">
        <v>4420</v>
      </c>
      <c r="D2546" s="1013" t="s">
        <v>4420</v>
      </c>
      <c r="E2546" s="1014">
        <v>8018</v>
      </c>
      <c r="F2546" s="1013" t="s">
        <v>6439</v>
      </c>
      <c r="G2546" s="1014" t="s">
        <v>266</v>
      </c>
      <c r="H2546" s="1015">
        <v>905789</v>
      </c>
      <c r="I2546" s="1016" t="s">
        <v>4398</v>
      </c>
    </row>
    <row r="2547" spans="2:9" ht="15.75" x14ac:dyDescent="0.25">
      <c r="B2547" s="1365" t="s">
        <v>7241</v>
      </c>
      <c r="C2547" s="1013" t="s">
        <v>4420</v>
      </c>
      <c r="D2547" s="1013" t="s">
        <v>4420</v>
      </c>
      <c r="E2547" s="1014">
        <v>8019</v>
      </c>
      <c r="F2547" s="1013" t="s">
        <v>6440</v>
      </c>
      <c r="G2547" s="1014" t="s">
        <v>13</v>
      </c>
      <c r="H2547" s="1015">
        <v>1421293</v>
      </c>
      <c r="I2547" s="1016" t="s">
        <v>4398</v>
      </c>
    </row>
    <row r="2548" spans="2:9" ht="15.75" x14ac:dyDescent="0.25">
      <c r="B2548" s="1365" t="s">
        <v>7241</v>
      </c>
      <c r="C2548" s="1013" t="s">
        <v>4420</v>
      </c>
      <c r="D2548" s="1013" t="s">
        <v>4420</v>
      </c>
      <c r="E2548" s="1014">
        <v>8020</v>
      </c>
      <c r="F2548" s="1013" t="s">
        <v>6441</v>
      </c>
      <c r="G2548" s="1014" t="s">
        <v>266</v>
      </c>
      <c r="H2548" s="1015">
        <v>1713430</v>
      </c>
      <c r="I2548" s="1016" t="s">
        <v>4398</v>
      </c>
    </row>
    <row r="2549" spans="2:9" ht="15.75" x14ac:dyDescent="0.25">
      <c r="B2549" s="1365" t="s">
        <v>7241</v>
      </c>
      <c r="C2549" s="1013" t="s">
        <v>4461</v>
      </c>
      <c r="D2549" s="1013" t="s">
        <v>4461</v>
      </c>
      <c r="E2549" s="1014">
        <v>8022</v>
      </c>
      <c r="F2549" s="1013" t="s">
        <v>6442</v>
      </c>
      <c r="G2549" s="1014" t="s">
        <v>266</v>
      </c>
      <c r="H2549" s="1015">
        <v>687608</v>
      </c>
      <c r="I2549" s="1016" t="s">
        <v>6899</v>
      </c>
    </row>
    <row r="2550" spans="2:9" ht="15.75" x14ac:dyDescent="0.25">
      <c r="B2550" s="1365" t="s">
        <v>7241</v>
      </c>
      <c r="C2550" s="1013" t="s">
        <v>4461</v>
      </c>
      <c r="D2550" s="1013" t="s">
        <v>4461</v>
      </c>
      <c r="E2550" s="1014">
        <v>8023</v>
      </c>
      <c r="F2550" s="1013" t="s">
        <v>6443</v>
      </c>
      <c r="G2550" s="1014" t="s">
        <v>266</v>
      </c>
      <c r="H2550" s="1015">
        <v>949410</v>
      </c>
      <c r="I2550" s="1016" t="s">
        <v>6899</v>
      </c>
    </row>
    <row r="2551" spans="2:9" ht="15.75" x14ac:dyDescent="0.25">
      <c r="B2551" s="1365" t="s">
        <v>7241</v>
      </c>
      <c r="C2551" s="1013" t="s">
        <v>4461</v>
      </c>
      <c r="D2551" s="1013" t="s">
        <v>4461</v>
      </c>
      <c r="E2551" s="1014">
        <v>8025</v>
      </c>
      <c r="F2551" s="1013" t="s">
        <v>6444</v>
      </c>
      <c r="G2551" s="1014" t="s">
        <v>266</v>
      </c>
      <c r="H2551" s="1015">
        <v>507777</v>
      </c>
      <c r="I2551" s="1016" t="s">
        <v>6899</v>
      </c>
    </row>
    <row r="2552" spans="2:9" ht="15.75" x14ac:dyDescent="0.25">
      <c r="B2552" s="1365" t="s">
        <v>7241</v>
      </c>
      <c r="C2552" s="1013" t="s">
        <v>4461</v>
      </c>
      <c r="D2552" s="1013" t="s">
        <v>4461</v>
      </c>
      <c r="E2552" s="1014">
        <v>8026</v>
      </c>
      <c r="F2552" s="1013" t="s">
        <v>6445</v>
      </c>
      <c r="G2552" s="1014" t="s">
        <v>266</v>
      </c>
      <c r="H2552" s="1015">
        <v>805019</v>
      </c>
      <c r="I2552" s="1016" t="s">
        <v>6899</v>
      </c>
    </row>
    <row r="2553" spans="2:9" ht="15.75" x14ac:dyDescent="0.25">
      <c r="B2553" s="1365" t="s">
        <v>7241</v>
      </c>
      <c r="C2553" s="1013" t="s">
        <v>4461</v>
      </c>
      <c r="D2553" s="1013" t="s">
        <v>4461</v>
      </c>
      <c r="E2553" s="1014">
        <v>8029</v>
      </c>
      <c r="F2553" s="1013" t="s">
        <v>6446</v>
      </c>
      <c r="G2553" s="1014" t="s">
        <v>266</v>
      </c>
      <c r="H2553" s="1015">
        <v>10854232</v>
      </c>
      <c r="I2553" s="1016" t="s">
        <v>6899</v>
      </c>
    </row>
    <row r="2554" spans="2:9" ht="15.75" x14ac:dyDescent="0.25">
      <c r="B2554" s="1365" t="s">
        <v>7241</v>
      </c>
      <c r="C2554" s="1013" t="s">
        <v>4461</v>
      </c>
      <c r="D2554" s="1013" t="s">
        <v>4461</v>
      </c>
      <c r="E2554" s="1014">
        <v>8033</v>
      </c>
      <c r="F2554" s="1013" t="s">
        <v>6447</v>
      </c>
      <c r="G2554" s="1014" t="s">
        <v>266</v>
      </c>
      <c r="H2554" s="1015">
        <v>12249163</v>
      </c>
      <c r="I2554" s="1016" t="s">
        <v>6899</v>
      </c>
    </row>
    <row r="2555" spans="2:9" ht="15.75" x14ac:dyDescent="0.25">
      <c r="B2555" s="1365" t="s">
        <v>7241</v>
      </c>
      <c r="C2555" s="1013" t="s">
        <v>4461</v>
      </c>
      <c r="D2555" s="1013" t="s">
        <v>4461</v>
      </c>
      <c r="E2555" s="1014">
        <v>8042</v>
      </c>
      <c r="F2555" s="1013" t="s">
        <v>6448</v>
      </c>
      <c r="G2555" s="1014" t="s">
        <v>13</v>
      </c>
      <c r="H2555" s="1015">
        <v>1210055</v>
      </c>
      <c r="I2555" s="1016" t="s">
        <v>6899</v>
      </c>
    </row>
    <row r="2556" spans="2:9" ht="15.75" x14ac:dyDescent="0.25">
      <c r="B2556" s="1365" t="s">
        <v>7241</v>
      </c>
      <c r="C2556" s="1013" t="s">
        <v>4461</v>
      </c>
      <c r="D2556" s="1013" t="s">
        <v>4461</v>
      </c>
      <c r="E2556" s="1014">
        <v>8043</v>
      </c>
      <c r="F2556" s="1013" t="s">
        <v>6449</v>
      </c>
      <c r="G2556" s="1014" t="s">
        <v>13</v>
      </c>
      <c r="H2556" s="1015">
        <v>1410617</v>
      </c>
      <c r="I2556" s="1016" t="s">
        <v>6899</v>
      </c>
    </row>
    <row r="2557" spans="2:9" ht="15.75" x14ac:dyDescent="0.25">
      <c r="B2557" s="1365" t="s">
        <v>7241</v>
      </c>
      <c r="C2557" s="1013" t="s">
        <v>4461</v>
      </c>
      <c r="D2557" s="1013" t="s">
        <v>4461</v>
      </c>
      <c r="E2557" s="1014">
        <v>8044</v>
      </c>
      <c r="F2557" s="1013" t="s">
        <v>6450</v>
      </c>
      <c r="G2557" s="1014" t="s">
        <v>266</v>
      </c>
      <c r="H2557" s="1015">
        <v>2943687</v>
      </c>
      <c r="I2557" s="1016" t="s">
        <v>6899</v>
      </c>
    </row>
    <row r="2558" spans="2:9" ht="15.75" x14ac:dyDescent="0.25">
      <c r="B2558" s="1365" t="s">
        <v>7241</v>
      </c>
      <c r="C2558" s="1013" t="s">
        <v>4461</v>
      </c>
      <c r="D2558" s="1013" t="s">
        <v>4461</v>
      </c>
      <c r="E2558" s="1014">
        <v>8045</v>
      </c>
      <c r="F2558" s="1013" t="s">
        <v>6451</v>
      </c>
      <c r="G2558" s="1014" t="s">
        <v>266</v>
      </c>
      <c r="H2558" s="1015">
        <v>3749217</v>
      </c>
      <c r="I2558" s="1016" t="s">
        <v>6899</v>
      </c>
    </row>
    <row r="2559" spans="2:9" ht="15.75" x14ac:dyDescent="0.25">
      <c r="B2559" s="1365" t="s">
        <v>7241</v>
      </c>
      <c r="C2559" s="1013" t="s">
        <v>4461</v>
      </c>
      <c r="D2559" s="1013" t="s">
        <v>4461</v>
      </c>
      <c r="E2559" s="1014">
        <v>8046</v>
      </c>
      <c r="F2559" s="1013" t="s">
        <v>6452</v>
      </c>
      <c r="G2559" s="1014" t="s">
        <v>266</v>
      </c>
      <c r="H2559" s="1015">
        <v>4752330</v>
      </c>
      <c r="I2559" s="1016" t="s">
        <v>6899</v>
      </c>
    </row>
    <row r="2560" spans="2:9" ht="15.75" x14ac:dyDescent="0.25">
      <c r="B2560" s="1365" t="s">
        <v>7241</v>
      </c>
      <c r="C2560" s="1013" t="s">
        <v>4461</v>
      </c>
      <c r="D2560" s="1013" t="s">
        <v>4461</v>
      </c>
      <c r="E2560" s="1014">
        <v>8047</v>
      </c>
      <c r="F2560" s="1013" t="s">
        <v>6453</v>
      </c>
      <c r="G2560" s="1014" t="s">
        <v>266</v>
      </c>
      <c r="H2560" s="1015">
        <v>6676829</v>
      </c>
      <c r="I2560" s="1016" t="s">
        <v>6899</v>
      </c>
    </row>
    <row r="2561" spans="2:9" ht="15.75" x14ac:dyDescent="0.25">
      <c r="B2561" s="1365" t="s">
        <v>7241</v>
      </c>
      <c r="C2561" s="1013" t="s">
        <v>4461</v>
      </c>
      <c r="D2561" s="1013" t="s">
        <v>4461</v>
      </c>
      <c r="E2561" s="1014">
        <v>8048</v>
      </c>
      <c r="F2561" s="1013" t="s">
        <v>6454</v>
      </c>
      <c r="G2561" s="1014" t="s">
        <v>266</v>
      </c>
      <c r="H2561" s="1015">
        <v>3272910</v>
      </c>
      <c r="I2561" s="1016" t="s">
        <v>6899</v>
      </c>
    </row>
    <row r="2562" spans="2:9" ht="15.75" x14ac:dyDescent="0.25">
      <c r="B2562" s="1365" t="s">
        <v>7241</v>
      </c>
      <c r="C2562" s="1013" t="s">
        <v>4461</v>
      </c>
      <c r="D2562" s="1013" t="s">
        <v>4461</v>
      </c>
      <c r="E2562" s="1014">
        <v>8049</v>
      </c>
      <c r="F2562" s="1013" t="s">
        <v>6455</v>
      </c>
      <c r="G2562" s="1014" t="s">
        <v>266</v>
      </c>
      <c r="H2562" s="1015">
        <v>4334856</v>
      </c>
      <c r="I2562" s="1016" t="s">
        <v>6899</v>
      </c>
    </row>
    <row r="2563" spans="2:9" ht="15.75" x14ac:dyDescent="0.25">
      <c r="B2563" s="1365" t="s">
        <v>7241</v>
      </c>
      <c r="C2563" s="1013" t="s">
        <v>4461</v>
      </c>
      <c r="D2563" s="1013" t="s">
        <v>4461</v>
      </c>
      <c r="E2563" s="1014">
        <v>8050</v>
      </c>
      <c r="F2563" s="1013" t="s">
        <v>6456</v>
      </c>
      <c r="G2563" s="1014" t="s">
        <v>266</v>
      </c>
      <c r="H2563" s="1015">
        <v>4122565</v>
      </c>
      <c r="I2563" s="1016" t="s">
        <v>6899</v>
      </c>
    </row>
    <row r="2564" spans="2:9" ht="15.75" x14ac:dyDescent="0.25">
      <c r="B2564" s="1365" t="s">
        <v>7241</v>
      </c>
      <c r="C2564" s="1013" t="s">
        <v>4461</v>
      </c>
      <c r="D2564" s="1013" t="s">
        <v>4461</v>
      </c>
      <c r="E2564" s="1014">
        <v>8051</v>
      </c>
      <c r="F2564" s="1013" t="s">
        <v>6457</v>
      </c>
      <c r="G2564" s="1014" t="s">
        <v>266</v>
      </c>
      <c r="H2564" s="1015">
        <v>5731909</v>
      </c>
      <c r="I2564" s="1016" t="s">
        <v>6899</v>
      </c>
    </row>
    <row r="2565" spans="2:9" ht="15.75" x14ac:dyDescent="0.25">
      <c r="B2565" s="1365" t="s">
        <v>7241</v>
      </c>
      <c r="C2565" s="1013" t="s">
        <v>4461</v>
      </c>
      <c r="D2565" s="1013" t="s">
        <v>4461</v>
      </c>
      <c r="E2565" s="1014">
        <v>8052</v>
      </c>
      <c r="F2565" s="1013" t="s">
        <v>6458</v>
      </c>
      <c r="G2565" s="1014" t="s">
        <v>266</v>
      </c>
      <c r="H2565" s="1015">
        <v>7425625</v>
      </c>
      <c r="I2565" s="1016" t="s">
        <v>6899</v>
      </c>
    </row>
    <row r="2566" spans="2:9" ht="15.75" x14ac:dyDescent="0.25">
      <c r="B2566" s="1365" t="s">
        <v>7241</v>
      </c>
      <c r="C2566" s="1013" t="s">
        <v>4461</v>
      </c>
      <c r="D2566" s="1013" t="s">
        <v>4461</v>
      </c>
      <c r="E2566" s="1014">
        <v>8053</v>
      </c>
      <c r="F2566" s="1013" t="s">
        <v>6459</v>
      </c>
      <c r="G2566" s="1014" t="s">
        <v>266</v>
      </c>
      <c r="H2566" s="1015">
        <v>827641</v>
      </c>
      <c r="I2566" s="1016" t="s">
        <v>6899</v>
      </c>
    </row>
    <row r="2567" spans="2:9" ht="15.75" x14ac:dyDescent="0.25">
      <c r="B2567" s="1365" t="s">
        <v>7241</v>
      </c>
      <c r="C2567" s="1013" t="s">
        <v>4461</v>
      </c>
      <c r="D2567" s="1013" t="s">
        <v>4461</v>
      </c>
      <c r="E2567" s="1014">
        <v>8058</v>
      </c>
      <c r="F2567" s="1013" t="s">
        <v>6460</v>
      </c>
      <c r="G2567" s="1014" t="s">
        <v>13</v>
      </c>
      <c r="H2567" s="1015">
        <v>41213</v>
      </c>
      <c r="I2567" s="1016" t="s">
        <v>4398</v>
      </c>
    </row>
    <row r="2568" spans="2:9" ht="15.75" x14ac:dyDescent="0.25">
      <c r="B2568" s="1365" t="s">
        <v>7241</v>
      </c>
      <c r="C2568" s="1013" t="s">
        <v>4461</v>
      </c>
      <c r="D2568" s="1013" t="s">
        <v>4461</v>
      </c>
      <c r="E2568" s="1014">
        <v>8060</v>
      </c>
      <c r="F2568" s="1013" t="s">
        <v>6461</v>
      </c>
      <c r="G2568" s="1014" t="s">
        <v>266</v>
      </c>
      <c r="H2568" s="1015">
        <v>978924</v>
      </c>
      <c r="I2568" s="1016" t="s">
        <v>4398</v>
      </c>
    </row>
    <row r="2569" spans="2:9" ht="15.75" x14ac:dyDescent="0.25">
      <c r="B2569" s="1365" t="s">
        <v>7241</v>
      </c>
      <c r="C2569" s="1013" t="s">
        <v>4405</v>
      </c>
      <c r="D2569" s="1013" t="s">
        <v>4406</v>
      </c>
      <c r="E2569" s="1014">
        <v>8076</v>
      </c>
      <c r="F2569" s="1013" t="s">
        <v>6462</v>
      </c>
      <c r="G2569" s="1014" t="s">
        <v>266</v>
      </c>
      <c r="H2569" s="1015">
        <v>43897</v>
      </c>
      <c r="I2569" s="1016" t="s">
        <v>4398</v>
      </c>
    </row>
    <row r="2570" spans="2:9" ht="15.75" x14ac:dyDescent="0.25">
      <c r="B2570" s="1365" t="s">
        <v>7241</v>
      </c>
      <c r="C2570" s="1013" t="s">
        <v>4405</v>
      </c>
      <c r="D2570" s="1013" t="s">
        <v>4406</v>
      </c>
      <c r="E2570" s="1014">
        <v>8077</v>
      </c>
      <c r="F2570" s="1013" t="s">
        <v>6463</v>
      </c>
      <c r="G2570" s="1014" t="s">
        <v>266</v>
      </c>
      <c r="H2570" s="1015">
        <v>267742</v>
      </c>
      <c r="I2570" s="1016" t="s">
        <v>4398</v>
      </c>
    </row>
    <row r="2571" spans="2:9" ht="15.75" x14ac:dyDescent="0.25">
      <c r="B2571" s="1365" t="s">
        <v>7241</v>
      </c>
      <c r="C2571" s="1013" t="s">
        <v>4405</v>
      </c>
      <c r="D2571" s="1013" t="s">
        <v>4406</v>
      </c>
      <c r="E2571" s="1014">
        <v>8078</v>
      </c>
      <c r="F2571" s="1013" t="s">
        <v>6464</v>
      </c>
      <c r="G2571" s="1014" t="s">
        <v>266</v>
      </c>
      <c r="H2571" s="1015">
        <v>229562</v>
      </c>
      <c r="I2571" s="1016" t="s">
        <v>4398</v>
      </c>
    </row>
    <row r="2572" spans="2:9" ht="15.75" x14ac:dyDescent="0.25">
      <c r="B2572" s="1365" t="s">
        <v>7241</v>
      </c>
      <c r="C2572" s="1013" t="s">
        <v>4405</v>
      </c>
      <c r="D2572" s="1013" t="s">
        <v>4406</v>
      </c>
      <c r="E2572" s="1014">
        <v>8079</v>
      </c>
      <c r="F2572" s="1013" t="s">
        <v>6465</v>
      </c>
      <c r="G2572" s="1014" t="s">
        <v>266</v>
      </c>
      <c r="H2572" s="1015">
        <v>334144</v>
      </c>
      <c r="I2572" s="1016" t="s">
        <v>6899</v>
      </c>
    </row>
    <row r="2573" spans="2:9" ht="15.75" x14ac:dyDescent="0.25">
      <c r="B2573" s="1365" t="s">
        <v>7241</v>
      </c>
      <c r="C2573" s="1013" t="s">
        <v>4451</v>
      </c>
      <c r="D2573" s="1013" t="s">
        <v>4452</v>
      </c>
      <c r="E2573" s="1014">
        <v>8080</v>
      </c>
      <c r="F2573" s="1013" t="s">
        <v>7242</v>
      </c>
      <c r="G2573" s="1014" t="s">
        <v>266</v>
      </c>
      <c r="H2573" s="1015">
        <v>132000</v>
      </c>
      <c r="I2573" s="1016" t="s">
        <v>3538</v>
      </c>
    </row>
    <row r="2574" spans="2:9" ht="15.75" x14ac:dyDescent="0.25">
      <c r="B2574" s="1365" t="s">
        <v>7241</v>
      </c>
      <c r="C2574" s="1013" t="s">
        <v>4461</v>
      </c>
      <c r="D2574" s="1013" t="s">
        <v>4461</v>
      </c>
      <c r="E2574" s="1014">
        <v>8081</v>
      </c>
      <c r="F2574" s="1013" t="s">
        <v>6466</v>
      </c>
      <c r="G2574" s="1014" t="s">
        <v>266</v>
      </c>
      <c r="H2574" s="1015">
        <v>28853</v>
      </c>
      <c r="I2574" s="1016" t="s">
        <v>4398</v>
      </c>
    </row>
    <row r="2575" spans="2:9" ht="15.75" x14ac:dyDescent="0.25">
      <c r="B2575" s="1365" t="s">
        <v>7241</v>
      </c>
      <c r="C2575" s="1013" t="s">
        <v>4451</v>
      </c>
      <c r="D2575" s="1013" t="s">
        <v>4452</v>
      </c>
      <c r="E2575" s="1014">
        <v>8082</v>
      </c>
      <c r="F2575" s="1013" t="s">
        <v>7243</v>
      </c>
      <c r="G2575" s="1014" t="s">
        <v>12</v>
      </c>
      <c r="H2575" s="1015">
        <v>95103</v>
      </c>
      <c r="I2575" s="1016" t="s">
        <v>4398</v>
      </c>
    </row>
    <row r="2576" spans="2:9" ht="15.75" x14ac:dyDescent="0.25">
      <c r="B2576" s="1365" t="s">
        <v>7241</v>
      </c>
      <c r="C2576" s="1013" t="s">
        <v>4451</v>
      </c>
      <c r="D2576" s="1013" t="s">
        <v>4452</v>
      </c>
      <c r="E2576" s="1014">
        <v>8083</v>
      </c>
      <c r="F2576" s="1013" t="s">
        <v>7244</v>
      </c>
      <c r="G2576" s="1014" t="s">
        <v>12</v>
      </c>
      <c r="H2576" s="1015">
        <v>74873</v>
      </c>
      <c r="I2576" s="1016" t="s">
        <v>4398</v>
      </c>
    </row>
    <row r="2577" spans="2:9" ht="15.75" x14ac:dyDescent="0.25">
      <c r="B2577" s="1365" t="s">
        <v>7241</v>
      </c>
      <c r="C2577" s="1013" t="s">
        <v>4451</v>
      </c>
      <c r="D2577" s="1013" t="s">
        <v>4452</v>
      </c>
      <c r="E2577" s="1014">
        <v>8084</v>
      </c>
      <c r="F2577" s="1013" t="s">
        <v>7245</v>
      </c>
      <c r="G2577" s="1014" t="s">
        <v>12</v>
      </c>
      <c r="H2577" s="1015">
        <v>51073</v>
      </c>
      <c r="I2577" s="1016" t="s">
        <v>4398</v>
      </c>
    </row>
    <row r="2578" spans="2:9" ht="15.75" x14ac:dyDescent="0.25">
      <c r="B2578" s="1365" t="s">
        <v>7241</v>
      </c>
      <c r="C2578" s="1013" t="s">
        <v>4468</v>
      </c>
      <c r="D2578" s="1013" t="s">
        <v>4469</v>
      </c>
      <c r="E2578" s="1014">
        <v>8086</v>
      </c>
      <c r="F2578" s="1013" t="s">
        <v>6467</v>
      </c>
      <c r="G2578" s="1014" t="s">
        <v>3</v>
      </c>
      <c r="H2578" s="1015">
        <v>965904</v>
      </c>
      <c r="I2578" s="1016" t="s">
        <v>6899</v>
      </c>
    </row>
    <row r="2579" spans="2:9" ht="15.75" x14ac:dyDescent="0.25">
      <c r="B2579" s="1365" t="s">
        <v>7241</v>
      </c>
      <c r="C2579" s="1013" t="s">
        <v>4468</v>
      </c>
      <c r="D2579" s="1013" t="s">
        <v>4469</v>
      </c>
      <c r="E2579" s="1014">
        <v>8087</v>
      </c>
      <c r="F2579" s="1013" t="s">
        <v>6468</v>
      </c>
      <c r="G2579" s="1014" t="s">
        <v>3</v>
      </c>
      <c r="H2579" s="1015">
        <v>974480</v>
      </c>
      <c r="I2579" s="1016" t="s">
        <v>6899</v>
      </c>
    </row>
    <row r="2580" spans="2:9" ht="15.75" x14ac:dyDescent="0.25">
      <c r="B2580" s="1365" t="s">
        <v>7241</v>
      </c>
      <c r="C2580" s="1013" t="s">
        <v>4468</v>
      </c>
      <c r="D2580" s="1013" t="s">
        <v>4469</v>
      </c>
      <c r="E2580" s="1014">
        <v>8088</v>
      </c>
      <c r="F2580" s="1013" t="s">
        <v>6469</v>
      </c>
      <c r="G2580" s="1014" t="s">
        <v>3</v>
      </c>
      <c r="H2580" s="1015">
        <v>944366</v>
      </c>
      <c r="I2580" s="1016" t="s">
        <v>6899</v>
      </c>
    </row>
    <row r="2581" spans="2:9" ht="15.75" x14ac:dyDescent="0.25">
      <c r="B2581" s="1365" t="s">
        <v>7246</v>
      </c>
      <c r="C2581" s="1013" t="s">
        <v>4417</v>
      </c>
      <c r="D2581" s="1013" t="s">
        <v>4438</v>
      </c>
      <c r="E2581" s="1014">
        <v>8090</v>
      </c>
      <c r="F2581" s="1013" t="s">
        <v>6470</v>
      </c>
      <c r="G2581" s="1014" t="s">
        <v>12</v>
      </c>
      <c r="H2581" s="1015">
        <v>540678</v>
      </c>
      <c r="I2581" s="1016" t="s">
        <v>6899</v>
      </c>
    </row>
    <row r="2582" spans="2:9" ht="15.75" x14ac:dyDescent="0.25">
      <c r="B2582" s="1365" t="s">
        <v>7246</v>
      </c>
      <c r="C2582" s="1013" t="s">
        <v>4396</v>
      </c>
      <c r="D2582" s="1013" t="s">
        <v>6332</v>
      </c>
      <c r="E2582" s="1014">
        <v>8091</v>
      </c>
      <c r="F2582" s="1013" t="s">
        <v>6471</v>
      </c>
      <c r="G2582" s="1014" t="s">
        <v>266</v>
      </c>
      <c r="H2582" s="1015">
        <v>10603</v>
      </c>
      <c r="I2582" s="1016" t="s">
        <v>6899</v>
      </c>
    </row>
    <row r="2583" spans="2:9" ht="15.75" x14ac:dyDescent="0.25">
      <c r="B2583" s="1365" t="s">
        <v>7246</v>
      </c>
      <c r="C2583" s="1013" t="s">
        <v>4454</v>
      </c>
      <c r="D2583" s="1013" t="s">
        <v>5477</v>
      </c>
      <c r="E2583" s="1014">
        <v>8092</v>
      </c>
      <c r="F2583" s="1013" t="s">
        <v>899</v>
      </c>
      <c r="G2583" s="1014" t="s">
        <v>266</v>
      </c>
      <c r="H2583" s="1015">
        <v>39695</v>
      </c>
      <c r="I2583" s="1016" t="s">
        <v>6899</v>
      </c>
    </row>
    <row r="2584" spans="2:9" ht="15.75" x14ac:dyDescent="0.25">
      <c r="B2584" s="1365" t="s">
        <v>7246</v>
      </c>
      <c r="C2584" s="1013" t="s">
        <v>4454</v>
      </c>
      <c r="D2584" s="1013" t="s">
        <v>5477</v>
      </c>
      <c r="E2584" s="1014">
        <v>8093</v>
      </c>
      <c r="F2584" s="1013" t="s">
        <v>6472</v>
      </c>
      <c r="G2584" s="1014" t="s">
        <v>266</v>
      </c>
      <c r="H2584" s="1015">
        <v>45029</v>
      </c>
      <c r="I2584" s="1016" t="s">
        <v>6899</v>
      </c>
    </row>
    <row r="2585" spans="2:9" ht="15.75" x14ac:dyDescent="0.25">
      <c r="B2585" s="1365" t="s">
        <v>7246</v>
      </c>
      <c r="C2585" s="1013" t="s">
        <v>4451</v>
      </c>
      <c r="D2585" s="1013" t="s">
        <v>4452</v>
      </c>
      <c r="E2585" s="1014">
        <v>8094</v>
      </c>
      <c r="F2585" s="1013" t="s">
        <v>7247</v>
      </c>
      <c r="G2585" s="1014" t="s">
        <v>266</v>
      </c>
      <c r="H2585" s="1015">
        <v>352415</v>
      </c>
      <c r="I2585" s="1016" t="s">
        <v>6899</v>
      </c>
    </row>
    <row r="2586" spans="2:9" ht="15.75" x14ac:dyDescent="0.25">
      <c r="B2586" s="1365" t="s">
        <v>7248</v>
      </c>
      <c r="C2586" s="1013" t="s">
        <v>5482</v>
      </c>
      <c r="D2586" s="1013" t="s">
        <v>5482</v>
      </c>
      <c r="E2586" s="1014">
        <v>8098</v>
      </c>
      <c r="F2586" s="1013" t="s">
        <v>900</v>
      </c>
      <c r="G2586" s="1014" t="s">
        <v>266</v>
      </c>
      <c r="H2586" s="1015">
        <v>297500</v>
      </c>
      <c r="I2586" s="1016" t="s">
        <v>6899</v>
      </c>
    </row>
    <row r="2587" spans="2:9" ht="15.75" x14ac:dyDescent="0.25">
      <c r="B2587" s="1365" t="s">
        <v>7248</v>
      </c>
      <c r="C2587" s="1013" t="s">
        <v>1474</v>
      </c>
      <c r="D2587" s="1013" t="s">
        <v>4940</v>
      </c>
      <c r="E2587" s="1014">
        <v>8099</v>
      </c>
      <c r="F2587" s="1013" t="s">
        <v>6473</v>
      </c>
      <c r="G2587" s="1014" t="s">
        <v>3</v>
      </c>
      <c r="H2587" s="1015">
        <v>215591</v>
      </c>
      <c r="I2587" s="1016" t="s">
        <v>6899</v>
      </c>
    </row>
    <row r="2588" spans="2:9" ht="15.75" x14ac:dyDescent="0.25">
      <c r="B2588" s="1365" t="s">
        <v>7248</v>
      </c>
      <c r="C2588" s="1013" t="s">
        <v>4420</v>
      </c>
      <c r="D2588" s="1013" t="s">
        <v>4420</v>
      </c>
      <c r="E2588" s="1014">
        <v>8100</v>
      </c>
      <c r="F2588" s="1013" t="s">
        <v>6474</v>
      </c>
      <c r="G2588" s="1014" t="s">
        <v>266</v>
      </c>
      <c r="H2588" s="1015">
        <v>797979</v>
      </c>
      <c r="I2588" s="1016" t="s">
        <v>4398</v>
      </c>
    </row>
    <row r="2589" spans="2:9" ht="15.75" x14ac:dyDescent="0.25">
      <c r="B2589" s="1365" t="s">
        <v>7248</v>
      </c>
      <c r="C2589" s="1013" t="s">
        <v>4420</v>
      </c>
      <c r="D2589" s="1013" t="s">
        <v>4420</v>
      </c>
      <c r="E2589" s="1014">
        <v>8101</v>
      </c>
      <c r="F2589" s="1013" t="s">
        <v>6475</v>
      </c>
      <c r="G2589" s="1014" t="s">
        <v>266</v>
      </c>
      <c r="H2589" s="1015">
        <v>2251424</v>
      </c>
      <c r="I2589" s="1016" t="s">
        <v>4398</v>
      </c>
    </row>
    <row r="2590" spans="2:9" ht="15.75" x14ac:dyDescent="0.25">
      <c r="B2590" s="1365" t="s">
        <v>7232</v>
      </c>
      <c r="C2590" s="1013" t="s">
        <v>4799</v>
      </c>
      <c r="D2590" s="1013" t="s">
        <v>5946</v>
      </c>
      <c r="E2590" s="1014">
        <v>8103</v>
      </c>
      <c r="F2590" s="1013" t="s">
        <v>901</v>
      </c>
      <c r="G2590" s="1014" t="s">
        <v>12</v>
      </c>
      <c r="H2590" s="1015">
        <v>22880</v>
      </c>
      <c r="I2590" s="1016" t="s">
        <v>6899</v>
      </c>
    </row>
    <row r="2591" spans="2:9" ht="15.75" x14ac:dyDescent="0.25">
      <c r="B2591" s="1365" t="s">
        <v>7232</v>
      </c>
      <c r="C2591" s="1013" t="s">
        <v>4799</v>
      </c>
      <c r="D2591" s="1013" t="s">
        <v>5946</v>
      </c>
      <c r="E2591" s="1014">
        <v>8104</v>
      </c>
      <c r="F2591" s="1013" t="s">
        <v>902</v>
      </c>
      <c r="G2591" s="1014" t="s">
        <v>12</v>
      </c>
      <c r="H2591" s="1015">
        <v>100870</v>
      </c>
      <c r="I2591" s="1016" t="s">
        <v>6899</v>
      </c>
    </row>
    <row r="2592" spans="2:9" ht="15.75" x14ac:dyDescent="0.25">
      <c r="B2592" s="1365" t="s">
        <v>7249</v>
      </c>
      <c r="C2592" s="1013" t="s">
        <v>4472</v>
      </c>
      <c r="D2592" s="1013" t="s">
        <v>4985</v>
      </c>
      <c r="E2592" s="1014">
        <v>8106</v>
      </c>
      <c r="F2592" s="1013" t="s">
        <v>6476</v>
      </c>
      <c r="G2592" s="1014" t="s">
        <v>12</v>
      </c>
      <c r="H2592" s="1015">
        <v>131477</v>
      </c>
      <c r="I2592" s="1016" t="s">
        <v>6899</v>
      </c>
    </row>
    <row r="2593" spans="2:9" ht="15.75" x14ac:dyDescent="0.25">
      <c r="B2593" s="1365" t="s">
        <v>7249</v>
      </c>
      <c r="C2593" s="1013" t="s">
        <v>4417</v>
      </c>
      <c r="D2593" s="1013" t="s">
        <v>4418</v>
      </c>
      <c r="E2593" s="1014">
        <v>8107</v>
      </c>
      <c r="F2593" s="1013" t="s">
        <v>6477</v>
      </c>
      <c r="G2593" s="1014" t="s">
        <v>266</v>
      </c>
      <c r="H2593" s="1015">
        <v>51927</v>
      </c>
      <c r="I2593" s="1016" t="s">
        <v>6899</v>
      </c>
    </row>
    <row r="2594" spans="2:9" ht="15.75" x14ac:dyDescent="0.25">
      <c r="B2594" s="1365" t="s">
        <v>7249</v>
      </c>
      <c r="C2594" s="1013" t="s">
        <v>4405</v>
      </c>
      <c r="D2594" s="1013" t="s">
        <v>4406</v>
      </c>
      <c r="E2594" s="1014">
        <v>8109</v>
      </c>
      <c r="F2594" s="1013" t="s">
        <v>6478</v>
      </c>
      <c r="G2594" s="1014" t="s">
        <v>13</v>
      </c>
      <c r="H2594" s="1015">
        <v>55382</v>
      </c>
      <c r="I2594" s="1016" t="s">
        <v>4398</v>
      </c>
    </row>
    <row r="2595" spans="2:9" ht="15.75" x14ac:dyDescent="0.25">
      <c r="B2595" s="1365" t="s">
        <v>7249</v>
      </c>
      <c r="C2595" s="1013" t="s">
        <v>4405</v>
      </c>
      <c r="D2595" s="1013" t="s">
        <v>4406</v>
      </c>
      <c r="E2595" s="1014">
        <v>8110</v>
      </c>
      <c r="F2595" s="1013" t="s">
        <v>6479</v>
      </c>
      <c r="G2595" s="1014" t="s">
        <v>13</v>
      </c>
      <c r="H2595" s="1015">
        <v>75047</v>
      </c>
      <c r="I2595" s="1016" t="s">
        <v>4398</v>
      </c>
    </row>
    <row r="2596" spans="2:9" ht="15.75" x14ac:dyDescent="0.25">
      <c r="B2596" s="1365" t="s">
        <v>7249</v>
      </c>
      <c r="C2596" s="1013" t="s">
        <v>4405</v>
      </c>
      <c r="D2596" s="1013" t="s">
        <v>4406</v>
      </c>
      <c r="E2596" s="1014">
        <v>8111</v>
      </c>
      <c r="F2596" s="1013" t="s">
        <v>6480</v>
      </c>
      <c r="G2596" s="1014" t="s">
        <v>13</v>
      </c>
      <c r="H2596" s="1015">
        <v>203532</v>
      </c>
      <c r="I2596" s="1016" t="s">
        <v>4398</v>
      </c>
    </row>
    <row r="2597" spans="2:9" ht="15.75" x14ac:dyDescent="0.25">
      <c r="B2597" s="1365" t="s">
        <v>7249</v>
      </c>
      <c r="C2597" s="1013" t="s">
        <v>4431</v>
      </c>
      <c r="D2597" s="1013" t="s">
        <v>4432</v>
      </c>
      <c r="E2597" s="1014">
        <v>8112</v>
      </c>
      <c r="F2597" s="1013" t="s">
        <v>6481</v>
      </c>
      <c r="G2597" s="1014" t="s">
        <v>266</v>
      </c>
      <c r="H2597" s="1015">
        <v>200238</v>
      </c>
      <c r="I2597" s="1016" t="s">
        <v>4398</v>
      </c>
    </row>
    <row r="2598" spans="2:9" ht="15.75" x14ac:dyDescent="0.25">
      <c r="B2598" s="1365" t="s">
        <v>7249</v>
      </c>
      <c r="C2598" s="1013" t="s">
        <v>4431</v>
      </c>
      <c r="D2598" s="1013" t="s">
        <v>4432</v>
      </c>
      <c r="E2598" s="1014">
        <v>8113</v>
      </c>
      <c r="F2598" s="1013" t="s">
        <v>6482</v>
      </c>
      <c r="G2598" s="1014" t="s">
        <v>266</v>
      </c>
      <c r="H2598" s="1015">
        <v>100120</v>
      </c>
      <c r="I2598" s="1016" t="s">
        <v>4398</v>
      </c>
    </row>
    <row r="2599" spans="2:9" ht="15.75" x14ac:dyDescent="0.25">
      <c r="B2599" s="1365" t="s">
        <v>7249</v>
      </c>
      <c r="C2599" s="1013" t="s">
        <v>4454</v>
      </c>
      <c r="D2599" s="1013" t="s">
        <v>4455</v>
      </c>
      <c r="E2599" s="1014">
        <v>8114</v>
      </c>
      <c r="F2599" s="1013" t="s">
        <v>6483</v>
      </c>
      <c r="G2599" s="1014" t="s">
        <v>13</v>
      </c>
      <c r="H2599" s="1015">
        <v>20791</v>
      </c>
      <c r="I2599" s="1016" t="s">
        <v>4398</v>
      </c>
    </row>
    <row r="2600" spans="2:9" ht="15.75" x14ac:dyDescent="0.25">
      <c r="B2600" s="1365" t="s">
        <v>7249</v>
      </c>
      <c r="C2600" s="1013" t="s">
        <v>4454</v>
      </c>
      <c r="D2600" s="1013" t="s">
        <v>5477</v>
      </c>
      <c r="E2600" s="1014">
        <v>8115</v>
      </c>
      <c r="F2600" s="1013" t="s">
        <v>6484</v>
      </c>
      <c r="G2600" s="1014" t="s">
        <v>266</v>
      </c>
      <c r="H2600" s="1015">
        <v>178752</v>
      </c>
      <c r="I2600" s="1016" t="s">
        <v>6899</v>
      </c>
    </row>
    <row r="2601" spans="2:9" ht="15.75" x14ac:dyDescent="0.25">
      <c r="B2601" s="1365" t="s">
        <v>7249</v>
      </c>
      <c r="C2601" s="1013" t="s">
        <v>4431</v>
      </c>
      <c r="D2601" s="1013" t="s">
        <v>4432</v>
      </c>
      <c r="E2601" s="1014">
        <v>8116</v>
      </c>
      <c r="F2601" s="1013" t="s">
        <v>6485</v>
      </c>
      <c r="G2601" s="1014" t="s">
        <v>266</v>
      </c>
      <c r="H2601" s="1015">
        <v>4090251</v>
      </c>
      <c r="I2601" s="1016" t="s">
        <v>6899</v>
      </c>
    </row>
    <row r="2602" spans="2:9" ht="15.75" x14ac:dyDescent="0.25">
      <c r="B2602" s="1365" t="s">
        <v>7249</v>
      </c>
      <c r="C2602" s="1013" t="s">
        <v>4405</v>
      </c>
      <c r="D2602" s="1013" t="s">
        <v>4406</v>
      </c>
      <c r="E2602" s="1014">
        <v>8117</v>
      </c>
      <c r="F2602" s="1013" t="s">
        <v>6486</v>
      </c>
      <c r="G2602" s="1014" t="s">
        <v>13</v>
      </c>
      <c r="H2602" s="1015">
        <v>39497</v>
      </c>
      <c r="I2602" s="1016" t="s">
        <v>4398</v>
      </c>
    </row>
    <row r="2603" spans="2:9" ht="15.75" x14ac:dyDescent="0.25">
      <c r="B2603" s="1365" t="s">
        <v>7249</v>
      </c>
      <c r="C2603" s="1013" t="s">
        <v>4405</v>
      </c>
      <c r="D2603" s="1013" t="s">
        <v>4406</v>
      </c>
      <c r="E2603" s="1014">
        <v>8118</v>
      </c>
      <c r="F2603" s="1013" t="s">
        <v>6487</v>
      </c>
      <c r="G2603" s="1014" t="s">
        <v>13</v>
      </c>
      <c r="H2603" s="1015">
        <v>33722</v>
      </c>
      <c r="I2603" s="1016" t="s">
        <v>4398</v>
      </c>
    </row>
    <row r="2604" spans="2:9" ht="15.75" x14ac:dyDescent="0.25">
      <c r="B2604" s="1365" t="s">
        <v>7249</v>
      </c>
      <c r="C2604" s="1013" t="s">
        <v>4405</v>
      </c>
      <c r="D2604" s="1013" t="s">
        <v>4406</v>
      </c>
      <c r="E2604" s="1014">
        <v>8119</v>
      </c>
      <c r="F2604" s="1013" t="s">
        <v>6488</v>
      </c>
      <c r="G2604" s="1014" t="s">
        <v>266</v>
      </c>
      <c r="H2604" s="1015">
        <v>399731</v>
      </c>
      <c r="I2604" s="1016" t="s">
        <v>4398</v>
      </c>
    </row>
    <row r="2605" spans="2:9" ht="15.75" x14ac:dyDescent="0.25">
      <c r="B2605" s="1365" t="s">
        <v>7249</v>
      </c>
      <c r="C2605" s="1013" t="s">
        <v>4431</v>
      </c>
      <c r="D2605" s="1013" t="s">
        <v>4432</v>
      </c>
      <c r="E2605" s="1014">
        <v>8120</v>
      </c>
      <c r="F2605" s="1013" t="s">
        <v>6489</v>
      </c>
      <c r="G2605" s="1014" t="s">
        <v>266</v>
      </c>
      <c r="H2605" s="1015">
        <v>2227048</v>
      </c>
      <c r="I2605" s="1016" t="s">
        <v>6899</v>
      </c>
    </row>
    <row r="2606" spans="2:9" ht="15.75" x14ac:dyDescent="0.25">
      <c r="B2606" s="1365" t="s">
        <v>7249</v>
      </c>
      <c r="C2606" s="1013" t="s">
        <v>4431</v>
      </c>
      <c r="D2606" s="1013" t="s">
        <v>4432</v>
      </c>
      <c r="E2606" s="1014">
        <v>8121</v>
      </c>
      <c r="F2606" s="1013" t="s">
        <v>6490</v>
      </c>
      <c r="G2606" s="1014" t="s">
        <v>266</v>
      </c>
      <c r="H2606" s="1015">
        <v>2448877</v>
      </c>
      <c r="I2606" s="1016" t="s">
        <v>6899</v>
      </c>
    </row>
    <row r="2607" spans="2:9" ht="15.75" x14ac:dyDescent="0.25">
      <c r="B2607" s="1365" t="s">
        <v>7249</v>
      </c>
      <c r="C2607" s="1013" t="s">
        <v>4431</v>
      </c>
      <c r="D2607" s="1013" t="s">
        <v>4432</v>
      </c>
      <c r="E2607" s="1014">
        <v>8122</v>
      </c>
      <c r="F2607" s="1013" t="s">
        <v>6491</v>
      </c>
      <c r="G2607" s="1014" t="s">
        <v>266</v>
      </c>
      <c r="H2607" s="1015">
        <v>954596</v>
      </c>
      <c r="I2607" s="1016" t="s">
        <v>6899</v>
      </c>
    </row>
    <row r="2608" spans="2:9" ht="15.75" x14ac:dyDescent="0.25">
      <c r="B2608" s="1365" t="s">
        <v>7249</v>
      </c>
      <c r="C2608" s="1013" t="s">
        <v>4417</v>
      </c>
      <c r="D2608" s="1013" t="s">
        <v>4438</v>
      </c>
      <c r="E2608" s="1014">
        <v>8123</v>
      </c>
      <c r="F2608" s="1013" t="s">
        <v>6492</v>
      </c>
      <c r="G2608" s="1014" t="s">
        <v>12</v>
      </c>
      <c r="H2608" s="1015">
        <v>110704</v>
      </c>
      <c r="I2608" s="1016" t="s">
        <v>6899</v>
      </c>
    </row>
    <row r="2609" spans="2:9" ht="15.75" x14ac:dyDescent="0.25">
      <c r="B2609" s="1365" t="s">
        <v>7249</v>
      </c>
      <c r="C2609" s="1013" t="s">
        <v>4431</v>
      </c>
      <c r="D2609" s="1013" t="s">
        <v>4432</v>
      </c>
      <c r="E2609" s="1014">
        <v>8125</v>
      </c>
      <c r="F2609" s="1013" t="s">
        <v>6493</v>
      </c>
      <c r="G2609" s="1014" t="s">
        <v>266</v>
      </c>
      <c r="H2609" s="1015">
        <v>74645</v>
      </c>
      <c r="I2609" s="1016" t="s">
        <v>6899</v>
      </c>
    </row>
    <row r="2610" spans="2:9" ht="15.75" x14ac:dyDescent="0.25">
      <c r="B2610" s="1365" t="s">
        <v>7249</v>
      </c>
      <c r="C2610" s="1013" t="s">
        <v>4405</v>
      </c>
      <c r="D2610" s="1013" t="s">
        <v>4406</v>
      </c>
      <c r="E2610" s="1014">
        <v>8126</v>
      </c>
      <c r="F2610" s="1013" t="s">
        <v>6494</v>
      </c>
      <c r="G2610" s="1014" t="s">
        <v>13</v>
      </c>
      <c r="H2610" s="1015">
        <v>178298</v>
      </c>
      <c r="I2610" s="1016" t="s">
        <v>4398</v>
      </c>
    </row>
    <row r="2611" spans="2:9" ht="15.75" x14ac:dyDescent="0.25">
      <c r="B2611" s="1365" t="s">
        <v>7249</v>
      </c>
      <c r="C2611" s="1013" t="s">
        <v>4405</v>
      </c>
      <c r="D2611" s="1013" t="s">
        <v>4406</v>
      </c>
      <c r="E2611" s="1014">
        <v>8128</v>
      </c>
      <c r="F2611" s="1013" t="s">
        <v>903</v>
      </c>
      <c r="G2611" s="1014" t="s">
        <v>266</v>
      </c>
      <c r="H2611" s="1015">
        <v>29958075</v>
      </c>
      <c r="I2611" s="1016" t="s">
        <v>6899</v>
      </c>
    </row>
    <row r="2612" spans="2:9" ht="15.75" x14ac:dyDescent="0.25">
      <c r="B2612" s="1365" t="s">
        <v>7249</v>
      </c>
      <c r="C2612" s="1013" t="s">
        <v>4405</v>
      </c>
      <c r="D2612" s="1013" t="s">
        <v>4406</v>
      </c>
      <c r="E2612" s="1014">
        <v>8129</v>
      </c>
      <c r="F2612" s="1013" t="s">
        <v>6495</v>
      </c>
      <c r="G2612" s="1014" t="s">
        <v>13</v>
      </c>
      <c r="H2612" s="1015">
        <v>72027</v>
      </c>
      <c r="I2612" s="1016" t="s">
        <v>4398</v>
      </c>
    </row>
    <row r="2613" spans="2:9" ht="15.75" x14ac:dyDescent="0.25">
      <c r="B2613" s="1365" t="s">
        <v>7249</v>
      </c>
      <c r="C2613" s="1013" t="s">
        <v>4405</v>
      </c>
      <c r="D2613" s="1013" t="s">
        <v>4406</v>
      </c>
      <c r="E2613" s="1014">
        <v>8130</v>
      </c>
      <c r="F2613" s="1013" t="s">
        <v>6496</v>
      </c>
      <c r="G2613" s="1014" t="s">
        <v>13</v>
      </c>
      <c r="H2613" s="1015">
        <v>46571</v>
      </c>
      <c r="I2613" s="1016" t="s">
        <v>4398</v>
      </c>
    </row>
    <row r="2614" spans="2:9" ht="15.75" x14ac:dyDescent="0.25">
      <c r="B2614" s="1365" t="s">
        <v>7249</v>
      </c>
      <c r="C2614" s="1013" t="s">
        <v>4405</v>
      </c>
      <c r="D2614" s="1013" t="s">
        <v>4406</v>
      </c>
      <c r="E2614" s="1014">
        <v>8131</v>
      </c>
      <c r="F2614" s="1013" t="s">
        <v>6497</v>
      </c>
      <c r="G2614" s="1014" t="s">
        <v>13</v>
      </c>
      <c r="H2614" s="1015">
        <v>2956</v>
      </c>
      <c r="I2614" s="1016" t="s">
        <v>6899</v>
      </c>
    </row>
    <row r="2615" spans="2:9" ht="15.75" x14ac:dyDescent="0.25">
      <c r="B2615" s="1365" t="s">
        <v>7249</v>
      </c>
      <c r="C2615" s="1013" t="s">
        <v>4405</v>
      </c>
      <c r="D2615" s="1013" t="s">
        <v>4406</v>
      </c>
      <c r="E2615" s="1014">
        <v>8132</v>
      </c>
      <c r="F2615" s="1013" t="s">
        <v>904</v>
      </c>
      <c r="G2615" s="1014" t="s">
        <v>266</v>
      </c>
      <c r="H2615" s="1015">
        <v>23952175</v>
      </c>
      <c r="I2615" s="1016" t="s">
        <v>6899</v>
      </c>
    </row>
    <row r="2616" spans="2:9" ht="15.75" x14ac:dyDescent="0.25">
      <c r="B2616" s="1365" t="s">
        <v>7249</v>
      </c>
      <c r="C2616" s="1013" t="s">
        <v>4405</v>
      </c>
      <c r="D2616" s="1013" t="s">
        <v>4406</v>
      </c>
      <c r="E2616" s="1014">
        <v>8133</v>
      </c>
      <c r="F2616" s="1013" t="s">
        <v>6498</v>
      </c>
      <c r="G2616" s="1014" t="s">
        <v>13</v>
      </c>
      <c r="H2616" s="1015">
        <v>7158</v>
      </c>
      <c r="I2616" s="1016" t="s">
        <v>4398</v>
      </c>
    </row>
    <row r="2617" spans="2:9" ht="15.75" x14ac:dyDescent="0.25">
      <c r="B2617" s="1365" t="s">
        <v>7249</v>
      </c>
      <c r="C2617" s="1013" t="s">
        <v>4431</v>
      </c>
      <c r="D2617" s="1013" t="s">
        <v>5094</v>
      </c>
      <c r="E2617" s="1014">
        <v>8134</v>
      </c>
      <c r="F2617" s="1013" t="s">
        <v>6499</v>
      </c>
      <c r="G2617" s="1014" t="s">
        <v>266</v>
      </c>
      <c r="H2617" s="1015">
        <v>835456</v>
      </c>
      <c r="I2617" s="1016" t="s">
        <v>6899</v>
      </c>
    </row>
    <row r="2618" spans="2:9" ht="15.75" x14ac:dyDescent="0.25">
      <c r="B2618" s="1365" t="s">
        <v>7249</v>
      </c>
      <c r="C2618" s="1013" t="s">
        <v>4468</v>
      </c>
      <c r="D2618" s="1013" t="s">
        <v>4469</v>
      </c>
      <c r="E2618" s="1014">
        <v>8135</v>
      </c>
      <c r="F2618" s="1013" t="s">
        <v>6500</v>
      </c>
      <c r="G2618" s="1014" t="s">
        <v>13</v>
      </c>
      <c r="H2618" s="1015">
        <v>768488</v>
      </c>
      <c r="I2618" s="1016" t="s">
        <v>6899</v>
      </c>
    </row>
    <row r="2619" spans="2:9" ht="15.75" x14ac:dyDescent="0.25">
      <c r="B2619" s="1365" t="s">
        <v>7249</v>
      </c>
      <c r="C2619" s="1013" t="s">
        <v>4405</v>
      </c>
      <c r="D2619" s="1013" t="s">
        <v>4406</v>
      </c>
      <c r="E2619" s="1014">
        <v>8136</v>
      </c>
      <c r="F2619" s="1013" t="s">
        <v>6501</v>
      </c>
      <c r="G2619" s="1014" t="s">
        <v>13</v>
      </c>
      <c r="H2619" s="1015">
        <v>80105</v>
      </c>
      <c r="I2619" s="1016" t="s">
        <v>4398</v>
      </c>
    </row>
    <row r="2620" spans="2:9" ht="15.75" x14ac:dyDescent="0.25">
      <c r="B2620" s="1365" t="s">
        <v>7249</v>
      </c>
      <c r="C2620" s="1013" t="s">
        <v>4405</v>
      </c>
      <c r="D2620" s="1013" t="s">
        <v>4406</v>
      </c>
      <c r="E2620" s="1014">
        <v>8138</v>
      </c>
      <c r="F2620" s="1013" t="s">
        <v>6502</v>
      </c>
      <c r="G2620" s="1014" t="s">
        <v>13</v>
      </c>
      <c r="H2620" s="1015">
        <v>105551</v>
      </c>
      <c r="I2620" s="1016" t="s">
        <v>4398</v>
      </c>
    </row>
    <row r="2621" spans="2:9" ht="15.75" x14ac:dyDescent="0.25">
      <c r="B2621" s="1365" t="s">
        <v>7249</v>
      </c>
      <c r="C2621" s="1013" t="s">
        <v>4468</v>
      </c>
      <c r="D2621" s="1013" t="s">
        <v>4469</v>
      </c>
      <c r="E2621" s="1014">
        <v>8139</v>
      </c>
      <c r="F2621" s="1013" t="s">
        <v>6503</v>
      </c>
      <c r="G2621" s="1014" t="s">
        <v>3</v>
      </c>
      <c r="H2621" s="1015">
        <v>689890</v>
      </c>
      <c r="I2621" s="1016" t="s">
        <v>6899</v>
      </c>
    </row>
    <row r="2622" spans="2:9" ht="15.75" x14ac:dyDescent="0.25">
      <c r="B2622" s="1365" t="s">
        <v>7249</v>
      </c>
      <c r="C2622" s="1013" t="s">
        <v>4431</v>
      </c>
      <c r="D2622" s="1013" t="s">
        <v>5094</v>
      </c>
      <c r="E2622" s="1014">
        <v>8140</v>
      </c>
      <c r="F2622" s="1013" t="s">
        <v>6504</v>
      </c>
      <c r="G2622" s="1014" t="s">
        <v>266</v>
      </c>
      <c r="H2622" s="1015">
        <v>1373268</v>
      </c>
      <c r="I2622" s="1016" t="s">
        <v>6899</v>
      </c>
    </row>
    <row r="2623" spans="2:9" ht="15.75" x14ac:dyDescent="0.25">
      <c r="B2623" s="1365" t="s">
        <v>7249</v>
      </c>
      <c r="C2623" s="1013" t="s">
        <v>4420</v>
      </c>
      <c r="D2623" s="1013" t="s">
        <v>4420</v>
      </c>
      <c r="E2623" s="1014">
        <v>8142</v>
      </c>
      <c r="F2623" s="1013" t="s">
        <v>905</v>
      </c>
      <c r="G2623" s="1014" t="s">
        <v>13</v>
      </c>
      <c r="H2623" s="1015">
        <v>104287</v>
      </c>
      <c r="I2623" s="1016" t="s">
        <v>4398</v>
      </c>
    </row>
    <row r="2624" spans="2:9" ht="15.75" x14ac:dyDescent="0.25">
      <c r="B2624" s="1365" t="s">
        <v>7249</v>
      </c>
      <c r="C2624" s="1013" t="s">
        <v>4431</v>
      </c>
      <c r="D2624" s="1013" t="s">
        <v>4432</v>
      </c>
      <c r="E2624" s="1014">
        <v>8143</v>
      </c>
      <c r="F2624" s="1013" t="s">
        <v>6505</v>
      </c>
      <c r="G2624" s="1014" t="s">
        <v>266</v>
      </c>
      <c r="H2624" s="1015">
        <v>2928646</v>
      </c>
      <c r="I2624" s="1016" t="s">
        <v>6899</v>
      </c>
    </row>
    <row r="2625" spans="2:9" ht="15.75" x14ac:dyDescent="0.25">
      <c r="B2625" s="1365" t="s">
        <v>7249</v>
      </c>
      <c r="C2625" s="1013" t="s">
        <v>4405</v>
      </c>
      <c r="D2625" s="1013" t="s">
        <v>4406</v>
      </c>
      <c r="E2625" s="1014">
        <v>8144</v>
      </c>
      <c r="F2625" s="1013" t="s">
        <v>6506</v>
      </c>
      <c r="G2625" s="1014" t="s">
        <v>266</v>
      </c>
      <c r="H2625" s="1015">
        <v>1143470</v>
      </c>
      <c r="I2625" s="1016" t="s">
        <v>6899</v>
      </c>
    </row>
    <row r="2626" spans="2:9" ht="15.75" x14ac:dyDescent="0.25">
      <c r="B2626" s="1365" t="s">
        <v>7249</v>
      </c>
      <c r="C2626" s="1013" t="s">
        <v>4431</v>
      </c>
      <c r="D2626" s="1013" t="s">
        <v>5094</v>
      </c>
      <c r="E2626" s="1014">
        <v>8145</v>
      </c>
      <c r="F2626" s="1013" t="s">
        <v>6507</v>
      </c>
      <c r="G2626" s="1014" t="s">
        <v>266</v>
      </c>
      <c r="H2626" s="1015">
        <v>784497</v>
      </c>
      <c r="I2626" s="1016" t="s">
        <v>6899</v>
      </c>
    </row>
    <row r="2627" spans="2:9" ht="15.75" x14ac:dyDescent="0.25">
      <c r="B2627" s="1365" t="s">
        <v>7249</v>
      </c>
      <c r="C2627" s="1013" t="s">
        <v>4431</v>
      </c>
      <c r="D2627" s="1013" t="s">
        <v>5094</v>
      </c>
      <c r="E2627" s="1014">
        <v>8146</v>
      </c>
      <c r="F2627" s="1013" t="s">
        <v>6508</v>
      </c>
      <c r="G2627" s="1014" t="s">
        <v>266</v>
      </c>
      <c r="H2627" s="1015">
        <v>420920</v>
      </c>
      <c r="I2627" s="1016" t="s">
        <v>6899</v>
      </c>
    </row>
    <row r="2628" spans="2:9" ht="15.75" x14ac:dyDescent="0.25">
      <c r="B2628" s="1365" t="s">
        <v>7249</v>
      </c>
      <c r="C2628" s="1013" t="s">
        <v>4420</v>
      </c>
      <c r="D2628" s="1013" t="s">
        <v>4420</v>
      </c>
      <c r="E2628" s="1014">
        <v>8148</v>
      </c>
      <c r="F2628" s="1013" t="s">
        <v>6509</v>
      </c>
      <c r="G2628" s="1014" t="s">
        <v>266</v>
      </c>
      <c r="H2628" s="1015">
        <v>385027</v>
      </c>
      <c r="I2628" s="1016" t="s">
        <v>6899</v>
      </c>
    </row>
    <row r="2629" spans="2:9" ht="15.75" x14ac:dyDescent="0.25">
      <c r="B2629" s="1365" t="s">
        <v>7249</v>
      </c>
      <c r="C2629" s="1013" t="s">
        <v>4431</v>
      </c>
      <c r="D2629" s="1013" t="s">
        <v>4432</v>
      </c>
      <c r="E2629" s="1014">
        <v>8150</v>
      </c>
      <c r="F2629" s="1013" t="s">
        <v>6510</v>
      </c>
      <c r="G2629" s="1014" t="s">
        <v>266</v>
      </c>
      <c r="H2629" s="1015">
        <v>1262077</v>
      </c>
      <c r="I2629" s="1016" t="s">
        <v>6899</v>
      </c>
    </row>
    <row r="2630" spans="2:9" ht="15.75" x14ac:dyDescent="0.25">
      <c r="B2630" s="1365" t="s">
        <v>7249</v>
      </c>
      <c r="C2630" s="1013" t="s">
        <v>4461</v>
      </c>
      <c r="D2630" s="1013" t="s">
        <v>4461</v>
      </c>
      <c r="E2630" s="1014">
        <v>8151</v>
      </c>
      <c r="F2630" s="1013" t="s">
        <v>906</v>
      </c>
      <c r="G2630" s="1014" t="s">
        <v>266</v>
      </c>
      <c r="H2630" s="1015">
        <v>1964882</v>
      </c>
      <c r="I2630" s="1016" t="s">
        <v>4398</v>
      </c>
    </row>
    <row r="2631" spans="2:9" ht="15.75" x14ac:dyDescent="0.25">
      <c r="B2631" s="1365" t="s">
        <v>7249</v>
      </c>
      <c r="C2631" s="1013" t="s">
        <v>4420</v>
      </c>
      <c r="D2631" s="1013" t="s">
        <v>4420</v>
      </c>
      <c r="E2631" s="1014">
        <v>8152</v>
      </c>
      <c r="F2631" s="1013" t="s">
        <v>907</v>
      </c>
      <c r="G2631" s="1014" t="s">
        <v>266</v>
      </c>
      <c r="H2631" s="1015">
        <v>50928</v>
      </c>
      <c r="I2631" s="1016" t="s">
        <v>6899</v>
      </c>
    </row>
    <row r="2632" spans="2:9" ht="15.75" x14ac:dyDescent="0.25">
      <c r="B2632" s="1365" t="s">
        <v>7249</v>
      </c>
      <c r="C2632" s="1013" t="s">
        <v>4405</v>
      </c>
      <c r="D2632" s="1013" t="s">
        <v>4406</v>
      </c>
      <c r="E2632" s="1014">
        <v>8153</v>
      </c>
      <c r="F2632" s="1013" t="s">
        <v>6511</v>
      </c>
      <c r="G2632" s="1014" t="s">
        <v>266</v>
      </c>
      <c r="H2632" s="1015">
        <v>28993114</v>
      </c>
      <c r="I2632" s="1016" t="s">
        <v>6899</v>
      </c>
    </row>
    <row r="2633" spans="2:9" ht="15.75" x14ac:dyDescent="0.25">
      <c r="B2633" s="1365" t="s">
        <v>7249</v>
      </c>
      <c r="C2633" s="1013" t="s">
        <v>4431</v>
      </c>
      <c r="D2633" s="1013" t="s">
        <v>4432</v>
      </c>
      <c r="E2633" s="1014">
        <v>8154</v>
      </c>
      <c r="F2633" s="1013" t="s">
        <v>6512</v>
      </c>
      <c r="G2633" s="1014" t="s">
        <v>266</v>
      </c>
      <c r="H2633" s="1015">
        <v>784293</v>
      </c>
      <c r="I2633" s="1016" t="s">
        <v>6899</v>
      </c>
    </row>
    <row r="2634" spans="2:9" ht="15.75" x14ac:dyDescent="0.25">
      <c r="B2634" s="1365" t="s">
        <v>7249</v>
      </c>
      <c r="C2634" s="1013" t="s">
        <v>4431</v>
      </c>
      <c r="D2634" s="1013" t="s">
        <v>4432</v>
      </c>
      <c r="E2634" s="1014">
        <v>8155</v>
      </c>
      <c r="F2634" s="1013" t="s">
        <v>6513</v>
      </c>
      <c r="G2634" s="1014" t="s">
        <v>266</v>
      </c>
      <c r="H2634" s="1015">
        <v>1762029</v>
      </c>
      <c r="I2634" s="1016" t="s">
        <v>6899</v>
      </c>
    </row>
    <row r="2635" spans="2:9" ht="15.75" x14ac:dyDescent="0.25">
      <c r="B2635" s="1365" t="s">
        <v>7249</v>
      </c>
      <c r="C2635" s="1013" t="s">
        <v>4420</v>
      </c>
      <c r="D2635" s="1013" t="s">
        <v>4420</v>
      </c>
      <c r="E2635" s="1014">
        <v>8156</v>
      </c>
      <c r="F2635" s="1013" t="s">
        <v>908</v>
      </c>
      <c r="G2635" s="1014" t="s">
        <v>266</v>
      </c>
      <c r="H2635" s="1015">
        <v>4988</v>
      </c>
      <c r="I2635" s="1016" t="s">
        <v>6899</v>
      </c>
    </row>
    <row r="2636" spans="2:9" ht="15.75" x14ac:dyDescent="0.25">
      <c r="B2636" s="1365" t="s">
        <v>7249</v>
      </c>
      <c r="C2636" s="1013" t="s">
        <v>4405</v>
      </c>
      <c r="D2636" s="1013" t="s">
        <v>4406</v>
      </c>
      <c r="E2636" s="1014">
        <v>8157</v>
      </c>
      <c r="F2636" s="1013" t="s">
        <v>6514</v>
      </c>
      <c r="G2636" s="1014" t="s">
        <v>266</v>
      </c>
      <c r="H2636" s="1015">
        <v>23557400</v>
      </c>
      <c r="I2636" s="1016" t="s">
        <v>6899</v>
      </c>
    </row>
    <row r="2637" spans="2:9" ht="15.75" x14ac:dyDescent="0.25">
      <c r="B2637" s="1365" t="s">
        <v>7249</v>
      </c>
      <c r="C2637" s="1013" t="s">
        <v>4468</v>
      </c>
      <c r="D2637" s="1013" t="s">
        <v>4469</v>
      </c>
      <c r="E2637" s="1014">
        <v>8158</v>
      </c>
      <c r="F2637" s="1013" t="s">
        <v>6515</v>
      </c>
      <c r="G2637" s="1014" t="s">
        <v>3</v>
      </c>
      <c r="H2637" s="1015">
        <v>705495</v>
      </c>
      <c r="I2637" s="1016" t="s">
        <v>6899</v>
      </c>
    </row>
    <row r="2638" spans="2:9" ht="15.75" x14ac:dyDescent="0.25">
      <c r="B2638" s="1365" t="s">
        <v>7249</v>
      </c>
      <c r="C2638" s="1013" t="s">
        <v>4405</v>
      </c>
      <c r="D2638" s="1013" t="s">
        <v>4406</v>
      </c>
      <c r="E2638" s="1014">
        <v>8159</v>
      </c>
      <c r="F2638" s="1013" t="s">
        <v>6516</v>
      </c>
      <c r="G2638" s="1014" t="s">
        <v>266</v>
      </c>
      <c r="H2638" s="1015">
        <v>60545422</v>
      </c>
      <c r="I2638" s="1016" t="s">
        <v>6899</v>
      </c>
    </row>
    <row r="2639" spans="2:9" ht="15.75" x14ac:dyDescent="0.25">
      <c r="B2639" s="1365" t="s">
        <v>7249</v>
      </c>
      <c r="C2639" s="1013" t="s">
        <v>4472</v>
      </c>
      <c r="D2639" s="1013" t="s">
        <v>4985</v>
      </c>
      <c r="E2639" s="1014">
        <v>8160</v>
      </c>
      <c r="F2639" s="1013" t="s">
        <v>6517</v>
      </c>
      <c r="G2639" s="1014" t="s">
        <v>13</v>
      </c>
      <c r="H2639" s="1015">
        <v>23904</v>
      </c>
      <c r="I2639" s="1016" t="s">
        <v>6899</v>
      </c>
    </row>
    <row r="2640" spans="2:9" ht="15.75" x14ac:dyDescent="0.25">
      <c r="B2640" s="1365" t="s">
        <v>7249</v>
      </c>
      <c r="C2640" s="1013" t="s">
        <v>4431</v>
      </c>
      <c r="D2640" s="1013" t="s">
        <v>4432</v>
      </c>
      <c r="E2640" s="1014">
        <v>8161</v>
      </c>
      <c r="F2640" s="1013" t="s">
        <v>6518</v>
      </c>
      <c r="G2640" s="1014" t="s">
        <v>266</v>
      </c>
      <c r="H2640" s="1015">
        <v>2132446</v>
      </c>
      <c r="I2640" s="1016" t="s">
        <v>6899</v>
      </c>
    </row>
    <row r="2641" spans="2:9" ht="15.75" x14ac:dyDescent="0.25">
      <c r="B2641" s="1365" t="s">
        <v>7249</v>
      </c>
      <c r="C2641" s="1013" t="s">
        <v>4420</v>
      </c>
      <c r="D2641" s="1013" t="s">
        <v>4420</v>
      </c>
      <c r="E2641" s="1014">
        <v>8162</v>
      </c>
      <c r="F2641" s="1013" t="s">
        <v>909</v>
      </c>
      <c r="G2641" s="1014" t="s">
        <v>13</v>
      </c>
      <c r="H2641" s="1015">
        <v>53670</v>
      </c>
      <c r="I2641" s="1016" t="s">
        <v>4398</v>
      </c>
    </row>
    <row r="2642" spans="2:9" ht="15.75" x14ac:dyDescent="0.25">
      <c r="B2642" s="1365" t="s">
        <v>7249</v>
      </c>
      <c r="C2642" s="1013" t="s">
        <v>4420</v>
      </c>
      <c r="D2642" s="1013" t="s">
        <v>4420</v>
      </c>
      <c r="E2642" s="1014">
        <v>8163</v>
      </c>
      <c r="F2642" s="1013" t="s">
        <v>910</v>
      </c>
      <c r="G2642" s="1014" t="s">
        <v>13</v>
      </c>
      <c r="H2642" s="1015">
        <v>199216</v>
      </c>
      <c r="I2642" s="1016" t="s">
        <v>4398</v>
      </c>
    </row>
    <row r="2643" spans="2:9" ht="15.75" x14ac:dyDescent="0.25">
      <c r="B2643" s="1365" t="s">
        <v>7249</v>
      </c>
      <c r="C2643" s="1013" t="s">
        <v>4799</v>
      </c>
      <c r="D2643" s="1013" t="s">
        <v>3495</v>
      </c>
      <c r="E2643" s="1014">
        <v>8165</v>
      </c>
      <c r="F2643" s="1013" t="s">
        <v>6519</v>
      </c>
      <c r="G2643" s="1014" t="s">
        <v>266</v>
      </c>
      <c r="H2643" s="1015">
        <v>466179</v>
      </c>
      <c r="I2643" s="1016" t="s">
        <v>6899</v>
      </c>
    </row>
    <row r="2644" spans="2:9" ht="15.75" x14ac:dyDescent="0.25">
      <c r="B2644" s="1365" t="s">
        <v>7249</v>
      </c>
      <c r="C2644" s="1013" t="s">
        <v>4417</v>
      </c>
      <c r="D2644" s="1013" t="s">
        <v>4438</v>
      </c>
      <c r="E2644" s="1014">
        <v>8166</v>
      </c>
      <c r="F2644" s="1013" t="s">
        <v>6520</v>
      </c>
      <c r="G2644" s="1014" t="s">
        <v>12</v>
      </c>
      <c r="H2644" s="1015">
        <v>108799</v>
      </c>
      <c r="I2644" s="1016" t="s">
        <v>6899</v>
      </c>
    </row>
    <row r="2645" spans="2:9" ht="15.75" x14ac:dyDescent="0.25">
      <c r="B2645" s="1365" t="s">
        <v>7249</v>
      </c>
      <c r="C2645" s="1013" t="s">
        <v>4451</v>
      </c>
      <c r="D2645" s="1013" t="s">
        <v>4616</v>
      </c>
      <c r="E2645" s="1014">
        <v>8167</v>
      </c>
      <c r="F2645" s="1013" t="s">
        <v>6521</v>
      </c>
      <c r="G2645" s="1014" t="s">
        <v>12</v>
      </c>
      <c r="H2645" s="1015">
        <v>172489</v>
      </c>
      <c r="I2645" s="1016" t="s">
        <v>6899</v>
      </c>
    </row>
    <row r="2646" spans="2:9" ht="15.75" x14ac:dyDescent="0.25">
      <c r="B2646" s="1365" t="s">
        <v>7249</v>
      </c>
      <c r="C2646" s="1013" t="s">
        <v>4431</v>
      </c>
      <c r="D2646" s="1013" t="s">
        <v>4432</v>
      </c>
      <c r="E2646" s="1014">
        <v>8168</v>
      </c>
      <c r="F2646" s="1013" t="s">
        <v>6522</v>
      </c>
      <c r="G2646" s="1014" t="s">
        <v>266</v>
      </c>
      <c r="H2646" s="1015">
        <v>2492789</v>
      </c>
      <c r="I2646" s="1016" t="s">
        <v>6899</v>
      </c>
    </row>
    <row r="2647" spans="2:9" ht="15.75" x14ac:dyDescent="0.25">
      <c r="B2647" s="1365" t="s">
        <v>7249</v>
      </c>
      <c r="C2647" s="1013" t="s">
        <v>4417</v>
      </c>
      <c r="D2647" s="1013" t="s">
        <v>4438</v>
      </c>
      <c r="E2647" s="1014">
        <v>8169</v>
      </c>
      <c r="F2647" s="1013" t="s">
        <v>6523</v>
      </c>
      <c r="G2647" s="1014" t="s">
        <v>12</v>
      </c>
      <c r="H2647" s="1015">
        <v>108799</v>
      </c>
      <c r="I2647" s="1016" t="s">
        <v>6899</v>
      </c>
    </row>
    <row r="2648" spans="2:9" ht="15.75" x14ac:dyDescent="0.25">
      <c r="B2648" s="1365" t="s">
        <v>7249</v>
      </c>
      <c r="C2648" s="1013" t="s">
        <v>4405</v>
      </c>
      <c r="D2648" s="1013" t="s">
        <v>4406</v>
      </c>
      <c r="E2648" s="1014">
        <v>8170</v>
      </c>
      <c r="F2648" s="1013" t="s">
        <v>6524</v>
      </c>
      <c r="G2648" s="1014" t="s">
        <v>266</v>
      </c>
      <c r="H2648" s="1015">
        <v>1131072</v>
      </c>
      <c r="I2648" s="1016" t="s">
        <v>4398</v>
      </c>
    </row>
    <row r="2649" spans="2:9" ht="15.75" x14ac:dyDescent="0.25">
      <c r="B2649" s="1365" t="s">
        <v>7249</v>
      </c>
      <c r="C2649" s="1013" t="s">
        <v>4420</v>
      </c>
      <c r="D2649" s="1013" t="s">
        <v>4420</v>
      </c>
      <c r="E2649" s="1014">
        <v>8171</v>
      </c>
      <c r="F2649" s="1013" t="s">
        <v>911</v>
      </c>
      <c r="G2649" s="1014" t="s">
        <v>13</v>
      </c>
      <c r="H2649" s="1015">
        <v>502944</v>
      </c>
      <c r="I2649" s="1016" t="s">
        <v>4398</v>
      </c>
    </row>
    <row r="2650" spans="2:9" ht="15.75" x14ac:dyDescent="0.25">
      <c r="B2650" s="1365" t="s">
        <v>7249</v>
      </c>
      <c r="C2650" s="1013" t="s">
        <v>4405</v>
      </c>
      <c r="D2650" s="1013" t="s">
        <v>4406</v>
      </c>
      <c r="E2650" s="1014">
        <v>8172</v>
      </c>
      <c r="F2650" s="1013" t="s">
        <v>6525</v>
      </c>
      <c r="G2650" s="1014" t="s">
        <v>266</v>
      </c>
      <c r="H2650" s="1015">
        <v>790805</v>
      </c>
      <c r="I2650" s="1016" t="s">
        <v>6899</v>
      </c>
    </row>
    <row r="2651" spans="2:9" ht="15.75" x14ac:dyDescent="0.25">
      <c r="B2651" s="1365" t="s">
        <v>7249</v>
      </c>
      <c r="C2651" s="1013" t="s">
        <v>4405</v>
      </c>
      <c r="D2651" s="1013" t="s">
        <v>4406</v>
      </c>
      <c r="E2651" s="1014">
        <v>8173</v>
      </c>
      <c r="F2651" s="1013" t="s">
        <v>6526</v>
      </c>
      <c r="G2651" s="1014" t="s">
        <v>266</v>
      </c>
      <c r="H2651" s="1015">
        <v>990096</v>
      </c>
      <c r="I2651" s="1016" t="s">
        <v>6899</v>
      </c>
    </row>
    <row r="2652" spans="2:9" ht="15.75" x14ac:dyDescent="0.25">
      <c r="B2652" s="1365" t="s">
        <v>7249</v>
      </c>
      <c r="C2652" s="1013" t="s">
        <v>4420</v>
      </c>
      <c r="D2652" s="1013" t="s">
        <v>4420</v>
      </c>
      <c r="E2652" s="1014">
        <v>8177</v>
      </c>
      <c r="F2652" s="1013" t="s">
        <v>912</v>
      </c>
      <c r="G2652" s="1014" t="s">
        <v>13</v>
      </c>
      <c r="H2652" s="1015">
        <v>331660</v>
      </c>
      <c r="I2652" s="1016" t="s">
        <v>4398</v>
      </c>
    </row>
    <row r="2653" spans="2:9" ht="15.75" x14ac:dyDescent="0.25">
      <c r="B2653" s="1365" t="s">
        <v>7249</v>
      </c>
      <c r="C2653" s="1013" t="s">
        <v>4461</v>
      </c>
      <c r="D2653" s="1013" t="s">
        <v>4461</v>
      </c>
      <c r="E2653" s="1014">
        <v>8181</v>
      </c>
      <c r="F2653" s="1013" t="s">
        <v>913</v>
      </c>
      <c r="G2653" s="1014" t="s">
        <v>266</v>
      </c>
      <c r="H2653" s="1015">
        <v>1960919</v>
      </c>
      <c r="I2653" s="1016" t="s">
        <v>4398</v>
      </c>
    </row>
    <row r="2654" spans="2:9" ht="15.75" x14ac:dyDescent="0.25">
      <c r="B2654" s="1365" t="s">
        <v>7249</v>
      </c>
      <c r="C2654" s="1013" t="s">
        <v>4461</v>
      </c>
      <c r="D2654" s="1013" t="s">
        <v>4461</v>
      </c>
      <c r="E2654" s="1014">
        <v>8182</v>
      </c>
      <c r="F2654" s="1013" t="s">
        <v>914</v>
      </c>
      <c r="G2654" s="1014" t="s">
        <v>266</v>
      </c>
      <c r="H2654" s="1015">
        <v>5703008</v>
      </c>
      <c r="I2654" s="1016" t="s">
        <v>4398</v>
      </c>
    </row>
    <row r="2655" spans="2:9" ht="15.75" x14ac:dyDescent="0.25">
      <c r="B2655" s="1365" t="s">
        <v>7249</v>
      </c>
      <c r="C2655" s="1013" t="s">
        <v>5425</v>
      </c>
      <c r="D2655" s="1013" t="s">
        <v>5426</v>
      </c>
      <c r="E2655" s="1014">
        <v>8184</v>
      </c>
      <c r="F2655" s="1013" t="s">
        <v>6527</v>
      </c>
      <c r="G2655" s="1014" t="s">
        <v>12</v>
      </c>
      <c r="H2655" s="1015">
        <v>7633</v>
      </c>
      <c r="I2655" s="1016" t="s">
        <v>4398</v>
      </c>
    </row>
    <row r="2656" spans="2:9" ht="15.75" x14ac:dyDescent="0.25">
      <c r="B2656" s="1365" t="s">
        <v>7249</v>
      </c>
      <c r="C2656" s="1013" t="s">
        <v>4420</v>
      </c>
      <c r="D2656" s="1013" t="s">
        <v>4420</v>
      </c>
      <c r="E2656" s="1014">
        <v>8185</v>
      </c>
      <c r="F2656" s="1013" t="s">
        <v>6528</v>
      </c>
      <c r="G2656" s="1014" t="s">
        <v>266</v>
      </c>
      <c r="H2656" s="1015">
        <v>48528</v>
      </c>
      <c r="I2656" s="1016" t="s">
        <v>6899</v>
      </c>
    </row>
    <row r="2657" spans="2:9" ht="15.75" x14ac:dyDescent="0.25">
      <c r="B2657" s="1365" t="s">
        <v>7249</v>
      </c>
      <c r="C2657" s="1013" t="s">
        <v>4451</v>
      </c>
      <c r="D2657" s="1013" t="s">
        <v>4452</v>
      </c>
      <c r="E2657" s="1014">
        <v>8186</v>
      </c>
      <c r="F2657" s="1013" t="s">
        <v>7250</v>
      </c>
      <c r="G2657" s="1014" t="s">
        <v>12</v>
      </c>
      <c r="H2657" s="1015">
        <v>93475</v>
      </c>
      <c r="I2657" s="1016" t="s">
        <v>4398</v>
      </c>
    </row>
    <row r="2658" spans="2:9" ht="15.75" x14ac:dyDescent="0.25">
      <c r="B2658" s="1365" t="s">
        <v>7249</v>
      </c>
      <c r="C2658" s="1013" t="s">
        <v>4431</v>
      </c>
      <c r="D2658" s="1013" t="s">
        <v>4432</v>
      </c>
      <c r="E2658" s="1014">
        <v>8187</v>
      </c>
      <c r="F2658" s="1013" t="s">
        <v>6529</v>
      </c>
      <c r="G2658" s="1014" t="s">
        <v>266</v>
      </c>
      <c r="H2658" s="1015">
        <v>5168799</v>
      </c>
      <c r="I2658" s="1016" t="s">
        <v>6899</v>
      </c>
    </row>
    <row r="2659" spans="2:9" ht="15.75" x14ac:dyDescent="0.25">
      <c r="B2659" s="1365" t="s">
        <v>7249</v>
      </c>
      <c r="C2659" s="1013" t="s">
        <v>4431</v>
      </c>
      <c r="D2659" s="1013" t="s">
        <v>4432</v>
      </c>
      <c r="E2659" s="1014">
        <v>8188</v>
      </c>
      <c r="F2659" s="1013" t="s">
        <v>6530</v>
      </c>
      <c r="G2659" s="1014" t="s">
        <v>266</v>
      </c>
      <c r="H2659" s="1015">
        <v>5074478</v>
      </c>
      <c r="I2659" s="1016" t="s">
        <v>6899</v>
      </c>
    </row>
    <row r="2660" spans="2:9" ht="15.75" x14ac:dyDescent="0.25">
      <c r="B2660" s="1365" t="s">
        <v>7249</v>
      </c>
      <c r="C2660" s="1013" t="s">
        <v>1474</v>
      </c>
      <c r="D2660" s="1013" t="s">
        <v>5380</v>
      </c>
      <c r="E2660" s="1014">
        <v>8194</v>
      </c>
      <c r="F2660" s="1013" t="s">
        <v>6531</v>
      </c>
      <c r="G2660" s="1014" t="s">
        <v>266</v>
      </c>
      <c r="H2660" s="1015">
        <v>7437445</v>
      </c>
      <c r="I2660" s="1016" t="s">
        <v>4398</v>
      </c>
    </row>
    <row r="2661" spans="2:9" ht="15.75" x14ac:dyDescent="0.25">
      <c r="B2661" s="1365" t="s">
        <v>7249</v>
      </c>
      <c r="C2661" s="1013" t="s">
        <v>4468</v>
      </c>
      <c r="D2661" s="1013" t="s">
        <v>4469</v>
      </c>
      <c r="E2661" s="1014">
        <v>8195</v>
      </c>
      <c r="F2661" s="1013" t="s">
        <v>6532</v>
      </c>
      <c r="G2661" s="1014" t="s">
        <v>3</v>
      </c>
      <c r="H2661" s="1015">
        <v>1211524</v>
      </c>
      <c r="I2661" s="1016" t="s">
        <v>6899</v>
      </c>
    </row>
    <row r="2662" spans="2:9" ht="15.75" x14ac:dyDescent="0.25">
      <c r="B2662" s="1365" t="s">
        <v>7249</v>
      </c>
      <c r="C2662" s="1013" t="s">
        <v>4396</v>
      </c>
      <c r="D2662" s="1013" t="s">
        <v>6332</v>
      </c>
      <c r="E2662" s="1014">
        <v>8196</v>
      </c>
      <c r="F2662" s="1013" t="s">
        <v>915</v>
      </c>
      <c r="G2662" s="1014" t="s">
        <v>3</v>
      </c>
      <c r="H2662" s="1015">
        <v>739200</v>
      </c>
      <c r="I2662" s="1016" t="s">
        <v>6899</v>
      </c>
    </row>
    <row r="2663" spans="2:9" ht="15.75" x14ac:dyDescent="0.25">
      <c r="B2663" s="1365" t="s">
        <v>7249</v>
      </c>
      <c r="C2663" s="1013" t="s">
        <v>4468</v>
      </c>
      <c r="D2663" s="1013" t="s">
        <v>4469</v>
      </c>
      <c r="E2663" s="1014">
        <v>8200</v>
      </c>
      <c r="F2663" s="1013" t="s">
        <v>6533</v>
      </c>
      <c r="G2663" s="1014" t="s">
        <v>13</v>
      </c>
      <c r="H2663" s="1015">
        <v>951663</v>
      </c>
      <c r="I2663" s="1016" t="s">
        <v>6899</v>
      </c>
    </row>
    <row r="2664" spans="2:9" ht="15.75" x14ac:dyDescent="0.25">
      <c r="B2664" s="1365" t="s">
        <v>7249</v>
      </c>
      <c r="C2664" s="1013" t="s">
        <v>4405</v>
      </c>
      <c r="D2664" s="1013" t="s">
        <v>4406</v>
      </c>
      <c r="E2664" s="1014">
        <v>8202</v>
      </c>
      <c r="F2664" s="1013" t="s">
        <v>916</v>
      </c>
      <c r="G2664" s="1014" t="s">
        <v>266</v>
      </c>
      <c r="H2664" s="1015">
        <v>339671</v>
      </c>
      <c r="I2664" s="1016" t="s">
        <v>6899</v>
      </c>
    </row>
    <row r="2665" spans="2:9" ht="15.75" x14ac:dyDescent="0.25">
      <c r="B2665" s="1365" t="s">
        <v>7249</v>
      </c>
      <c r="C2665" s="1013" t="s">
        <v>4468</v>
      </c>
      <c r="D2665" s="1013" t="s">
        <v>4469</v>
      </c>
      <c r="E2665" s="1014">
        <v>8204</v>
      </c>
      <c r="F2665" s="1013" t="s">
        <v>917</v>
      </c>
      <c r="G2665" s="1014" t="s">
        <v>3</v>
      </c>
      <c r="H2665" s="1015">
        <v>783672</v>
      </c>
      <c r="I2665" s="1016" t="s">
        <v>6899</v>
      </c>
    </row>
    <row r="2666" spans="2:9" ht="15.75" x14ac:dyDescent="0.25">
      <c r="B2666" s="1365" t="s">
        <v>7249</v>
      </c>
      <c r="C2666" s="1013" t="s">
        <v>4468</v>
      </c>
      <c r="D2666" s="1013" t="s">
        <v>4469</v>
      </c>
      <c r="E2666" s="1014">
        <v>8205</v>
      </c>
      <c r="F2666" s="1013" t="s">
        <v>6534</v>
      </c>
      <c r="G2666" s="1014" t="s">
        <v>12</v>
      </c>
      <c r="H2666" s="1015">
        <v>211625</v>
      </c>
      <c r="I2666" s="1016" t="s">
        <v>6899</v>
      </c>
    </row>
    <row r="2667" spans="2:9" ht="15.75" x14ac:dyDescent="0.25">
      <c r="B2667" s="1365" t="s">
        <v>7249</v>
      </c>
      <c r="C2667" s="1013" t="s">
        <v>4468</v>
      </c>
      <c r="D2667" s="1013" t="s">
        <v>4469</v>
      </c>
      <c r="E2667" s="1014">
        <v>8209</v>
      </c>
      <c r="F2667" s="1013" t="s">
        <v>6535</v>
      </c>
      <c r="G2667" s="1014" t="s">
        <v>266</v>
      </c>
      <c r="H2667" s="1015">
        <v>590650</v>
      </c>
      <c r="I2667" s="1016" t="s">
        <v>6899</v>
      </c>
    </row>
    <row r="2668" spans="2:9" ht="15.75" x14ac:dyDescent="0.25">
      <c r="B2668" s="1365" t="s">
        <v>7249</v>
      </c>
      <c r="C2668" s="1013" t="s">
        <v>4799</v>
      </c>
      <c r="D2668" s="1013" t="s">
        <v>3495</v>
      </c>
      <c r="E2668" s="1014">
        <v>8210</v>
      </c>
      <c r="F2668" s="1013" t="s">
        <v>6536</v>
      </c>
      <c r="G2668" s="1014" t="s">
        <v>13</v>
      </c>
      <c r="H2668" s="1015">
        <v>5752</v>
      </c>
      <c r="I2668" s="1016" t="s">
        <v>4398</v>
      </c>
    </row>
    <row r="2669" spans="2:9" ht="15.75" x14ac:dyDescent="0.25">
      <c r="B2669" s="1365" t="s">
        <v>7249</v>
      </c>
      <c r="C2669" s="1013" t="s">
        <v>4417</v>
      </c>
      <c r="D2669" s="1013" t="s">
        <v>4438</v>
      </c>
      <c r="E2669" s="1014">
        <v>8212</v>
      </c>
      <c r="F2669" s="1013" t="s">
        <v>6537</v>
      </c>
      <c r="G2669" s="1014" t="s">
        <v>12</v>
      </c>
      <c r="H2669" s="1015">
        <v>94877</v>
      </c>
      <c r="I2669" s="1016" t="s">
        <v>6899</v>
      </c>
    </row>
    <row r="2670" spans="2:9" ht="15.75" x14ac:dyDescent="0.25">
      <c r="B2670" s="1365" t="s">
        <v>7249</v>
      </c>
      <c r="C2670" s="1013" t="s">
        <v>4405</v>
      </c>
      <c r="D2670" s="1013" t="s">
        <v>4406</v>
      </c>
      <c r="E2670" s="1014">
        <v>8213</v>
      </c>
      <c r="F2670" s="1013" t="s">
        <v>6538</v>
      </c>
      <c r="G2670" s="1014" t="s">
        <v>13</v>
      </c>
      <c r="H2670" s="1015">
        <v>185532</v>
      </c>
      <c r="I2670" s="1016" t="s">
        <v>4398</v>
      </c>
    </row>
    <row r="2671" spans="2:9" ht="15.75" x14ac:dyDescent="0.25">
      <c r="B2671" s="1365" t="s">
        <v>7249</v>
      </c>
      <c r="C2671" s="1013" t="s">
        <v>4405</v>
      </c>
      <c r="D2671" s="1013" t="s">
        <v>4406</v>
      </c>
      <c r="E2671" s="1014">
        <v>8214</v>
      </c>
      <c r="F2671" s="1013" t="s">
        <v>918</v>
      </c>
      <c r="G2671" s="1014" t="s">
        <v>13</v>
      </c>
      <c r="H2671" s="1015">
        <v>173748</v>
      </c>
      <c r="I2671" s="1016" t="s">
        <v>4398</v>
      </c>
    </row>
    <row r="2672" spans="2:9" ht="15.75" x14ac:dyDescent="0.25">
      <c r="B2672" s="1365" t="s">
        <v>7249</v>
      </c>
      <c r="C2672" s="1013" t="s">
        <v>4405</v>
      </c>
      <c r="D2672" s="1013" t="s">
        <v>4406</v>
      </c>
      <c r="E2672" s="1014">
        <v>8217</v>
      </c>
      <c r="F2672" s="1013" t="s">
        <v>919</v>
      </c>
      <c r="G2672" s="1014" t="s">
        <v>13</v>
      </c>
      <c r="H2672" s="1015">
        <v>480374</v>
      </c>
      <c r="I2672" s="1016" t="s">
        <v>4398</v>
      </c>
    </row>
    <row r="2673" spans="2:9" ht="15.75" x14ac:dyDescent="0.25">
      <c r="B2673" s="1365" t="s">
        <v>7249</v>
      </c>
      <c r="C2673" s="1013" t="s">
        <v>4405</v>
      </c>
      <c r="D2673" s="1013" t="s">
        <v>4406</v>
      </c>
      <c r="E2673" s="1014">
        <v>8218</v>
      </c>
      <c r="F2673" s="1013" t="s">
        <v>920</v>
      </c>
      <c r="G2673" s="1014" t="s">
        <v>266</v>
      </c>
      <c r="H2673" s="1015">
        <v>1751134</v>
      </c>
      <c r="I2673" s="1016" t="s">
        <v>4398</v>
      </c>
    </row>
    <row r="2674" spans="2:9" ht="15.75" x14ac:dyDescent="0.25">
      <c r="B2674" s="1365" t="s">
        <v>7249</v>
      </c>
      <c r="C2674" s="1013" t="s">
        <v>4405</v>
      </c>
      <c r="D2674" s="1013" t="s">
        <v>4406</v>
      </c>
      <c r="E2674" s="1014">
        <v>8219</v>
      </c>
      <c r="F2674" s="1013" t="s">
        <v>921</v>
      </c>
      <c r="G2674" s="1014" t="s">
        <v>266</v>
      </c>
      <c r="H2674" s="1015">
        <v>1798647</v>
      </c>
      <c r="I2674" s="1016" t="s">
        <v>4398</v>
      </c>
    </row>
    <row r="2675" spans="2:9" ht="15.75" x14ac:dyDescent="0.25">
      <c r="B2675" s="1365" t="s">
        <v>7249</v>
      </c>
      <c r="C2675" s="1013" t="s">
        <v>4405</v>
      </c>
      <c r="D2675" s="1013" t="s">
        <v>4406</v>
      </c>
      <c r="E2675" s="1014">
        <v>8220</v>
      </c>
      <c r="F2675" s="1013" t="s">
        <v>922</v>
      </c>
      <c r="G2675" s="1014" t="s">
        <v>266</v>
      </c>
      <c r="H2675" s="1015">
        <v>1684487</v>
      </c>
      <c r="I2675" s="1016" t="s">
        <v>4398</v>
      </c>
    </row>
    <row r="2676" spans="2:9" ht="15.75" x14ac:dyDescent="0.25">
      <c r="B2676" s="1365" t="s">
        <v>7249</v>
      </c>
      <c r="C2676" s="1013" t="s">
        <v>4405</v>
      </c>
      <c r="D2676" s="1013" t="s">
        <v>4406</v>
      </c>
      <c r="E2676" s="1014">
        <v>8221</v>
      </c>
      <c r="F2676" s="1013" t="s">
        <v>923</v>
      </c>
      <c r="G2676" s="1014" t="s">
        <v>266</v>
      </c>
      <c r="H2676" s="1015">
        <v>438364</v>
      </c>
      <c r="I2676" s="1016" t="s">
        <v>4398</v>
      </c>
    </row>
    <row r="2677" spans="2:9" ht="15.75" x14ac:dyDescent="0.25">
      <c r="B2677" s="1365" t="s">
        <v>7249</v>
      </c>
      <c r="C2677" s="1013" t="s">
        <v>4454</v>
      </c>
      <c r="D2677" s="1013" t="s">
        <v>5477</v>
      </c>
      <c r="E2677" s="1014">
        <v>8222</v>
      </c>
      <c r="F2677" s="1013" t="s">
        <v>6539</v>
      </c>
      <c r="G2677" s="1014" t="s">
        <v>12</v>
      </c>
      <c r="H2677" s="1015">
        <v>63788</v>
      </c>
      <c r="I2677" s="1016" t="s">
        <v>4398</v>
      </c>
    </row>
    <row r="2678" spans="2:9" ht="15.75" x14ac:dyDescent="0.25">
      <c r="B2678" s="1365" t="s">
        <v>7249</v>
      </c>
      <c r="C2678" s="1013" t="s">
        <v>4454</v>
      </c>
      <c r="D2678" s="1013" t="s">
        <v>4455</v>
      </c>
      <c r="E2678" s="1014">
        <v>8223</v>
      </c>
      <c r="F2678" s="1013" t="s">
        <v>6540</v>
      </c>
      <c r="G2678" s="1014" t="s">
        <v>12</v>
      </c>
      <c r="H2678" s="1015">
        <v>63788</v>
      </c>
      <c r="I2678" s="1016" t="s">
        <v>4398</v>
      </c>
    </row>
    <row r="2679" spans="2:9" ht="15.75" x14ac:dyDescent="0.25">
      <c r="B2679" s="1365" t="s">
        <v>7249</v>
      </c>
      <c r="C2679" s="1013" t="s">
        <v>4451</v>
      </c>
      <c r="D2679" s="1013" t="s">
        <v>4616</v>
      </c>
      <c r="E2679" s="1014">
        <v>8224</v>
      </c>
      <c r="F2679" s="1013" t="s">
        <v>6541</v>
      </c>
      <c r="G2679" s="1014" t="s">
        <v>266</v>
      </c>
      <c r="H2679" s="1015">
        <v>7931020</v>
      </c>
      <c r="I2679" s="1016" t="s">
        <v>6899</v>
      </c>
    </row>
    <row r="2680" spans="2:9" ht="15.75" x14ac:dyDescent="0.25">
      <c r="B2680" s="1365" t="s">
        <v>7249</v>
      </c>
      <c r="C2680" s="1013" t="s">
        <v>4451</v>
      </c>
      <c r="D2680" s="1013" t="s">
        <v>4616</v>
      </c>
      <c r="E2680" s="1014">
        <v>8225</v>
      </c>
      <c r="F2680" s="1013" t="s">
        <v>6542</v>
      </c>
      <c r="G2680" s="1014" t="s">
        <v>266</v>
      </c>
      <c r="H2680" s="1015">
        <v>1714833</v>
      </c>
      <c r="I2680" s="1016" t="s">
        <v>6899</v>
      </c>
    </row>
    <row r="2681" spans="2:9" ht="15.75" x14ac:dyDescent="0.25">
      <c r="B2681" s="1365" t="s">
        <v>7249</v>
      </c>
      <c r="C2681" s="1013" t="s">
        <v>4417</v>
      </c>
      <c r="D2681" s="1013" t="s">
        <v>4438</v>
      </c>
      <c r="E2681" s="1014">
        <v>8226</v>
      </c>
      <c r="F2681" s="1013" t="s">
        <v>6543</v>
      </c>
      <c r="G2681" s="1014" t="s">
        <v>12</v>
      </c>
      <c r="H2681" s="1015">
        <v>57147</v>
      </c>
      <c r="I2681" s="1016" t="s">
        <v>6899</v>
      </c>
    </row>
    <row r="2682" spans="2:9" ht="15.75" x14ac:dyDescent="0.25">
      <c r="B2682" s="1365" t="s">
        <v>7249</v>
      </c>
      <c r="C2682" s="1013" t="s">
        <v>4417</v>
      </c>
      <c r="D2682" s="1013" t="s">
        <v>4418</v>
      </c>
      <c r="E2682" s="1014">
        <v>8227</v>
      </c>
      <c r="F2682" s="1013" t="s">
        <v>6544</v>
      </c>
      <c r="G2682" s="1014" t="s">
        <v>13</v>
      </c>
      <c r="H2682" s="1015">
        <v>62145</v>
      </c>
      <c r="I2682" s="1016" t="s">
        <v>6899</v>
      </c>
    </row>
    <row r="2683" spans="2:9" ht="15.75" x14ac:dyDescent="0.25">
      <c r="B2683" s="1365" t="s">
        <v>7249</v>
      </c>
      <c r="C2683" s="1013" t="s">
        <v>4417</v>
      </c>
      <c r="D2683" s="1013" t="s">
        <v>4438</v>
      </c>
      <c r="E2683" s="1014">
        <v>8228</v>
      </c>
      <c r="F2683" s="1013" t="s">
        <v>6545</v>
      </c>
      <c r="G2683" s="1014" t="s">
        <v>13</v>
      </c>
      <c r="H2683" s="1015">
        <v>26985</v>
      </c>
      <c r="I2683" s="1016" t="s">
        <v>6899</v>
      </c>
    </row>
    <row r="2684" spans="2:9" ht="15.75" x14ac:dyDescent="0.25">
      <c r="B2684" s="1365" t="s">
        <v>7249</v>
      </c>
      <c r="C2684" s="1013" t="s">
        <v>4417</v>
      </c>
      <c r="D2684" s="1013" t="s">
        <v>4438</v>
      </c>
      <c r="E2684" s="1014">
        <v>8229</v>
      </c>
      <c r="F2684" s="1013" t="s">
        <v>6546</v>
      </c>
      <c r="G2684" s="1014" t="s">
        <v>13</v>
      </c>
      <c r="H2684" s="1015">
        <v>20235</v>
      </c>
      <c r="I2684" s="1016" t="s">
        <v>6899</v>
      </c>
    </row>
    <row r="2685" spans="2:9" ht="15.75" x14ac:dyDescent="0.25">
      <c r="B2685" s="1365" t="s">
        <v>7249</v>
      </c>
      <c r="C2685" s="1013" t="s">
        <v>4417</v>
      </c>
      <c r="D2685" s="1013" t="s">
        <v>4438</v>
      </c>
      <c r="E2685" s="1014">
        <v>8230</v>
      </c>
      <c r="F2685" s="1013" t="s">
        <v>6547</v>
      </c>
      <c r="G2685" s="1014" t="s">
        <v>12</v>
      </c>
      <c r="H2685" s="1015">
        <v>137348</v>
      </c>
      <c r="I2685" s="1016" t="s">
        <v>6899</v>
      </c>
    </row>
    <row r="2686" spans="2:9" ht="15.75" x14ac:dyDescent="0.25">
      <c r="B2686" s="1365" t="s">
        <v>7251</v>
      </c>
      <c r="C2686" s="1013" t="s">
        <v>4468</v>
      </c>
      <c r="D2686" s="1013" t="s">
        <v>1798</v>
      </c>
      <c r="E2686" s="1014">
        <v>8231</v>
      </c>
      <c r="F2686" s="1013" t="s">
        <v>6548</v>
      </c>
      <c r="G2686" s="1014" t="s">
        <v>6</v>
      </c>
      <c r="H2686" s="1015">
        <v>18088</v>
      </c>
      <c r="I2686" s="1016" t="s">
        <v>6899</v>
      </c>
    </row>
    <row r="2687" spans="2:9" ht="15.75" x14ac:dyDescent="0.25">
      <c r="B2687" s="1365" t="s">
        <v>7251</v>
      </c>
      <c r="C2687" s="1013" t="s">
        <v>5425</v>
      </c>
      <c r="D2687" s="1013" t="s">
        <v>5615</v>
      </c>
      <c r="E2687" s="1014">
        <v>8237</v>
      </c>
      <c r="F2687" s="1013" t="s">
        <v>6549</v>
      </c>
      <c r="G2687" s="1014" t="s">
        <v>13</v>
      </c>
      <c r="H2687" s="1015">
        <v>19774</v>
      </c>
      <c r="I2687" s="1016" t="s">
        <v>6899</v>
      </c>
    </row>
    <row r="2688" spans="2:9" ht="15.75" x14ac:dyDescent="0.25">
      <c r="B2688" s="1365" t="s">
        <v>7251</v>
      </c>
      <c r="C2688" s="1013" t="s">
        <v>1474</v>
      </c>
      <c r="D2688" s="1013" t="s">
        <v>4940</v>
      </c>
      <c r="E2688" s="1014">
        <v>8238</v>
      </c>
      <c r="F2688" s="1013" t="s">
        <v>6550</v>
      </c>
      <c r="G2688" s="1014" t="s">
        <v>266</v>
      </c>
      <c r="H2688" s="1015">
        <v>230343</v>
      </c>
      <c r="I2688" s="1016" t="s">
        <v>6899</v>
      </c>
    </row>
    <row r="2689" spans="2:9" ht="15.75" x14ac:dyDescent="0.25">
      <c r="B2689" s="1365" t="s">
        <v>7251</v>
      </c>
      <c r="C2689" s="1013" t="s">
        <v>4461</v>
      </c>
      <c r="D2689" s="1013" t="s">
        <v>4461</v>
      </c>
      <c r="E2689" s="1014">
        <v>8241</v>
      </c>
      <c r="F2689" s="1013" t="s">
        <v>6551</v>
      </c>
      <c r="G2689" s="1014" t="s">
        <v>266</v>
      </c>
      <c r="H2689" s="1015">
        <v>7751296</v>
      </c>
      <c r="I2689" s="1016" t="s">
        <v>6899</v>
      </c>
    </row>
    <row r="2690" spans="2:9" ht="15.75" x14ac:dyDescent="0.25">
      <c r="B2690" s="1365" t="s">
        <v>7251</v>
      </c>
      <c r="C2690" s="1013" t="s">
        <v>4461</v>
      </c>
      <c r="D2690" s="1013" t="s">
        <v>4461</v>
      </c>
      <c r="E2690" s="1014">
        <v>8242</v>
      </c>
      <c r="F2690" s="1013" t="s">
        <v>6552</v>
      </c>
      <c r="G2690" s="1014" t="s">
        <v>266</v>
      </c>
      <c r="H2690" s="1015">
        <v>3479937</v>
      </c>
      <c r="I2690" s="1016" t="s">
        <v>6899</v>
      </c>
    </row>
    <row r="2691" spans="2:9" ht="15.75" x14ac:dyDescent="0.25">
      <c r="B2691" s="1365" t="s">
        <v>7251</v>
      </c>
      <c r="C2691" s="1013" t="s">
        <v>4461</v>
      </c>
      <c r="D2691" s="1013" t="s">
        <v>4461</v>
      </c>
      <c r="E2691" s="1014">
        <v>8243</v>
      </c>
      <c r="F2691" s="1013" t="s">
        <v>6553</v>
      </c>
      <c r="G2691" s="1014" t="s">
        <v>266</v>
      </c>
      <c r="H2691" s="1015">
        <v>9891506</v>
      </c>
      <c r="I2691" s="1016" t="s">
        <v>6899</v>
      </c>
    </row>
    <row r="2692" spans="2:9" ht="15.75" x14ac:dyDescent="0.25">
      <c r="B2692" s="1365" t="s">
        <v>7251</v>
      </c>
      <c r="C2692" s="1013" t="s">
        <v>4461</v>
      </c>
      <c r="D2692" s="1013" t="s">
        <v>4461</v>
      </c>
      <c r="E2692" s="1014">
        <v>8244</v>
      </c>
      <c r="F2692" s="1013" t="s">
        <v>6554</v>
      </c>
      <c r="G2692" s="1014" t="s">
        <v>266</v>
      </c>
      <c r="H2692" s="1015">
        <v>12494099</v>
      </c>
      <c r="I2692" s="1016" t="s">
        <v>6899</v>
      </c>
    </row>
    <row r="2693" spans="2:9" ht="15.75" x14ac:dyDescent="0.25">
      <c r="B2693" s="1365" t="s">
        <v>7251</v>
      </c>
      <c r="C2693" s="1013" t="s">
        <v>4461</v>
      </c>
      <c r="D2693" s="1013" t="s">
        <v>4461</v>
      </c>
      <c r="E2693" s="1014">
        <v>8245</v>
      </c>
      <c r="F2693" s="1013" t="s">
        <v>6555</v>
      </c>
      <c r="G2693" s="1014" t="s">
        <v>266</v>
      </c>
      <c r="H2693" s="1015">
        <v>15327882</v>
      </c>
      <c r="I2693" s="1016" t="s">
        <v>6899</v>
      </c>
    </row>
    <row r="2694" spans="2:9" ht="15.75" x14ac:dyDescent="0.25">
      <c r="B2694" s="1365" t="s">
        <v>7251</v>
      </c>
      <c r="C2694" s="1013" t="s">
        <v>4461</v>
      </c>
      <c r="D2694" s="1013" t="s">
        <v>4461</v>
      </c>
      <c r="E2694" s="1014">
        <v>8246</v>
      </c>
      <c r="F2694" s="1013" t="s">
        <v>6556</v>
      </c>
      <c r="G2694" s="1014" t="s">
        <v>266</v>
      </c>
      <c r="H2694" s="1015">
        <v>7102087</v>
      </c>
      <c r="I2694" s="1016" t="s">
        <v>6899</v>
      </c>
    </row>
    <row r="2695" spans="2:9" ht="15.75" x14ac:dyDescent="0.25">
      <c r="B2695" s="1365" t="s">
        <v>7251</v>
      </c>
      <c r="C2695" s="1013" t="s">
        <v>4461</v>
      </c>
      <c r="D2695" s="1013" t="s">
        <v>4461</v>
      </c>
      <c r="E2695" s="1014">
        <v>8247</v>
      </c>
      <c r="F2695" s="1013" t="s">
        <v>6557</v>
      </c>
      <c r="G2695" s="1014" t="s">
        <v>266</v>
      </c>
      <c r="H2695" s="1015">
        <v>11749803</v>
      </c>
      <c r="I2695" s="1016" t="s">
        <v>6899</v>
      </c>
    </row>
    <row r="2696" spans="2:9" ht="15.75" x14ac:dyDescent="0.25">
      <c r="B2696" s="1365" t="s">
        <v>7251</v>
      </c>
      <c r="C2696" s="1013" t="s">
        <v>4461</v>
      </c>
      <c r="D2696" s="1013" t="s">
        <v>4461</v>
      </c>
      <c r="E2696" s="1014">
        <v>8252</v>
      </c>
      <c r="F2696" s="1013" t="s">
        <v>6558</v>
      </c>
      <c r="G2696" s="1014" t="s">
        <v>266</v>
      </c>
      <c r="H2696" s="1015">
        <v>3509677</v>
      </c>
      <c r="I2696" s="1016" t="s">
        <v>6899</v>
      </c>
    </row>
    <row r="2697" spans="2:9" ht="15.75" x14ac:dyDescent="0.25">
      <c r="B2697" s="1365" t="s">
        <v>7251</v>
      </c>
      <c r="C2697" s="1013" t="s">
        <v>4461</v>
      </c>
      <c r="D2697" s="1013" t="s">
        <v>4461</v>
      </c>
      <c r="E2697" s="1014">
        <v>8253</v>
      </c>
      <c r="F2697" s="1013" t="s">
        <v>6559</v>
      </c>
      <c r="G2697" s="1014" t="s">
        <v>266</v>
      </c>
      <c r="H2697" s="1015">
        <v>6548128</v>
      </c>
      <c r="I2697" s="1016" t="s">
        <v>6899</v>
      </c>
    </row>
    <row r="2698" spans="2:9" ht="15.75" x14ac:dyDescent="0.25">
      <c r="B2698" s="1365" t="s">
        <v>7251</v>
      </c>
      <c r="C2698" s="1013" t="s">
        <v>4461</v>
      </c>
      <c r="D2698" s="1013" t="s">
        <v>4461</v>
      </c>
      <c r="E2698" s="1014">
        <v>8254</v>
      </c>
      <c r="F2698" s="1013" t="s">
        <v>6560</v>
      </c>
      <c r="G2698" s="1014" t="s">
        <v>13</v>
      </c>
      <c r="H2698" s="1015">
        <v>2380584</v>
      </c>
      <c r="I2698" s="1016" t="s">
        <v>6899</v>
      </c>
    </row>
    <row r="2699" spans="2:9" ht="15.75" x14ac:dyDescent="0.25">
      <c r="B2699" s="1365" t="s">
        <v>7251</v>
      </c>
      <c r="C2699" s="1013" t="s">
        <v>4461</v>
      </c>
      <c r="D2699" s="1013" t="s">
        <v>4461</v>
      </c>
      <c r="E2699" s="1014">
        <v>8255</v>
      </c>
      <c r="F2699" s="1013" t="s">
        <v>6561</v>
      </c>
      <c r="G2699" s="1014" t="s">
        <v>266</v>
      </c>
      <c r="H2699" s="1015">
        <v>885517</v>
      </c>
      <c r="I2699" s="1016" t="s">
        <v>6899</v>
      </c>
    </row>
    <row r="2700" spans="2:9" ht="15.75" x14ac:dyDescent="0.25">
      <c r="B2700" s="1365" t="s">
        <v>7251</v>
      </c>
      <c r="C2700" s="1013" t="s">
        <v>4461</v>
      </c>
      <c r="D2700" s="1013" t="s">
        <v>4461</v>
      </c>
      <c r="E2700" s="1014">
        <v>8257</v>
      </c>
      <c r="F2700" s="1013" t="s">
        <v>6562</v>
      </c>
      <c r="G2700" s="1014" t="s">
        <v>266</v>
      </c>
      <c r="H2700" s="1015">
        <v>8978376</v>
      </c>
      <c r="I2700" s="1016" t="s">
        <v>6899</v>
      </c>
    </row>
    <row r="2701" spans="2:9" ht="15.75" x14ac:dyDescent="0.25">
      <c r="B2701" s="1365" t="s">
        <v>7251</v>
      </c>
      <c r="C2701" s="1013" t="s">
        <v>4461</v>
      </c>
      <c r="D2701" s="1013" t="s">
        <v>4461</v>
      </c>
      <c r="E2701" s="1014">
        <v>8258</v>
      </c>
      <c r="F2701" s="1013" t="s">
        <v>6563</v>
      </c>
      <c r="G2701" s="1014" t="s">
        <v>266</v>
      </c>
      <c r="H2701" s="1015">
        <v>5797116</v>
      </c>
      <c r="I2701" s="1016" t="s">
        <v>6899</v>
      </c>
    </row>
    <row r="2702" spans="2:9" ht="15.75" x14ac:dyDescent="0.25">
      <c r="B2702" s="1365" t="s">
        <v>7251</v>
      </c>
      <c r="C2702" s="1013" t="s">
        <v>4461</v>
      </c>
      <c r="D2702" s="1013" t="s">
        <v>4461</v>
      </c>
      <c r="E2702" s="1014">
        <v>8259</v>
      </c>
      <c r="F2702" s="1013" t="s">
        <v>6564</v>
      </c>
      <c r="G2702" s="1014" t="s">
        <v>266</v>
      </c>
      <c r="H2702" s="1015">
        <v>5132435</v>
      </c>
      <c r="I2702" s="1016" t="s">
        <v>4398</v>
      </c>
    </row>
    <row r="2703" spans="2:9" ht="15.75" x14ac:dyDescent="0.25">
      <c r="B2703" s="1365" t="s">
        <v>7251</v>
      </c>
      <c r="C2703" s="1013" t="s">
        <v>4461</v>
      </c>
      <c r="D2703" s="1013" t="s">
        <v>4461</v>
      </c>
      <c r="E2703" s="1014">
        <v>8262</v>
      </c>
      <c r="F2703" s="1013" t="s">
        <v>6565</v>
      </c>
      <c r="G2703" s="1014" t="s">
        <v>266</v>
      </c>
      <c r="H2703" s="1015">
        <v>14359866</v>
      </c>
      <c r="I2703" s="1016" t="s">
        <v>6899</v>
      </c>
    </row>
    <row r="2704" spans="2:9" ht="15.75" x14ac:dyDescent="0.25">
      <c r="B2704" s="1365" t="s">
        <v>7251</v>
      </c>
      <c r="C2704" s="1013" t="s">
        <v>4461</v>
      </c>
      <c r="D2704" s="1013" t="s">
        <v>4461</v>
      </c>
      <c r="E2704" s="1014">
        <v>8263</v>
      </c>
      <c r="F2704" s="1013" t="s">
        <v>6566</v>
      </c>
      <c r="G2704" s="1014" t="s">
        <v>266</v>
      </c>
      <c r="H2704" s="1015">
        <v>16328989</v>
      </c>
      <c r="I2704" s="1016" t="s">
        <v>6899</v>
      </c>
    </row>
    <row r="2705" spans="2:9" ht="15.75" x14ac:dyDescent="0.25">
      <c r="B2705" s="1365" t="s">
        <v>7251</v>
      </c>
      <c r="C2705" s="1013" t="s">
        <v>4461</v>
      </c>
      <c r="D2705" s="1013" t="s">
        <v>4461</v>
      </c>
      <c r="E2705" s="1014">
        <v>8265</v>
      </c>
      <c r="F2705" s="1013" t="s">
        <v>6567</v>
      </c>
      <c r="G2705" s="1014" t="s">
        <v>266</v>
      </c>
      <c r="H2705" s="1015">
        <v>523900</v>
      </c>
      <c r="I2705" s="1016" t="s">
        <v>4398</v>
      </c>
    </row>
    <row r="2706" spans="2:9" ht="15.75" x14ac:dyDescent="0.25">
      <c r="B2706" s="1365" t="s">
        <v>7251</v>
      </c>
      <c r="C2706" s="1013" t="s">
        <v>4461</v>
      </c>
      <c r="D2706" s="1013" t="s">
        <v>4461</v>
      </c>
      <c r="E2706" s="1014">
        <v>8267</v>
      </c>
      <c r="F2706" s="1013" t="s">
        <v>6568</v>
      </c>
      <c r="G2706" s="1014" t="s">
        <v>266</v>
      </c>
      <c r="H2706" s="1015">
        <v>7200218</v>
      </c>
      <c r="I2706" s="1016" t="s">
        <v>6899</v>
      </c>
    </row>
    <row r="2707" spans="2:9" ht="15.75" x14ac:dyDescent="0.25">
      <c r="B2707" s="1365" t="s">
        <v>7251</v>
      </c>
      <c r="C2707" s="1013" t="s">
        <v>4461</v>
      </c>
      <c r="D2707" s="1013" t="s">
        <v>4461</v>
      </c>
      <c r="E2707" s="1014">
        <v>8273</v>
      </c>
      <c r="F2707" s="1013" t="s">
        <v>6569</v>
      </c>
      <c r="G2707" s="1014" t="s">
        <v>266</v>
      </c>
      <c r="H2707" s="1015">
        <v>1963631</v>
      </c>
      <c r="I2707" s="1016" t="s">
        <v>4398</v>
      </c>
    </row>
    <row r="2708" spans="2:9" ht="15.75" x14ac:dyDescent="0.25">
      <c r="B2708" s="1365" t="s">
        <v>7251</v>
      </c>
      <c r="C2708" s="1013" t="s">
        <v>4461</v>
      </c>
      <c r="D2708" s="1013" t="s">
        <v>4461</v>
      </c>
      <c r="E2708" s="1014">
        <v>8274</v>
      </c>
      <c r="F2708" s="1013" t="s">
        <v>924</v>
      </c>
      <c r="G2708" s="1014" t="s">
        <v>13</v>
      </c>
      <c r="H2708" s="1015">
        <v>22612547</v>
      </c>
      <c r="I2708" s="1016" t="s">
        <v>4398</v>
      </c>
    </row>
    <row r="2709" spans="2:9" ht="15.75" x14ac:dyDescent="0.25">
      <c r="B2709" s="1365" t="s">
        <v>7251</v>
      </c>
      <c r="C2709" s="1013" t="s">
        <v>4461</v>
      </c>
      <c r="D2709" s="1013" t="s">
        <v>4461</v>
      </c>
      <c r="E2709" s="1014">
        <v>8276</v>
      </c>
      <c r="F2709" s="1013" t="s">
        <v>6570</v>
      </c>
      <c r="G2709" s="1014" t="s">
        <v>266</v>
      </c>
      <c r="H2709" s="1015">
        <v>318411</v>
      </c>
      <c r="I2709" s="1016" t="s">
        <v>6899</v>
      </c>
    </row>
    <row r="2710" spans="2:9" ht="15.75" x14ac:dyDescent="0.25">
      <c r="B2710" s="1365" t="s">
        <v>7251</v>
      </c>
      <c r="C2710" s="1013" t="s">
        <v>4461</v>
      </c>
      <c r="D2710" s="1013" t="s">
        <v>4461</v>
      </c>
      <c r="E2710" s="1014">
        <v>8278</v>
      </c>
      <c r="F2710" s="1013" t="s">
        <v>925</v>
      </c>
      <c r="G2710" s="1014" t="s">
        <v>266</v>
      </c>
      <c r="H2710" s="1015">
        <v>1173648</v>
      </c>
      <c r="I2710" s="1016" t="s">
        <v>4398</v>
      </c>
    </row>
    <row r="2711" spans="2:9" ht="15.75" x14ac:dyDescent="0.25">
      <c r="B2711" s="1365" t="s">
        <v>7251</v>
      </c>
      <c r="C2711" s="1013" t="s">
        <v>4461</v>
      </c>
      <c r="D2711" s="1013" t="s">
        <v>4461</v>
      </c>
      <c r="E2711" s="1014">
        <v>8291</v>
      </c>
      <c r="F2711" s="1013" t="s">
        <v>6571</v>
      </c>
      <c r="G2711" s="1014" t="s">
        <v>13</v>
      </c>
      <c r="H2711" s="1015">
        <v>5735549</v>
      </c>
      <c r="I2711" s="1016" t="s">
        <v>6899</v>
      </c>
    </row>
    <row r="2712" spans="2:9" ht="15.75" x14ac:dyDescent="0.25">
      <c r="B2712" s="1365" t="s">
        <v>7251</v>
      </c>
      <c r="C2712" s="1013" t="s">
        <v>4461</v>
      </c>
      <c r="D2712" s="1013" t="s">
        <v>4461</v>
      </c>
      <c r="E2712" s="1014">
        <v>8298</v>
      </c>
      <c r="F2712" s="1013" t="s">
        <v>6572</v>
      </c>
      <c r="G2712" s="1014" t="s">
        <v>266</v>
      </c>
      <c r="H2712" s="1015">
        <v>3141069</v>
      </c>
      <c r="I2712" s="1016" t="s">
        <v>4398</v>
      </c>
    </row>
    <row r="2713" spans="2:9" ht="15.75" x14ac:dyDescent="0.25">
      <c r="B2713" s="1365" t="s">
        <v>7251</v>
      </c>
      <c r="C2713" s="1013" t="s">
        <v>4461</v>
      </c>
      <c r="D2713" s="1013" t="s">
        <v>4461</v>
      </c>
      <c r="E2713" s="1014">
        <v>8301</v>
      </c>
      <c r="F2713" s="1013" t="s">
        <v>6573</v>
      </c>
      <c r="G2713" s="1014" t="s">
        <v>266</v>
      </c>
      <c r="H2713" s="1015">
        <v>361786</v>
      </c>
      <c r="I2713" s="1016" t="s">
        <v>4398</v>
      </c>
    </row>
    <row r="2714" spans="2:9" ht="15.75" x14ac:dyDescent="0.25">
      <c r="B2714" s="1365" t="s">
        <v>7251</v>
      </c>
      <c r="C2714" s="1013" t="s">
        <v>4420</v>
      </c>
      <c r="D2714" s="1013" t="s">
        <v>4420</v>
      </c>
      <c r="E2714" s="1014">
        <v>8304</v>
      </c>
      <c r="F2714" s="1013" t="s">
        <v>6574</v>
      </c>
      <c r="G2714" s="1014" t="s">
        <v>266</v>
      </c>
      <c r="H2714" s="1015">
        <v>6981269</v>
      </c>
      <c r="I2714" s="1016" t="s">
        <v>4398</v>
      </c>
    </row>
    <row r="2715" spans="2:9" ht="15.75" x14ac:dyDescent="0.25">
      <c r="B2715" s="1365" t="s">
        <v>7251</v>
      </c>
      <c r="C2715" s="1013" t="s">
        <v>5425</v>
      </c>
      <c r="D2715" s="1013" t="s">
        <v>5425</v>
      </c>
      <c r="E2715" s="1014">
        <v>8305</v>
      </c>
      <c r="F2715" s="1013" t="s">
        <v>6575</v>
      </c>
      <c r="G2715" s="1014" t="s">
        <v>266</v>
      </c>
      <c r="H2715" s="1015">
        <v>4202188</v>
      </c>
      <c r="I2715" s="1016" t="s">
        <v>4398</v>
      </c>
    </row>
    <row r="2716" spans="2:9" ht="15.75" x14ac:dyDescent="0.25">
      <c r="B2716" s="1365" t="s">
        <v>7251</v>
      </c>
      <c r="C2716" s="1013" t="s">
        <v>4461</v>
      </c>
      <c r="D2716" s="1013" t="s">
        <v>4461</v>
      </c>
      <c r="E2716" s="1014">
        <v>8306</v>
      </c>
      <c r="F2716" s="1013" t="s">
        <v>6576</v>
      </c>
      <c r="G2716" s="1014" t="s">
        <v>266</v>
      </c>
      <c r="H2716" s="1015">
        <v>6469</v>
      </c>
      <c r="I2716" s="1016" t="s">
        <v>6899</v>
      </c>
    </row>
    <row r="2717" spans="2:9" ht="15.75" x14ac:dyDescent="0.25">
      <c r="B2717" s="1365" t="s">
        <v>7251</v>
      </c>
      <c r="C2717" s="1013" t="s">
        <v>4420</v>
      </c>
      <c r="D2717" s="1013" t="s">
        <v>4420</v>
      </c>
      <c r="E2717" s="1014">
        <v>8307</v>
      </c>
      <c r="F2717" s="1013" t="s">
        <v>6577</v>
      </c>
      <c r="G2717" s="1014" t="s">
        <v>13</v>
      </c>
      <c r="H2717" s="1015">
        <v>3736273</v>
      </c>
      <c r="I2717" s="1016" t="s">
        <v>4398</v>
      </c>
    </row>
    <row r="2718" spans="2:9" ht="15.75" x14ac:dyDescent="0.25">
      <c r="B2718" s="1365" t="s">
        <v>7251</v>
      </c>
      <c r="C2718" s="1013" t="s">
        <v>5425</v>
      </c>
      <c r="D2718" s="1013" t="s">
        <v>5425</v>
      </c>
      <c r="E2718" s="1014">
        <v>8308</v>
      </c>
      <c r="F2718" s="1013" t="s">
        <v>6578</v>
      </c>
      <c r="G2718" s="1014" t="s">
        <v>266</v>
      </c>
      <c r="H2718" s="1015">
        <v>9038396</v>
      </c>
      <c r="I2718" s="1016" t="s">
        <v>4398</v>
      </c>
    </row>
    <row r="2719" spans="2:9" ht="15.75" x14ac:dyDescent="0.25">
      <c r="B2719" s="1365" t="s">
        <v>7251</v>
      </c>
      <c r="C2719" s="1013" t="s">
        <v>4420</v>
      </c>
      <c r="D2719" s="1013" t="s">
        <v>4420</v>
      </c>
      <c r="E2719" s="1014">
        <v>8309</v>
      </c>
      <c r="F2719" s="1013" t="s">
        <v>6579</v>
      </c>
      <c r="G2719" s="1014" t="s">
        <v>13</v>
      </c>
      <c r="H2719" s="1015">
        <v>4082140</v>
      </c>
      <c r="I2719" s="1016" t="s">
        <v>4398</v>
      </c>
    </row>
    <row r="2720" spans="2:9" ht="15.75" x14ac:dyDescent="0.25">
      <c r="B2720" s="1365" t="s">
        <v>7251</v>
      </c>
      <c r="C2720" s="1013" t="s">
        <v>4420</v>
      </c>
      <c r="D2720" s="1013" t="s">
        <v>4420</v>
      </c>
      <c r="E2720" s="1014">
        <v>8310</v>
      </c>
      <c r="F2720" s="1013" t="s">
        <v>6580</v>
      </c>
      <c r="G2720" s="1014" t="s">
        <v>13</v>
      </c>
      <c r="H2720" s="1015">
        <v>4603907</v>
      </c>
      <c r="I2720" s="1016" t="s">
        <v>4398</v>
      </c>
    </row>
    <row r="2721" spans="2:9" ht="15.75" x14ac:dyDescent="0.25">
      <c r="B2721" s="1365" t="s">
        <v>7251</v>
      </c>
      <c r="C2721" s="1013" t="s">
        <v>4420</v>
      </c>
      <c r="D2721" s="1013" t="s">
        <v>4420</v>
      </c>
      <c r="E2721" s="1014">
        <v>8311</v>
      </c>
      <c r="F2721" s="1013" t="s">
        <v>6581</v>
      </c>
      <c r="G2721" s="1014" t="s">
        <v>13</v>
      </c>
      <c r="H2721" s="1015">
        <v>5161187</v>
      </c>
      <c r="I2721" s="1016" t="s">
        <v>4398</v>
      </c>
    </row>
    <row r="2722" spans="2:9" ht="15.75" x14ac:dyDescent="0.25">
      <c r="B2722" s="1365" t="s">
        <v>7251</v>
      </c>
      <c r="C2722" s="1013" t="s">
        <v>4420</v>
      </c>
      <c r="D2722" s="1013" t="s">
        <v>4420</v>
      </c>
      <c r="E2722" s="1014">
        <v>8312</v>
      </c>
      <c r="F2722" s="1013" t="s">
        <v>6582</v>
      </c>
      <c r="G2722" s="1014" t="s">
        <v>13</v>
      </c>
      <c r="H2722" s="1015">
        <v>6559034</v>
      </c>
      <c r="I2722" s="1016" t="s">
        <v>4398</v>
      </c>
    </row>
    <row r="2723" spans="2:9" ht="15.75" x14ac:dyDescent="0.25">
      <c r="B2723" s="1365" t="s">
        <v>7251</v>
      </c>
      <c r="C2723" s="1013" t="s">
        <v>4420</v>
      </c>
      <c r="D2723" s="1013" t="s">
        <v>4420</v>
      </c>
      <c r="E2723" s="1014">
        <v>8313</v>
      </c>
      <c r="F2723" s="1013" t="s">
        <v>6583</v>
      </c>
      <c r="G2723" s="1014" t="s">
        <v>13</v>
      </c>
      <c r="H2723" s="1015">
        <v>7984733</v>
      </c>
      <c r="I2723" s="1016" t="s">
        <v>4398</v>
      </c>
    </row>
    <row r="2724" spans="2:9" ht="15.75" x14ac:dyDescent="0.25">
      <c r="B2724" s="1365" t="s">
        <v>7251</v>
      </c>
      <c r="C2724" s="1013" t="s">
        <v>4799</v>
      </c>
      <c r="D2724" s="1013" t="s">
        <v>2314</v>
      </c>
      <c r="E2724" s="1014">
        <v>8314</v>
      </c>
      <c r="F2724" s="1013" t="s">
        <v>6584</v>
      </c>
      <c r="G2724" s="1014" t="s">
        <v>266</v>
      </c>
      <c r="H2724" s="1015">
        <v>858740</v>
      </c>
      <c r="I2724" s="1016" t="s">
        <v>4398</v>
      </c>
    </row>
    <row r="2725" spans="2:9" ht="15.75" x14ac:dyDescent="0.25">
      <c r="B2725" s="1365" t="s">
        <v>7251</v>
      </c>
      <c r="C2725" s="1013" t="s">
        <v>4420</v>
      </c>
      <c r="D2725" s="1013" t="s">
        <v>4420</v>
      </c>
      <c r="E2725" s="1014">
        <v>8315</v>
      </c>
      <c r="F2725" s="1013" t="s">
        <v>926</v>
      </c>
      <c r="G2725" s="1014" t="s">
        <v>266</v>
      </c>
      <c r="H2725" s="1015">
        <v>833000</v>
      </c>
      <c r="I2725" s="1016" t="s">
        <v>6899</v>
      </c>
    </row>
    <row r="2726" spans="2:9" ht="15.75" x14ac:dyDescent="0.25">
      <c r="B2726" s="1365" t="s">
        <v>7251</v>
      </c>
      <c r="C2726" s="1013" t="s">
        <v>4461</v>
      </c>
      <c r="D2726" s="1013" t="s">
        <v>4461</v>
      </c>
      <c r="E2726" s="1014">
        <v>8316</v>
      </c>
      <c r="F2726" s="1013" t="s">
        <v>6585</v>
      </c>
      <c r="G2726" s="1014" t="s">
        <v>266</v>
      </c>
      <c r="H2726" s="1015">
        <v>17042</v>
      </c>
      <c r="I2726" s="1016" t="s">
        <v>6899</v>
      </c>
    </row>
    <row r="2727" spans="2:9" ht="15.75" x14ac:dyDescent="0.25">
      <c r="B2727" s="1365" t="s">
        <v>7251</v>
      </c>
      <c r="C2727" s="1013" t="s">
        <v>4461</v>
      </c>
      <c r="D2727" s="1013" t="s">
        <v>4461</v>
      </c>
      <c r="E2727" s="1014">
        <v>8317</v>
      </c>
      <c r="F2727" s="1013" t="s">
        <v>6586</v>
      </c>
      <c r="G2727" s="1014" t="s">
        <v>13</v>
      </c>
      <c r="H2727" s="1015">
        <v>33889</v>
      </c>
      <c r="I2727" s="1016" t="s">
        <v>4398</v>
      </c>
    </row>
    <row r="2728" spans="2:9" ht="15.75" x14ac:dyDescent="0.25">
      <c r="B2728" s="1365" t="s">
        <v>7251</v>
      </c>
      <c r="C2728" s="1013" t="s">
        <v>4461</v>
      </c>
      <c r="D2728" s="1013" t="s">
        <v>4461</v>
      </c>
      <c r="E2728" s="1014">
        <v>8318</v>
      </c>
      <c r="F2728" s="1013" t="s">
        <v>6587</v>
      </c>
      <c r="G2728" s="1014" t="s">
        <v>13</v>
      </c>
      <c r="H2728" s="1015">
        <v>47984</v>
      </c>
      <c r="I2728" s="1016" t="s">
        <v>4398</v>
      </c>
    </row>
    <row r="2729" spans="2:9" ht="15.75" x14ac:dyDescent="0.25">
      <c r="B2729" s="1365" t="s">
        <v>7251</v>
      </c>
      <c r="C2729" s="1013" t="s">
        <v>4461</v>
      </c>
      <c r="D2729" s="1013" t="s">
        <v>4461</v>
      </c>
      <c r="E2729" s="1014">
        <v>8319</v>
      </c>
      <c r="F2729" s="1013" t="s">
        <v>6588</v>
      </c>
      <c r="G2729" s="1014" t="s">
        <v>13</v>
      </c>
      <c r="H2729" s="1015">
        <v>66870</v>
      </c>
      <c r="I2729" s="1016" t="s">
        <v>4398</v>
      </c>
    </row>
    <row r="2730" spans="2:9" ht="15.75" x14ac:dyDescent="0.25">
      <c r="B2730" s="1365" t="s">
        <v>7251</v>
      </c>
      <c r="C2730" s="1013" t="s">
        <v>4461</v>
      </c>
      <c r="D2730" s="1013" t="s">
        <v>4461</v>
      </c>
      <c r="E2730" s="1014">
        <v>8320</v>
      </c>
      <c r="F2730" s="1013" t="s">
        <v>6589</v>
      </c>
      <c r="G2730" s="1014" t="s">
        <v>266</v>
      </c>
      <c r="H2730" s="1015">
        <v>168076</v>
      </c>
      <c r="I2730" s="1016" t="s">
        <v>4398</v>
      </c>
    </row>
    <row r="2731" spans="2:9" ht="15.75" x14ac:dyDescent="0.25">
      <c r="B2731" s="1365" t="s">
        <v>7251</v>
      </c>
      <c r="C2731" s="1013" t="s">
        <v>4461</v>
      </c>
      <c r="D2731" s="1013" t="s">
        <v>4461</v>
      </c>
      <c r="E2731" s="1014">
        <v>8321</v>
      </c>
      <c r="F2731" s="1013" t="s">
        <v>6590</v>
      </c>
      <c r="G2731" s="1014" t="s">
        <v>266</v>
      </c>
      <c r="H2731" s="1015">
        <v>313341</v>
      </c>
      <c r="I2731" s="1016" t="s">
        <v>4398</v>
      </c>
    </row>
    <row r="2732" spans="2:9" ht="15.75" x14ac:dyDescent="0.25">
      <c r="B2732" s="1365" t="s">
        <v>7251</v>
      </c>
      <c r="C2732" s="1013" t="s">
        <v>4461</v>
      </c>
      <c r="D2732" s="1013" t="s">
        <v>4461</v>
      </c>
      <c r="E2732" s="1014">
        <v>8322</v>
      </c>
      <c r="F2732" s="1013" t="s">
        <v>6591</v>
      </c>
      <c r="G2732" s="1014" t="s">
        <v>266</v>
      </c>
      <c r="H2732" s="1015">
        <v>370891</v>
      </c>
      <c r="I2732" s="1016" t="s">
        <v>4398</v>
      </c>
    </row>
    <row r="2733" spans="2:9" ht="15.75" x14ac:dyDescent="0.25">
      <c r="B2733" s="1365" t="s">
        <v>7251</v>
      </c>
      <c r="C2733" s="1013" t="s">
        <v>4461</v>
      </c>
      <c r="D2733" s="1013" t="s">
        <v>4461</v>
      </c>
      <c r="E2733" s="1014">
        <v>8323</v>
      </c>
      <c r="F2733" s="1013" t="s">
        <v>6592</v>
      </c>
      <c r="G2733" s="1014" t="s">
        <v>266</v>
      </c>
      <c r="H2733" s="1015">
        <v>538429</v>
      </c>
      <c r="I2733" s="1016" t="s">
        <v>4398</v>
      </c>
    </row>
    <row r="2734" spans="2:9" ht="15.75" x14ac:dyDescent="0.25">
      <c r="B2734" s="1365" t="s">
        <v>7251</v>
      </c>
      <c r="C2734" s="1013" t="s">
        <v>4420</v>
      </c>
      <c r="D2734" s="1013" t="s">
        <v>4420</v>
      </c>
      <c r="E2734" s="1014">
        <v>8324</v>
      </c>
      <c r="F2734" s="1013" t="s">
        <v>6593</v>
      </c>
      <c r="G2734" s="1014" t="s">
        <v>266</v>
      </c>
      <c r="H2734" s="1015">
        <v>4148686</v>
      </c>
      <c r="I2734" s="1016" t="s">
        <v>4398</v>
      </c>
    </row>
    <row r="2735" spans="2:9" ht="15.75" x14ac:dyDescent="0.25">
      <c r="B2735" s="1365" t="s">
        <v>7251</v>
      </c>
      <c r="C2735" s="1013" t="s">
        <v>4420</v>
      </c>
      <c r="D2735" s="1013" t="s">
        <v>4420</v>
      </c>
      <c r="E2735" s="1014">
        <v>8325</v>
      </c>
      <c r="F2735" s="1013" t="s">
        <v>6594</v>
      </c>
      <c r="G2735" s="1014" t="s">
        <v>266</v>
      </c>
      <c r="H2735" s="1015">
        <v>4148686</v>
      </c>
      <c r="I2735" s="1016" t="s">
        <v>4398</v>
      </c>
    </row>
    <row r="2736" spans="2:9" ht="15.75" x14ac:dyDescent="0.25">
      <c r="B2736" s="1365" t="s">
        <v>7251</v>
      </c>
      <c r="C2736" s="1013" t="s">
        <v>4461</v>
      </c>
      <c r="D2736" s="1013" t="s">
        <v>4461</v>
      </c>
      <c r="E2736" s="1014">
        <v>8328</v>
      </c>
      <c r="F2736" s="1013" t="s">
        <v>6595</v>
      </c>
      <c r="G2736" s="1014" t="s">
        <v>266</v>
      </c>
      <c r="H2736" s="1015">
        <v>1098109</v>
      </c>
      <c r="I2736" s="1016" t="s">
        <v>4398</v>
      </c>
    </row>
    <row r="2737" spans="2:9" ht="15.75" x14ac:dyDescent="0.25">
      <c r="B2737" s="1365" t="s">
        <v>7251</v>
      </c>
      <c r="C2737" s="1013" t="s">
        <v>5292</v>
      </c>
      <c r="D2737" s="1013" t="s">
        <v>5292</v>
      </c>
      <c r="E2737" s="1014">
        <v>8330</v>
      </c>
      <c r="F2737" s="1013" t="s">
        <v>6596</v>
      </c>
      <c r="G2737" s="1014" t="s">
        <v>13</v>
      </c>
      <c r="H2737" s="1015">
        <v>115877</v>
      </c>
      <c r="I2737" s="1016" t="s">
        <v>6899</v>
      </c>
    </row>
    <row r="2738" spans="2:9" ht="15.75" x14ac:dyDescent="0.25">
      <c r="B2738" s="1365" t="s">
        <v>7251</v>
      </c>
      <c r="C2738" s="1013" t="s">
        <v>5292</v>
      </c>
      <c r="D2738" s="1013" t="s">
        <v>5292</v>
      </c>
      <c r="E2738" s="1014">
        <v>8331</v>
      </c>
      <c r="F2738" s="1013" t="s">
        <v>6597</v>
      </c>
      <c r="G2738" s="1014" t="s">
        <v>13</v>
      </c>
      <c r="H2738" s="1015">
        <v>33723</v>
      </c>
      <c r="I2738" s="1016" t="s">
        <v>6899</v>
      </c>
    </row>
    <row r="2739" spans="2:9" ht="15.75" x14ac:dyDescent="0.25">
      <c r="B2739" s="1365" t="s">
        <v>7251</v>
      </c>
      <c r="C2739" s="1013" t="s">
        <v>5292</v>
      </c>
      <c r="D2739" s="1013" t="s">
        <v>5292</v>
      </c>
      <c r="E2739" s="1014">
        <v>8332</v>
      </c>
      <c r="F2739" s="1013" t="s">
        <v>6598</v>
      </c>
      <c r="G2739" s="1014" t="s">
        <v>13</v>
      </c>
      <c r="H2739" s="1015">
        <v>114020</v>
      </c>
      <c r="I2739" s="1016" t="s">
        <v>6899</v>
      </c>
    </row>
    <row r="2740" spans="2:9" ht="15.75" x14ac:dyDescent="0.25">
      <c r="B2740" s="1365" t="s">
        <v>7251</v>
      </c>
      <c r="C2740" s="1013" t="s">
        <v>4468</v>
      </c>
      <c r="D2740" s="1013" t="s">
        <v>4469</v>
      </c>
      <c r="E2740" s="1014">
        <v>8333</v>
      </c>
      <c r="F2740" s="1013" t="s">
        <v>6599</v>
      </c>
      <c r="G2740" s="1014" t="s">
        <v>13</v>
      </c>
      <c r="H2740" s="1015">
        <v>72943</v>
      </c>
      <c r="I2740" s="1016" t="s">
        <v>6899</v>
      </c>
    </row>
    <row r="2741" spans="2:9" ht="15.75" x14ac:dyDescent="0.25">
      <c r="B2741" s="1365" t="s">
        <v>7251</v>
      </c>
      <c r="C2741" s="1013" t="s">
        <v>4468</v>
      </c>
      <c r="D2741" s="1013" t="s">
        <v>4469</v>
      </c>
      <c r="E2741" s="1014">
        <v>8335</v>
      </c>
      <c r="F2741" s="1013" t="s">
        <v>928</v>
      </c>
      <c r="G2741" s="1014" t="s">
        <v>3</v>
      </c>
      <c r="H2741" s="1015">
        <v>1035800</v>
      </c>
      <c r="I2741" s="1016" t="s">
        <v>6899</v>
      </c>
    </row>
    <row r="2742" spans="2:9" ht="15.75" x14ac:dyDescent="0.25">
      <c r="B2742" s="1365" t="s">
        <v>7251</v>
      </c>
      <c r="C2742" s="1013" t="s">
        <v>4401</v>
      </c>
      <c r="D2742" s="1013" t="s">
        <v>4401</v>
      </c>
      <c r="E2742" s="1014">
        <v>8336</v>
      </c>
      <c r="F2742" s="1013" t="s">
        <v>6600</v>
      </c>
      <c r="G2742" s="1014" t="s">
        <v>3</v>
      </c>
      <c r="H2742" s="1015">
        <v>130309</v>
      </c>
      <c r="I2742" s="1016" t="s">
        <v>6899</v>
      </c>
    </row>
    <row r="2743" spans="2:9" ht="15.75" x14ac:dyDescent="0.25">
      <c r="B2743" s="1365" t="s">
        <v>7251</v>
      </c>
      <c r="C2743" s="1013" t="s">
        <v>5292</v>
      </c>
      <c r="D2743" s="1013" t="s">
        <v>5292</v>
      </c>
      <c r="E2743" s="1014">
        <v>8337</v>
      </c>
      <c r="F2743" s="1013" t="s">
        <v>6601</v>
      </c>
      <c r="G2743" s="1014" t="s">
        <v>13</v>
      </c>
      <c r="H2743" s="1015">
        <v>49496</v>
      </c>
      <c r="I2743" s="1016" t="s">
        <v>6899</v>
      </c>
    </row>
    <row r="2744" spans="2:9" ht="15.75" x14ac:dyDescent="0.25">
      <c r="B2744" s="1365" t="s">
        <v>7251</v>
      </c>
      <c r="C2744" s="1013" t="s">
        <v>4468</v>
      </c>
      <c r="D2744" s="1013" t="s">
        <v>4469</v>
      </c>
      <c r="E2744" s="1014">
        <v>8338</v>
      </c>
      <c r="F2744" s="1013" t="s">
        <v>929</v>
      </c>
      <c r="G2744" s="1014" t="s">
        <v>266</v>
      </c>
      <c r="H2744" s="1015">
        <v>102755</v>
      </c>
      <c r="I2744" s="1016" t="s">
        <v>6899</v>
      </c>
    </row>
    <row r="2745" spans="2:9" ht="15.75" x14ac:dyDescent="0.25">
      <c r="B2745" s="1365" t="s">
        <v>7251</v>
      </c>
      <c r="C2745" s="1013" t="s">
        <v>4420</v>
      </c>
      <c r="D2745" s="1013" t="s">
        <v>4420</v>
      </c>
      <c r="E2745" s="1014">
        <v>8339</v>
      </c>
      <c r="F2745" s="1013" t="s">
        <v>930</v>
      </c>
      <c r="G2745" s="1014" t="s">
        <v>266</v>
      </c>
      <c r="H2745" s="1015">
        <v>806979</v>
      </c>
      <c r="I2745" s="1016" t="s">
        <v>4398</v>
      </c>
    </row>
    <row r="2746" spans="2:9" ht="15.75" x14ac:dyDescent="0.25">
      <c r="B2746" s="1365" t="s">
        <v>7251</v>
      </c>
      <c r="C2746" s="1013" t="s">
        <v>1474</v>
      </c>
      <c r="D2746" s="1013" t="s">
        <v>5380</v>
      </c>
      <c r="E2746" s="1014">
        <v>8340</v>
      </c>
      <c r="F2746" s="1013" t="s">
        <v>931</v>
      </c>
      <c r="G2746" s="1014" t="s">
        <v>266</v>
      </c>
      <c r="H2746" s="1015">
        <v>85885</v>
      </c>
      <c r="I2746" s="1016" t="s">
        <v>4398</v>
      </c>
    </row>
    <row r="2747" spans="2:9" ht="15.75" x14ac:dyDescent="0.25">
      <c r="B2747" s="1365" t="s">
        <v>7251</v>
      </c>
      <c r="C2747" s="1013" t="s">
        <v>1474</v>
      </c>
      <c r="D2747" s="1013" t="s">
        <v>5380</v>
      </c>
      <c r="E2747" s="1014">
        <v>8341</v>
      </c>
      <c r="F2747" s="1013" t="s">
        <v>932</v>
      </c>
      <c r="G2747" s="1014" t="s">
        <v>266</v>
      </c>
      <c r="H2747" s="1015">
        <v>75888</v>
      </c>
      <c r="I2747" s="1016" t="s">
        <v>4398</v>
      </c>
    </row>
    <row r="2748" spans="2:9" ht="15.75" x14ac:dyDescent="0.25">
      <c r="B2748" s="1365" t="s">
        <v>7251</v>
      </c>
      <c r="C2748" s="1013" t="s">
        <v>4420</v>
      </c>
      <c r="D2748" s="1013" t="s">
        <v>4420</v>
      </c>
      <c r="E2748" s="1014">
        <v>8342</v>
      </c>
      <c r="F2748" s="1013" t="s">
        <v>6602</v>
      </c>
      <c r="G2748" s="1014" t="s">
        <v>266</v>
      </c>
      <c r="H2748" s="1015">
        <v>3237228</v>
      </c>
      <c r="I2748" s="1016" t="s">
        <v>4398</v>
      </c>
    </row>
    <row r="2749" spans="2:9" ht="15.75" x14ac:dyDescent="0.25">
      <c r="B2749" s="1365" t="s">
        <v>7251</v>
      </c>
      <c r="C2749" s="1013" t="s">
        <v>4461</v>
      </c>
      <c r="D2749" s="1013" t="s">
        <v>4461</v>
      </c>
      <c r="E2749" s="1014">
        <v>8344</v>
      </c>
      <c r="F2749" s="1013" t="s">
        <v>6603</v>
      </c>
      <c r="G2749" s="1014" t="s">
        <v>266</v>
      </c>
      <c r="H2749" s="1015">
        <v>3190174</v>
      </c>
      <c r="I2749" s="1016" t="s">
        <v>4398</v>
      </c>
    </row>
    <row r="2750" spans="2:9" ht="15.75" x14ac:dyDescent="0.25">
      <c r="B2750" s="1365" t="s">
        <v>7251</v>
      </c>
      <c r="C2750" s="1013" t="s">
        <v>4461</v>
      </c>
      <c r="D2750" s="1013" t="s">
        <v>4461</v>
      </c>
      <c r="E2750" s="1014">
        <v>8345</v>
      </c>
      <c r="F2750" s="1013" t="s">
        <v>6604</v>
      </c>
      <c r="G2750" s="1014" t="s">
        <v>266</v>
      </c>
      <c r="H2750" s="1015">
        <v>94148</v>
      </c>
      <c r="I2750" s="1016" t="s">
        <v>4398</v>
      </c>
    </row>
    <row r="2751" spans="2:9" ht="15.75" x14ac:dyDescent="0.25">
      <c r="B2751" s="1365" t="s">
        <v>7251</v>
      </c>
      <c r="C2751" s="1013" t="s">
        <v>4461</v>
      </c>
      <c r="D2751" s="1013" t="s">
        <v>4461</v>
      </c>
      <c r="E2751" s="1014">
        <v>8346</v>
      </c>
      <c r="F2751" s="1013" t="s">
        <v>933</v>
      </c>
      <c r="G2751" s="1014" t="s">
        <v>266</v>
      </c>
      <c r="H2751" s="1015">
        <v>1808703</v>
      </c>
      <c r="I2751" s="1016" t="s">
        <v>4398</v>
      </c>
    </row>
    <row r="2752" spans="2:9" ht="15.75" x14ac:dyDescent="0.25">
      <c r="B2752" s="1365" t="s">
        <v>7251</v>
      </c>
      <c r="C2752" s="1013" t="s">
        <v>4461</v>
      </c>
      <c r="D2752" s="1013" t="s">
        <v>4461</v>
      </c>
      <c r="E2752" s="1014">
        <v>8347</v>
      </c>
      <c r="F2752" s="1013" t="s">
        <v>6605</v>
      </c>
      <c r="G2752" s="1014" t="s">
        <v>266</v>
      </c>
      <c r="H2752" s="1015">
        <v>1583992</v>
      </c>
      <c r="I2752" s="1016" t="s">
        <v>4398</v>
      </c>
    </row>
    <row r="2753" spans="2:9" ht="15.75" x14ac:dyDescent="0.25">
      <c r="B2753" s="1365" t="s">
        <v>7251</v>
      </c>
      <c r="C2753" s="1013" t="s">
        <v>4461</v>
      </c>
      <c r="D2753" s="1013" t="s">
        <v>4461</v>
      </c>
      <c r="E2753" s="1014">
        <v>8348</v>
      </c>
      <c r="F2753" s="1013" t="s">
        <v>6606</v>
      </c>
      <c r="G2753" s="1014" t="s">
        <v>266</v>
      </c>
      <c r="H2753" s="1015">
        <v>454280</v>
      </c>
      <c r="I2753" s="1016" t="s">
        <v>4398</v>
      </c>
    </row>
    <row r="2754" spans="2:9" ht="15.75" x14ac:dyDescent="0.25">
      <c r="B2754" s="1365" t="s">
        <v>7251</v>
      </c>
      <c r="C2754" s="1013" t="s">
        <v>4461</v>
      </c>
      <c r="D2754" s="1013" t="s">
        <v>4461</v>
      </c>
      <c r="E2754" s="1014">
        <v>8349</v>
      </c>
      <c r="F2754" s="1013" t="s">
        <v>6607</v>
      </c>
      <c r="G2754" s="1014" t="s">
        <v>266</v>
      </c>
      <c r="H2754" s="1015">
        <v>853133</v>
      </c>
      <c r="I2754" s="1016" t="s">
        <v>4398</v>
      </c>
    </row>
    <row r="2755" spans="2:9" ht="15.75" x14ac:dyDescent="0.25">
      <c r="B2755" s="1365" t="s">
        <v>7251</v>
      </c>
      <c r="C2755" s="1013" t="s">
        <v>4461</v>
      </c>
      <c r="D2755" s="1013" t="s">
        <v>4461</v>
      </c>
      <c r="E2755" s="1014">
        <v>8350</v>
      </c>
      <c r="F2755" s="1013" t="s">
        <v>6608</v>
      </c>
      <c r="G2755" s="1014" t="s">
        <v>266</v>
      </c>
      <c r="H2755" s="1015">
        <v>291617</v>
      </c>
      <c r="I2755" s="1016" t="s">
        <v>6899</v>
      </c>
    </row>
    <row r="2756" spans="2:9" ht="15.75" x14ac:dyDescent="0.25">
      <c r="B2756" s="1365" t="s">
        <v>7251</v>
      </c>
      <c r="C2756" s="1013" t="s">
        <v>4461</v>
      </c>
      <c r="D2756" s="1013" t="s">
        <v>4461</v>
      </c>
      <c r="E2756" s="1014">
        <v>8351</v>
      </c>
      <c r="F2756" s="1013" t="s">
        <v>6609</v>
      </c>
      <c r="G2756" s="1014" t="s">
        <v>266</v>
      </c>
      <c r="H2756" s="1015">
        <v>1670372</v>
      </c>
      <c r="I2756" s="1016" t="s">
        <v>4398</v>
      </c>
    </row>
    <row r="2757" spans="2:9" ht="15.75" x14ac:dyDescent="0.25">
      <c r="B2757" s="1365" t="s">
        <v>7251</v>
      </c>
      <c r="C2757" s="1013" t="s">
        <v>4461</v>
      </c>
      <c r="D2757" s="1013" t="s">
        <v>4461</v>
      </c>
      <c r="E2757" s="1014">
        <v>8352</v>
      </c>
      <c r="F2757" s="1013" t="s">
        <v>6610</v>
      </c>
      <c r="G2757" s="1014" t="s">
        <v>266</v>
      </c>
      <c r="H2757" s="1015">
        <v>557285</v>
      </c>
      <c r="I2757" s="1016" t="s">
        <v>6899</v>
      </c>
    </row>
    <row r="2758" spans="2:9" ht="15.75" x14ac:dyDescent="0.25">
      <c r="B2758" s="1365" t="s">
        <v>7251</v>
      </c>
      <c r="C2758" s="1013" t="s">
        <v>4461</v>
      </c>
      <c r="D2758" s="1013" t="s">
        <v>4461</v>
      </c>
      <c r="E2758" s="1014">
        <v>8353</v>
      </c>
      <c r="F2758" s="1013" t="s">
        <v>6611</v>
      </c>
      <c r="G2758" s="1014" t="s">
        <v>266</v>
      </c>
      <c r="H2758" s="1015">
        <v>2303269</v>
      </c>
      <c r="I2758" s="1016" t="s">
        <v>4398</v>
      </c>
    </row>
    <row r="2759" spans="2:9" ht="15.75" x14ac:dyDescent="0.25">
      <c r="B2759" s="1365" t="s">
        <v>7251</v>
      </c>
      <c r="C2759" s="1013" t="s">
        <v>4461</v>
      </c>
      <c r="D2759" s="1013" t="s">
        <v>4461</v>
      </c>
      <c r="E2759" s="1014">
        <v>8357</v>
      </c>
      <c r="F2759" s="1013" t="s">
        <v>934</v>
      </c>
      <c r="G2759" s="1014" t="s">
        <v>266</v>
      </c>
      <c r="H2759" s="1015">
        <v>2741957</v>
      </c>
      <c r="I2759" s="1016" t="s">
        <v>4398</v>
      </c>
    </row>
    <row r="2760" spans="2:9" ht="15.75" x14ac:dyDescent="0.25">
      <c r="B2760" s="1365" t="s">
        <v>7251</v>
      </c>
      <c r="C2760" s="1013" t="s">
        <v>4461</v>
      </c>
      <c r="D2760" s="1013" t="s">
        <v>4461</v>
      </c>
      <c r="E2760" s="1014">
        <v>8361</v>
      </c>
      <c r="F2760" s="1013" t="s">
        <v>935</v>
      </c>
      <c r="G2760" s="1014" t="s">
        <v>266</v>
      </c>
      <c r="H2760" s="1015">
        <v>598602</v>
      </c>
      <c r="I2760" s="1016" t="s">
        <v>4398</v>
      </c>
    </row>
    <row r="2761" spans="2:9" ht="15.75" x14ac:dyDescent="0.25">
      <c r="B2761" s="1365" t="s">
        <v>7251</v>
      </c>
      <c r="C2761" s="1013" t="s">
        <v>4461</v>
      </c>
      <c r="D2761" s="1013" t="s">
        <v>4461</v>
      </c>
      <c r="E2761" s="1014">
        <v>8362</v>
      </c>
      <c r="F2761" s="1013" t="s">
        <v>936</v>
      </c>
      <c r="G2761" s="1014" t="s">
        <v>266</v>
      </c>
      <c r="H2761" s="1015">
        <v>398129</v>
      </c>
      <c r="I2761" s="1016" t="s">
        <v>4398</v>
      </c>
    </row>
    <row r="2762" spans="2:9" ht="15.75" x14ac:dyDescent="0.25">
      <c r="B2762" s="1365" t="s">
        <v>7251</v>
      </c>
      <c r="C2762" s="1013" t="s">
        <v>4461</v>
      </c>
      <c r="D2762" s="1013" t="s">
        <v>4461</v>
      </c>
      <c r="E2762" s="1014">
        <v>8364</v>
      </c>
      <c r="F2762" s="1013" t="s">
        <v>937</v>
      </c>
      <c r="G2762" s="1014" t="s">
        <v>266</v>
      </c>
      <c r="H2762" s="1015">
        <v>1056368</v>
      </c>
      <c r="I2762" s="1016" t="s">
        <v>4398</v>
      </c>
    </row>
    <row r="2763" spans="2:9" ht="15.75" x14ac:dyDescent="0.25">
      <c r="B2763" s="1365" t="s">
        <v>7251</v>
      </c>
      <c r="C2763" s="1013" t="s">
        <v>4420</v>
      </c>
      <c r="D2763" s="1013" t="s">
        <v>4420</v>
      </c>
      <c r="E2763" s="1014">
        <v>8365</v>
      </c>
      <c r="F2763" s="1013" t="s">
        <v>6612</v>
      </c>
      <c r="G2763" s="1014" t="s">
        <v>266</v>
      </c>
      <c r="H2763" s="1015">
        <v>155540</v>
      </c>
      <c r="I2763" s="1016" t="s">
        <v>6899</v>
      </c>
    </row>
    <row r="2764" spans="2:9" ht="15.75" x14ac:dyDescent="0.25">
      <c r="B2764" s="1365" t="s">
        <v>7251</v>
      </c>
      <c r="C2764" s="1013" t="s">
        <v>4461</v>
      </c>
      <c r="D2764" s="1013" t="s">
        <v>4461</v>
      </c>
      <c r="E2764" s="1014">
        <v>8366</v>
      </c>
      <c r="F2764" s="1013" t="s">
        <v>6613</v>
      </c>
      <c r="G2764" s="1014" t="s">
        <v>266</v>
      </c>
      <c r="H2764" s="1015">
        <v>24241323</v>
      </c>
      <c r="I2764" s="1016" t="s">
        <v>6899</v>
      </c>
    </row>
    <row r="2765" spans="2:9" ht="15.75" x14ac:dyDescent="0.25">
      <c r="B2765" s="1365" t="s">
        <v>7251</v>
      </c>
      <c r="C2765" s="1013" t="s">
        <v>4420</v>
      </c>
      <c r="D2765" s="1013" t="s">
        <v>4420</v>
      </c>
      <c r="E2765" s="1014">
        <v>8367</v>
      </c>
      <c r="F2765" s="1013" t="s">
        <v>938</v>
      </c>
      <c r="G2765" s="1014" t="s">
        <v>13</v>
      </c>
      <c r="H2765" s="1015">
        <v>105550</v>
      </c>
      <c r="I2765" s="1016" t="s">
        <v>4398</v>
      </c>
    </row>
    <row r="2766" spans="2:9" ht="15.75" x14ac:dyDescent="0.25">
      <c r="B2766" s="1365" t="s">
        <v>7251</v>
      </c>
      <c r="C2766" s="1013" t="s">
        <v>4420</v>
      </c>
      <c r="D2766" s="1013" t="s">
        <v>4420</v>
      </c>
      <c r="E2766" s="1014">
        <v>8368</v>
      </c>
      <c r="F2766" s="1013" t="s">
        <v>939</v>
      </c>
      <c r="G2766" s="1014" t="s">
        <v>13</v>
      </c>
      <c r="H2766" s="1015">
        <v>169801</v>
      </c>
      <c r="I2766" s="1016" t="s">
        <v>4398</v>
      </c>
    </row>
    <row r="2767" spans="2:9" ht="15.75" x14ac:dyDescent="0.25">
      <c r="B2767" s="1365" t="s">
        <v>7251</v>
      </c>
      <c r="C2767" s="1013" t="s">
        <v>4420</v>
      </c>
      <c r="D2767" s="1013" t="s">
        <v>4420</v>
      </c>
      <c r="E2767" s="1014">
        <v>8369</v>
      </c>
      <c r="F2767" s="1013" t="s">
        <v>940</v>
      </c>
      <c r="G2767" s="1014" t="s">
        <v>13</v>
      </c>
      <c r="H2767" s="1015">
        <v>261855</v>
      </c>
      <c r="I2767" s="1016" t="s">
        <v>4398</v>
      </c>
    </row>
    <row r="2768" spans="2:9" ht="15.75" x14ac:dyDescent="0.25">
      <c r="B2768" s="1365" t="s">
        <v>7251</v>
      </c>
      <c r="C2768" s="1013" t="s">
        <v>4420</v>
      </c>
      <c r="D2768" s="1013" t="s">
        <v>4420</v>
      </c>
      <c r="E2768" s="1014">
        <v>8370</v>
      </c>
      <c r="F2768" s="1013" t="s">
        <v>941</v>
      </c>
      <c r="G2768" s="1014" t="s">
        <v>13</v>
      </c>
      <c r="H2768" s="1015">
        <v>286207</v>
      </c>
      <c r="I2768" s="1016" t="s">
        <v>4398</v>
      </c>
    </row>
    <row r="2769" spans="2:9" ht="15.75" x14ac:dyDescent="0.25">
      <c r="B2769" s="1365" t="s">
        <v>7251</v>
      </c>
      <c r="C2769" s="1013" t="s">
        <v>4420</v>
      </c>
      <c r="D2769" s="1013" t="s">
        <v>4420</v>
      </c>
      <c r="E2769" s="1014">
        <v>8371</v>
      </c>
      <c r="F2769" s="1013" t="s">
        <v>942</v>
      </c>
      <c r="G2769" s="1014" t="s">
        <v>13</v>
      </c>
      <c r="H2769" s="1015">
        <v>324034</v>
      </c>
      <c r="I2769" s="1016" t="s">
        <v>4398</v>
      </c>
    </row>
    <row r="2770" spans="2:9" ht="15.75" x14ac:dyDescent="0.25">
      <c r="B2770" s="1365" t="s">
        <v>7251</v>
      </c>
      <c r="C2770" s="1013" t="s">
        <v>4461</v>
      </c>
      <c r="D2770" s="1013" t="s">
        <v>4461</v>
      </c>
      <c r="E2770" s="1014">
        <v>8384</v>
      </c>
      <c r="F2770" s="1013" t="s">
        <v>6614</v>
      </c>
      <c r="G2770" s="1014" t="s">
        <v>13</v>
      </c>
      <c r="H2770" s="1015">
        <v>2156791</v>
      </c>
      <c r="I2770" s="1016" t="s">
        <v>6899</v>
      </c>
    </row>
    <row r="2771" spans="2:9" ht="15.75" x14ac:dyDescent="0.25">
      <c r="B2771" s="1365" t="s">
        <v>7251</v>
      </c>
      <c r="C2771" s="1013" t="s">
        <v>4461</v>
      </c>
      <c r="D2771" s="1013" t="s">
        <v>4461</v>
      </c>
      <c r="E2771" s="1014">
        <v>8386</v>
      </c>
      <c r="F2771" s="1013" t="s">
        <v>6615</v>
      </c>
      <c r="G2771" s="1014" t="s">
        <v>266</v>
      </c>
      <c r="H2771" s="1015">
        <v>1784951</v>
      </c>
      <c r="I2771" s="1016" t="s">
        <v>4398</v>
      </c>
    </row>
    <row r="2772" spans="2:9" ht="15.75" x14ac:dyDescent="0.25">
      <c r="B2772" s="1365" t="s">
        <v>7251</v>
      </c>
      <c r="C2772" s="1013" t="s">
        <v>4461</v>
      </c>
      <c r="D2772" s="1013" t="s">
        <v>4461</v>
      </c>
      <c r="E2772" s="1014">
        <v>8388</v>
      </c>
      <c r="F2772" s="1013" t="s">
        <v>6616</v>
      </c>
      <c r="G2772" s="1014" t="s">
        <v>266</v>
      </c>
      <c r="H2772" s="1015">
        <v>27349</v>
      </c>
      <c r="I2772" s="1016" t="s">
        <v>4398</v>
      </c>
    </row>
    <row r="2773" spans="2:9" ht="15.75" x14ac:dyDescent="0.25">
      <c r="B2773" s="1365" t="s">
        <v>7251</v>
      </c>
      <c r="C2773" s="1013" t="s">
        <v>4461</v>
      </c>
      <c r="D2773" s="1013" t="s">
        <v>4461</v>
      </c>
      <c r="E2773" s="1014">
        <v>8389</v>
      </c>
      <c r="F2773" s="1013" t="s">
        <v>943</v>
      </c>
      <c r="G2773" s="1014" t="s">
        <v>13</v>
      </c>
      <c r="H2773" s="1015">
        <v>39927</v>
      </c>
      <c r="I2773" s="1016" t="s">
        <v>4398</v>
      </c>
    </row>
    <row r="2774" spans="2:9" ht="15.75" x14ac:dyDescent="0.25">
      <c r="B2774" s="1365" t="s">
        <v>7251</v>
      </c>
      <c r="C2774" s="1013" t="s">
        <v>4461</v>
      </c>
      <c r="D2774" s="1013" t="s">
        <v>4461</v>
      </c>
      <c r="E2774" s="1014">
        <v>8390</v>
      </c>
      <c r="F2774" s="1013" t="s">
        <v>944</v>
      </c>
      <c r="G2774" s="1014" t="s">
        <v>13</v>
      </c>
      <c r="H2774" s="1015">
        <v>79290</v>
      </c>
      <c r="I2774" s="1016" t="s">
        <v>4398</v>
      </c>
    </row>
    <row r="2775" spans="2:9" ht="15.75" x14ac:dyDescent="0.25">
      <c r="B2775" s="1365" t="s">
        <v>7251</v>
      </c>
      <c r="C2775" s="1013" t="s">
        <v>4420</v>
      </c>
      <c r="D2775" s="1013" t="s">
        <v>4420</v>
      </c>
      <c r="E2775" s="1014">
        <v>8392</v>
      </c>
      <c r="F2775" s="1013" t="s">
        <v>6617</v>
      </c>
      <c r="G2775" s="1014" t="s">
        <v>266</v>
      </c>
      <c r="H2775" s="1015">
        <v>10843</v>
      </c>
      <c r="I2775" s="1016" t="s">
        <v>4398</v>
      </c>
    </row>
    <row r="2776" spans="2:9" ht="15.75" x14ac:dyDescent="0.25">
      <c r="B2776" s="1365" t="s">
        <v>7251</v>
      </c>
      <c r="C2776" s="1013" t="s">
        <v>4461</v>
      </c>
      <c r="D2776" s="1013" t="s">
        <v>4461</v>
      </c>
      <c r="E2776" s="1014">
        <v>8393</v>
      </c>
      <c r="F2776" s="1013" t="s">
        <v>6618</v>
      </c>
      <c r="G2776" s="1014" t="s">
        <v>266</v>
      </c>
      <c r="H2776" s="1015">
        <v>392540</v>
      </c>
      <c r="I2776" s="1016" t="s">
        <v>4398</v>
      </c>
    </row>
    <row r="2777" spans="2:9" ht="15.75" x14ac:dyDescent="0.25">
      <c r="B2777" s="1365" t="s">
        <v>7251</v>
      </c>
      <c r="C2777" s="1013" t="s">
        <v>4405</v>
      </c>
      <c r="D2777" s="1013" t="s">
        <v>4406</v>
      </c>
      <c r="E2777" s="1014">
        <v>8399</v>
      </c>
      <c r="F2777" s="1013" t="s">
        <v>6619</v>
      </c>
      <c r="G2777" s="1014" t="s">
        <v>13</v>
      </c>
      <c r="H2777" s="1015">
        <v>785952</v>
      </c>
      <c r="I2777" s="1016" t="s">
        <v>6899</v>
      </c>
    </row>
    <row r="2778" spans="2:9" ht="15.75" x14ac:dyDescent="0.25">
      <c r="B2778" s="1365" t="s">
        <v>7251</v>
      </c>
      <c r="C2778" s="1013" t="s">
        <v>4420</v>
      </c>
      <c r="D2778" s="1013" t="s">
        <v>4420</v>
      </c>
      <c r="E2778" s="1014">
        <v>8401</v>
      </c>
      <c r="F2778" s="1013" t="s">
        <v>6620</v>
      </c>
      <c r="G2778" s="1014" t="s">
        <v>13</v>
      </c>
      <c r="H2778" s="1015">
        <v>4663784</v>
      </c>
      <c r="I2778" s="1016" t="s">
        <v>4398</v>
      </c>
    </row>
    <row r="2779" spans="2:9" ht="15.75" x14ac:dyDescent="0.25">
      <c r="B2779" s="1365" t="s">
        <v>7251</v>
      </c>
      <c r="C2779" s="1013" t="s">
        <v>4405</v>
      </c>
      <c r="D2779" s="1013" t="s">
        <v>4406</v>
      </c>
      <c r="E2779" s="1014">
        <v>8402</v>
      </c>
      <c r="F2779" s="1013" t="s">
        <v>6621</v>
      </c>
      <c r="G2779" s="1014" t="s">
        <v>266</v>
      </c>
      <c r="H2779" s="1015">
        <v>5240</v>
      </c>
      <c r="I2779" s="1016" t="s">
        <v>4398</v>
      </c>
    </row>
    <row r="2780" spans="2:9" ht="15.75" x14ac:dyDescent="0.25">
      <c r="B2780" s="1365" t="s">
        <v>7252</v>
      </c>
      <c r="C2780" s="1013" t="s">
        <v>4468</v>
      </c>
      <c r="D2780" s="1013" t="s">
        <v>4469</v>
      </c>
      <c r="E2780" s="1014">
        <v>8407</v>
      </c>
      <c r="F2780" s="1013" t="s">
        <v>6622</v>
      </c>
      <c r="G2780" s="1014" t="s">
        <v>13</v>
      </c>
      <c r="H2780" s="1015">
        <v>1731150</v>
      </c>
      <c r="I2780" s="1016" t="s">
        <v>6899</v>
      </c>
    </row>
    <row r="2781" spans="2:9" ht="15.75" x14ac:dyDescent="0.25">
      <c r="B2781" s="1365" t="s">
        <v>7252</v>
      </c>
      <c r="C2781" s="1013" t="s">
        <v>4461</v>
      </c>
      <c r="D2781" s="1013" t="s">
        <v>4461</v>
      </c>
      <c r="E2781" s="1014">
        <v>8409</v>
      </c>
      <c r="F2781" s="1013" t="s">
        <v>6623</v>
      </c>
      <c r="G2781" s="1014" t="s">
        <v>266</v>
      </c>
      <c r="H2781" s="1015">
        <v>5955170</v>
      </c>
      <c r="I2781" s="1016" t="s">
        <v>6899</v>
      </c>
    </row>
    <row r="2782" spans="2:9" ht="15.75" x14ac:dyDescent="0.25">
      <c r="B2782" s="1365" t="s">
        <v>7252</v>
      </c>
      <c r="C2782" s="1013" t="s">
        <v>4461</v>
      </c>
      <c r="D2782" s="1013" t="s">
        <v>4461</v>
      </c>
      <c r="E2782" s="1014">
        <v>8410</v>
      </c>
      <c r="F2782" s="1013" t="s">
        <v>6624</v>
      </c>
      <c r="G2782" s="1014" t="s">
        <v>266</v>
      </c>
      <c r="H2782" s="1015">
        <v>4877931</v>
      </c>
      <c r="I2782" s="1016" t="s">
        <v>6899</v>
      </c>
    </row>
    <row r="2783" spans="2:9" ht="15.75" x14ac:dyDescent="0.25">
      <c r="B2783" s="1365" t="s">
        <v>7252</v>
      </c>
      <c r="C2783" s="1013" t="s">
        <v>4468</v>
      </c>
      <c r="D2783" s="1013" t="s">
        <v>4469</v>
      </c>
      <c r="E2783" s="1014">
        <v>8411</v>
      </c>
      <c r="F2783" s="1013" t="s">
        <v>6625</v>
      </c>
      <c r="G2783" s="1014" t="s">
        <v>13</v>
      </c>
      <c r="H2783" s="1015">
        <v>666338</v>
      </c>
      <c r="I2783" s="1016" t="s">
        <v>6899</v>
      </c>
    </row>
    <row r="2784" spans="2:9" ht="15.75" x14ac:dyDescent="0.25">
      <c r="B2784" s="1365" t="s">
        <v>7252</v>
      </c>
      <c r="C2784" s="1013" t="s">
        <v>4461</v>
      </c>
      <c r="D2784" s="1013" t="s">
        <v>4461</v>
      </c>
      <c r="E2784" s="1014">
        <v>8412</v>
      </c>
      <c r="F2784" s="1013" t="s">
        <v>6626</v>
      </c>
      <c r="G2784" s="1014" t="s">
        <v>266</v>
      </c>
      <c r="H2784" s="1015">
        <v>954335</v>
      </c>
      <c r="I2784" s="1016" t="s">
        <v>4398</v>
      </c>
    </row>
    <row r="2785" spans="2:9" ht="15.75" x14ac:dyDescent="0.25">
      <c r="B2785" s="1365" t="s">
        <v>7252</v>
      </c>
      <c r="C2785" s="1013" t="s">
        <v>4461</v>
      </c>
      <c r="D2785" s="1013" t="s">
        <v>4461</v>
      </c>
      <c r="E2785" s="1014">
        <v>8413</v>
      </c>
      <c r="F2785" s="1013" t="s">
        <v>6627</v>
      </c>
      <c r="G2785" s="1014" t="s">
        <v>266</v>
      </c>
      <c r="H2785" s="1015">
        <v>397635</v>
      </c>
      <c r="I2785" s="1016" t="s">
        <v>4398</v>
      </c>
    </row>
    <row r="2786" spans="2:9" ht="15.75" x14ac:dyDescent="0.25">
      <c r="B2786" s="1365" t="s">
        <v>7252</v>
      </c>
      <c r="C2786" s="1013" t="s">
        <v>4461</v>
      </c>
      <c r="D2786" s="1013" t="s">
        <v>4461</v>
      </c>
      <c r="E2786" s="1014">
        <v>8414</v>
      </c>
      <c r="F2786" s="1013" t="s">
        <v>6628</v>
      </c>
      <c r="G2786" s="1014" t="s">
        <v>266</v>
      </c>
      <c r="H2786" s="1015">
        <v>3207861</v>
      </c>
      <c r="I2786" s="1016" t="s">
        <v>4398</v>
      </c>
    </row>
    <row r="2787" spans="2:9" ht="15.75" x14ac:dyDescent="0.25">
      <c r="B2787" s="1365" t="s">
        <v>7252</v>
      </c>
      <c r="C2787" s="1013" t="s">
        <v>4461</v>
      </c>
      <c r="D2787" s="1013" t="s">
        <v>4461</v>
      </c>
      <c r="E2787" s="1014">
        <v>8415</v>
      </c>
      <c r="F2787" s="1013" t="s">
        <v>6629</v>
      </c>
      <c r="G2787" s="1014" t="s">
        <v>266</v>
      </c>
      <c r="H2787" s="1015">
        <v>1149704</v>
      </c>
      <c r="I2787" s="1016" t="s">
        <v>4398</v>
      </c>
    </row>
    <row r="2788" spans="2:9" ht="15.75" x14ac:dyDescent="0.25">
      <c r="B2788" s="1365" t="s">
        <v>7252</v>
      </c>
      <c r="C2788" s="1013" t="s">
        <v>4461</v>
      </c>
      <c r="D2788" s="1013" t="s">
        <v>4461</v>
      </c>
      <c r="E2788" s="1014">
        <v>8416</v>
      </c>
      <c r="F2788" s="1013" t="s">
        <v>6630</v>
      </c>
      <c r="G2788" s="1014" t="s">
        <v>266</v>
      </c>
      <c r="H2788" s="1015">
        <v>1298609</v>
      </c>
      <c r="I2788" s="1016" t="s">
        <v>4398</v>
      </c>
    </row>
    <row r="2789" spans="2:9" ht="15.75" x14ac:dyDescent="0.25">
      <c r="B2789" s="1365" t="s">
        <v>7252</v>
      </c>
      <c r="C2789" s="1013" t="s">
        <v>4461</v>
      </c>
      <c r="D2789" s="1013" t="s">
        <v>4461</v>
      </c>
      <c r="E2789" s="1014">
        <v>8418</v>
      </c>
      <c r="F2789" s="1013" t="s">
        <v>6631</v>
      </c>
      <c r="G2789" s="1014" t="s">
        <v>266</v>
      </c>
      <c r="H2789" s="1015">
        <v>20580183</v>
      </c>
      <c r="I2789" s="1016" t="s">
        <v>4398</v>
      </c>
    </row>
    <row r="2790" spans="2:9" ht="15.75" x14ac:dyDescent="0.25">
      <c r="B2790" s="1365" t="s">
        <v>7252</v>
      </c>
      <c r="C2790" s="1013" t="s">
        <v>4461</v>
      </c>
      <c r="D2790" s="1013" t="s">
        <v>4461</v>
      </c>
      <c r="E2790" s="1014">
        <v>8419</v>
      </c>
      <c r="F2790" s="1013" t="s">
        <v>6632</v>
      </c>
      <c r="G2790" s="1014" t="s">
        <v>266</v>
      </c>
      <c r="H2790" s="1015">
        <v>188976</v>
      </c>
      <c r="I2790" s="1016" t="s">
        <v>4398</v>
      </c>
    </row>
    <row r="2791" spans="2:9" ht="15.75" x14ac:dyDescent="0.25">
      <c r="B2791" s="1365" t="s">
        <v>7252</v>
      </c>
      <c r="C2791" s="1013" t="s">
        <v>4461</v>
      </c>
      <c r="D2791" s="1013" t="s">
        <v>4461</v>
      </c>
      <c r="E2791" s="1014">
        <v>8420</v>
      </c>
      <c r="F2791" s="1013" t="s">
        <v>6633</v>
      </c>
      <c r="G2791" s="1014" t="s">
        <v>266</v>
      </c>
      <c r="H2791" s="1015">
        <v>188976</v>
      </c>
      <c r="I2791" s="1016" t="s">
        <v>4398</v>
      </c>
    </row>
    <row r="2792" spans="2:9" ht="15.75" x14ac:dyDescent="0.25">
      <c r="B2792" s="1365" t="s">
        <v>7252</v>
      </c>
      <c r="C2792" s="1013" t="s">
        <v>4461</v>
      </c>
      <c r="D2792" s="1013" t="s">
        <v>4461</v>
      </c>
      <c r="E2792" s="1014">
        <v>8421</v>
      </c>
      <c r="F2792" s="1013" t="s">
        <v>6634</v>
      </c>
      <c r="G2792" s="1014" t="s">
        <v>266</v>
      </c>
      <c r="H2792" s="1015">
        <v>191562</v>
      </c>
      <c r="I2792" s="1016" t="s">
        <v>4398</v>
      </c>
    </row>
    <row r="2793" spans="2:9" ht="15.75" x14ac:dyDescent="0.25">
      <c r="B2793" s="1365" t="s">
        <v>7252</v>
      </c>
      <c r="C2793" s="1013" t="s">
        <v>4461</v>
      </c>
      <c r="D2793" s="1013" t="s">
        <v>4461</v>
      </c>
      <c r="E2793" s="1014">
        <v>8422</v>
      </c>
      <c r="F2793" s="1013" t="s">
        <v>945</v>
      </c>
      <c r="G2793" s="1014" t="s">
        <v>266</v>
      </c>
      <c r="H2793" s="1015">
        <v>612055</v>
      </c>
      <c r="I2793" s="1016" t="s">
        <v>4398</v>
      </c>
    </row>
    <row r="2794" spans="2:9" ht="15.75" x14ac:dyDescent="0.25">
      <c r="B2794" s="1365" t="s">
        <v>7252</v>
      </c>
      <c r="C2794" s="1013" t="s">
        <v>4461</v>
      </c>
      <c r="D2794" s="1013" t="s">
        <v>4461</v>
      </c>
      <c r="E2794" s="1014">
        <v>8423</v>
      </c>
      <c r="F2794" s="1013" t="s">
        <v>946</v>
      </c>
      <c r="G2794" s="1014" t="s">
        <v>266</v>
      </c>
      <c r="H2794" s="1015">
        <v>1111291</v>
      </c>
      <c r="I2794" s="1016" t="s">
        <v>4398</v>
      </c>
    </row>
    <row r="2795" spans="2:9" ht="15.75" x14ac:dyDescent="0.25">
      <c r="B2795" s="1365" t="s">
        <v>7252</v>
      </c>
      <c r="C2795" s="1013" t="s">
        <v>4461</v>
      </c>
      <c r="D2795" s="1013" t="s">
        <v>4461</v>
      </c>
      <c r="E2795" s="1014">
        <v>8425</v>
      </c>
      <c r="F2795" s="1013" t="s">
        <v>6635</v>
      </c>
      <c r="G2795" s="1014" t="s">
        <v>266</v>
      </c>
      <c r="H2795" s="1015">
        <v>259359</v>
      </c>
      <c r="I2795" s="1016" t="s">
        <v>4398</v>
      </c>
    </row>
    <row r="2796" spans="2:9" ht="15.75" x14ac:dyDescent="0.25">
      <c r="B2796" s="1365" t="s">
        <v>7252</v>
      </c>
      <c r="C2796" s="1013" t="s">
        <v>4461</v>
      </c>
      <c r="D2796" s="1013" t="s">
        <v>4461</v>
      </c>
      <c r="E2796" s="1014">
        <v>8427</v>
      </c>
      <c r="F2796" s="1013" t="s">
        <v>6636</v>
      </c>
      <c r="G2796" s="1014" t="s">
        <v>266</v>
      </c>
      <c r="H2796" s="1015">
        <v>940383</v>
      </c>
      <c r="I2796" s="1016" t="s">
        <v>4398</v>
      </c>
    </row>
    <row r="2797" spans="2:9" ht="15.75" x14ac:dyDescent="0.25">
      <c r="B2797" s="1365" t="s">
        <v>7252</v>
      </c>
      <c r="C2797" s="1013" t="s">
        <v>4431</v>
      </c>
      <c r="D2797" s="1013" t="s">
        <v>4432</v>
      </c>
      <c r="E2797" s="1014">
        <v>8436</v>
      </c>
      <c r="F2797" s="1013" t="s">
        <v>947</v>
      </c>
      <c r="G2797" s="1014" t="s">
        <v>266</v>
      </c>
      <c r="H2797" s="1015">
        <v>177569</v>
      </c>
      <c r="I2797" s="1016" t="s">
        <v>6899</v>
      </c>
    </row>
    <row r="2798" spans="2:9" ht="15.75" x14ac:dyDescent="0.25">
      <c r="B2798" s="1365" t="s">
        <v>7252</v>
      </c>
      <c r="C2798" s="1013" t="s">
        <v>4454</v>
      </c>
      <c r="D2798" s="1013" t="s">
        <v>5477</v>
      </c>
      <c r="E2798" s="1014">
        <v>8437</v>
      </c>
      <c r="F2798" s="1013" t="s">
        <v>948</v>
      </c>
      <c r="G2798" s="1014" t="s">
        <v>266</v>
      </c>
      <c r="H2798" s="1015">
        <v>388020</v>
      </c>
      <c r="I2798" s="1016" t="s">
        <v>6899</v>
      </c>
    </row>
    <row r="2799" spans="2:9" ht="15.75" x14ac:dyDescent="0.25">
      <c r="B2799" s="1365" t="s">
        <v>7252</v>
      </c>
      <c r="C2799" s="1013" t="s">
        <v>5425</v>
      </c>
      <c r="D2799" s="1013" t="s">
        <v>5615</v>
      </c>
      <c r="E2799" s="1014">
        <v>8438</v>
      </c>
      <c r="F2799" s="1013" t="s">
        <v>6637</v>
      </c>
      <c r="G2799" s="1014" t="s">
        <v>12</v>
      </c>
      <c r="H2799" s="1015">
        <v>110587</v>
      </c>
      <c r="I2799" s="1016" t="s">
        <v>6899</v>
      </c>
    </row>
    <row r="2800" spans="2:9" ht="15.75" x14ac:dyDescent="0.25">
      <c r="B2800" s="1365" t="s">
        <v>7252</v>
      </c>
      <c r="C2800" s="1013" t="s">
        <v>4451</v>
      </c>
      <c r="D2800" s="1013" t="s">
        <v>4616</v>
      </c>
      <c r="E2800" s="1014">
        <v>8439</v>
      </c>
      <c r="F2800" s="1013" t="s">
        <v>6638</v>
      </c>
      <c r="G2800" s="1014" t="s">
        <v>12</v>
      </c>
      <c r="H2800" s="1015">
        <v>110587</v>
      </c>
      <c r="I2800" s="1016" t="s">
        <v>6899</v>
      </c>
    </row>
    <row r="2801" spans="2:9" ht="15.75" x14ac:dyDescent="0.25">
      <c r="B2801" s="1365" t="s">
        <v>7252</v>
      </c>
      <c r="C2801" s="1013" t="s">
        <v>4451</v>
      </c>
      <c r="D2801" s="1013" t="s">
        <v>4616</v>
      </c>
      <c r="E2801" s="1014">
        <v>8440</v>
      </c>
      <c r="F2801" s="1013" t="s">
        <v>6639</v>
      </c>
      <c r="G2801" s="1014" t="s">
        <v>12</v>
      </c>
      <c r="H2801" s="1015">
        <v>110587</v>
      </c>
      <c r="I2801" s="1016" t="s">
        <v>6899</v>
      </c>
    </row>
    <row r="2802" spans="2:9" ht="15.75" x14ac:dyDescent="0.25">
      <c r="B2802" s="1365" t="s">
        <v>7252</v>
      </c>
      <c r="C2802" s="1013" t="s">
        <v>4405</v>
      </c>
      <c r="D2802" s="1013" t="s">
        <v>4406</v>
      </c>
      <c r="E2802" s="1014">
        <v>8442</v>
      </c>
      <c r="F2802" s="1013" t="s">
        <v>949</v>
      </c>
      <c r="G2802" s="1014" t="s">
        <v>13</v>
      </c>
      <c r="H2802" s="1015">
        <v>8784</v>
      </c>
      <c r="I2802" s="1016" t="s">
        <v>4398</v>
      </c>
    </row>
    <row r="2803" spans="2:9" ht="15.75" x14ac:dyDescent="0.25">
      <c r="B2803" s="1365" t="s">
        <v>7252</v>
      </c>
      <c r="C2803" s="1013" t="s">
        <v>4405</v>
      </c>
      <c r="D2803" s="1013" t="s">
        <v>4406</v>
      </c>
      <c r="E2803" s="1014">
        <v>8443</v>
      </c>
      <c r="F2803" s="1013" t="s">
        <v>950</v>
      </c>
      <c r="G2803" s="1014" t="s">
        <v>13</v>
      </c>
      <c r="H2803" s="1015">
        <v>6635</v>
      </c>
      <c r="I2803" s="1016" t="s">
        <v>4398</v>
      </c>
    </row>
    <row r="2804" spans="2:9" ht="15.75" x14ac:dyDescent="0.25">
      <c r="B2804" s="1365" t="s">
        <v>7252</v>
      </c>
      <c r="C2804" s="1013" t="s">
        <v>4405</v>
      </c>
      <c r="D2804" s="1013" t="s">
        <v>4406</v>
      </c>
      <c r="E2804" s="1014">
        <v>8445</v>
      </c>
      <c r="F2804" s="1013" t="s">
        <v>951</v>
      </c>
      <c r="G2804" s="1014" t="s">
        <v>266</v>
      </c>
      <c r="H2804" s="1015">
        <v>1126604</v>
      </c>
      <c r="I2804" s="1016" t="s">
        <v>4398</v>
      </c>
    </row>
    <row r="2805" spans="2:9" ht="15.75" x14ac:dyDescent="0.25">
      <c r="B2805" s="1365" t="s">
        <v>7252</v>
      </c>
      <c r="C2805" s="1013" t="s">
        <v>4451</v>
      </c>
      <c r="D2805" s="1013" t="s">
        <v>4616</v>
      </c>
      <c r="E2805" s="1014">
        <v>8448</v>
      </c>
      <c r="F2805" s="1013" t="s">
        <v>6640</v>
      </c>
      <c r="G2805" s="1014" t="s">
        <v>12</v>
      </c>
      <c r="H2805" s="1015">
        <v>110587</v>
      </c>
      <c r="I2805" s="1016" t="s">
        <v>6899</v>
      </c>
    </row>
    <row r="2806" spans="2:9" ht="15.75" x14ac:dyDescent="0.25">
      <c r="B2806" s="1365" t="s">
        <v>7252</v>
      </c>
      <c r="C2806" s="1013" t="s">
        <v>4451</v>
      </c>
      <c r="D2806" s="1013" t="s">
        <v>4616</v>
      </c>
      <c r="E2806" s="1014">
        <v>8449</v>
      </c>
      <c r="F2806" s="1013" t="s">
        <v>6641</v>
      </c>
      <c r="G2806" s="1014" t="s">
        <v>12</v>
      </c>
      <c r="H2806" s="1015">
        <v>110587</v>
      </c>
      <c r="I2806" s="1016" t="s">
        <v>6899</v>
      </c>
    </row>
    <row r="2807" spans="2:9" ht="15.75" x14ac:dyDescent="0.25">
      <c r="B2807" s="1365" t="s">
        <v>7252</v>
      </c>
      <c r="C2807" s="1013" t="s">
        <v>4454</v>
      </c>
      <c r="D2807" s="1013" t="s">
        <v>4455</v>
      </c>
      <c r="E2807" s="1014">
        <v>8452</v>
      </c>
      <c r="F2807" s="1013" t="s">
        <v>6642</v>
      </c>
      <c r="G2807" s="1014" t="s">
        <v>13</v>
      </c>
      <c r="H2807" s="1015">
        <v>257939</v>
      </c>
      <c r="I2807" s="1016" t="s">
        <v>6899</v>
      </c>
    </row>
    <row r="2808" spans="2:9" ht="15.75" x14ac:dyDescent="0.25">
      <c r="B2808" s="1365" t="s">
        <v>7252</v>
      </c>
      <c r="C2808" s="1013" t="s">
        <v>4405</v>
      </c>
      <c r="D2808" s="1013" t="s">
        <v>4406</v>
      </c>
      <c r="E2808" s="1014">
        <v>8453</v>
      </c>
      <c r="F2808" s="1013" t="s">
        <v>6643</v>
      </c>
      <c r="G2808" s="1014" t="s">
        <v>13</v>
      </c>
      <c r="H2808" s="1015">
        <v>24609</v>
      </c>
      <c r="I2808" s="1016" t="s">
        <v>6899</v>
      </c>
    </row>
    <row r="2809" spans="2:9" ht="15.75" x14ac:dyDescent="0.25">
      <c r="B2809" s="1365" t="s">
        <v>7252</v>
      </c>
      <c r="C2809" s="1013" t="s">
        <v>4405</v>
      </c>
      <c r="D2809" s="1013" t="s">
        <v>4406</v>
      </c>
      <c r="E2809" s="1014">
        <v>8455</v>
      </c>
      <c r="F2809" s="1013" t="s">
        <v>952</v>
      </c>
      <c r="G2809" s="1014" t="s">
        <v>266</v>
      </c>
      <c r="H2809" s="1015">
        <v>55216266</v>
      </c>
      <c r="I2809" s="1016" t="s">
        <v>6899</v>
      </c>
    </row>
    <row r="2810" spans="2:9" ht="15.75" x14ac:dyDescent="0.25">
      <c r="B2810" s="1365" t="s">
        <v>7252</v>
      </c>
      <c r="C2810" s="1013" t="s">
        <v>4405</v>
      </c>
      <c r="D2810" s="1013" t="s">
        <v>4406</v>
      </c>
      <c r="E2810" s="1014">
        <v>8456</v>
      </c>
      <c r="F2810" s="1013" t="s">
        <v>953</v>
      </c>
      <c r="G2810" s="1014" t="s">
        <v>266</v>
      </c>
      <c r="H2810" s="1015">
        <v>57570086</v>
      </c>
      <c r="I2810" s="1016" t="s">
        <v>6899</v>
      </c>
    </row>
    <row r="2811" spans="2:9" ht="15.75" x14ac:dyDescent="0.25">
      <c r="B2811" s="1365" t="s">
        <v>7252</v>
      </c>
      <c r="C2811" s="1013" t="s">
        <v>4405</v>
      </c>
      <c r="D2811" s="1013" t="s">
        <v>4406</v>
      </c>
      <c r="E2811" s="1014">
        <v>8457</v>
      </c>
      <c r="F2811" s="1013" t="s">
        <v>954</v>
      </c>
      <c r="G2811" s="1014" t="s">
        <v>266</v>
      </c>
      <c r="H2811" s="1015">
        <v>19597655</v>
      </c>
      <c r="I2811" s="1016" t="s">
        <v>6899</v>
      </c>
    </row>
    <row r="2812" spans="2:9" ht="15.75" x14ac:dyDescent="0.25">
      <c r="B2812" s="1365" t="s">
        <v>7252</v>
      </c>
      <c r="C2812" s="1013" t="s">
        <v>4405</v>
      </c>
      <c r="D2812" s="1013" t="s">
        <v>4406</v>
      </c>
      <c r="E2812" s="1014">
        <v>8458</v>
      </c>
      <c r="F2812" s="1013" t="s">
        <v>955</v>
      </c>
      <c r="G2812" s="1014" t="s">
        <v>266</v>
      </c>
      <c r="H2812" s="1015">
        <v>6550515</v>
      </c>
      <c r="I2812" s="1016" t="s">
        <v>6899</v>
      </c>
    </row>
    <row r="2813" spans="2:9" ht="15.75" x14ac:dyDescent="0.25">
      <c r="B2813" s="1365" t="s">
        <v>7252</v>
      </c>
      <c r="C2813" s="1013" t="s">
        <v>4405</v>
      </c>
      <c r="D2813" s="1013" t="s">
        <v>4406</v>
      </c>
      <c r="E2813" s="1014">
        <v>8459</v>
      </c>
      <c r="F2813" s="1013" t="s">
        <v>6644</v>
      </c>
      <c r="G2813" s="1014" t="s">
        <v>266</v>
      </c>
      <c r="H2813" s="1015">
        <v>8945498</v>
      </c>
      <c r="I2813" s="1016" t="s">
        <v>6899</v>
      </c>
    </row>
    <row r="2814" spans="2:9" ht="15.75" x14ac:dyDescent="0.25">
      <c r="B2814" s="1365" t="s">
        <v>7252</v>
      </c>
      <c r="C2814" s="1013" t="s">
        <v>4405</v>
      </c>
      <c r="D2814" s="1013" t="s">
        <v>4406</v>
      </c>
      <c r="E2814" s="1014">
        <v>8460</v>
      </c>
      <c r="F2814" s="1013" t="s">
        <v>6645</v>
      </c>
      <c r="G2814" s="1014" t="s">
        <v>266</v>
      </c>
      <c r="H2814" s="1015">
        <v>13858916</v>
      </c>
      <c r="I2814" s="1016" t="s">
        <v>6899</v>
      </c>
    </row>
    <row r="2815" spans="2:9" ht="15.75" x14ac:dyDescent="0.25">
      <c r="B2815" s="1365" t="s">
        <v>7252</v>
      </c>
      <c r="C2815" s="1013" t="s">
        <v>4405</v>
      </c>
      <c r="D2815" s="1013" t="s">
        <v>4406</v>
      </c>
      <c r="E2815" s="1014">
        <v>8461</v>
      </c>
      <c r="F2815" s="1013" t="s">
        <v>6646</v>
      </c>
      <c r="G2815" s="1014" t="s">
        <v>13</v>
      </c>
      <c r="H2815" s="1015">
        <v>38101</v>
      </c>
      <c r="I2815" s="1016" t="s">
        <v>4398</v>
      </c>
    </row>
    <row r="2816" spans="2:9" ht="15.75" x14ac:dyDescent="0.25">
      <c r="B2816" s="1365" t="s">
        <v>7252</v>
      </c>
      <c r="C2816" s="1013" t="s">
        <v>4405</v>
      </c>
      <c r="D2816" s="1013" t="s">
        <v>4406</v>
      </c>
      <c r="E2816" s="1014">
        <v>8462</v>
      </c>
      <c r="F2816" s="1013" t="s">
        <v>6647</v>
      </c>
      <c r="G2816" s="1014" t="s">
        <v>13</v>
      </c>
      <c r="H2816" s="1015">
        <v>11190</v>
      </c>
      <c r="I2816" s="1016" t="s">
        <v>4398</v>
      </c>
    </row>
    <row r="2817" spans="2:9" ht="15.75" x14ac:dyDescent="0.25">
      <c r="B2817" s="1365" t="s">
        <v>7253</v>
      </c>
      <c r="C2817" s="1013" t="s">
        <v>4417</v>
      </c>
      <c r="D2817" s="1013" t="s">
        <v>4418</v>
      </c>
      <c r="E2817" s="1014">
        <v>8464</v>
      </c>
      <c r="F2817" s="1013" t="s">
        <v>6648</v>
      </c>
      <c r="G2817" s="1014" t="s">
        <v>13</v>
      </c>
      <c r="H2817" s="1015">
        <v>55781</v>
      </c>
      <c r="I2817" s="1016" t="s">
        <v>6899</v>
      </c>
    </row>
    <row r="2818" spans="2:9" ht="15.75" x14ac:dyDescent="0.25">
      <c r="B2818" s="1365" t="s">
        <v>7253</v>
      </c>
      <c r="C2818" s="1013" t="s">
        <v>4417</v>
      </c>
      <c r="D2818" s="1013" t="s">
        <v>4631</v>
      </c>
      <c r="E2818" s="1014">
        <v>8466</v>
      </c>
      <c r="F2818" s="1013" t="s">
        <v>6649</v>
      </c>
      <c r="G2818" s="1014" t="s">
        <v>13</v>
      </c>
      <c r="H2818" s="1015">
        <v>98538</v>
      </c>
      <c r="I2818" s="1016" t="s">
        <v>6899</v>
      </c>
    </row>
    <row r="2819" spans="2:9" ht="15.75" x14ac:dyDescent="0.25">
      <c r="B2819" s="1365" t="s">
        <v>7253</v>
      </c>
      <c r="C2819" s="1013" t="s">
        <v>4799</v>
      </c>
      <c r="D2819" s="1013" t="s">
        <v>5946</v>
      </c>
      <c r="E2819" s="1014">
        <v>8467</v>
      </c>
      <c r="F2819" s="1013" t="s">
        <v>6650</v>
      </c>
      <c r="G2819" s="1014" t="s">
        <v>12</v>
      </c>
      <c r="H2819" s="1015">
        <v>30612</v>
      </c>
      <c r="I2819" s="1016" t="s">
        <v>6899</v>
      </c>
    </row>
    <row r="2820" spans="2:9" ht="15.75" x14ac:dyDescent="0.25">
      <c r="B2820" s="1365" t="s">
        <v>7253</v>
      </c>
      <c r="C2820" s="1013" t="s">
        <v>4405</v>
      </c>
      <c r="D2820" s="1013" t="s">
        <v>4406</v>
      </c>
      <c r="E2820" s="1014">
        <v>8468</v>
      </c>
      <c r="F2820" s="1013" t="s">
        <v>6651</v>
      </c>
      <c r="G2820" s="1014" t="s">
        <v>266</v>
      </c>
      <c r="H2820" s="1015">
        <v>191612</v>
      </c>
      <c r="I2820" s="1016" t="s">
        <v>4398</v>
      </c>
    </row>
    <row r="2821" spans="2:9" ht="15.75" x14ac:dyDescent="0.25">
      <c r="B2821" s="1365" t="s">
        <v>7253</v>
      </c>
      <c r="C2821" s="1013" t="s">
        <v>4775</v>
      </c>
      <c r="D2821" s="1013" t="s">
        <v>4775</v>
      </c>
      <c r="E2821" s="1014">
        <v>8471</v>
      </c>
      <c r="F2821" s="1013" t="s">
        <v>6652</v>
      </c>
      <c r="G2821" s="1014" t="s">
        <v>6</v>
      </c>
      <c r="H2821" s="1015">
        <v>6883</v>
      </c>
      <c r="I2821" s="1016" t="s">
        <v>6899</v>
      </c>
    </row>
    <row r="2822" spans="2:9" ht="15.75" x14ac:dyDescent="0.25">
      <c r="B2822" s="1365" t="s">
        <v>7253</v>
      </c>
      <c r="C2822" s="1013" t="s">
        <v>4405</v>
      </c>
      <c r="D2822" s="1013" t="s">
        <v>4406</v>
      </c>
      <c r="E2822" s="1014">
        <v>8472</v>
      </c>
      <c r="F2822" s="1013" t="s">
        <v>6653</v>
      </c>
      <c r="G2822" s="1014" t="s">
        <v>266</v>
      </c>
      <c r="H2822" s="1015">
        <v>1075812</v>
      </c>
      <c r="I2822" s="1016" t="s">
        <v>6899</v>
      </c>
    </row>
    <row r="2823" spans="2:9" ht="15.75" x14ac:dyDescent="0.25">
      <c r="B2823" s="1365" t="s">
        <v>7253</v>
      </c>
      <c r="C2823" s="1013" t="s">
        <v>4405</v>
      </c>
      <c r="D2823" s="1013" t="s">
        <v>4406</v>
      </c>
      <c r="E2823" s="1014">
        <v>8474</v>
      </c>
      <c r="F2823" s="1013" t="s">
        <v>6654</v>
      </c>
      <c r="G2823" s="1014" t="s">
        <v>266</v>
      </c>
      <c r="H2823" s="1015">
        <v>608584</v>
      </c>
      <c r="I2823" s="1016" t="s">
        <v>6899</v>
      </c>
    </row>
    <row r="2824" spans="2:9" ht="15.75" x14ac:dyDescent="0.25">
      <c r="B2824" s="1365" t="s">
        <v>7253</v>
      </c>
      <c r="C2824" s="1013" t="s">
        <v>4417</v>
      </c>
      <c r="D2824" s="1013" t="s">
        <v>4418</v>
      </c>
      <c r="E2824" s="1014">
        <v>8475</v>
      </c>
      <c r="F2824" s="1013" t="s">
        <v>6655</v>
      </c>
      <c r="G2824" s="1014" t="s">
        <v>13</v>
      </c>
      <c r="H2824" s="1015">
        <v>57717</v>
      </c>
      <c r="I2824" s="1016" t="s">
        <v>6899</v>
      </c>
    </row>
    <row r="2825" spans="2:9" ht="15.75" x14ac:dyDescent="0.25">
      <c r="B2825" s="1365" t="s">
        <v>7253</v>
      </c>
      <c r="C2825" s="1013" t="s">
        <v>4451</v>
      </c>
      <c r="D2825" s="1013" t="s">
        <v>4616</v>
      </c>
      <c r="E2825" s="1014">
        <v>8476</v>
      </c>
      <c r="F2825" s="1013" t="s">
        <v>6656</v>
      </c>
      <c r="G2825" s="1014" t="s">
        <v>266</v>
      </c>
      <c r="H2825" s="1015">
        <v>2011807</v>
      </c>
      <c r="I2825" s="1016" t="s">
        <v>6899</v>
      </c>
    </row>
    <row r="2826" spans="2:9" ht="15.75" x14ac:dyDescent="0.25">
      <c r="B2826" s="1365" t="s">
        <v>7253</v>
      </c>
      <c r="C2826" s="1013" t="s">
        <v>4405</v>
      </c>
      <c r="D2826" s="1013" t="s">
        <v>4406</v>
      </c>
      <c r="E2826" s="1014">
        <v>8480</v>
      </c>
      <c r="F2826" s="1013" t="s">
        <v>6657</v>
      </c>
      <c r="G2826" s="1014" t="s">
        <v>266</v>
      </c>
      <c r="H2826" s="1015">
        <v>608584</v>
      </c>
      <c r="I2826" s="1016" t="s">
        <v>6899</v>
      </c>
    </row>
    <row r="2827" spans="2:9" ht="15.75" x14ac:dyDescent="0.25">
      <c r="B2827" s="1365" t="s">
        <v>7253</v>
      </c>
      <c r="C2827" s="1013" t="s">
        <v>4405</v>
      </c>
      <c r="D2827" s="1013" t="s">
        <v>4406</v>
      </c>
      <c r="E2827" s="1014">
        <v>8482</v>
      </c>
      <c r="F2827" s="1013" t="s">
        <v>956</v>
      </c>
      <c r="G2827" s="1014" t="s">
        <v>266</v>
      </c>
      <c r="H2827" s="1015">
        <v>1308925</v>
      </c>
      <c r="I2827" s="1016" t="s">
        <v>6899</v>
      </c>
    </row>
    <row r="2828" spans="2:9" ht="15.75" x14ac:dyDescent="0.25">
      <c r="B2828" s="1365" t="s">
        <v>7253</v>
      </c>
      <c r="C2828" s="1013" t="s">
        <v>4405</v>
      </c>
      <c r="D2828" s="1013" t="s">
        <v>4406</v>
      </c>
      <c r="E2828" s="1014">
        <v>8483</v>
      </c>
      <c r="F2828" s="1013" t="s">
        <v>6658</v>
      </c>
      <c r="G2828" s="1014" t="s">
        <v>266</v>
      </c>
      <c r="H2828" s="1015">
        <v>947507</v>
      </c>
      <c r="I2828" s="1016" t="s">
        <v>6899</v>
      </c>
    </row>
    <row r="2829" spans="2:9" ht="15.75" x14ac:dyDescent="0.25">
      <c r="B2829" s="1365" t="s">
        <v>7253</v>
      </c>
      <c r="C2829" s="1013" t="s">
        <v>4405</v>
      </c>
      <c r="D2829" s="1013" t="s">
        <v>4406</v>
      </c>
      <c r="E2829" s="1014">
        <v>8484</v>
      </c>
      <c r="F2829" s="1013" t="s">
        <v>6659</v>
      </c>
      <c r="G2829" s="1014" t="s">
        <v>266</v>
      </c>
      <c r="H2829" s="1015">
        <v>176225</v>
      </c>
      <c r="I2829" s="1016" t="s">
        <v>6899</v>
      </c>
    </row>
    <row r="2830" spans="2:9" ht="15.75" x14ac:dyDescent="0.25">
      <c r="B2830" s="1365" t="s">
        <v>7253</v>
      </c>
      <c r="C2830" s="1013" t="s">
        <v>4431</v>
      </c>
      <c r="D2830" s="1013" t="s">
        <v>4432</v>
      </c>
      <c r="E2830" s="1014">
        <v>8486</v>
      </c>
      <c r="F2830" s="1013" t="s">
        <v>6660</v>
      </c>
      <c r="G2830" s="1014" t="s">
        <v>13</v>
      </c>
      <c r="H2830" s="1015">
        <v>971455</v>
      </c>
      <c r="I2830" s="1016" t="s">
        <v>4398</v>
      </c>
    </row>
    <row r="2831" spans="2:9" ht="15.75" x14ac:dyDescent="0.25">
      <c r="B2831" s="1365" t="s">
        <v>7253</v>
      </c>
      <c r="C2831" s="1013" t="s">
        <v>4405</v>
      </c>
      <c r="D2831" s="1013" t="s">
        <v>4406</v>
      </c>
      <c r="E2831" s="1014">
        <v>8487</v>
      </c>
      <c r="F2831" s="1013" t="s">
        <v>6661</v>
      </c>
      <c r="G2831" s="1014" t="s">
        <v>13</v>
      </c>
      <c r="H2831" s="1015">
        <v>31421</v>
      </c>
      <c r="I2831" s="1016" t="s">
        <v>4398</v>
      </c>
    </row>
    <row r="2832" spans="2:9" ht="15.75" x14ac:dyDescent="0.25">
      <c r="B2832" s="1365" t="s">
        <v>7253</v>
      </c>
      <c r="C2832" s="1013" t="s">
        <v>4405</v>
      </c>
      <c r="D2832" s="1013" t="s">
        <v>4406</v>
      </c>
      <c r="E2832" s="1014">
        <v>8488</v>
      </c>
      <c r="F2832" s="1013" t="s">
        <v>6662</v>
      </c>
      <c r="G2832" s="1014" t="s">
        <v>13</v>
      </c>
      <c r="H2832" s="1015">
        <v>21055</v>
      </c>
      <c r="I2832" s="1016" t="s">
        <v>4398</v>
      </c>
    </row>
    <row r="2833" spans="2:9" ht="15.75" x14ac:dyDescent="0.25">
      <c r="B2833" s="1365" t="s">
        <v>7253</v>
      </c>
      <c r="C2833" s="1013" t="s">
        <v>4451</v>
      </c>
      <c r="D2833" s="1013" t="s">
        <v>4616</v>
      </c>
      <c r="E2833" s="1014">
        <v>8489</v>
      </c>
      <c r="F2833" s="1013" t="s">
        <v>957</v>
      </c>
      <c r="G2833" s="1014" t="s">
        <v>266</v>
      </c>
      <c r="H2833" s="1015">
        <v>43554</v>
      </c>
      <c r="I2833" s="1016" t="s">
        <v>6899</v>
      </c>
    </row>
    <row r="2834" spans="2:9" ht="15.75" x14ac:dyDescent="0.25">
      <c r="B2834" s="1365" t="s">
        <v>7253</v>
      </c>
      <c r="C2834" s="1013" t="s">
        <v>4451</v>
      </c>
      <c r="D2834" s="1013" t="s">
        <v>4616</v>
      </c>
      <c r="E2834" s="1014">
        <v>8491</v>
      </c>
      <c r="F2834" s="1013" t="s">
        <v>958</v>
      </c>
      <c r="G2834" s="1014" t="s">
        <v>266</v>
      </c>
      <c r="H2834" s="1015">
        <v>9191</v>
      </c>
      <c r="I2834" s="1016" t="s">
        <v>4398</v>
      </c>
    </row>
    <row r="2835" spans="2:9" ht="15.75" x14ac:dyDescent="0.25">
      <c r="B2835" s="1365" t="s">
        <v>7253</v>
      </c>
      <c r="C2835" s="1013" t="s">
        <v>4451</v>
      </c>
      <c r="D2835" s="1013" t="s">
        <v>4616</v>
      </c>
      <c r="E2835" s="1014">
        <v>8492</v>
      </c>
      <c r="F2835" s="1013" t="s">
        <v>6663</v>
      </c>
      <c r="G2835" s="1014" t="s">
        <v>266</v>
      </c>
      <c r="H2835" s="1015">
        <v>175554</v>
      </c>
      <c r="I2835" s="1016" t="s">
        <v>6899</v>
      </c>
    </row>
    <row r="2836" spans="2:9" ht="15.75" x14ac:dyDescent="0.25">
      <c r="B2836" s="1365" t="s">
        <v>7253</v>
      </c>
      <c r="C2836" s="1013" t="s">
        <v>4405</v>
      </c>
      <c r="D2836" s="1013" t="s">
        <v>4406</v>
      </c>
      <c r="E2836" s="1014">
        <v>8493</v>
      </c>
      <c r="F2836" s="1013" t="s">
        <v>959</v>
      </c>
      <c r="G2836" s="1014" t="s">
        <v>266</v>
      </c>
      <c r="H2836" s="1015">
        <v>745372</v>
      </c>
      <c r="I2836" s="1016" t="s">
        <v>6899</v>
      </c>
    </row>
    <row r="2837" spans="2:9" ht="15.75" x14ac:dyDescent="0.25">
      <c r="B2837" s="1365" t="s">
        <v>7253</v>
      </c>
      <c r="C2837" s="1013" t="s">
        <v>4405</v>
      </c>
      <c r="D2837" s="1013" t="s">
        <v>4406</v>
      </c>
      <c r="E2837" s="1014">
        <v>8494</v>
      </c>
      <c r="F2837" s="1013" t="s">
        <v>6664</v>
      </c>
      <c r="G2837" s="1014" t="s">
        <v>266</v>
      </c>
      <c r="H2837" s="1015">
        <v>1073300</v>
      </c>
      <c r="I2837" s="1016" t="s">
        <v>6899</v>
      </c>
    </row>
    <row r="2838" spans="2:9" ht="15.75" x14ac:dyDescent="0.25">
      <c r="B2838" s="1365" t="s">
        <v>7253</v>
      </c>
      <c r="C2838" s="1013" t="s">
        <v>4405</v>
      </c>
      <c r="D2838" s="1013" t="s">
        <v>4406</v>
      </c>
      <c r="E2838" s="1014">
        <v>8495</v>
      </c>
      <c r="F2838" s="1013" t="s">
        <v>6665</v>
      </c>
      <c r="G2838" s="1014" t="s">
        <v>13</v>
      </c>
      <c r="H2838" s="1015">
        <v>27618</v>
      </c>
      <c r="I2838" s="1016" t="s">
        <v>4398</v>
      </c>
    </row>
    <row r="2839" spans="2:9" ht="15.75" x14ac:dyDescent="0.25">
      <c r="B2839" s="1365" t="s">
        <v>7253</v>
      </c>
      <c r="C2839" s="1013" t="s">
        <v>4405</v>
      </c>
      <c r="D2839" s="1013" t="s">
        <v>4406</v>
      </c>
      <c r="E2839" s="1014">
        <v>8496</v>
      </c>
      <c r="F2839" s="1013" t="s">
        <v>6666</v>
      </c>
      <c r="G2839" s="1014" t="s">
        <v>13</v>
      </c>
      <c r="H2839" s="1015">
        <v>24522</v>
      </c>
      <c r="I2839" s="1016" t="s">
        <v>4398</v>
      </c>
    </row>
    <row r="2840" spans="2:9" ht="15.75" x14ac:dyDescent="0.25">
      <c r="B2840" s="1365" t="s">
        <v>7253</v>
      </c>
      <c r="C2840" s="1013" t="s">
        <v>4405</v>
      </c>
      <c r="D2840" s="1013" t="s">
        <v>4406</v>
      </c>
      <c r="E2840" s="1014">
        <v>8497</v>
      </c>
      <c r="F2840" s="1013" t="s">
        <v>6667</v>
      </c>
      <c r="G2840" s="1014" t="s">
        <v>13</v>
      </c>
      <c r="H2840" s="1015">
        <v>29830</v>
      </c>
      <c r="I2840" s="1016" t="s">
        <v>4398</v>
      </c>
    </row>
    <row r="2841" spans="2:9" ht="15.75" x14ac:dyDescent="0.25">
      <c r="B2841" s="1365" t="s">
        <v>7253</v>
      </c>
      <c r="C2841" s="1013" t="s">
        <v>4417</v>
      </c>
      <c r="D2841" s="1013" t="s">
        <v>4631</v>
      </c>
      <c r="E2841" s="1014">
        <v>8498</v>
      </c>
      <c r="F2841" s="1013" t="s">
        <v>960</v>
      </c>
      <c r="G2841" s="1014" t="s">
        <v>13</v>
      </c>
      <c r="H2841" s="1015">
        <v>10282</v>
      </c>
      <c r="I2841" s="1016" t="s">
        <v>6899</v>
      </c>
    </row>
    <row r="2842" spans="2:9" ht="15.75" x14ac:dyDescent="0.25">
      <c r="B2842" s="1365" t="s">
        <v>7253</v>
      </c>
      <c r="C2842" s="1013" t="s">
        <v>4417</v>
      </c>
      <c r="D2842" s="1013" t="s">
        <v>4438</v>
      </c>
      <c r="E2842" s="1014">
        <v>8499</v>
      </c>
      <c r="F2842" s="1013" t="s">
        <v>6668</v>
      </c>
      <c r="G2842" s="1014" t="s">
        <v>12</v>
      </c>
      <c r="H2842" s="1015">
        <v>124603</v>
      </c>
      <c r="I2842" s="1016" t="s">
        <v>6899</v>
      </c>
    </row>
    <row r="2843" spans="2:9" ht="15.75" x14ac:dyDescent="0.25">
      <c r="B2843" s="1365" t="s">
        <v>7253</v>
      </c>
      <c r="C2843" s="1013" t="s">
        <v>4454</v>
      </c>
      <c r="D2843" s="1013" t="s">
        <v>4455</v>
      </c>
      <c r="E2843" s="1014">
        <v>8500</v>
      </c>
      <c r="F2843" s="1013" t="s">
        <v>961</v>
      </c>
      <c r="G2843" s="1014" t="s">
        <v>12</v>
      </c>
      <c r="H2843" s="1015">
        <v>62443</v>
      </c>
      <c r="I2843" s="1016" t="s">
        <v>3538</v>
      </c>
    </row>
    <row r="2844" spans="2:9" ht="15.75" x14ac:dyDescent="0.25">
      <c r="B2844" s="1365" t="s">
        <v>7232</v>
      </c>
      <c r="C2844" s="1013" t="s">
        <v>4417</v>
      </c>
      <c r="D2844" s="1013" t="s">
        <v>4418</v>
      </c>
      <c r="E2844" s="1014">
        <v>8501</v>
      </c>
      <c r="F2844" s="1013" t="s">
        <v>6669</v>
      </c>
      <c r="G2844" s="1014" t="s">
        <v>266</v>
      </c>
      <c r="H2844" s="1015">
        <v>130353</v>
      </c>
      <c r="I2844" s="1016" t="s">
        <v>6899</v>
      </c>
    </row>
    <row r="2845" spans="2:9" ht="15.75" x14ac:dyDescent="0.25">
      <c r="B2845" s="1365" t="s">
        <v>7232</v>
      </c>
      <c r="C2845" s="1013" t="s">
        <v>4417</v>
      </c>
      <c r="D2845" s="1013" t="s">
        <v>4418</v>
      </c>
      <c r="E2845" s="1014">
        <v>8503</v>
      </c>
      <c r="F2845" s="1013" t="s">
        <v>6670</v>
      </c>
      <c r="G2845" s="1014" t="s">
        <v>266</v>
      </c>
      <c r="H2845" s="1015">
        <v>116622</v>
      </c>
      <c r="I2845" s="1016" t="s">
        <v>6899</v>
      </c>
    </row>
    <row r="2846" spans="2:9" ht="15.75" x14ac:dyDescent="0.25">
      <c r="B2846" s="1365" t="s">
        <v>7232</v>
      </c>
      <c r="C2846" s="1013" t="s">
        <v>4461</v>
      </c>
      <c r="D2846" s="1013" t="s">
        <v>4461</v>
      </c>
      <c r="E2846" s="1014">
        <v>8504</v>
      </c>
      <c r="F2846" s="1013" t="s">
        <v>6671</v>
      </c>
      <c r="G2846" s="1014" t="s">
        <v>266</v>
      </c>
      <c r="H2846" s="1015">
        <v>275589</v>
      </c>
      <c r="I2846" s="1016" t="s">
        <v>4398</v>
      </c>
    </row>
    <row r="2847" spans="2:9" ht="15.75" x14ac:dyDescent="0.25">
      <c r="B2847" s="1365" t="s">
        <v>7232</v>
      </c>
      <c r="C2847" s="1013" t="s">
        <v>4461</v>
      </c>
      <c r="D2847" s="1013" t="s">
        <v>4461</v>
      </c>
      <c r="E2847" s="1014">
        <v>8505</v>
      </c>
      <c r="F2847" s="1013" t="s">
        <v>6672</v>
      </c>
      <c r="G2847" s="1014" t="s">
        <v>266</v>
      </c>
      <c r="H2847" s="1015">
        <v>845507</v>
      </c>
      <c r="I2847" s="1016" t="s">
        <v>4398</v>
      </c>
    </row>
    <row r="2848" spans="2:9" ht="15.75" x14ac:dyDescent="0.25">
      <c r="B2848" s="1365" t="s">
        <v>7232</v>
      </c>
      <c r="C2848" s="1013" t="s">
        <v>4454</v>
      </c>
      <c r="D2848" s="1013" t="s">
        <v>4634</v>
      </c>
      <c r="E2848" s="1014">
        <v>8506</v>
      </c>
      <c r="F2848" s="1013" t="s">
        <v>6673</v>
      </c>
      <c r="G2848" s="1014" t="s">
        <v>266</v>
      </c>
      <c r="H2848" s="1015">
        <v>658448</v>
      </c>
      <c r="I2848" s="1016" t="s">
        <v>6899</v>
      </c>
    </row>
    <row r="2849" spans="2:9" ht="15.75" x14ac:dyDescent="0.25">
      <c r="B2849" s="1365" t="s">
        <v>7232</v>
      </c>
      <c r="C2849" s="1013" t="s">
        <v>4420</v>
      </c>
      <c r="D2849" s="1013" t="s">
        <v>4420</v>
      </c>
      <c r="E2849" s="1014">
        <v>8507</v>
      </c>
      <c r="F2849" s="1013" t="s">
        <v>6674</v>
      </c>
      <c r="G2849" s="1014" t="s">
        <v>13</v>
      </c>
      <c r="H2849" s="1015">
        <v>795314</v>
      </c>
      <c r="I2849" s="1016" t="s">
        <v>6899</v>
      </c>
    </row>
    <row r="2850" spans="2:9" ht="15.75" x14ac:dyDescent="0.25">
      <c r="B2850" s="1365" t="s">
        <v>7232</v>
      </c>
      <c r="C2850" s="1013" t="s">
        <v>4420</v>
      </c>
      <c r="D2850" s="1013" t="s">
        <v>4420</v>
      </c>
      <c r="E2850" s="1014">
        <v>8508</v>
      </c>
      <c r="F2850" s="1013" t="s">
        <v>6675</v>
      </c>
      <c r="G2850" s="1014" t="s">
        <v>13</v>
      </c>
      <c r="H2850" s="1015">
        <v>810584</v>
      </c>
      <c r="I2850" s="1016" t="s">
        <v>6899</v>
      </c>
    </row>
    <row r="2851" spans="2:9" ht="15.75" x14ac:dyDescent="0.25">
      <c r="B2851" s="1365" t="s">
        <v>7232</v>
      </c>
      <c r="C2851" s="1013" t="s">
        <v>4420</v>
      </c>
      <c r="D2851" s="1013" t="s">
        <v>4420</v>
      </c>
      <c r="E2851" s="1014">
        <v>8509</v>
      </c>
      <c r="F2851" s="1013" t="s">
        <v>6676</v>
      </c>
      <c r="G2851" s="1014" t="s">
        <v>13</v>
      </c>
      <c r="H2851" s="1015">
        <v>914463</v>
      </c>
      <c r="I2851" s="1016" t="s">
        <v>6899</v>
      </c>
    </row>
    <row r="2852" spans="2:9" ht="15.75" x14ac:dyDescent="0.25">
      <c r="B2852" s="1365" t="s">
        <v>7232</v>
      </c>
      <c r="C2852" s="1013" t="s">
        <v>4461</v>
      </c>
      <c r="D2852" s="1013" t="s">
        <v>4461</v>
      </c>
      <c r="E2852" s="1014">
        <v>8511</v>
      </c>
      <c r="F2852" s="1013" t="s">
        <v>6677</v>
      </c>
      <c r="G2852" s="1014" t="s">
        <v>13</v>
      </c>
      <c r="H2852" s="1015">
        <v>530426</v>
      </c>
      <c r="I2852" s="1016" t="s">
        <v>6899</v>
      </c>
    </row>
    <row r="2853" spans="2:9" ht="15.75" x14ac:dyDescent="0.25">
      <c r="B2853" s="1365" t="s">
        <v>7232</v>
      </c>
      <c r="C2853" s="1013" t="s">
        <v>4417</v>
      </c>
      <c r="D2853" s="1013" t="s">
        <v>4418</v>
      </c>
      <c r="E2853" s="1014">
        <v>8512</v>
      </c>
      <c r="F2853" s="1013" t="s">
        <v>6678</v>
      </c>
      <c r="G2853" s="1014" t="s">
        <v>13</v>
      </c>
      <c r="H2853" s="1015">
        <v>230615</v>
      </c>
      <c r="I2853" s="1016" t="s">
        <v>6899</v>
      </c>
    </row>
    <row r="2854" spans="2:9" ht="15.75" x14ac:dyDescent="0.25">
      <c r="B2854" s="1365" t="s">
        <v>7232</v>
      </c>
      <c r="C2854" s="1013" t="s">
        <v>4461</v>
      </c>
      <c r="D2854" s="1013" t="s">
        <v>4461</v>
      </c>
      <c r="E2854" s="1014">
        <v>8513</v>
      </c>
      <c r="F2854" s="1013" t="s">
        <v>962</v>
      </c>
      <c r="G2854" s="1014" t="s">
        <v>266</v>
      </c>
      <c r="H2854" s="1015">
        <v>677853</v>
      </c>
      <c r="I2854" s="1016" t="s">
        <v>4398</v>
      </c>
    </row>
    <row r="2855" spans="2:9" ht="15.75" x14ac:dyDescent="0.25">
      <c r="B2855" s="1365" t="s">
        <v>7232</v>
      </c>
      <c r="C2855" s="1013" t="s">
        <v>4461</v>
      </c>
      <c r="D2855" s="1013" t="s">
        <v>4461</v>
      </c>
      <c r="E2855" s="1014">
        <v>8514</v>
      </c>
      <c r="F2855" s="1013" t="s">
        <v>6679</v>
      </c>
      <c r="G2855" s="1014" t="s">
        <v>13</v>
      </c>
      <c r="H2855" s="1015">
        <v>18697</v>
      </c>
      <c r="I2855" s="1016" t="s">
        <v>6899</v>
      </c>
    </row>
    <row r="2856" spans="2:9" ht="15.75" x14ac:dyDescent="0.25">
      <c r="B2856" s="1365" t="s">
        <v>7232</v>
      </c>
      <c r="C2856" s="1013" t="s">
        <v>4461</v>
      </c>
      <c r="D2856" s="1013" t="s">
        <v>4461</v>
      </c>
      <c r="E2856" s="1014">
        <v>8515</v>
      </c>
      <c r="F2856" s="1013" t="s">
        <v>6680</v>
      </c>
      <c r="G2856" s="1014" t="s">
        <v>266</v>
      </c>
      <c r="H2856" s="1015">
        <v>18017</v>
      </c>
      <c r="I2856" s="1016" t="s">
        <v>6899</v>
      </c>
    </row>
    <row r="2857" spans="2:9" ht="15.75" x14ac:dyDescent="0.25">
      <c r="B2857" s="1365" t="s">
        <v>7232</v>
      </c>
      <c r="C2857" s="1013" t="s">
        <v>4461</v>
      </c>
      <c r="D2857" s="1013" t="s">
        <v>4461</v>
      </c>
      <c r="E2857" s="1014">
        <v>8516</v>
      </c>
      <c r="F2857" s="1013" t="s">
        <v>6681</v>
      </c>
      <c r="G2857" s="1014" t="s">
        <v>266</v>
      </c>
      <c r="H2857" s="1015">
        <v>39759</v>
      </c>
      <c r="I2857" s="1016" t="s">
        <v>6899</v>
      </c>
    </row>
    <row r="2858" spans="2:9" ht="15.75" x14ac:dyDescent="0.25">
      <c r="B2858" s="1365" t="s">
        <v>7232</v>
      </c>
      <c r="C2858" s="1013" t="s">
        <v>4461</v>
      </c>
      <c r="D2858" s="1013" t="s">
        <v>4461</v>
      </c>
      <c r="E2858" s="1014">
        <v>8518</v>
      </c>
      <c r="F2858" s="1013" t="s">
        <v>6682</v>
      </c>
      <c r="G2858" s="1014" t="s">
        <v>266</v>
      </c>
      <c r="H2858" s="1015">
        <v>30141</v>
      </c>
      <c r="I2858" s="1016" t="s">
        <v>6899</v>
      </c>
    </row>
    <row r="2859" spans="2:9" ht="15.75" x14ac:dyDescent="0.25">
      <c r="B2859" s="1365" t="s">
        <v>7232</v>
      </c>
      <c r="C2859" s="1013" t="s">
        <v>4461</v>
      </c>
      <c r="D2859" s="1013" t="s">
        <v>4461</v>
      </c>
      <c r="E2859" s="1014">
        <v>8519</v>
      </c>
      <c r="F2859" s="1013" t="s">
        <v>6683</v>
      </c>
      <c r="G2859" s="1014" t="s">
        <v>266</v>
      </c>
      <c r="H2859" s="1015">
        <v>21894</v>
      </c>
      <c r="I2859" s="1016" t="s">
        <v>6899</v>
      </c>
    </row>
    <row r="2860" spans="2:9" ht="15.75" x14ac:dyDescent="0.25">
      <c r="B2860" s="1365" t="s">
        <v>7232</v>
      </c>
      <c r="C2860" s="1013" t="s">
        <v>4461</v>
      </c>
      <c r="D2860" s="1013" t="s">
        <v>4461</v>
      </c>
      <c r="E2860" s="1014">
        <v>8521</v>
      </c>
      <c r="F2860" s="1013" t="s">
        <v>6684</v>
      </c>
      <c r="G2860" s="1014" t="s">
        <v>266</v>
      </c>
      <c r="H2860" s="1015">
        <v>9606</v>
      </c>
      <c r="I2860" s="1016" t="s">
        <v>4398</v>
      </c>
    </row>
    <row r="2861" spans="2:9" ht="15.75" x14ac:dyDescent="0.25">
      <c r="B2861" s="1365" t="s">
        <v>7232</v>
      </c>
      <c r="C2861" s="1013" t="s">
        <v>4461</v>
      </c>
      <c r="D2861" s="1013" t="s">
        <v>4461</v>
      </c>
      <c r="E2861" s="1014">
        <v>8522</v>
      </c>
      <c r="F2861" s="1013" t="s">
        <v>6685</v>
      </c>
      <c r="G2861" s="1014" t="s">
        <v>13</v>
      </c>
      <c r="H2861" s="1015">
        <v>12999</v>
      </c>
      <c r="I2861" s="1016" t="s">
        <v>6899</v>
      </c>
    </row>
    <row r="2862" spans="2:9" ht="15.75" x14ac:dyDescent="0.25">
      <c r="B2862" s="1365" t="s">
        <v>7232</v>
      </c>
      <c r="C2862" s="1013" t="s">
        <v>4461</v>
      </c>
      <c r="D2862" s="1013" t="s">
        <v>4461</v>
      </c>
      <c r="E2862" s="1014">
        <v>8523</v>
      </c>
      <c r="F2862" s="1013" t="s">
        <v>6686</v>
      </c>
      <c r="G2862" s="1014" t="s">
        <v>266</v>
      </c>
      <c r="H2862" s="1015">
        <v>5847</v>
      </c>
      <c r="I2862" s="1016" t="s">
        <v>6899</v>
      </c>
    </row>
    <row r="2863" spans="2:9" ht="15.75" x14ac:dyDescent="0.25">
      <c r="B2863" s="1365" t="s">
        <v>7232</v>
      </c>
      <c r="C2863" s="1013" t="s">
        <v>4461</v>
      </c>
      <c r="D2863" s="1013" t="s">
        <v>4461</v>
      </c>
      <c r="E2863" s="1014">
        <v>8524</v>
      </c>
      <c r="F2863" s="1013" t="s">
        <v>6687</v>
      </c>
      <c r="G2863" s="1014" t="s">
        <v>266</v>
      </c>
      <c r="H2863" s="1015">
        <v>6510</v>
      </c>
      <c r="I2863" s="1016" t="s">
        <v>6899</v>
      </c>
    </row>
    <row r="2864" spans="2:9" ht="15.75" x14ac:dyDescent="0.25">
      <c r="B2864" s="1365" t="s">
        <v>7232</v>
      </c>
      <c r="C2864" s="1013" t="s">
        <v>4461</v>
      </c>
      <c r="D2864" s="1013" t="s">
        <v>4461</v>
      </c>
      <c r="E2864" s="1014">
        <v>8525</v>
      </c>
      <c r="F2864" s="1013" t="s">
        <v>6688</v>
      </c>
      <c r="G2864" s="1014" t="s">
        <v>266</v>
      </c>
      <c r="H2864" s="1015">
        <v>6970</v>
      </c>
      <c r="I2864" s="1016" t="s">
        <v>6899</v>
      </c>
    </row>
    <row r="2865" spans="2:9" ht="15.75" x14ac:dyDescent="0.25">
      <c r="B2865" s="1365" t="s">
        <v>7232</v>
      </c>
      <c r="C2865" s="1013" t="s">
        <v>4461</v>
      </c>
      <c r="D2865" s="1013" t="s">
        <v>4461</v>
      </c>
      <c r="E2865" s="1014">
        <v>8526</v>
      </c>
      <c r="F2865" s="1013" t="s">
        <v>6689</v>
      </c>
      <c r="G2865" s="1014" t="s">
        <v>266</v>
      </c>
      <c r="H2865" s="1015">
        <v>15530</v>
      </c>
      <c r="I2865" s="1016" t="s">
        <v>6899</v>
      </c>
    </row>
    <row r="2866" spans="2:9" ht="15.75" x14ac:dyDescent="0.25">
      <c r="B2866" s="1365" t="s">
        <v>7232</v>
      </c>
      <c r="C2866" s="1013" t="s">
        <v>4461</v>
      </c>
      <c r="D2866" s="1013" t="s">
        <v>4461</v>
      </c>
      <c r="E2866" s="1014">
        <v>8527</v>
      </c>
      <c r="F2866" s="1013" t="s">
        <v>6690</v>
      </c>
      <c r="G2866" s="1014" t="s">
        <v>266</v>
      </c>
      <c r="H2866" s="1015">
        <v>17017</v>
      </c>
      <c r="I2866" s="1016" t="s">
        <v>6899</v>
      </c>
    </row>
    <row r="2867" spans="2:9" ht="15.75" x14ac:dyDescent="0.25">
      <c r="B2867" s="1365" t="s">
        <v>7232</v>
      </c>
      <c r="C2867" s="1013" t="s">
        <v>4461</v>
      </c>
      <c r="D2867" s="1013" t="s">
        <v>4461</v>
      </c>
      <c r="E2867" s="1014">
        <v>8528</v>
      </c>
      <c r="F2867" s="1013" t="s">
        <v>6691</v>
      </c>
      <c r="G2867" s="1014" t="s">
        <v>266</v>
      </c>
      <c r="H2867" s="1015">
        <v>21289</v>
      </c>
      <c r="I2867" s="1016" t="s">
        <v>6899</v>
      </c>
    </row>
    <row r="2868" spans="2:9" ht="15.75" x14ac:dyDescent="0.25">
      <c r="B2868" s="1365" t="s">
        <v>7232</v>
      </c>
      <c r="C2868" s="1013" t="s">
        <v>4461</v>
      </c>
      <c r="D2868" s="1013" t="s">
        <v>4461</v>
      </c>
      <c r="E2868" s="1014">
        <v>8529</v>
      </c>
      <c r="F2868" s="1013" t="s">
        <v>6692</v>
      </c>
      <c r="G2868" s="1014" t="s">
        <v>266</v>
      </c>
      <c r="H2868" s="1015">
        <v>22076</v>
      </c>
      <c r="I2868" s="1016" t="s">
        <v>6899</v>
      </c>
    </row>
    <row r="2869" spans="2:9" ht="15.75" x14ac:dyDescent="0.25">
      <c r="B2869" s="1365" t="s">
        <v>7232</v>
      </c>
      <c r="C2869" s="1013" t="s">
        <v>4461</v>
      </c>
      <c r="D2869" s="1013" t="s">
        <v>4461</v>
      </c>
      <c r="E2869" s="1014">
        <v>8530</v>
      </c>
      <c r="F2869" s="1013" t="s">
        <v>6693</v>
      </c>
      <c r="G2869" s="1014" t="s">
        <v>266</v>
      </c>
      <c r="H2869" s="1015">
        <v>53134</v>
      </c>
      <c r="I2869" s="1016" t="s">
        <v>6899</v>
      </c>
    </row>
    <row r="2870" spans="2:9" ht="15.75" x14ac:dyDescent="0.25">
      <c r="B2870" s="1365" t="s">
        <v>7232</v>
      </c>
      <c r="C2870" s="1013" t="s">
        <v>4461</v>
      </c>
      <c r="D2870" s="1013" t="s">
        <v>4461</v>
      </c>
      <c r="E2870" s="1014">
        <v>8531</v>
      </c>
      <c r="F2870" s="1013" t="s">
        <v>6694</v>
      </c>
      <c r="G2870" s="1014" t="s">
        <v>266</v>
      </c>
      <c r="H2870" s="1015">
        <v>156725</v>
      </c>
      <c r="I2870" s="1016" t="s">
        <v>6899</v>
      </c>
    </row>
    <row r="2871" spans="2:9" ht="15.75" x14ac:dyDescent="0.25">
      <c r="B2871" s="1365" t="s">
        <v>7232</v>
      </c>
      <c r="C2871" s="1013" t="s">
        <v>4405</v>
      </c>
      <c r="D2871" s="1013" t="s">
        <v>4406</v>
      </c>
      <c r="E2871" s="1014">
        <v>8533</v>
      </c>
      <c r="F2871" s="1013" t="s">
        <v>6695</v>
      </c>
      <c r="G2871" s="1014" t="s">
        <v>266</v>
      </c>
      <c r="H2871" s="1015">
        <v>25682</v>
      </c>
      <c r="I2871" s="1016" t="s">
        <v>4398</v>
      </c>
    </row>
    <row r="2872" spans="2:9" ht="15.75" x14ac:dyDescent="0.25">
      <c r="B2872" s="1365" t="s">
        <v>7254</v>
      </c>
      <c r="C2872" s="1013" t="s">
        <v>4451</v>
      </c>
      <c r="D2872" s="1013" t="s">
        <v>4452</v>
      </c>
      <c r="E2872" s="1014">
        <v>8534</v>
      </c>
      <c r="F2872" s="1013" t="s">
        <v>6696</v>
      </c>
      <c r="G2872" s="1014" t="s">
        <v>266</v>
      </c>
      <c r="H2872" s="1015">
        <v>248948</v>
      </c>
      <c r="I2872" s="1016" t="s">
        <v>3538</v>
      </c>
    </row>
    <row r="2873" spans="2:9" ht="15.75" x14ac:dyDescent="0.25">
      <c r="B2873" s="1365" t="s">
        <v>7254</v>
      </c>
      <c r="C2873" s="1013" t="s">
        <v>4451</v>
      </c>
      <c r="D2873" s="1013" t="s">
        <v>4452</v>
      </c>
      <c r="E2873" s="1014">
        <v>8535</v>
      </c>
      <c r="F2873" s="1013" t="s">
        <v>6697</v>
      </c>
      <c r="G2873" s="1014" t="s">
        <v>266</v>
      </c>
      <c r="H2873" s="1015">
        <v>288218</v>
      </c>
      <c r="I2873" s="1016" t="s">
        <v>3538</v>
      </c>
    </row>
    <row r="2874" spans="2:9" ht="15.75" x14ac:dyDescent="0.25">
      <c r="B2874" s="1365" t="s">
        <v>7255</v>
      </c>
      <c r="C2874" s="1013" t="s">
        <v>4454</v>
      </c>
      <c r="D2874" s="1013" t="s">
        <v>4455</v>
      </c>
      <c r="E2874" s="1014">
        <v>8536</v>
      </c>
      <c r="F2874" s="1013" t="s">
        <v>6698</v>
      </c>
      <c r="G2874" s="1014" t="s">
        <v>12</v>
      </c>
      <c r="H2874" s="1015">
        <v>20340</v>
      </c>
      <c r="I2874" s="1016" t="s">
        <v>4398</v>
      </c>
    </row>
    <row r="2875" spans="2:9" ht="15.75" x14ac:dyDescent="0.25">
      <c r="B2875" s="1365" t="s">
        <v>7255</v>
      </c>
      <c r="C2875" s="1013" t="s">
        <v>4431</v>
      </c>
      <c r="D2875" s="1013" t="s">
        <v>4432</v>
      </c>
      <c r="E2875" s="1014">
        <v>8537</v>
      </c>
      <c r="F2875" s="1013" t="s">
        <v>6699</v>
      </c>
      <c r="G2875" s="1014" t="s">
        <v>266</v>
      </c>
      <c r="H2875" s="1015">
        <v>1953011</v>
      </c>
      <c r="I2875" s="1016" t="s">
        <v>6899</v>
      </c>
    </row>
    <row r="2876" spans="2:9" ht="15.75" x14ac:dyDescent="0.25">
      <c r="B2876" s="1365" t="s">
        <v>7255</v>
      </c>
      <c r="C2876" s="1013" t="s">
        <v>4405</v>
      </c>
      <c r="D2876" s="1013" t="s">
        <v>4406</v>
      </c>
      <c r="E2876" s="1014">
        <v>8538</v>
      </c>
      <c r="F2876" s="1013" t="s">
        <v>6700</v>
      </c>
      <c r="G2876" s="1014" t="s">
        <v>13</v>
      </c>
      <c r="H2876" s="1015">
        <v>42575</v>
      </c>
      <c r="I2876" s="1016" t="s">
        <v>6899</v>
      </c>
    </row>
    <row r="2877" spans="2:9" ht="15.75" x14ac:dyDescent="0.25">
      <c r="B2877" s="1365" t="s">
        <v>7255</v>
      </c>
      <c r="C2877" s="1013" t="s">
        <v>4405</v>
      </c>
      <c r="D2877" s="1013" t="s">
        <v>4406</v>
      </c>
      <c r="E2877" s="1014">
        <v>8539</v>
      </c>
      <c r="F2877" s="1013" t="s">
        <v>6701</v>
      </c>
      <c r="G2877" s="1014" t="s">
        <v>13</v>
      </c>
      <c r="H2877" s="1015">
        <v>47555</v>
      </c>
      <c r="I2877" s="1016" t="s">
        <v>6899</v>
      </c>
    </row>
    <row r="2878" spans="2:9" ht="15.75" x14ac:dyDescent="0.25">
      <c r="B2878" s="1365" t="s">
        <v>7255</v>
      </c>
      <c r="C2878" s="1013" t="s">
        <v>4405</v>
      </c>
      <c r="D2878" s="1013" t="s">
        <v>4406</v>
      </c>
      <c r="E2878" s="1014">
        <v>8540</v>
      </c>
      <c r="F2878" s="1013" t="s">
        <v>6702</v>
      </c>
      <c r="G2878" s="1014" t="s">
        <v>13</v>
      </c>
      <c r="H2878" s="1015">
        <v>98194</v>
      </c>
      <c r="I2878" s="1016" t="s">
        <v>6899</v>
      </c>
    </row>
    <row r="2879" spans="2:9" ht="15.75" x14ac:dyDescent="0.25">
      <c r="B2879" s="1365" t="s">
        <v>7255</v>
      </c>
      <c r="C2879" s="1013" t="s">
        <v>4405</v>
      </c>
      <c r="D2879" s="1013" t="s">
        <v>4406</v>
      </c>
      <c r="E2879" s="1014">
        <v>8541</v>
      </c>
      <c r="F2879" s="1013" t="s">
        <v>6703</v>
      </c>
      <c r="G2879" s="1014" t="s">
        <v>13</v>
      </c>
      <c r="H2879" s="1015">
        <v>409147</v>
      </c>
      <c r="I2879" s="1016" t="s">
        <v>6899</v>
      </c>
    </row>
    <row r="2880" spans="2:9" ht="15.75" x14ac:dyDescent="0.25">
      <c r="B2880" s="1365" t="s">
        <v>7255</v>
      </c>
      <c r="C2880" s="1013" t="s">
        <v>4417</v>
      </c>
      <c r="D2880" s="1013" t="s">
        <v>4418</v>
      </c>
      <c r="E2880" s="1014">
        <v>8542</v>
      </c>
      <c r="F2880" s="1013" t="s">
        <v>6704</v>
      </c>
      <c r="G2880" s="1014" t="s">
        <v>266</v>
      </c>
      <c r="H2880" s="1015">
        <v>175384</v>
      </c>
      <c r="I2880" s="1016" t="s">
        <v>6899</v>
      </c>
    </row>
    <row r="2881" spans="2:9" ht="15.75" x14ac:dyDescent="0.25">
      <c r="B2881" s="1365" t="s">
        <v>7255</v>
      </c>
      <c r="C2881" s="1013" t="s">
        <v>4401</v>
      </c>
      <c r="D2881" s="1013" t="s">
        <v>4401</v>
      </c>
      <c r="E2881" s="1014">
        <v>8543</v>
      </c>
      <c r="F2881" s="1013" t="s">
        <v>6705</v>
      </c>
      <c r="G2881" s="1014" t="s">
        <v>266</v>
      </c>
      <c r="H2881" s="1015">
        <v>1164</v>
      </c>
      <c r="I2881" s="1016" t="s">
        <v>6899</v>
      </c>
    </row>
    <row r="2882" spans="2:9" ht="15.75" x14ac:dyDescent="0.25">
      <c r="B2882" s="1365" t="s">
        <v>7255</v>
      </c>
      <c r="C2882" s="1013" t="s">
        <v>4401</v>
      </c>
      <c r="D2882" s="1013" t="s">
        <v>4401</v>
      </c>
      <c r="E2882" s="1014">
        <v>8544</v>
      </c>
      <c r="F2882" s="1013" t="s">
        <v>6706</v>
      </c>
      <c r="G2882" s="1014" t="s">
        <v>266</v>
      </c>
      <c r="H2882" s="1015">
        <v>1164</v>
      </c>
      <c r="I2882" s="1016" t="s">
        <v>6899</v>
      </c>
    </row>
    <row r="2883" spans="2:9" ht="15.75" x14ac:dyDescent="0.25">
      <c r="B2883" s="1365" t="s">
        <v>7255</v>
      </c>
      <c r="C2883" s="1013" t="s">
        <v>4401</v>
      </c>
      <c r="D2883" s="1013" t="s">
        <v>4401</v>
      </c>
      <c r="E2883" s="1014">
        <v>8545</v>
      </c>
      <c r="F2883" s="1013" t="s">
        <v>6707</v>
      </c>
      <c r="G2883" s="1014" t="s">
        <v>3</v>
      </c>
      <c r="H2883" s="1015">
        <v>43401</v>
      </c>
      <c r="I2883" s="1016" t="s">
        <v>6899</v>
      </c>
    </row>
    <row r="2884" spans="2:9" ht="15.75" x14ac:dyDescent="0.25">
      <c r="B2884" s="1365" t="s">
        <v>7255</v>
      </c>
      <c r="C2884" s="1013" t="s">
        <v>4454</v>
      </c>
      <c r="D2884" s="1013" t="s">
        <v>4634</v>
      </c>
      <c r="E2884" s="1014">
        <v>8546</v>
      </c>
      <c r="F2884" s="1013" t="s">
        <v>6708</v>
      </c>
      <c r="G2884" s="1014" t="s">
        <v>266</v>
      </c>
      <c r="H2884" s="1015">
        <v>504245</v>
      </c>
      <c r="I2884" s="1016" t="s">
        <v>6899</v>
      </c>
    </row>
    <row r="2885" spans="2:9" ht="15.75" x14ac:dyDescent="0.25">
      <c r="B2885" s="1365" t="s">
        <v>7255</v>
      </c>
      <c r="C2885" s="1013" t="s">
        <v>4454</v>
      </c>
      <c r="D2885" s="1013" t="s">
        <v>4634</v>
      </c>
      <c r="E2885" s="1014">
        <v>8547</v>
      </c>
      <c r="F2885" s="1013" t="s">
        <v>6709</v>
      </c>
      <c r="G2885" s="1014" t="s">
        <v>266</v>
      </c>
      <c r="H2885" s="1015">
        <v>504245</v>
      </c>
      <c r="I2885" s="1016" t="s">
        <v>6899</v>
      </c>
    </row>
    <row r="2886" spans="2:9" ht="15.75" x14ac:dyDescent="0.25">
      <c r="B2886" s="1365" t="s">
        <v>7255</v>
      </c>
      <c r="C2886" s="1013" t="s">
        <v>4454</v>
      </c>
      <c r="D2886" s="1013" t="s">
        <v>4634</v>
      </c>
      <c r="E2886" s="1014">
        <v>8548</v>
      </c>
      <c r="F2886" s="1013" t="s">
        <v>6710</v>
      </c>
      <c r="G2886" s="1014" t="s">
        <v>266</v>
      </c>
      <c r="H2886" s="1015">
        <v>373097</v>
      </c>
      <c r="I2886" s="1016" t="s">
        <v>6899</v>
      </c>
    </row>
    <row r="2887" spans="2:9" ht="15.75" x14ac:dyDescent="0.25">
      <c r="B2887" s="1365" t="s">
        <v>7255</v>
      </c>
      <c r="C2887" s="1013" t="s">
        <v>4454</v>
      </c>
      <c r="D2887" s="1013" t="s">
        <v>4634</v>
      </c>
      <c r="E2887" s="1014">
        <v>8549</v>
      </c>
      <c r="F2887" s="1013" t="s">
        <v>6711</v>
      </c>
      <c r="G2887" s="1014" t="s">
        <v>266</v>
      </c>
      <c r="H2887" s="1015">
        <v>612059</v>
      </c>
      <c r="I2887" s="1016" t="s">
        <v>6899</v>
      </c>
    </row>
    <row r="2888" spans="2:9" ht="15.75" x14ac:dyDescent="0.25">
      <c r="B2888" s="1365" t="s">
        <v>7256</v>
      </c>
      <c r="C2888" s="1013" t="s">
        <v>4451</v>
      </c>
      <c r="D2888" s="1013" t="s">
        <v>4616</v>
      </c>
      <c r="E2888" s="1014">
        <v>8553</v>
      </c>
      <c r="F2888" s="1013" t="s">
        <v>963</v>
      </c>
      <c r="G2888" s="1014" t="s">
        <v>266</v>
      </c>
      <c r="H2888" s="1015">
        <v>46479</v>
      </c>
      <c r="I2888" s="1016" t="s">
        <v>6899</v>
      </c>
    </row>
    <row r="2889" spans="2:9" ht="15.75" x14ac:dyDescent="0.25">
      <c r="B2889" s="1365" t="s">
        <v>7256</v>
      </c>
      <c r="C2889" s="1013" t="s">
        <v>5425</v>
      </c>
      <c r="D2889" s="1013" t="s">
        <v>5615</v>
      </c>
      <c r="E2889" s="1014">
        <v>8556</v>
      </c>
      <c r="F2889" s="1013" t="s">
        <v>6712</v>
      </c>
      <c r="G2889" s="1014" t="s">
        <v>12</v>
      </c>
      <c r="H2889" s="1015">
        <v>61846</v>
      </c>
      <c r="I2889" s="1016" t="s">
        <v>6899</v>
      </c>
    </row>
    <row r="2890" spans="2:9" ht="15.75" x14ac:dyDescent="0.25">
      <c r="B2890" s="1365" t="s">
        <v>7256</v>
      </c>
      <c r="C2890" s="1013" t="s">
        <v>5188</v>
      </c>
      <c r="D2890" s="1013" t="s">
        <v>5191</v>
      </c>
      <c r="E2890" s="1014">
        <v>8557</v>
      </c>
      <c r="F2890" s="1013" t="s">
        <v>6713</v>
      </c>
      <c r="G2890" s="1014" t="s">
        <v>12</v>
      </c>
      <c r="H2890" s="1015">
        <v>115801</v>
      </c>
      <c r="I2890" s="1016" t="s">
        <v>6899</v>
      </c>
    </row>
    <row r="2891" spans="2:9" ht="15.75" x14ac:dyDescent="0.25">
      <c r="B2891" s="1365" t="s">
        <v>7256</v>
      </c>
      <c r="C2891" s="1013" t="s">
        <v>4405</v>
      </c>
      <c r="D2891" s="1013" t="s">
        <v>4406</v>
      </c>
      <c r="E2891" s="1014">
        <v>8558</v>
      </c>
      <c r="F2891" s="1013" t="s">
        <v>6714</v>
      </c>
      <c r="G2891" s="1014" t="s">
        <v>266</v>
      </c>
      <c r="H2891" s="1015">
        <v>23747422</v>
      </c>
      <c r="I2891" s="1016" t="s">
        <v>6899</v>
      </c>
    </row>
    <row r="2892" spans="2:9" ht="15.75" x14ac:dyDescent="0.25">
      <c r="B2892" s="1365" t="s">
        <v>7256</v>
      </c>
      <c r="C2892" s="1013" t="s">
        <v>4405</v>
      </c>
      <c r="D2892" s="1013" t="s">
        <v>4406</v>
      </c>
      <c r="E2892" s="1014">
        <v>8559</v>
      </c>
      <c r="F2892" s="1013" t="s">
        <v>6715</v>
      </c>
      <c r="G2892" s="1014" t="s">
        <v>266</v>
      </c>
      <c r="H2892" s="1015">
        <v>17539945</v>
      </c>
      <c r="I2892" s="1016" t="s">
        <v>6899</v>
      </c>
    </row>
    <row r="2893" spans="2:9" ht="15.75" x14ac:dyDescent="0.25">
      <c r="B2893" s="1365" t="s">
        <v>7256</v>
      </c>
      <c r="C2893" s="1013" t="s">
        <v>4405</v>
      </c>
      <c r="D2893" s="1013" t="s">
        <v>4406</v>
      </c>
      <c r="E2893" s="1014">
        <v>8560</v>
      </c>
      <c r="F2893" s="1013" t="s">
        <v>6716</v>
      </c>
      <c r="G2893" s="1014" t="s">
        <v>266</v>
      </c>
      <c r="H2893" s="1015">
        <v>2374247</v>
      </c>
      <c r="I2893" s="1016" t="s">
        <v>6899</v>
      </c>
    </row>
    <row r="2894" spans="2:9" ht="15.75" x14ac:dyDescent="0.25">
      <c r="B2894" s="1365" t="s">
        <v>7256</v>
      </c>
      <c r="C2894" s="1013" t="s">
        <v>4454</v>
      </c>
      <c r="D2894" s="1013" t="s">
        <v>4634</v>
      </c>
      <c r="E2894" s="1014">
        <v>8561</v>
      </c>
      <c r="F2894" s="1013" t="s">
        <v>6717</v>
      </c>
      <c r="G2894" s="1014" t="s">
        <v>266</v>
      </c>
      <c r="H2894" s="1015">
        <v>383689</v>
      </c>
      <c r="I2894" s="1016" t="s">
        <v>3538</v>
      </c>
    </row>
    <row r="2895" spans="2:9" ht="15.75" x14ac:dyDescent="0.25">
      <c r="B2895" s="1365" t="s">
        <v>7256</v>
      </c>
      <c r="C2895" s="1013" t="s">
        <v>4454</v>
      </c>
      <c r="D2895" s="1013" t="s">
        <v>5477</v>
      </c>
      <c r="E2895" s="1014">
        <v>8562</v>
      </c>
      <c r="F2895" s="1013" t="s">
        <v>6718</v>
      </c>
      <c r="G2895" s="1014" t="s">
        <v>266</v>
      </c>
      <c r="H2895" s="1015">
        <v>357327</v>
      </c>
      <c r="I2895" s="1016" t="s">
        <v>6899</v>
      </c>
    </row>
    <row r="2896" spans="2:9" ht="15.75" x14ac:dyDescent="0.25">
      <c r="B2896" s="1365" t="s">
        <v>7256</v>
      </c>
      <c r="C2896" s="1013" t="s">
        <v>4454</v>
      </c>
      <c r="D2896" s="1013" t="s">
        <v>5477</v>
      </c>
      <c r="E2896" s="1014">
        <v>8563</v>
      </c>
      <c r="F2896" s="1013" t="s">
        <v>6719</v>
      </c>
      <c r="G2896" s="1014" t="s">
        <v>266</v>
      </c>
      <c r="H2896" s="1015">
        <v>383689</v>
      </c>
      <c r="I2896" s="1016" t="s">
        <v>3538</v>
      </c>
    </row>
    <row r="2897" spans="2:9" ht="15.75" x14ac:dyDescent="0.25">
      <c r="B2897" s="1365" t="s">
        <v>7256</v>
      </c>
      <c r="C2897" s="1013" t="s">
        <v>4454</v>
      </c>
      <c r="D2897" s="1013" t="s">
        <v>5477</v>
      </c>
      <c r="E2897" s="1014">
        <v>8564</v>
      </c>
      <c r="F2897" s="1013" t="s">
        <v>6720</v>
      </c>
      <c r="G2897" s="1014" t="s">
        <v>266</v>
      </c>
      <c r="H2897" s="1015">
        <v>383689</v>
      </c>
      <c r="I2897" s="1016" t="s">
        <v>3538</v>
      </c>
    </row>
    <row r="2898" spans="2:9" ht="15.75" x14ac:dyDescent="0.25">
      <c r="B2898" s="1365" t="s">
        <v>7256</v>
      </c>
      <c r="C2898" s="1013" t="s">
        <v>4454</v>
      </c>
      <c r="D2898" s="1013" t="s">
        <v>4455</v>
      </c>
      <c r="E2898" s="1014">
        <v>8566</v>
      </c>
      <c r="F2898" s="1013" t="s">
        <v>6721</v>
      </c>
      <c r="G2898" s="1014" t="s">
        <v>12</v>
      </c>
      <c r="H2898" s="1015">
        <v>112005</v>
      </c>
      <c r="I2898" s="1016" t="s">
        <v>6899</v>
      </c>
    </row>
    <row r="2899" spans="2:9" ht="15.75" x14ac:dyDescent="0.25">
      <c r="B2899" s="1365" t="s">
        <v>7256</v>
      </c>
      <c r="C2899" s="1013" t="s">
        <v>4405</v>
      </c>
      <c r="D2899" s="1013" t="s">
        <v>4406</v>
      </c>
      <c r="E2899" s="1014">
        <v>8569</v>
      </c>
      <c r="F2899" s="1013" t="s">
        <v>6722</v>
      </c>
      <c r="G2899" s="1014" t="s">
        <v>266</v>
      </c>
      <c r="H2899" s="1015">
        <v>26897246</v>
      </c>
      <c r="I2899" s="1016" t="s">
        <v>4398</v>
      </c>
    </row>
    <row r="2900" spans="2:9" ht="15.75" x14ac:dyDescent="0.25">
      <c r="B2900" s="1365" t="s">
        <v>7246</v>
      </c>
      <c r="C2900" s="1013" t="s">
        <v>4461</v>
      </c>
      <c r="D2900" s="1013" t="s">
        <v>4461</v>
      </c>
      <c r="E2900" s="1014">
        <v>8571</v>
      </c>
      <c r="F2900" s="1013" t="s">
        <v>6723</v>
      </c>
      <c r="G2900" s="1014" t="s">
        <v>266</v>
      </c>
      <c r="H2900" s="1015">
        <v>34748</v>
      </c>
      <c r="I2900" s="1016" t="s">
        <v>6899</v>
      </c>
    </row>
    <row r="2901" spans="2:9" ht="15.75" x14ac:dyDescent="0.25">
      <c r="B2901" s="1365" t="s">
        <v>7246</v>
      </c>
      <c r="C2901" s="1013" t="s">
        <v>4461</v>
      </c>
      <c r="D2901" s="1013" t="s">
        <v>4461</v>
      </c>
      <c r="E2901" s="1014">
        <v>8572</v>
      </c>
      <c r="F2901" s="1013" t="s">
        <v>6724</v>
      </c>
      <c r="G2901" s="1014" t="s">
        <v>266</v>
      </c>
      <c r="H2901" s="1015">
        <v>29520</v>
      </c>
      <c r="I2901" s="1016" t="s">
        <v>6899</v>
      </c>
    </row>
    <row r="2902" spans="2:9" ht="15.75" x14ac:dyDescent="0.25">
      <c r="B2902" s="1365" t="s">
        <v>7246</v>
      </c>
      <c r="C2902" s="1013" t="s">
        <v>4461</v>
      </c>
      <c r="D2902" s="1013" t="s">
        <v>4461</v>
      </c>
      <c r="E2902" s="1014">
        <v>8574</v>
      </c>
      <c r="F2902" s="1013" t="s">
        <v>6725</v>
      </c>
      <c r="G2902" s="1014" t="s">
        <v>266</v>
      </c>
      <c r="H2902" s="1015">
        <v>125515</v>
      </c>
      <c r="I2902" s="1016" t="s">
        <v>4398</v>
      </c>
    </row>
    <row r="2903" spans="2:9" ht="15.75" x14ac:dyDescent="0.25">
      <c r="B2903" s="1365" t="s">
        <v>7246</v>
      </c>
      <c r="C2903" s="1013" t="s">
        <v>4461</v>
      </c>
      <c r="D2903" s="1013" t="s">
        <v>4461</v>
      </c>
      <c r="E2903" s="1014">
        <v>8575</v>
      </c>
      <c r="F2903" s="1013" t="s">
        <v>6726</v>
      </c>
      <c r="G2903" s="1014" t="s">
        <v>266</v>
      </c>
      <c r="H2903" s="1015">
        <v>8254</v>
      </c>
      <c r="I2903" s="1016" t="s">
        <v>6899</v>
      </c>
    </row>
    <row r="2904" spans="2:9" ht="15.75" x14ac:dyDescent="0.25">
      <c r="B2904" s="1365" t="s">
        <v>7246</v>
      </c>
      <c r="C2904" s="1013" t="s">
        <v>4461</v>
      </c>
      <c r="D2904" s="1013" t="s">
        <v>4461</v>
      </c>
      <c r="E2904" s="1014">
        <v>8576</v>
      </c>
      <c r="F2904" s="1013" t="s">
        <v>6727</v>
      </c>
      <c r="G2904" s="1014" t="s">
        <v>266</v>
      </c>
      <c r="H2904" s="1015">
        <v>162988</v>
      </c>
      <c r="I2904" s="1016" t="s">
        <v>4398</v>
      </c>
    </row>
    <row r="2905" spans="2:9" ht="15.75" x14ac:dyDescent="0.25">
      <c r="B2905" s="1365" t="s">
        <v>7246</v>
      </c>
      <c r="C2905" s="1013" t="s">
        <v>4461</v>
      </c>
      <c r="D2905" s="1013" t="s">
        <v>4461</v>
      </c>
      <c r="E2905" s="1014">
        <v>8579</v>
      </c>
      <c r="F2905" s="1013" t="s">
        <v>6728</v>
      </c>
      <c r="G2905" s="1014" t="s">
        <v>266</v>
      </c>
      <c r="H2905" s="1015">
        <v>146799</v>
      </c>
      <c r="I2905" s="1016" t="s">
        <v>6899</v>
      </c>
    </row>
    <row r="2906" spans="2:9" ht="15.75" x14ac:dyDescent="0.25">
      <c r="B2906" s="1365" t="s">
        <v>7246</v>
      </c>
      <c r="C2906" s="1013" t="s">
        <v>4461</v>
      </c>
      <c r="D2906" s="1013" t="s">
        <v>4461</v>
      </c>
      <c r="E2906" s="1014">
        <v>8581</v>
      </c>
      <c r="F2906" s="1013" t="s">
        <v>6729</v>
      </c>
      <c r="G2906" s="1014" t="s">
        <v>266</v>
      </c>
      <c r="H2906" s="1015">
        <v>5737</v>
      </c>
      <c r="I2906" s="1016" t="s">
        <v>4398</v>
      </c>
    </row>
    <row r="2907" spans="2:9" ht="15.75" x14ac:dyDescent="0.25">
      <c r="B2907" s="1365" t="s">
        <v>7246</v>
      </c>
      <c r="C2907" s="1013" t="s">
        <v>4461</v>
      </c>
      <c r="D2907" s="1013" t="s">
        <v>4461</v>
      </c>
      <c r="E2907" s="1014">
        <v>8582</v>
      </c>
      <c r="F2907" s="1013" t="s">
        <v>6730</v>
      </c>
      <c r="G2907" s="1014" t="s">
        <v>266</v>
      </c>
      <c r="H2907" s="1015">
        <v>7390</v>
      </c>
      <c r="I2907" s="1016" t="s">
        <v>6899</v>
      </c>
    </row>
    <row r="2908" spans="2:9" ht="15.75" x14ac:dyDescent="0.25">
      <c r="B2908" s="1365" t="s">
        <v>7246</v>
      </c>
      <c r="C2908" s="1013" t="s">
        <v>4461</v>
      </c>
      <c r="D2908" s="1013" t="s">
        <v>4461</v>
      </c>
      <c r="E2908" s="1014">
        <v>8583</v>
      </c>
      <c r="F2908" s="1013" t="s">
        <v>964</v>
      </c>
      <c r="G2908" s="1014" t="s">
        <v>13</v>
      </c>
      <c r="H2908" s="1015">
        <v>8561</v>
      </c>
      <c r="I2908" s="1016" t="s">
        <v>6899</v>
      </c>
    </row>
    <row r="2909" spans="2:9" ht="15.75" x14ac:dyDescent="0.25">
      <c r="B2909" s="1365" t="s">
        <v>7246</v>
      </c>
      <c r="C2909" s="1013" t="s">
        <v>4461</v>
      </c>
      <c r="D2909" s="1013" t="s">
        <v>4461</v>
      </c>
      <c r="E2909" s="1014">
        <v>8584</v>
      </c>
      <c r="F2909" s="1013" t="s">
        <v>6731</v>
      </c>
      <c r="G2909" s="1014" t="s">
        <v>266</v>
      </c>
      <c r="H2909" s="1015">
        <v>7680</v>
      </c>
      <c r="I2909" s="1016" t="s">
        <v>4398</v>
      </c>
    </row>
    <row r="2910" spans="2:9" ht="15.75" x14ac:dyDescent="0.25">
      <c r="B2910" s="1365" t="s">
        <v>7246</v>
      </c>
      <c r="C2910" s="1013" t="s">
        <v>4461</v>
      </c>
      <c r="D2910" s="1013" t="s">
        <v>4461</v>
      </c>
      <c r="E2910" s="1014">
        <v>8585</v>
      </c>
      <c r="F2910" s="1013" t="s">
        <v>6732</v>
      </c>
      <c r="G2910" s="1014" t="s">
        <v>266</v>
      </c>
      <c r="H2910" s="1015">
        <v>5232</v>
      </c>
      <c r="I2910" s="1016" t="s">
        <v>4398</v>
      </c>
    </row>
    <row r="2911" spans="2:9" ht="15.75" x14ac:dyDescent="0.25">
      <c r="B2911" s="1365" t="s">
        <v>7246</v>
      </c>
      <c r="C2911" s="1013" t="s">
        <v>4461</v>
      </c>
      <c r="D2911" s="1013" t="s">
        <v>4461</v>
      </c>
      <c r="E2911" s="1014">
        <v>8586</v>
      </c>
      <c r="F2911" s="1013" t="s">
        <v>6733</v>
      </c>
      <c r="G2911" s="1014" t="s">
        <v>266</v>
      </c>
      <c r="H2911" s="1015">
        <v>7333</v>
      </c>
      <c r="I2911" s="1016" t="s">
        <v>6899</v>
      </c>
    </row>
    <row r="2912" spans="2:9" ht="15.75" x14ac:dyDescent="0.25">
      <c r="B2912" s="1365" t="s">
        <v>7246</v>
      </c>
      <c r="C2912" s="1013" t="s">
        <v>4461</v>
      </c>
      <c r="D2912" s="1013" t="s">
        <v>4461</v>
      </c>
      <c r="E2912" s="1014">
        <v>8587</v>
      </c>
      <c r="F2912" s="1013" t="s">
        <v>6734</v>
      </c>
      <c r="G2912" s="1014" t="s">
        <v>266</v>
      </c>
      <c r="H2912" s="1015">
        <v>17441</v>
      </c>
      <c r="I2912" s="1016" t="s">
        <v>6899</v>
      </c>
    </row>
    <row r="2913" spans="2:9" ht="15.75" x14ac:dyDescent="0.25">
      <c r="B2913" s="1365" t="s">
        <v>7246</v>
      </c>
      <c r="C2913" s="1013" t="s">
        <v>4461</v>
      </c>
      <c r="D2913" s="1013" t="s">
        <v>4461</v>
      </c>
      <c r="E2913" s="1014">
        <v>8588</v>
      </c>
      <c r="F2913" s="1013" t="s">
        <v>6735</v>
      </c>
      <c r="G2913" s="1014" t="s">
        <v>266</v>
      </c>
      <c r="H2913" s="1015">
        <v>17441</v>
      </c>
      <c r="I2913" s="1016" t="s">
        <v>6899</v>
      </c>
    </row>
    <row r="2914" spans="2:9" ht="15.75" x14ac:dyDescent="0.25">
      <c r="B2914" s="1365" t="s">
        <v>7246</v>
      </c>
      <c r="C2914" s="1013" t="s">
        <v>4461</v>
      </c>
      <c r="D2914" s="1013" t="s">
        <v>4461</v>
      </c>
      <c r="E2914" s="1014">
        <v>8589</v>
      </c>
      <c r="F2914" s="1013" t="s">
        <v>6736</v>
      </c>
      <c r="G2914" s="1014" t="s">
        <v>266</v>
      </c>
      <c r="H2914" s="1015">
        <v>17441</v>
      </c>
      <c r="I2914" s="1016" t="s">
        <v>6899</v>
      </c>
    </row>
    <row r="2915" spans="2:9" ht="15.75" x14ac:dyDescent="0.25">
      <c r="B2915" s="1365" t="s">
        <v>7246</v>
      </c>
      <c r="C2915" s="1013" t="s">
        <v>4468</v>
      </c>
      <c r="D2915" s="1013" t="s">
        <v>4469</v>
      </c>
      <c r="E2915" s="1014">
        <v>8590</v>
      </c>
      <c r="F2915" s="1013" t="s">
        <v>6737</v>
      </c>
      <c r="G2915" s="1014" t="s">
        <v>266</v>
      </c>
      <c r="H2915" s="1015">
        <v>2553379</v>
      </c>
      <c r="I2915" s="1016" t="s">
        <v>6899</v>
      </c>
    </row>
    <row r="2916" spans="2:9" ht="15.75" x14ac:dyDescent="0.25">
      <c r="B2916" s="1365" t="s">
        <v>7246</v>
      </c>
      <c r="C2916" s="1013" t="s">
        <v>5425</v>
      </c>
      <c r="D2916" s="1013" t="s">
        <v>5425</v>
      </c>
      <c r="E2916" s="1014">
        <v>8591</v>
      </c>
      <c r="F2916" s="1013" t="s">
        <v>6738</v>
      </c>
      <c r="G2916" s="1014" t="s">
        <v>12</v>
      </c>
      <c r="H2916" s="1015">
        <v>67166</v>
      </c>
      <c r="I2916" s="1016" t="s">
        <v>6899</v>
      </c>
    </row>
    <row r="2917" spans="2:9" ht="15.75" x14ac:dyDescent="0.25">
      <c r="B2917" s="1365" t="s">
        <v>7246</v>
      </c>
      <c r="C2917" s="1013" t="s">
        <v>4417</v>
      </c>
      <c r="D2917" s="1013" t="s">
        <v>4418</v>
      </c>
      <c r="E2917" s="1014">
        <v>8592</v>
      </c>
      <c r="F2917" s="1013" t="s">
        <v>965</v>
      </c>
      <c r="G2917" s="1014" t="s">
        <v>13</v>
      </c>
      <c r="H2917" s="1015">
        <v>116482</v>
      </c>
      <c r="I2917" s="1016" t="s">
        <v>6899</v>
      </c>
    </row>
    <row r="2918" spans="2:9" ht="15.75" x14ac:dyDescent="0.25">
      <c r="B2918" s="1365" t="s">
        <v>7246</v>
      </c>
      <c r="C2918" s="1013" t="s">
        <v>4461</v>
      </c>
      <c r="D2918" s="1013" t="s">
        <v>4461</v>
      </c>
      <c r="E2918" s="1014">
        <v>8593</v>
      </c>
      <c r="F2918" s="1013" t="s">
        <v>966</v>
      </c>
      <c r="G2918" s="1014" t="s">
        <v>266</v>
      </c>
      <c r="H2918" s="1015">
        <v>49104</v>
      </c>
      <c r="I2918" s="1016" t="s">
        <v>6899</v>
      </c>
    </row>
    <row r="2919" spans="2:9" ht="15.75" x14ac:dyDescent="0.25">
      <c r="B2919" s="1365" t="s">
        <v>7246</v>
      </c>
      <c r="C2919" s="1013" t="s">
        <v>4461</v>
      </c>
      <c r="D2919" s="1013" t="s">
        <v>4461</v>
      </c>
      <c r="E2919" s="1014">
        <v>8594</v>
      </c>
      <c r="F2919" s="1013" t="s">
        <v>967</v>
      </c>
      <c r="G2919" s="1014" t="s">
        <v>266</v>
      </c>
      <c r="H2919" s="1015">
        <v>208554</v>
      </c>
      <c r="I2919" s="1016" t="s">
        <v>6899</v>
      </c>
    </row>
    <row r="2920" spans="2:9" ht="15.75" x14ac:dyDescent="0.25">
      <c r="B2920" s="1365" t="s">
        <v>7246</v>
      </c>
      <c r="C2920" s="1013" t="s">
        <v>4461</v>
      </c>
      <c r="D2920" s="1013" t="s">
        <v>4461</v>
      </c>
      <c r="E2920" s="1014">
        <v>8595</v>
      </c>
      <c r="F2920" s="1013" t="s">
        <v>968</v>
      </c>
      <c r="G2920" s="1014" t="s">
        <v>266</v>
      </c>
      <c r="H2920" s="1015">
        <v>226404</v>
      </c>
      <c r="I2920" s="1016" t="s">
        <v>6899</v>
      </c>
    </row>
    <row r="2921" spans="2:9" ht="15.75" x14ac:dyDescent="0.25">
      <c r="B2921" s="1365" t="s">
        <v>7246</v>
      </c>
      <c r="C2921" s="1013" t="s">
        <v>4461</v>
      </c>
      <c r="D2921" s="1013" t="s">
        <v>4461</v>
      </c>
      <c r="E2921" s="1014">
        <v>8597</v>
      </c>
      <c r="F2921" s="1013" t="s">
        <v>969</v>
      </c>
      <c r="G2921" s="1014" t="s">
        <v>266</v>
      </c>
      <c r="H2921" s="1015">
        <v>177854</v>
      </c>
      <c r="I2921" s="1016" t="s">
        <v>4398</v>
      </c>
    </row>
    <row r="2922" spans="2:9" ht="15.75" x14ac:dyDescent="0.25">
      <c r="B2922" s="1365" t="s">
        <v>7246</v>
      </c>
      <c r="C2922" s="1013" t="s">
        <v>4461</v>
      </c>
      <c r="D2922" s="1013" t="s">
        <v>4461</v>
      </c>
      <c r="E2922" s="1014">
        <v>8598</v>
      </c>
      <c r="F2922" s="1013" t="s">
        <v>970</v>
      </c>
      <c r="G2922" s="1014" t="s">
        <v>266</v>
      </c>
      <c r="H2922" s="1015">
        <v>425200</v>
      </c>
      <c r="I2922" s="1016" t="s">
        <v>4398</v>
      </c>
    </row>
    <row r="2923" spans="2:9" ht="15.75" x14ac:dyDescent="0.25">
      <c r="B2923" s="1365" t="s">
        <v>7246</v>
      </c>
      <c r="C2923" s="1013" t="s">
        <v>4461</v>
      </c>
      <c r="D2923" s="1013" t="s">
        <v>4461</v>
      </c>
      <c r="E2923" s="1014">
        <v>8599</v>
      </c>
      <c r="F2923" s="1013" t="s">
        <v>971</v>
      </c>
      <c r="G2923" s="1014" t="s">
        <v>266</v>
      </c>
      <c r="H2923" s="1015">
        <v>76842</v>
      </c>
      <c r="I2923" s="1016" t="s">
        <v>4398</v>
      </c>
    </row>
    <row r="2924" spans="2:9" ht="15.75" x14ac:dyDescent="0.25">
      <c r="B2924" s="1365" t="s">
        <v>7246</v>
      </c>
      <c r="C2924" s="1013" t="s">
        <v>4461</v>
      </c>
      <c r="D2924" s="1013" t="s">
        <v>4461</v>
      </c>
      <c r="E2924" s="1014">
        <v>8600</v>
      </c>
      <c r="F2924" s="1013" t="s">
        <v>972</v>
      </c>
      <c r="G2924" s="1014" t="s">
        <v>266</v>
      </c>
      <c r="H2924" s="1015">
        <v>477342</v>
      </c>
      <c r="I2924" s="1016" t="s">
        <v>4398</v>
      </c>
    </row>
    <row r="2925" spans="2:9" ht="15.75" x14ac:dyDescent="0.25">
      <c r="B2925" s="1365" t="s">
        <v>7246</v>
      </c>
      <c r="C2925" s="1013" t="s">
        <v>4461</v>
      </c>
      <c r="D2925" s="1013" t="s">
        <v>4461</v>
      </c>
      <c r="E2925" s="1014">
        <v>8601</v>
      </c>
      <c r="F2925" s="1013" t="s">
        <v>973</v>
      </c>
      <c r="G2925" s="1014" t="s">
        <v>266</v>
      </c>
      <c r="H2925" s="1015">
        <v>295352</v>
      </c>
      <c r="I2925" s="1016" t="s">
        <v>4398</v>
      </c>
    </row>
    <row r="2926" spans="2:9" ht="15.75" x14ac:dyDescent="0.25">
      <c r="B2926" s="1365" t="s">
        <v>7246</v>
      </c>
      <c r="C2926" s="1013" t="s">
        <v>4461</v>
      </c>
      <c r="D2926" s="1013" t="s">
        <v>4461</v>
      </c>
      <c r="E2926" s="1014">
        <v>8603</v>
      </c>
      <c r="F2926" s="1013" t="s">
        <v>974</v>
      </c>
      <c r="G2926" s="1014" t="s">
        <v>266</v>
      </c>
      <c r="H2926" s="1015">
        <v>54574</v>
      </c>
      <c r="I2926" s="1016" t="s">
        <v>6899</v>
      </c>
    </row>
    <row r="2927" spans="2:9" ht="15.75" x14ac:dyDescent="0.25">
      <c r="B2927" s="1365" t="s">
        <v>7246</v>
      </c>
      <c r="C2927" s="1013" t="s">
        <v>5425</v>
      </c>
      <c r="D2927" s="1013" t="s">
        <v>5425</v>
      </c>
      <c r="E2927" s="1014">
        <v>8605</v>
      </c>
      <c r="F2927" s="1013" t="s">
        <v>975</v>
      </c>
      <c r="G2927" s="1014" t="s">
        <v>12</v>
      </c>
      <c r="H2927" s="1015">
        <v>69732</v>
      </c>
      <c r="I2927" s="1016" t="s">
        <v>6899</v>
      </c>
    </row>
    <row r="2928" spans="2:9" ht="15.75" x14ac:dyDescent="0.25">
      <c r="B2928" s="1365" t="s">
        <v>7256</v>
      </c>
      <c r="C2928" s="1013" t="s">
        <v>4401</v>
      </c>
      <c r="D2928" s="1013" t="s">
        <v>4401</v>
      </c>
      <c r="E2928" s="1014">
        <v>8606</v>
      </c>
      <c r="F2928" s="1013" t="s">
        <v>6739</v>
      </c>
      <c r="G2928" s="1014" t="s">
        <v>12</v>
      </c>
      <c r="H2928" s="1015">
        <v>12205</v>
      </c>
      <c r="I2928" s="1016" t="s">
        <v>6899</v>
      </c>
    </row>
    <row r="2929" spans="2:9" ht="15.75" x14ac:dyDescent="0.25">
      <c r="B2929" s="1365" t="s">
        <v>7256</v>
      </c>
      <c r="C2929" s="1013" t="s">
        <v>4405</v>
      </c>
      <c r="D2929" s="1013" t="s">
        <v>4406</v>
      </c>
      <c r="E2929" s="1014">
        <v>8610</v>
      </c>
      <c r="F2929" s="1013" t="s">
        <v>976</v>
      </c>
      <c r="G2929" s="1014" t="s">
        <v>266</v>
      </c>
      <c r="H2929" s="1015">
        <v>36460529</v>
      </c>
      <c r="I2929" s="1016" t="s">
        <v>4398</v>
      </c>
    </row>
    <row r="2930" spans="2:9" ht="15.75" x14ac:dyDescent="0.25">
      <c r="B2930" s="1365" t="s">
        <v>7257</v>
      </c>
      <c r="C2930" s="1013" t="s">
        <v>4468</v>
      </c>
      <c r="D2930" s="1013" t="s">
        <v>4814</v>
      </c>
      <c r="E2930" s="1014">
        <v>8611</v>
      </c>
      <c r="F2930" s="1013" t="s">
        <v>977</v>
      </c>
      <c r="G2930" s="1014" t="s">
        <v>6</v>
      </c>
      <c r="H2930" s="1015">
        <v>4606</v>
      </c>
      <c r="I2930" s="1016" t="s">
        <v>6899</v>
      </c>
    </row>
    <row r="2931" spans="2:9" ht="15.75" x14ac:dyDescent="0.25">
      <c r="B2931" s="1365" t="s">
        <v>7257</v>
      </c>
      <c r="C2931" s="1013" t="s">
        <v>4791</v>
      </c>
      <c r="D2931" s="1013" t="s">
        <v>4792</v>
      </c>
      <c r="E2931" s="1014">
        <v>8612</v>
      </c>
      <c r="F2931" s="1013" t="s">
        <v>978</v>
      </c>
      <c r="G2931" s="1014" t="s">
        <v>12</v>
      </c>
      <c r="H2931" s="1015">
        <v>193975</v>
      </c>
      <c r="I2931" s="1016" t="s">
        <v>6899</v>
      </c>
    </row>
    <row r="2932" spans="2:9" ht="15.75" x14ac:dyDescent="0.25">
      <c r="B2932" s="1365" t="s">
        <v>7257</v>
      </c>
      <c r="C2932" s="1013" t="s">
        <v>4472</v>
      </c>
      <c r="D2932" s="1013" t="s">
        <v>4817</v>
      </c>
      <c r="E2932" s="1014">
        <v>8613</v>
      </c>
      <c r="F2932" s="1013" t="s">
        <v>6740</v>
      </c>
      <c r="G2932" s="1014" t="s">
        <v>3</v>
      </c>
      <c r="H2932" s="1015">
        <v>1162892</v>
      </c>
      <c r="I2932" s="1016" t="s">
        <v>6899</v>
      </c>
    </row>
    <row r="2933" spans="2:9" ht="15.75" x14ac:dyDescent="0.25">
      <c r="B2933" s="1365" t="s">
        <v>7257</v>
      </c>
      <c r="C2933" s="1013" t="s">
        <v>4472</v>
      </c>
      <c r="D2933" s="1013" t="s">
        <v>4817</v>
      </c>
      <c r="E2933" s="1014">
        <v>8614</v>
      </c>
      <c r="F2933" s="1013" t="s">
        <v>6741</v>
      </c>
      <c r="G2933" s="1014" t="s">
        <v>3</v>
      </c>
      <c r="H2933" s="1015">
        <v>1140908</v>
      </c>
      <c r="I2933" s="1016" t="s">
        <v>6899</v>
      </c>
    </row>
    <row r="2934" spans="2:9" ht="15.75" x14ac:dyDescent="0.25">
      <c r="B2934" s="1365" t="s">
        <v>7257</v>
      </c>
      <c r="C2934" s="1013" t="s">
        <v>4410</v>
      </c>
      <c r="D2934" s="1013" t="s">
        <v>4642</v>
      </c>
      <c r="E2934" s="1014">
        <v>8615</v>
      </c>
      <c r="F2934" s="1013" t="s">
        <v>6742</v>
      </c>
      <c r="G2934" s="1014" t="s">
        <v>3</v>
      </c>
      <c r="H2934" s="1015">
        <v>204757</v>
      </c>
      <c r="I2934" s="1016" t="s">
        <v>6899</v>
      </c>
    </row>
    <row r="2935" spans="2:9" ht="15.75" x14ac:dyDescent="0.25">
      <c r="B2935" s="1365" t="s">
        <v>7257</v>
      </c>
      <c r="C2935" s="1013" t="s">
        <v>4410</v>
      </c>
      <c r="D2935" s="1013" t="s">
        <v>4642</v>
      </c>
      <c r="E2935" s="1014">
        <v>8616</v>
      </c>
      <c r="F2935" s="1013" t="s">
        <v>6743</v>
      </c>
      <c r="G2935" s="1014" t="s">
        <v>3</v>
      </c>
      <c r="H2935" s="1015">
        <v>193114</v>
      </c>
      <c r="I2935" s="1016" t="s">
        <v>6899</v>
      </c>
    </row>
    <row r="2936" spans="2:9" ht="15.75" x14ac:dyDescent="0.25">
      <c r="B2936" s="1365" t="s">
        <v>7257</v>
      </c>
      <c r="C2936" s="1013" t="s">
        <v>4410</v>
      </c>
      <c r="D2936" s="1013" t="s">
        <v>4642</v>
      </c>
      <c r="E2936" s="1014">
        <v>8617</v>
      </c>
      <c r="F2936" s="1013" t="s">
        <v>979</v>
      </c>
      <c r="G2936" s="1014" t="s">
        <v>3</v>
      </c>
      <c r="H2936" s="1015">
        <v>189421</v>
      </c>
      <c r="I2936" s="1016" t="s">
        <v>6899</v>
      </c>
    </row>
    <row r="2937" spans="2:9" ht="15.75" x14ac:dyDescent="0.25">
      <c r="B2937" s="1365" t="s">
        <v>7257</v>
      </c>
      <c r="C2937" s="1013" t="s">
        <v>4472</v>
      </c>
      <c r="D2937" s="1013" t="s">
        <v>4817</v>
      </c>
      <c r="E2937" s="1014">
        <v>8618</v>
      </c>
      <c r="F2937" s="1013" t="s">
        <v>7258</v>
      </c>
      <c r="G2937" s="1014" t="s">
        <v>3</v>
      </c>
      <c r="H2937" s="1015">
        <v>1060434</v>
      </c>
      <c r="I2937" s="1016" t="s">
        <v>6899</v>
      </c>
    </row>
    <row r="2938" spans="2:9" ht="15.75" x14ac:dyDescent="0.25">
      <c r="B2938" s="1365" t="s">
        <v>7257</v>
      </c>
      <c r="C2938" s="1013" t="s">
        <v>4472</v>
      </c>
      <c r="D2938" s="1013" t="s">
        <v>4817</v>
      </c>
      <c r="E2938" s="1014">
        <v>8619</v>
      </c>
      <c r="F2938" s="1013" t="s">
        <v>6744</v>
      </c>
      <c r="G2938" s="1014" t="s">
        <v>3</v>
      </c>
      <c r="H2938" s="1015">
        <v>1190080</v>
      </c>
      <c r="I2938" s="1016" t="s">
        <v>6899</v>
      </c>
    </row>
    <row r="2939" spans="2:9" ht="15.75" x14ac:dyDescent="0.25">
      <c r="B2939" s="1365" t="s">
        <v>7257</v>
      </c>
      <c r="C2939" s="1013" t="s">
        <v>4472</v>
      </c>
      <c r="D2939" s="1013" t="s">
        <v>4817</v>
      </c>
      <c r="E2939" s="1014">
        <v>8620</v>
      </c>
      <c r="F2939" s="1013" t="s">
        <v>6745</v>
      </c>
      <c r="G2939" s="1014" t="s">
        <v>3</v>
      </c>
      <c r="H2939" s="1015">
        <v>1140794</v>
      </c>
      <c r="I2939" s="1016" t="s">
        <v>6899</v>
      </c>
    </row>
    <row r="2940" spans="2:9" ht="15.75" x14ac:dyDescent="0.25">
      <c r="B2940" s="1365" t="s">
        <v>7257</v>
      </c>
      <c r="C2940" s="1013" t="s">
        <v>4472</v>
      </c>
      <c r="D2940" s="1013" t="s">
        <v>4817</v>
      </c>
      <c r="E2940" s="1014">
        <v>8621</v>
      </c>
      <c r="F2940" s="1013" t="s">
        <v>6746</v>
      </c>
      <c r="G2940" s="1014" t="s">
        <v>3</v>
      </c>
      <c r="H2940" s="1015">
        <v>1113119</v>
      </c>
      <c r="I2940" s="1016" t="s">
        <v>6899</v>
      </c>
    </row>
    <row r="2941" spans="2:9" ht="15.75" x14ac:dyDescent="0.25">
      <c r="B2941" s="1365" t="s">
        <v>7257</v>
      </c>
      <c r="C2941" s="1013" t="s">
        <v>1474</v>
      </c>
      <c r="D2941" s="1013" t="s">
        <v>4940</v>
      </c>
      <c r="E2941" s="1014">
        <v>8622</v>
      </c>
      <c r="F2941" s="1013" t="s">
        <v>980</v>
      </c>
      <c r="G2941" s="1014" t="s">
        <v>12</v>
      </c>
      <c r="H2941" s="1015">
        <v>14968</v>
      </c>
      <c r="I2941" s="1016" t="s">
        <v>6899</v>
      </c>
    </row>
    <row r="2942" spans="2:9" ht="15.75" x14ac:dyDescent="0.25">
      <c r="B2942" s="1365" t="s">
        <v>7259</v>
      </c>
      <c r="C2942" s="1013" t="s">
        <v>4431</v>
      </c>
      <c r="D2942" s="1013" t="s">
        <v>4432</v>
      </c>
      <c r="E2942" s="1014">
        <v>8624</v>
      </c>
      <c r="F2942" s="1013" t="s">
        <v>981</v>
      </c>
      <c r="G2942" s="1014" t="s">
        <v>266</v>
      </c>
      <c r="H2942" s="1015">
        <v>5536605</v>
      </c>
      <c r="I2942" s="1016" t="s">
        <v>6899</v>
      </c>
    </row>
    <row r="2943" spans="2:9" ht="15.75" x14ac:dyDescent="0.25">
      <c r="B2943" s="1365" t="s">
        <v>7259</v>
      </c>
      <c r="C2943" s="1013" t="s">
        <v>4431</v>
      </c>
      <c r="D2943" s="1013" t="s">
        <v>6139</v>
      </c>
      <c r="E2943" s="1014">
        <v>8625</v>
      </c>
      <c r="F2943" s="1013" t="s">
        <v>982</v>
      </c>
      <c r="G2943" s="1014" t="s">
        <v>266</v>
      </c>
      <c r="H2943" s="1015">
        <v>391281</v>
      </c>
      <c r="I2943" s="1016" t="s">
        <v>6899</v>
      </c>
    </row>
    <row r="2944" spans="2:9" ht="15.75" x14ac:dyDescent="0.25">
      <c r="B2944" s="1365" t="s">
        <v>7259</v>
      </c>
      <c r="C2944" s="1013" t="s">
        <v>4431</v>
      </c>
      <c r="D2944" s="1013" t="s">
        <v>6139</v>
      </c>
      <c r="E2944" s="1014">
        <v>8626</v>
      </c>
      <c r="F2944" s="1013" t="s">
        <v>983</v>
      </c>
      <c r="G2944" s="1014" t="s">
        <v>266</v>
      </c>
      <c r="H2944" s="1015">
        <v>2614051</v>
      </c>
      <c r="I2944" s="1016" t="s">
        <v>6899</v>
      </c>
    </row>
    <row r="2945" spans="2:9" ht="15.75" x14ac:dyDescent="0.25">
      <c r="B2945" s="1365" t="s">
        <v>7259</v>
      </c>
      <c r="C2945" s="1013" t="s">
        <v>4431</v>
      </c>
      <c r="D2945" s="1013" t="s">
        <v>6139</v>
      </c>
      <c r="E2945" s="1014">
        <v>8627</v>
      </c>
      <c r="F2945" s="1013" t="s">
        <v>984</v>
      </c>
      <c r="G2945" s="1014" t="s">
        <v>266</v>
      </c>
      <c r="H2945" s="1015">
        <v>661758</v>
      </c>
      <c r="I2945" s="1016" t="s">
        <v>6899</v>
      </c>
    </row>
    <row r="2946" spans="2:9" ht="15.75" x14ac:dyDescent="0.25">
      <c r="B2946" s="1365" t="s">
        <v>7259</v>
      </c>
      <c r="C2946" s="1013" t="s">
        <v>4431</v>
      </c>
      <c r="D2946" s="1013" t="s">
        <v>6139</v>
      </c>
      <c r="E2946" s="1014">
        <v>8628</v>
      </c>
      <c r="F2946" s="1013" t="s">
        <v>985</v>
      </c>
      <c r="G2946" s="1014" t="s">
        <v>266</v>
      </c>
      <c r="H2946" s="1015">
        <v>224288</v>
      </c>
      <c r="I2946" s="1016" t="s">
        <v>6899</v>
      </c>
    </row>
    <row r="2947" spans="2:9" ht="15.75" x14ac:dyDescent="0.25">
      <c r="B2947" s="1365" t="s">
        <v>7259</v>
      </c>
      <c r="C2947" s="1013" t="s">
        <v>4420</v>
      </c>
      <c r="D2947" s="1013" t="s">
        <v>4420</v>
      </c>
      <c r="E2947" s="1014">
        <v>8629</v>
      </c>
      <c r="F2947" s="1013" t="s">
        <v>986</v>
      </c>
      <c r="G2947" s="1014" t="s">
        <v>13</v>
      </c>
      <c r="H2947" s="1015">
        <v>1176139</v>
      </c>
      <c r="I2947" s="1016" t="s">
        <v>6899</v>
      </c>
    </row>
    <row r="2948" spans="2:9" ht="15.75" x14ac:dyDescent="0.25">
      <c r="B2948" s="1365" t="s">
        <v>7259</v>
      </c>
      <c r="C2948" s="1013" t="s">
        <v>4461</v>
      </c>
      <c r="D2948" s="1013" t="s">
        <v>4461</v>
      </c>
      <c r="E2948" s="1014">
        <v>8631</v>
      </c>
      <c r="F2948" s="1013" t="s">
        <v>6747</v>
      </c>
      <c r="G2948" s="1014" t="s">
        <v>266</v>
      </c>
      <c r="H2948" s="1015">
        <v>1147385</v>
      </c>
      <c r="I2948" s="1016" t="s">
        <v>6899</v>
      </c>
    </row>
    <row r="2949" spans="2:9" ht="15.75" x14ac:dyDescent="0.25">
      <c r="B2949" s="1365" t="s">
        <v>7259</v>
      </c>
      <c r="C2949" s="1013" t="s">
        <v>4420</v>
      </c>
      <c r="D2949" s="1013" t="s">
        <v>4420</v>
      </c>
      <c r="E2949" s="1014">
        <v>8632</v>
      </c>
      <c r="F2949" s="1013" t="s">
        <v>6748</v>
      </c>
      <c r="G2949" s="1014" t="s">
        <v>13</v>
      </c>
      <c r="H2949" s="1015">
        <v>530502</v>
      </c>
      <c r="I2949" s="1016" t="s">
        <v>6899</v>
      </c>
    </row>
    <row r="2950" spans="2:9" ht="15.75" x14ac:dyDescent="0.25">
      <c r="B2950" s="1365" t="s">
        <v>7259</v>
      </c>
      <c r="C2950" s="1013" t="s">
        <v>4420</v>
      </c>
      <c r="D2950" s="1013" t="s">
        <v>4420</v>
      </c>
      <c r="E2950" s="1014">
        <v>8633</v>
      </c>
      <c r="F2950" s="1013" t="s">
        <v>6749</v>
      </c>
      <c r="G2950" s="1014" t="s">
        <v>13</v>
      </c>
      <c r="H2950" s="1015">
        <v>1168622</v>
      </c>
      <c r="I2950" s="1016" t="s">
        <v>6899</v>
      </c>
    </row>
    <row r="2951" spans="2:9" ht="15.75" x14ac:dyDescent="0.25">
      <c r="B2951" s="1365" t="s">
        <v>7259</v>
      </c>
      <c r="C2951" s="1013" t="s">
        <v>4461</v>
      </c>
      <c r="D2951" s="1013" t="s">
        <v>4461</v>
      </c>
      <c r="E2951" s="1014">
        <v>8634</v>
      </c>
      <c r="F2951" s="1013" t="s">
        <v>987</v>
      </c>
      <c r="G2951" s="1014" t="s">
        <v>266</v>
      </c>
      <c r="H2951" s="1015">
        <v>1166719</v>
      </c>
      <c r="I2951" s="1016" t="s">
        <v>4398</v>
      </c>
    </row>
    <row r="2952" spans="2:9" ht="15.75" x14ac:dyDescent="0.25">
      <c r="B2952" s="1365" t="s">
        <v>7259</v>
      </c>
      <c r="C2952" s="1013" t="s">
        <v>4461</v>
      </c>
      <c r="D2952" s="1013" t="s">
        <v>4461</v>
      </c>
      <c r="E2952" s="1014">
        <v>8636</v>
      </c>
      <c r="F2952" s="1013" t="s">
        <v>988</v>
      </c>
      <c r="G2952" s="1014" t="s">
        <v>266</v>
      </c>
      <c r="H2952" s="1015">
        <v>646530</v>
      </c>
      <c r="I2952" s="1016" t="s">
        <v>4398</v>
      </c>
    </row>
    <row r="2953" spans="2:9" ht="15.75" x14ac:dyDescent="0.25">
      <c r="B2953" s="1365" t="s">
        <v>7259</v>
      </c>
      <c r="C2953" s="1013" t="s">
        <v>4461</v>
      </c>
      <c r="D2953" s="1013" t="s">
        <v>4461</v>
      </c>
      <c r="E2953" s="1014">
        <v>8637</v>
      </c>
      <c r="F2953" s="1013" t="s">
        <v>6750</v>
      </c>
      <c r="G2953" s="1014" t="s">
        <v>266</v>
      </c>
      <c r="H2953" s="1015">
        <v>1934744</v>
      </c>
      <c r="I2953" s="1016" t="s">
        <v>4398</v>
      </c>
    </row>
    <row r="2954" spans="2:9" ht="15.75" x14ac:dyDescent="0.25">
      <c r="B2954" s="1365" t="s">
        <v>7259</v>
      </c>
      <c r="C2954" s="1013" t="s">
        <v>4420</v>
      </c>
      <c r="D2954" s="1013" t="s">
        <v>4420</v>
      </c>
      <c r="E2954" s="1014">
        <v>8638</v>
      </c>
      <c r="F2954" s="1013" t="s">
        <v>989</v>
      </c>
      <c r="G2954" s="1014" t="s">
        <v>266</v>
      </c>
      <c r="H2954" s="1015">
        <v>4553686</v>
      </c>
      <c r="I2954" s="1016" t="s">
        <v>6899</v>
      </c>
    </row>
    <row r="2955" spans="2:9" ht="15.75" x14ac:dyDescent="0.25">
      <c r="B2955" s="1365" t="s">
        <v>7259</v>
      </c>
      <c r="C2955" s="1013" t="s">
        <v>4420</v>
      </c>
      <c r="D2955" s="1013" t="s">
        <v>4420</v>
      </c>
      <c r="E2955" s="1014">
        <v>8639</v>
      </c>
      <c r="F2955" s="1013" t="s">
        <v>990</v>
      </c>
      <c r="G2955" s="1014" t="s">
        <v>266</v>
      </c>
      <c r="H2955" s="1015">
        <v>7747281</v>
      </c>
      <c r="I2955" s="1016" t="s">
        <v>6899</v>
      </c>
    </row>
    <row r="2956" spans="2:9" ht="15.75" x14ac:dyDescent="0.25">
      <c r="B2956" s="1365" t="s">
        <v>7259</v>
      </c>
      <c r="C2956" s="1013" t="s">
        <v>4461</v>
      </c>
      <c r="D2956" s="1013" t="s">
        <v>4461</v>
      </c>
      <c r="E2956" s="1014">
        <v>8640</v>
      </c>
      <c r="F2956" s="1013" t="s">
        <v>991</v>
      </c>
      <c r="G2956" s="1014" t="s">
        <v>266</v>
      </c>
      <c r="H2956" s="1015">
        <v>126361</v>
      </c>
      <c r="I2956" s="1016" t="s">
        <v>4398</v>
      </c>
    </row>
    <row r="2957" spans="2:9" ht="15.75" x14ac:dyDescent="0.25">
      <c r="B2957" s="1365" t="s">
        <v>7259</v>
      </c>
      <c r="C2957" s="1013" t="s">
        <v>4461</v>
      </c>
      <c r="D2957" s="1013" t="s">
        <v>4461</v>
      </c>
      <c r="E2957" s="1014">
        <v>8641</v>
      </c>
      <c r="F2957" s="1013" t="s">
        <v>992</v>
      </c>
      <c r="G2957" s="1014" t="s">
        <v>266</v>
      </c>
      <c r="H2957" s="1015">
        <v>1703494</v>
      </c>
      <c r="I2957" s="1016" t="s">
        <v>4398</v>
      </c>
    </row>
    <row r="2958" spans="2:9" ht="15.75" x14ac:dyDescent="0.25">
      <c r="B2958" s="1365" t="s">
        <v>7259</v>
      </c>
      <c r="C2958" s="1013" t="s">
        <v>4461</v>
      </c>
      <c r="D2958" s="1013" t="s">
        <v>4461</v>
      </c>
      <c r="E2958" s="1014">
        <v>8642</v>
      </c>
      <c r="F2958" s="1013" t="s">
        <v>6751</v>
      </c>
      <c r="G2958" s="1014" t="s">
        <v>266</v>
      </c>
      <c r="H2958" s="1015">
        <v>119822</v>
      </c>
      <c r="I2958" s="1016" t="s">
        <v>4398</v>
      </c>
    </row>
    <row r="2959" spans="2:9" ht="15.75" x14ac:dyDescent="0.25">
      <c r="B2959" s="1365" t="s">
        <v>7259</v>
      </c>
      <c r="C2959" s="1013" t="s">
        <v>4420</v>
      </c>
      <c r="D2959" s="1013" t="s">
        <v>4420</v>
      </c>
      <c r="E2959" s="1014">
        <v>8644</v>
      </c>
      <c r="F2959" s="1013" t="s">
        <v>993</v>
      </c>
      <c r="G2959" s="1014" t="s">
        <v>266</v>
      </c>
      <c r="H2959" s="1015">
        <v>4625320</v>
      </c>
      <c r="I2959" s="1016" t="s">
        <v>6899</v>
      </c>
    </row>
    <row r="2960" spans="2:9" ht="15.75" x14ac:dyDescent="0.25">
      <c r="B2960" s="1365" t="s">
        <v>7259</v>
      </c>
      <c r="C2960" s="1013" t="s">
        <v>4461</v>
      </c>
      <c r="D2960" s="1013" t="s">
        <v>4461</v>
      </c>
      <c r="E2960" s="1014">
        <v>8645</v>
      </c>
      <c r="F2960" s="1013" t="s">
        <v>994</v>
      </c>
      <c r="G2960" s="1014" t="s">
        <v>266</v>
      </c>
      <c r="H2960" s="1015">
        <v>2084478</v>
      </c>
      <c r="I2960" s="1016" t="s">
        <v>4398</v>
      </c>
    </row>
    <row r="2961" spans="2:9" ht="15.75" x14ac:dyDescent="0.25">
      <c r="B2961" s="1365" t="s">
        <v>7259</v>
      </c>
      <c r="C2961" s="1013" t="s">
        <v>4461</v>
      </c>
      <c r="D2961" s="1013" t="s">
        <v>4461</v>
      </c>
      <c r="E2961" s="1014">
        <v>8646</v>
      </c>
      <c r="F2961" s="1013" t="s">
        <v>995</v>
      </c>
      <c r="G2961" s="1014" t="s">
        <v>266</v>
      </c>
      <c r="H2961" s="1015">
        <v>334891</v>
      </c>
      <c r="I2961" s="1016" t="s">
        <v>6899</v>
      </c>
    </row>
    <row r="2962" spans="2:9" ht="15.75" x14ac:dyDescent="0.25">
      <c r="B2962" s="1365" t="s">
        <v>7259</v>
      </c>
      <c r="C2962" s="1013" t="s">
        <v>4461</v>
      </c>
      <c r="D2962" s="1013" t="s">
        <v>4461</v>
      </c>
      <c r="E2962" s="1014">
        <v>8647</v>
      </c>
      <c r="F2962" s="1013" t="s">
        <v>996</v>
      </c>
      <c r="G2962" s="1014" t="s">
        <v>266</v>
      </c>
      <c r="H2962" s="1015">
        <v>4657475</v>
      </c>
      <c r="I2962" s="1016" t="s">
        <v>4398</v>
      </c>
    </row>
    <row r="2963" spans="2:9" ht="15.75" x14ac:dyDescent="0.25">
      <c r="B2963" s="1365" t="s">
        <v>7259</v>
      </c>
      <c r="C2963" s="1013" t="s">
        <v>4468</v>
      </c>
      <c r="D2963" s="1013" t="s">
        <v>4469</v>
      </c>
      <c r="E2963" s="1014">
        <v>8648</v>
      </c>
      <c r="F2963" s="1013" t="s">
        <v>6752</v>
      </c>
      <c r="G2963" s="1014" t="s">
        <v>13</v>
      </c>
      <c r="H2963" s="1015">
        <v>585695</v>
      </c>
      <c r="I2963" s="1016" t="s">
        <v>6899</v>
      </c>
    </row>
    <row r="2964" spans="2:9" ht="15.75" x14ac:dyDescent="0.25">
      <c r="B2964" s="1365" t="s">
        <v>7259</v>
      </c>
      <c r="C2964" s="1013" t="s">
        <v>4468</v>
      </c>
      <c r="D2964" s="1013" t="s">
        <v>4469</v>
      </c>
      <c r="E2964" s="1014">
        <v>8649</v>
      </c>
      <c r="F2964" s="1013" t="s">
        <v>6753</v>
      </c>
      <c r="G2964" s="1014" t="s">
        <v>13</v>
      </c>
      <c r="H2964" s="1015">
        <v>488541</v>
      </c>
      <c r="I2964" s="1016" t="s">
        <v>6899</v>
      </c>
    </row>
    <row r="2965" spans="2:9" ht="15.75" x14ac:dyDescent="0.25">
      <c r="B2965" s="1365" t="s">
        <v>7259</v>
      </c>
      <c r="C2965" s="1013" t="s">
        <v>4799</v>
      </c>
      <c r="D2965" s="1013" t="s">
        <v>5946</v>
      </c>
      <c r="E2965" s="1014">
        <v>8650</v>
      </c>
      <c r="F2965" s="1013" t="s">
        <v>997</v>
      </c>
      <c r="G2965" s="1014" t="s">
        <v>6754</v>
      </c>
      <c r="H2965" s="1015">
        <v>69</v>
      </c>
      <c r="I2965" s="1016" t="s">
        <v>6899</v>
      </c>
    </row>
    <row r="2966" spans="2:9" ht="15.75" x14ac:dyDescent="0.25">
      <c r="B2966" s="1365" t="s">
        <v>7259</v>
      </c>
      <c r="C2966" s="1013" t="s">
        <v>4451</v>
      </c>
      <c r="D2966" s="1013" t="s">
        <v>4452</v>
      </c>
      <c r="E2966" s="1014">
        <v>8651</v>
      </c>
      <c r="F2966" s="1013" t="s">
        <v>7260</v>
      </c>
      <c r="G2966" s="1014" t="s">
        <v>266</v>
      </c>
      <c r="H2966" s="1015">
        <v>176120</v>
      </c>
      <c r="I2966" s="1016" t="s">
        <v>3538</v>
      </c>
    </row>
    <row r="2967" spans="2:9" ht="15.75" x14ac:dyDescent="0.25">
      <c r="B2967" s="1365" t="s">
        <v>7259</v>
      </c>
      <c r="C2967" s="1013" t="s">
        <v>4451</v>
      </c>
      <c r="D2967" s="1013" t="s">
        <v>4452</v>
      </c>
      <c r="E2967" s="1014">
        <v>8652</v>
      </c>
      <c r="F2967" s="1013" t="s">
        <v>7261</v>
      </c>
      <c r="G2967" s="1014" t="s">
        <v>266</v>
      </c>
      <c r="H2967" s="1015">
        <v>138000</v>
      </c>
      <c r="I2967" s="1016" t="s">
        <v>3538</v>
      </c>
    </row>
    <row r="2968" spans="2:9" ht="15.75" x14ac:dyDescent="0.25">
      <c r="B2968" s="1365" t="s">
        <v>7259</v>
      </c>
      <c r="C2968" s="1013" t="s">
        <v>4451</v>
      </c>
      <c r="D2968" s="1013" t="s">
        <v>4452</v>
      </c>
      <c r="E2968" s="1014">
        <v>8653</v>
      </c>
      <c r="F2968" s="1013" t="s">
        <v>7262</v>
      </c>
      <c r="G2968" s="1014" t="s">
        <v>266</v>
      </c>
      <c r="H2968" s="1015">
        <v>172550</v>
      </c>
      <c r="I2968" s="1016" t="s">
        <v>3538</v>
      </c>
    </row>
    <row r="2969" spans="2:9" ht="15.75" x14ac:dyDescent="0.25">
      <c r="B2969" s="1365" t="s">
        <v>7259</v>
      </c>
      <c r="C2969" s="1013" t="s">
        <v>4451</v>
      </c>
      <c r="D2969" s="1013" t="s">
        <v>4452</v>
      </c>
      <c r="E2969" s="1014">
        <v>8654</v>
      </c>
      <c r="F2969" s="1013" t="s">
        <v>7263</v>
      </c>
      <c r="G2969" s="1014" t="s">
        <v>266</v>
      </c>
      <c r="H2969" s="1015">
        <v>279650</v>
      </c>
      <c r="I2969" s="1016" t="s">
        <v>3538</v>
      </c>
    </row>
    <row r="2970" spans="2:9" ht="15.75" x14ac:dyDescent="0.25">
      <c r="B2970" s="1365" t="s">
        <v>7259</v>
      </c>
      <c r="C2970" s="1013" t="s">
        <v>4410</v>
      </c>
      <c r="D2970" s="1013" t="s">
        <v>4415</v>
      </c>
      <c r="E2970" s="1014">
        <v>8655</v>
      </c>
      <c r="F2970" s="1013" t="s">
        <v>998</v>
      </c>
      <c r="G2970" s="1014" t="s">
        <v>3</v>
      </c>
      <c r="H2970" s="1015">
        <v>90346</v>
      </c>
      <c r="I2970" s="1016" t="s">
        <v>6899</v>
      </c>
    </row>
    <row r="2971" spans="2:9" ht="15.75" x14ac:dyDescent="0.25">
      <c r="B2971" s="1365" t="s">
        <v>7259</v>
      </c>
      <c r="C2971" s="1013" t="s">
        <v>4799</v>
      </c>
      <c r="D2971" s="1013" t="s">
        <v>5946</v>
      </c>
      <c r="E2971" s="1014">
        <v>8656</v>
      </c>
      <c r="F2971" s="1013" t="s">
        <v>999</v>
      </c>
      <c r="G2971" s="1014" t="s">
        <v>3</v>
      </c>
      <c r="H2971" s="1015">
        <v>22435</v>
      </c>
      <c r="I2971" s="1016" t="s">
        <v>6899</v>
      </c>
    </row>
    <row r="2972" spans="2:9" ht="15.75" x14ac:dyDescent="0.25">
      <c r="B2972" s="1365" t="s">
        <v>7257</v>
      </c>
      <c r="C2972" s="1013" t="s">
        <v>4799</v>
      </c>
      <c r="D2972" s="1013" t="s">
        <v>5946</v>
      </c>
      <c r="E2972" s="1014">
        <v>8657</v>
      </c>
      <c r="F2972" s="1013" t="s">
        <v>1000</v>
      </c>
      <c r="G2972" s="1014" t="s">
        <v>12</v>
      </c>
      <c r="H2972" s="1015">
        <v>7468</v>
      </c>
      <c r="I2972" s="1016" t="s">
        <v>6899</v>
      </c>
    </row>
    <row r="2973" spans="2:9" ht="15.75" x14ac:dyDescent="0.25">
      <c r="B2973" s="1365" t="s">
        <v>6897</v>
      </c>
      <c r="C2973" s="1013" t="s">
        <v>4799</v>
      </c>
      <c r="D2973" s="1013" t="s">
        <v>5946</v>
      </c>
      <c r="E2973" s="1014">
        <v>8659</v>
      </c>
      <c r="F2973" s="1013" t="s">
        <v>1002</v>
      </c>
      <c r="G2973" s="1014" t="s">
        <v>12</v>
      </c>
      <c r="H2973" s="1015">
        <v>20176</v>
      </c>
      <c r="I2973" s="1016" t="s">
        <v>6899</v>
      </c>
    </row>
    <row r="2974" spans="2:9" ht="15.75" x14ac:dyDescent="0.25">
      <c r="B2974" s="1365" t="s">
        <v>6897</v>
      </c>
      <c r="C2974" s="1013" t="s">
        <v>4799</v>
      </c>
      <c r="D2974" s="1013" t="s">
        <v>5946</v>
      </c>
      <c r="E2974" s="1014">
        <v>8660</v>
      </c>
      <c r="F2974" s="1013" t="s">
        <v>1003</v>
      </c>
      <c r="G2974" s="1014" t="s">
        <v>12</v>
      </c>
      <c r="H2974" s="1015">
        <v>160331</v>
      </c>
      <c r="I2974" s="1016" t="s">
        <v>6899</v>
      </c>
    </row>
    <row r="2975" spans="2:9" ht="15.75" x14ac:dyDescent="0.25">
      <c r="B2975" s="1365" t="s">
        <v>6897</v>
      </c>
      <c r="C2975" s="1013" t="s">
        <v>4799</v>
      </c>
      <c r="D2975" s="1013" t="s">
        <v>5946</v>
      </c>
      <c r="E2975" s="1014">
        <v>8661</v>
      </c>
      <c r="F2975" s="1013" t="s">
        <v>1004</v>
      </c>
      <c r="G2975" s="1014" t="s">
        <v>12</v>
      </c>
      <c r="H2975" s="1015">
        <v>313031</v>
      </c>
      <c r="I2975" s="1016" t="s">
        <v>6899</v>
      </c>
    </row>
    <row r="2976" spans="2:9" ht="15.75" x14ac:dyDescent="0.25">
      <c r="B2976" s="1365" t="s">
        <v>6897</v>
      </c>
      <c r="C2976" s="1013" t="s">
        <v>4799</v>
      </c>
      <c r="D2976" s="1013" t="s">
        <v>5946</v>
      </c>
      <c r="E2976" s="1014">
        <v>8662</v>
      </c>
      <c r="F2976" s="1013" t="s">
        <v>1005</v>
      </c>
      <c r="G2976" s="1014" t="s">
        <v>12</v>
      </c>
      <c r="H2976" s="1015">
        <v>508636</v>
      </c>
      <c r="I2976" s="1016" t="s">
        <v>6899</v>
      </c>
    </row>
    <row r="2977" spans="2:9" ht="15.75" x14ac:dyDescent="0.25">
      <c r="B2977" s="1365" t="s">
        <v>6897</v>
      </c>
      <c r="C2977" s="1013" t="s">
        <v>4799</v>
      </c>
      <c r="D2977" s="1013" t="s">
        <v>5946</v>
      </c>
      <c r="E2977" s="1014">
        <v>8663</v>
      </c>
      <c r="F2977" s="1013" t="s">
        <v>1006</v>
      </c>
      <c r="G2977" s="1014" t="s">
        <v>12</v>
      </c>
      <c r="H2977" s="1015">
        <v>492234</v>
      </c>
      <c r="I2977" s="1016" t="s">
        <v>6899</v>
      </c>
    </row>
    <row r="2978" spans="2:9" ht="15.75" x14ac:dyDescent="0.25">
      <c r="B2978" s="1365" t="s">
        <v>6897</v>
      </c>
      <c r="C2978" s="1013" t="s">
        <v>4799</v>
      </c>
      <c r="D2978" s="1013" t="s">
        <v>5946</v>
      </c>
      <c r="E2978" s="1014">
        <v>8664</v>
      </c>
      <c r="F2978" s="1013" t="s">
        <v>1007</v>
      </c>
      <c r="G2978" s="1014" t="s">
        <v>12</v>
      </c>
      <c r="H2978" s="1015">
        <v>562121</v>
      </c>
      <c r="I2978" s="1016" t="s">
        <v>6899</v>
      </c>
    </row>
    <row r="2979" spans="2:9" ht="15.75" x14ac:dyDescent="0.25">
      <c r="B2979" s="1365" t="s">
        <v>6897</v>
      </c>
      <c r="C2979" s="1013" t="s">
        <v>4799</v>
      </c>
      <c r="D2979" s="1013" t="s">
        <v>5946</v>
      </c>
      <c r="E2979" s="1014">
        <v>8665</v>
      </c>
      <c r="F2979" s="1013" t="s">
        <v>1008</v>
      </c>
      <c r="G2979" s="1014" t="s">
        <v>12</v>
      </c>
      <c r="H2979" s="1015">
        <v>567868</v>
      </c>
      <c r="I2979" s="1016" t="s">
        <v>6899</v>
      </c>
    </row>
    <row r="2980" spans="2:9" ht="15.75" x14ac:dyDescent="0.25">
      <c r="B2980" s="1365" t="s">
        <v>6897</v>
      </c>
      <c r="C2980" s="1013" t="s">
        <v>4799</v>
      </c>
      <c r="D2980" s="1013" t="s">
        <v>5946</v>
      </c>
      <c r="E2980" s="1014">
        <v>8667</v>
      </c>
      <c r="F2980" s="1013" t="s">
        <v>1010</v>
      </c>
      <c r="G2980" s="1014" t="s">
        <v>12</v>
      </c>
      <c r="H2980" s="1015">
        <v>16907</v>
      </c>
      <c r="I2980" s="1016" t="s">
        <v>6899</v>
      </c>
    </row>
    <row r="2981" spans="2:9" ht="15.75" x14ac:dyDescent="0.25">
      <c r="B2981" s="1365" t="s">
        <v>6897</v>
      </c>
      <c r="C2981" s="1013" t="s">
        <v>4799</v>
      </c>
      <c r="D2981" s="1013" t="s">
        <v>5946</v>
      </c>
      <c r="E2981" s="1014">
        <v>8668</v>
      </c>
      <c r="F2981" s="1013" t="s">
        <v>1011</v>
      </c>
      <c r="G2981" s="1014" t="s">
        <v>12</v>
      </c>
      <c r="H2981" s="1015">
        <v>158414</v>
      </c>
      <c r="I2981" s="1016" t="s">
        <v>6899</v>
      </c>
    </row>
    <row r="2982" spans="2:9" ht="15.75" x14ac:dyDescent="0.25">
      <c r="B2982" s="1365" t="s">
        <v>6897</v>
      </c>
      <c r="C2982" s="1013" t="s">
        <v>4799</v>
      </c>
      <c r="D2982" s="1013" t="s">
        <v>5946</v>
      </c>
      <c r="E2982" s="1014">
        <v>8669</v>
      </c>
      <c r="F2982" s="1013" t="s">
        <v>1012</v>
      </c>
      <c r="G2982" s="1014" t="s">
        <v>12</v>
      </c>
      <c r="H2982" s="1015">
        <v>208540</v>
      </c>
      <c r="I2982" s="1016" t="s">
        <v>6899</v>
      </c>
    </row>
    <row r="2983" spans="2:9" ht="15.75" x14ac:dyDescent="0.25">
      <c r="B2983" s="1365" t="s">
        <v>6897</v>
      </c>
      <c r="C2983" s="1013" t="s">
        <v>4799</v>
      </c>
      <c r="D2983" s="1013" t="s">
        <v>5946</v>
      </c>
      <c r="E2983" s="1014">
        <v>8670</v>
      </c>
      <c r="F2983" s="1013" t="s">
        <v>1013</v>
      </c>
      <c r="G2983" s="1014" t="s">
        <v>12</v>
      </c>
      <c r="H2983" s="1015">
        <v>504198</v>
      </c>
      <c r="I2983" s="1016" t="s">
        <v>6899</v>
      </c>
    </row>
    <row r="2984" spans="2:9" ht="15.75" x14ac:dyDescent="0.25">
      <c r="B2984" s="1365" t="s">
        <v>6897</v>
      </c>
      <c r="C2984" s="1013" t="s">
        <v>4799</v>
      </c>
      <c r="D2984" s="1013" t="s">
        <v>5946</v>
      </c>
      <c r="E2984" s="1014">
        <v>8671</v>
      </c>
      <c r="F2984" s="1013" t="s">
        <v>1014</v>
      </c>
      <c r="G2984" s="1014" t="s">
        <v>12</v>
      </c>
      <c r="H2984" s="1015">
        <v>485637</v>
      </c>
      <c r="I2984" s="1016" t="s">
        <v>6899</v>
      </c>
    </row>
    <row r="2985" spans="2:9" ht="15.75" x14ac:dyDescent="0.25">
      <c r="B2985" s="1365" t="s">
        <v>6897</v>
      </c>
      <c r="C2985" s="1013" t="s">
        <v>4799</v>
      </c>
      <c r="D2985" s="1013" t="s">
        <v>5946</v>
      </c>
      <c r="E2985" s="1014">
        <v>8672</v>
      </c>
      <c r="F2985" s="1013" t="s">
        <v>1015</v>
      </c>
      <c r="G2985" s="1014" t="s">
        <v>12</v>
      </c>
      <c r="H2985" s="1015">
        <v>548200</v>
      </c>
      <c r="I2985" s="1016" t="s">
        <v>6899</v>
      </c>
    </row>
    <row r="2986" spans="2:9" ht="15.75" x14ac:dyDescent="0.25">
      <c r="B2986" s="1365" t="s">
        <v>6897</v>
      </c>
      <c r="C2986" s="1013" t="s">
        <v>4799</v>
      </c>
      <c r="D2986" s="1013" t="s">
        <v>5946</v>
      </c>
      <c r="E2986" s="1014">
        <v>8673</v>
      </c>
      <c r="F2986" s="1013" t="s">
        <v>1016</v>
      </c>
      <c r="G2986" s="1014" t="s">
        <v>12</v>
      </c>
      <c r="H2986" s="1015">
        <v>563618</v>
      </c>
      <c r="I2986" s="1016" t="s">
        <v>6899</v>
      </c>
    </row>
    <row r="2987" spans="2:9" ht="15.75" x14ac:dyDescent="0.25">
      <c r="B2987" s="1365" t="s">
        <v>6897</v>
      </c>
      <c r="C2987" s="1013" t="s">
        <v>4799</v>
      </c>
      <c r="D2987" s="1013" t="s">
        <v>5946</v>
      </c>
      <c r="E2987" s="1014">
        <v>8675</v>
      </c>
      <c r="F2987" s="1013" t="s">
        <v>1018</v>
      </c>
      <c r="G2987" s="1014" t="s">
        <v>12</v>
      </c>
      <c r="H2987" s="1015">
        <v>11291</v>
      </c>
      <c r="I2987" s="1016" t="s">
        <v>6899</v>
      </c>
    </row>
    <row r="2988" spans="2:9" ht="15.75" x14ac:dyDescent="0.25">
      <c r="B2988" s="1365" t="s">
        <v>6897</v>
      </c>
      <c r="C2988" s="1013" t="s">
        <v>4799</v>
      </c>
      <c r="D2988" s="1013" t="s">
        <v>5946</v>
      </c>
      <c r="E2988" s="1014">
        <v>8676</v>
      </c>
      <c r="F2988" s="1013" t="s">
        <v>1019</v>
      </c>
      <c r="G2988" s="1014" t="s">
        <v>12</v>
      </c>
      <c r="H2988" s="1015">
        <v>107157</v>
      </c>
      <c r="I2988" s="1016" t="s">
        <v>6899</v>
      </c>
    </row>
    <row r="2989" spans="2:9" ht="15.75" x14ac:dyDescent="0.25">
      <c r="B2989" s="1365" t="s">
        <v>6897</v>
      </c>
      <c r="C2989" s="1013" t="s">
        <v>4799</v>
      </c>
      <c r="D2989" s="1013" t="s">
        <v>5946</v>
      </c>
      <c r="E2989" s="1014">
        <v>8677</v>
      </c>
      <c r="F2989" s="1013" t="s">
        <v>1020</v>
      </c>
      <c r="G2989" s="1014" t="s">
        <v>12</v>
      </c>
      <c r="H2989" s="1015">
        <v>208691</v>
      </c>
      <c r="I2989" s="1016" t="s">
        <v>6899</v>
      </c>
    </row>
    <row r="2990" spans="2:9" ht="15.75" x14ac:dyDescent="0.25">
      <c r="B2990" s="1365" t="s">
        <v>6897</v>
      </c>
      <c r="C2990" s="1013" t="s">
        <v>4799</v>
      </c>
      <c r="D2990" s="1013" t="s">
        <v>5946</v>
      </c>
      <c r="E2990" s="1014">
        <v>8678</v>
      </c>
      <c r="F2990" s="1013" t="s">
        <v>1021</v>
      </c>
      <c r="G2990" s="1014" t="s">
        <v>12</v>
      </c>
      <c r="H2990" s="1015">
        <v>387681</v>
      </c>
      <c r="I2990" s="1016" t="s">
        <v>6899</v>
      </c>
    </row>
    <row r="2991" spans="2:9" ht="15.75" x14ac:dyDescent="0.25">
      <c r="B2991" s="1365" t="s">
        <v>6897</v>
      </c>
      <c r="C2991" s="1013" t="s">
        <v>4799</v>
      </c>
      <c r="D2991" s="1013" t="s">
        <v>5946</v>
      </c>
      <c r="E2991" s="1014">
        <v>8679</v>
      </c>
      <c r="F2991" s="1013" t="s">
        <v>1022</v>
      </c>
      <c r="G2991" s="1014" t="s">
        <v>12</v>
      </c>
      <c r="H2991" s="1015">
        <v>453284</v>
      </c>
      <c r="I2991" s="1016" t="s">
        <v>6899</v>
      </c>
    </row>
    <row r="2992" spans="2:9" ht="15.75" x14ac:dyDescent="0.25">
      <c r="B2992" s="1365" t="s">
        <v>6897</v>
      </c>
      <c r="C2992" s="1013" t="s">
        <v>4799</v>
      </c>
      <c r="D2992" s="1013" t="s">
        <v>5946</v>
      </c>
      <c r="E2992" s="1014">
        <v>8680</v>
      </c>
      <c r="F2992" s="1013" t="s">
        <v>1023</v>
      </c>
      <c r="G2992" s="1014" t="s">
        <v>12</v>
      </c>
      <c r="H2992" s="1015">
        <v>485791</v>
      </c>
      <c r="I2992" s="1016" t="s">
        <v>6899</v>
      </c>
    </row>
    <row r="2993" spans="2:9" ht="15.75" x14ac:dyDescent="0.25">
      <c r="B2993" s="1365" t="s">
        <v>6897</v>
      </c>
      <c r="C2993" s="1013" t="s">
        <v>4799</v>
      </c>
      <c r="D2993" s="1013" t="s">
        <v>5946</v>
      </c>
      <c r="E2993" s="1014">
        <v>8681</v>
      </c>
      <c r="F2993" s="1013" t="s">
        <v>1024</v>
      </c>
      <c r="G2993" s="1014" t="s">
        <v>12</v>
      </c>
      <c r="H2993" s="1015">
        <v>526336</v>
      </c>
      <c r="I2993" s="1016" t="s">
        <v>6899</v>
      </c>
    </row>
    <row r="2994" spans="2:9" ht="15.75" x14ac:dyDescent="0.25">
      <c r="B2994" s="1365" t="s">
        <v>6897</v>
      </c>
      <c r="C2994" s="1013" t="s">
        <v>4799</v>
      </c>
      <c r="D2994" s="1013" t="s">
        <v>5946</v>
      </c>
      <c r="E2994" s="1014">
        <v>8683</v>
      </c>
      <c r="F2994" s="1013" t="s">
        <v>1026</v>
      </c>
      <c r="G2994" s="1014" t="s">
        <v>12</v>
      </c>
      <c r="H2994" s="1015">
        <v>11291</v>
      </c>
      <c r="I2994" s="1016" t="s">
        <v>6899</v>
      </c>
    </row>
    <row r="2995" spans="2:9" ht="15.75" x14ac:dyDescent="0.25">
      <c r="B2995" s="1365" t="s">
        <v>6897</v>
      </c>
      <c r="C2995" s="1013" t="s">
        <v>4799</v>
      </c>
      <c r="D2995" s="1013" t="s">
        <v>5946</v>
      </c>
      <c r="E2995" s="1014">
        <v>8684</v>
      </c>
      <c r="F2995" s="1013" t="s">
        <v>1027</v>
      </c>
      <c r="G2995" s="1014" t="s">
        <v>12</v>
      </c>
      <c r="H2995" s="1015">
        <v>92410</v>
      </c>
      <c r="I2995" s="1016" t="s">
        <v>6899</v>
      </c>
    </row>
    <row r="2996" spans="2:9" ht="15.75" x14ac:dyDescent="0.25">
      <c r="B2996" s="1365" t="s">
        <v>6897</v>
      </c>
      <c r="C2996" s="1013" t="s">
        <v>4799</v>
      </c>
      <c r="D2996" s="1013" t="s">
        <v>5946</v>
      </c>
      <c r="E2996" s="1014">
        <v>8685</v>
      </c>
      <c r="F2996" s="1013" t="s">
        <v>1028</v>
      </c>
      <c r="G2996" s="1014" t="s">
        <v>12</v>
      </c>
      <c r="H2996" s="1015">
        <v>208691</v>
      </c>
      <c r="I2996" s="1016" t="s">
        <v>6899</v>
      </c>
    </row>
    <row r="2997" spans="2:9" ht="15.75" x14ac:dyDescent="0.25">
      <c r="B2997" s="1365" t="s">
        <v>6897</v>
      </c>
      <c r="C2997" s="1013" t="s">
        <v>4799</v>
      </c>
      <c r="D2997" s="1013" t="s">
        <v>5946</v>
      </c>
      <c r="E2997" s="1014">
        <v>8686</v>
      </c>
      <c r="F2997" s="1013" t="s">
        <v>1029</v>
      </c>
      <c r="G2997" s="1014" t="s">
        <v>12</v>
      </c>
      <c r="H2997" s="1015">
        <v>351459</v>
      </c>
      <c r="I2997" s="1016" t="s">
        <v>6899</v>
      </c>
    </row>
    <row r="2998" spans="2:9" ht="15.75" x14ac:dyDescent="0.25">
      <c r="B2998" s="1365" t="s">
        <v>6897</v>
      </c>
      <c r="C2998" s="1013" t="s">
        <v>4799</v>
      </c>
      <c r="D2998" s="1013" t="s">
        <v>5946</v>
      </c>
      <c r="E2998" s="1014">
        <v>8687</v>
      </c>
      <c r="F2998" s="1013" t="s">
        <v>1030</v>
      </c>
      <c r="G2998" s="1014" t="s">
        <v>12</v>
      </c>
      <c r="H2998" s="1015">
        <v>318046</v>
      </c>
      <c r="I2998" s="1016" t="s">
        <v>6899</v>
      </c>
    </row>
    <row r="2999" spans="2:9" ht="15.75" x14ac:dyDescent="0.25">
      <c r="B2999" s="1365" t="s">
        <v>6897</v>
      </c>
      <c r="C2999" s="1013" t="s">
        <v>4799</v>
      </c>
      <c r="D2999" s="1013" t="s">
        <v>5946</v>
      </c>
      <c r="E2999" s="1014">
        <v>8688</v>
      </c>
      <c r="F2999" s="1013" t="s">
        <v>1031</v>
      </c>
      <c r="G2999" s="1014" t="s">
        <v>12</v>
      </c>
      <c r="H2999" s="1015">
        <v>450977</v>
      </c>
      <c r="I2999" s="1016" t="s">
        <v>6899</v>
      </c>
    </row>
    <row r="3000" spans="2:9" ht="15.75" x14ac:dyDescent="0.25">
      <c r="B3000" s="1365" t="s">
        <v>6897</v>
      </c>
      <c r="C3000" s="1013" t="s">
        <v>4799</v>
      </c>
      <c r="D3000" s="1013" t="s">
        <v>5946</v>
      </c>
      <c r="E3000" s="1014">
        <v>8689</v>
      </c>
      <c r="F3000" s="1013" t="s">
        <v>1032</v>
      </c>
      <c r="G3000" s="1014" t="s">
        <v>12</v>
      </c>
      <c r="H3000" s="1015">
        <v>388272</v>
      </c>
      <c r="I3000" s="1016" t="s">
        <v>6899</v>
      </c>
    </row>
    <row r="3001" spans="2:9" ht="15.75" x14ac:dyDescent="0.25">
      <c r="B3001" s="1365" t="s">
        <v>6897</v>
      </c>
      <c r="C3001" s="1013" t="s">
        <v>4799</v>
      </c>
      <c r="D3001" s="1013" t="s">
        <v>5946</v>
      </c>
      <c r="E3001" s="1014">
        <v>8690</v>
      </c>
      <c r="F3001" s="1013" t="s">
        <v>1033</v>
      </c>
      <c r="G3001" s="1014" t="s">
        <v>12</v>
      </c>
      <c r="H3001" s="1015">
        <v>18214</v>
      </c>
      <c r="I3001" s="1016" t="s">
        <v>6899</v>
      </c>
    </row>
    <row r="3002" spans="2:9" ht="15.75" x14ac:dyDescent="0.25">
      <c r="B3002" s="1365" t="s">
        <v>6897</v>
      </c>
      <c r="C3002" s="1013" t="s">
        <v>4799</v>
      </c>
      <c r="D3002" s="1013" t="s">
        <v>5946</v>
      </c>
      <c r="E3002" s="1014">
        <v>8691</v>
      </c>
      <c r="F3002" s="1013" t="s">
        <v>1034</v>
      </c>
      <c r="G3002" s="1014" t="s">
        <v>12</v>
      </c>
      <c r="H3002" s="1015">
        <v>50345</v>
      </c>
      <c r="I3002" s="1016" t="s">
        <v>6899</v>
      </c>
    </row>
    <row r="3003" spans="2:9" ht="15.75" x14ac:dyDescent="0.25">
      <c r="B3003" s="1365" t="s">
        <v>6897</v>
      </c>
      <c r="C3003" s="1013" t="s">
        <v>4799</v>
      </c>
      <c r="D3003" s="1013" t="s">
        <v>5946</v>
      </c>
      <c r="E3003" s="1014">
        <v>8692</v>
      </c>
      <c r="F3003" s="1013" t="s">
        <v>1035</v>
      </c>
      <c r="G3003" s="1014" t="s">
        <v>12</v>
      </c>
      <c r="H3003" s="1015">
        <v>68176</v>
      </c>
      <c r="I3003" s="1016" t="s">
        <v>6899</v>
      </c>
    </row>
    <row r="3004" spans="2:9" ht="15.75" x14ac:dyDescent="0.25">
      <c r="B3004" s="1365" t="s">
        <v>6897</v>
      </c>
      <c r="C3004" s="1013" t="s">
        <v>4799</v>
      </c>
      <c r="D3004" s="1013" t="s">
        <v>5946</v>
      </c>
      <c r="E3004" s="1014">
        <v>8693</v>
      </c>
      <c r="F3004" s="1013" t="s">
        <v>1036</v>
      </c>
      <c r="G3004" s="1014" t="s">
        <v>12</v>
      </c>
      <c r="H3004" s="1015">
        <v>18036</v>
      </c>
      <c r="I3004" s="1016" t="s">
        <v>6899</v>
      </c>
    </row>
    <row r="3005" spans="2:9" ht="15.75" x14ac:dyDescent="0.25">
      <c r="B3005" s="1365" t="s">
        <v>6897</v>
      </c>
      <c r="C3005" s="1013" t="s">
        <v>4799</v>
      </c>
      <c r="D3005" s="1013" t="s">
        <v>5946</v>
      </c>
      <c r="E3005" s="1014">
        <v>8694</v>
      </c>
      <c r="F3005" s="1013" t="s">
        <v>1037</v>
      </c>
      <c r="G3005" s="1014" t="s">
        <v>12</v>
      </c>
      <c r="H3005" s="1015">
        <v>53465</v>
      </c>
      <c r="I3005" s="1016" t="s">
        <v>6899</v>
      </c>
    </row>
    <row r="3006" spans="2:9" ht="15.75" x14ac:dyDescent="0.25">
      <c r="B3006" s="1365" t="s">
        <v>6897</v>
      </c>
      <c r="C3006" s="1013" t="s">
        <v>4799</v>
      </c>
      <c r="D3006" s="1013" t="s">
        <v>5946</v>
      </c>
      <c r="E3006" s="1014">
        <v>8695</v>
      </c>
      <c r="F3006" s="1013" t="s">
        <v>1038</v>
      </c>
      <c r="G3006" s="1014" t="s">
        <v>12</v>
      </c>
      <c r="H3006" s="1015">
        <v>68176</v>
      </c>
      <c r="I3006" s="1016" t="s">
        <v>6899</v>
      </c>
    </row>
    <row r="3007" spans="2:9" ht="15.75" x14ac:dyDescent="0.25">
      <c r="B3007" s="1365" t="s">
        <v>6897</v>
      </c>
      <c r="C3007" s="1013" t="s">
        <v>4799</v>
      </c>
      <c r="D3007" s="1013" t="s">
        <v>5946</v>
      </c>
      <c r="E3007" s="1014">
        <v>8697</v>
      </c>
      <c r="F3007" s="1013" t="s">
        <v>1040</v>
      </c>
      <c r="G3007" s="1014" t="s">
        <v>12</v>
      </c>
      <c r="H3007" s="1015">
        <v>16828</v>
      </c>
      <c r="I3007" s="1016" t="s">
        <v>6899</v>
      </c>
    </row>
    <row r="3008" spans="2:9" ht="15.75" x14ac:dyDescent="0.25">
      <c r="B3008" s="1365" t="s">
        <v>6897</v>
      </c>
      <c r="C3008" s="1013" t="s">
        <v>4799</v>
      </c>
      <c r="D3008" s="1013" t="s">
        <v>5946</v>
      </c>
      <c r="E3008" s="1014">
        <v>8698</v>
      </c>
      <c r="F3008" s="1013" t="s">
        <v>1041</v>
      </c>
      <c r="G3008" s="1014" t="s">
        <v>12</v>
      </c>
      <c r="H3008" s="1015">
        <v>51631</v>
      </c>
      <c r="I3008" s="1016" t="s">
        <v>6899</v>
      </c>
    </row>
    <row r="3009" spans="2:9" ht="15.75" x14ac:dyDescent="0.25">
      <c r="B3009" s="1365" t="s">
        <v>6897</v>
      </c>
      <c r="C3009" s="1013" t="s">
        <v>4799</v>
      </c>
      <c r="D3009" s="1013" t="s">
        <v>5946</v>
      </c>
      <c r="E3009" s="1014">
        <v>8699</v>
      </c>
      <c r="F3009" s="1013" t="s">
        <v>1042</v>
      </c>
      <c r="G3009" s="1014" t="s">
        <v>12</v>
      </c>
      <c r="H3009" s="1015">
        <v>168152</v>
      </c>
      <c r="I3009" s="1016" t="s">
        <v>6899</v>
      </c>
    </row>
    <row r="3010" spans="2:9" ht="15.75" x14ac:dyDescent="0.25">
      <c r="B3010" s="1365" t="s">
        <v>6897</v>
      </c>
      <c r="C3010" s="1013" t="s">
        <v>4799</v>
      </c>
      <c r="D3010" s="1013" t="s">
        <v>5946</v>
      </c>
      <c r="E3010" s="1014">
        <v>8700</v>
      </c>
      <c r="F3010" s="1013" t="s">
        <v>1043</v>
      </c>
      <c r="G3010" s="1014" t="s">
        <v>12</v>
      </c>
      <c r="H3010" s="1015">
        <v>358651</v>
      </c>
      <c r="I3010" s="1016" t="s">
        <v>6899</v>
      </c>
    </row>
    <row r="3011" spans="2:9" ht="15.75" x14ac:dyDescent="0.25">
      <c r="B3011" s="1365" t="s">
        <v>6897</v>
      </c>
      <c r="C3011" s="1013" t="s">
        <v>4799</v>
      </c>
      <c r="D3011" s="1013" t="s">
        <v>5946</v>
      </c>
      <c r="E3011" s="1014">
        <v>8701</v>
      </c>
      <c r="F3011" s="1013" t="s">
        <v>1044</v>
      </c>
      <c r="G3011" s="1014" t="s">
        <v>12</v>
      </c>
      <c r="H3011" s="1015">
        <v>361705</v>
      </c>
      <c r="I3011" s="1016" t="s">
        <v>6899</v>
      </c>
    </row>
    <row r="3012" spans="2:9" ht="15.75" x14ac:dyDescent="0.25">
      <c r="B3012" s="1365" t="s">
        <v>6897</v>
      </c>
      <c r="C3012" s="1013" t="s">
        <v>4799</v>
      </c>
      <c r="D3012" s="1013" t="s">
        <v>5946</v>
      </c>
      <c r="E3012" s="1014">
        <v>8702</v>
      </c>
      <c r="F3012" s="1013" t="s">
        <v>1045</v>
      </c>
      <c r="G3012" s="1014" t="s">
        <v>12</v>
      </c>
      <c r="H3012" s="1015">
        <v>407756</v>
      </c>
      <c r="I3012" s="1016" t="s">
        <v>6899</v>
      </c>
    </row>
    <row r="3013" spans="2:9" ht="15.75" x14ac:dyDescent="0.25">
      <c r="B3013" s="1365" t="s">
        <v>6897</v>
      </c>
      <c r="C3013" s="1013" t="s">
        <v>4799</v>
      </c>
      <c r="D3013" s="1013" t="s">
        <v>5946</v>
      </c>
      <c r="E3013" s="1014">
        <v>8703</v>
      </c>
      <c r="F3013" s="1013" t="s">
        <v>1046</v>
      </c>
      <c r="G3013" s="1014" t="s">
        <v>12</v>
      </c>
      <c r="H3013" s="1015">
        <v>415190</v>
      </c>
      <c r="I3013" s="1016" t="s">
        <v>6899</v>
      </c>
    </row>
    <row r="3014" spans="2:9" ht="15.75" x14ac:dyDescent="0.25">
      <c r="B3014" s="1365" t="s">
        <v>6897</v>
      </c>
      <c r="C3014" s="1013" t="s">
        <v>4799</v>
      </c>
      <c r="D3014" s="1013" t="s">
        <v>5946</v>
      </c>
      <c r="E3014" s="1014">
        <v>8705</v>
      </c>
      <c r="F3014" s="1013" t="s">
        <v>6755</v>
      </c>
      <c r="G3014" s="1014" t="s">
        <v>12</v>
      </c>
      <c r="H3014" s="1015">
        <v>10128</v>
      </c>
      <c r="I3014" s="1016" t="s">
        <v>6899</v>
      </c>
    </row>
    <row r="3015" spans="2:9" ht="15.75" x14ac:dyDescent="0.25">
      <c r="B3015" s="1365" t="s">
        <v>6897</v>
      </c>
      <c r="C3015" s="1013" t="s">
        <v>4799</v>
      </c>
      <c r="D3015" s="1013" t="s">
        <v>5946</v>
      </c>
      <c r="E3015" s="1014">
        <v>8706</v>
      </c>
      <c r="F3015" s="1013" t="s">
        <v>1048</v>
      </c>
      <c r="G3015" s="1014" t="s">
        <v>12</v>
      </c>
      <c r="H3015" s="1015">
        <v>30253</v>
      </c>
      <c r="I3015" s="1016" t="s">
        <v>6899</v>
      </c>
    </row>
    <row r="3016" spans="2:9" ht="15.75" x14ac:dyDescent="0.25">
      <c r="B3016" s="1365" t="s">
        <v>6897</v>
      </c>
      <c r="C3016" s="1013" t="s">
        <v>4799</v>
      </c>
      <c r="D3016" s="1013" t="s">
        <v>5946</v>
      </c>
      <c r="E3016" s="1014">
        <v>8707</v>
      </c>
      <c r="F3016" s="1013" t="s">
        <v>1049</v>
      </c>
      <c r="G3016" s="1014" t="s">
        <v>12</v>
      </c>
      <c r="H3016" s="1015">
        <v>175236</v>
      </c>
      <c r="I3016" s="1016" t="s">
        <v>6899</v>
      </c>
    </row>
    <row r="3017" spans="2:9" ht="15.75" x14ac:dyDescent="0.25">
      <c r="B3017" s="1365" t="s">
        <v>6897</v>
      </c>
      <c r="C3017" s="1013" t="s">
        <v>4799</v>
      </c>
      <c r="D3017" s="1013" t="s">
        <v>5946</v>
      </c>
      <c r="E3017" s="1014">
        <v>8708</v>
      </c>
      <c r="F3017" s="1013" t="s">
        <v>1050</v>
      </c>
      <c r="G3017" s="1014" t="s">
        <v>12</v>
      </c>
      <c r="H3017" s="1015">
        <v>347657</v>
      </c>
      <c r="I3017" s="1016" t="s">
        <v>6899</v>
      </c>
    </row>
    <row r="3018" spans="2:9" ht="15.75" x14ac:dyDescent="0.25">
      <c r="B3018" s="1365" t="s">
        <v>6897</v>
      </c>
      <c r="C3018" s="1013" t="s">
        <v>4799</v>
      </c>
      <c r="D3018" s="1013" t="s">
        <v>5946</v>
      </c>
      <c r="E3018" s="1014">
        <v>8709</v>
      </c>
      <c r="F3018" s="1013" t="s">
        <v>1051</v>
      </c>
      <c r="G3018" s="1014" t="s">
        <v>12</v>
      </c>
      <c r="H3018" s="1015">
        <v>376636</v>
      </c>
      <c r="I3018" s="1016" t="s">
        <v>6899</v>
      </c>
    </row>
    <row r="3019" spans="2:9" ht="15.75" x14ac:dyDescent="0.25">
      <c r="B3019" s="1365" t="s">
        <v>6897</v>
      </c>
      <c r="C3019" s="1013" t="s">
        <v>4799</v>
      </c>
      <c r="D3019" s="1013" t="s">
        <v>5946</v>
      </c>
      <c r="E3019" s="1014">
        <v>8710</v>
      </c>
      <c r="F3019" s="1013" t="s">
        <v>1052</v>
      </c>
      <c r="G3019" s="1014" t="s">
        <v>12</v>
      </c>
      <c r="H3019" s="1015">
        <v>395709</v>
      </c>
      <c r="I3019" s="1016" t="s">
        <v>6899</v>
      </c>
    </row>
    <row r="3020" spans="2:9" ht="15.75" x14ac:dyDescent="0.25">
      <c r="B3020" s="1365" t="s">
        <v>6897</v>
      </c>
      <c r="C3020" s="1013" t="s">
        <v>4799</v>
      </c>
      <c r="D3020" s="1013" t="s">
        <v>5946</v>
      </c>
      <c r="E3020" s="1014">
        <v>8711</v>
      </c>
      <c r="F3020" s="1013" t="s">
        <v>1053</v>
      </c>
      <c r="G3020" s="1014" t="s">
        <v>12</v>
      </c>
      <c r="H3020" s="1015">
        <v>430121</v>
      </c>
      <c r="I3020" s="1016" t="s">
        <v>6899</v>
      </c>
    </row>
    <row r="3021" spans="2:9" ht="15.75" x14ac:dyDescent="0.25">
      <c r="B3021" s="1365" t="s">
        <v>7248</v>
      </c>
      <c r="C3021" s="1013" t="s">
        <v>4405</v>
      </c>
      <c r="D3021" s="1013" t="s">
        <v>4406</v>
      </c>
      <c r="E3021" s="1014">
        <v>8712</v>
      </c>
      <c r="F3021" s="1013" t="s">
        <v>1054</v>
      </c>
      <c r="G3021" s="1014" t="s">
        <v>13</v>
      </c>
      <c r="H3021" s="1015">
        <v>341882</v>
      </c>
      <c r="I3021" s="1016" t="s">
        <v>4398</v>
      </c>
    </row>
    <row r="3022" spans="2:9" ht="15.75" x14ac:dyDescent="0.25">
      <c r="B3022" s="1365" t="s">
        <v>7248</v>
      </c>
      <c r="C3022" s="1013" t="s">
        <v>4405</v>
      </c>
      <c r="D3022" s="1013" t="s">
        <v>4406</v>
      </c>
      <c r="E3022" s="1014">
        <v>8713</v>
      </c>
      <c r="F3022" s="1013" t="s">
        <v>1055</v>
      </c>
      <c r="G3022" s="1014" t="s">
        <v>13</v>
      </c>
      <c r="H3022" s="1015">
        <v>143000</v>
      </c>
      <c r="I3022" s="1016" t="s">
        <v>4398</v>
      </c>
    </row>
    <row r="3023" spans="2:9" ht="15.75" x14ac:dyDescent="0.25">
      <c r="B3023" s="1365" t="s">
        <v>7248</v>
      </c>
      <c r="C3023" s="1013" t="s">
        <v>4405</v>
      </c>
      <c r="D3023" s="1013" t="s">
        <v>4406</v>
      </c>
      <c r="E3023" s="1014">
        <v>8714</v>
      </c>
      <c r="F3023" s="1013" t="s">
        <v>1056</v>
      </c>
      <c r="G3023" s="1014" t="s">
        <v>13</v>
      </c>
      <c r="H3023" s="1015">
        <v>174027</v>
      </c>
      <c r="I3023" s="1016" t="s">
        <v>4398</v>
      </c>
    </row>
    <row r="3024" spans="2:9" ht="15.75" x14ac:dyDescent="0.25">
      <c r="B3024" s="1365" t="s">
        <v>7248</v>
      </c>
      <c r="C3024" s="1013" t="s">
        <v>4431</v>
      </c>
      <c r="D3024" s="1013" t="s">
        <v>6139</v>
      </c>
      <c r="E3024" s="1014">
        <v>8715</v>
      </c>
      <c r="F3024" s="1013" t="s">
        <v>1057</v>
      </c>
      <c r="G3024" s="1014" t="s">
        <v>266</v>
      </c>
      <c r="H3024" s="1015">
        <v>672121</v>
      </c>
      <c r="I3024" s="1016" t="s">
        <v>6899</v>
      </c>
    </row>
    <row r="3025" spans="2:9" ht="15.75" x14ac:dyDescent="0.25">
      <c r="B3025" s="1365" t="s">
        <v>7248</v>
      </c>
      <c r="C3025" s="1013" t="s">
        <v>4405</v>
      </c>
      <c r="D3025" s="1013" t="s">
        <v>4406</v>
      </c>
      <c r="E3025" s="1014">
        <v>8716</v>
      </c>
      <c r="F3025" s="1013" t="s">
        <v>1058</v>
      </c>
      <c r="G3025" s="1014" t="s">
        <v>13</v>
      </c>
      <c r="H3025" s="1015">
        <v>56209</v>
      </c>
      <c r="I3025" s="1016" t="s">
        <v>4398</v>
      </c>
    </row>
    <row r="3026" spans="2:9" ht="15.75" x14ac:dyDescent="0.25">
      <c r="B3026" s="1365" t="s">
        <v>7248</v>
      </c>
      <c r="C3026" s="1013" t="s">
        <v>4431</v>
      </c>
      <c r="D3026" s="1013" t="s">
        <v>6139</v>
      </c>
      <c r="E3026" s="1014">
        <v>8717</v>
      </c>
      <c r="F3026" s="1013" t="s">
        <v>1059</v>
      </c>
      <c r="G3026" s="1014" t="s">
        <v>266</v>
      </c>
      <c r="H3026" s="1015">
        <v>1114724</v>
      </c>
      <c r="I3026" s="1016" t="s">
        <v>6899</v>
      </c>
    </row>
    <row r="3027" spans="2:9" ht="15.75" x14ac:dyDescent="0.25">
      <c r="B3027" s="1365" t="s">
        <v>7248</v>
      </c>
      <c r="C3027" s="1013" t="s">
        <v>4461</v>
      </c>
      <c r="D3027" s="1013" t="s">
        <v>4461</v>
      </c>
      <c r="E3027" s="1014">
        <v>8718</v>
      </c>
      <c r="F3027" s="1013" t="s">
        <v>1060</v>
      </c>
      <c r="G3027" s="1014" t="s">
        <v>266</v>
      </c>
      <c r="H3027" s="1015">
        <v>1622265</v>
      </c>
      <c r="I3027" s="1016" t="s">
        <v>4398</v>
      </c>
    </row>
    <row r="3028" spans="2:9" ht="15.75" x14ac:dyDescent="0.25">
      <c r="B3028" s="1365" t="s">
        <v>7248</v>
      </c>
      <c r="C3028" s="1013" t="s">
        <v>4461</v>
      </c>
      <c r="D3028" s="1013" t="s">
        <v>4461</v>
      </c>
      <c r="E3028" s="1014">
        <v>8719</v>
      </c>
      <c r="F3028" s="1013" t="s">
        <v>1061</v>
      </c>
      <c r="G3028" s="1014" t="s">
        <v>266</v>
      </c>
      <c r="H3028" s="1015">
        <v>1639756</v>
      </c>
      <c r="I3028" s="1016" t="s">
        <v>4398</v>
      </c>
    </row>
    <row r="3029" spans="2:9" ht="15.75" x14ac:dyDescent="0.25">
      <c r="B3029" s="1365" t="s">
        <v>7248</v>
      </c>
      <c r="C3029" s="1013" t="s">
        <v>4461</v>
      </c>
      <c r="D3029" s="1013" t="s">
        <v>4461</v>
      </c>
      <c r="E3029" s="1014">
        <v>8720</v>
      </c>
      <c r="F3029" s="1013" t="s">
        <v>1062</v>
      </c>
      <c r="G3029" s="1014" t="s">
        <v>266</v>
      </c>
      <c r="H3029" s="1015">
        <v>663737</v>
      </c>
      <c r="I3029" s="1016" t="s">
        <v>4398</v>
      </c>
    </row>
    <row r="3030" spans="2:9" ht="15.75" x14ac:dyDescent="0.25">
      <c r="B3030" s="1365" t="s">
        <v>7248</v>
      </c>
      <c r="C3030" s="1013" t="s">
        <v>4461</v>
      </c>
      <c r="D3030" s="1013" t="s">
        <v>4461</v>
      </c>
      <c r="E3030" s="1014">
        <v>8722</v>
      </c>
      <c r="F3030" s="1013" t="s">
        <v>6756</v>
      </c>
      <c r="G3030" s="1014" t="s">
        <v>266</v>
      </c>
      <c r="H3030" s="1015">
        <v>189558</v>
      </c>
      <c r="I3030" s="1016" t="s">
        <v>4398</v>
      </c>
    </row>
    <row r="3031" spans="2:9" ht="15.75" x14ac:dyDescent="0.25">
      <c r="B3031" s="1365" t="s">
        <v>7248</v>
      </c>
      <c r="C3031" s="1013" t="s">
        <v>4417</v>
      </c>
      <c r="D3031" s="1013" t="s">
        <v>4438</v>
      </c>
      <c r="E3031" s="1014">
        <v>8723</v>
      </c>
      <c r="F3031" s="1013" t="s">
        <v>1063</v>
      </c>
      <c r="G3031" s="1014" t="s">
        <v>13</v>
      </c>
      <c r="H3031" s="1015">
        <v>190111</v>
      </c>
      <c r="I3031" s="1016" t="s">
        <v>6899</v>
      </c>
    </row>
    <row r="3032" spans="2:9" ht="15.75" x14ac:dyDescent="0.25">
      <c r="B3032" s="1365" t="s">
        <v>7248</v>
      </c>
      <c r="C3032" s="1013" t="s">
        <v>4451</v>
      </c>
      <c r="D3032" s="1013" t="s">
        <v>4452</v>
      </c>
      <c r="E3032" s="1014">
        <v>8724</v>
      </c>
      <c r="F3032" s="1013" t="s">
        <v>7264</v>
      </c>
      <c r="G3032" s="1014" t="s">
        <v>266</v>
      </c>
      <c r="H3032" s="1015">
        <v>132000</v>
      </c>
      <c r="I3032" s="1016" t="s">
        <v>3538</v>
      </c>
    </row>
    <row r="3033" spans="2:9" ht="15.75" x14ac:dyDescent="0.25">
      <c r="B3033" s="1365" t="s">
        <v>7248</v>
      </c>
      <c r="C3033" s="1013" t="s">
        <v>5366</v>
      </c>
      <c r="D3033" s="1013" t="s">
        <v>5366</v>
      </c>
      <c r="E3033" s="1014">
        <v>8725</v>
      </c>
      <c r="F3033" s="1013" t="s">
        <v>1064</v>
      </c>
      <c r="G3033" s="1014" t="s">
        <v>13</v>
      </c>
      <c r="H3033" s="1015">
        <v>63700</v>
      </c>
      <c r="I3033" s="1016" t="s">
        <v>6899</v>
      </c>
    </row>
    <row r="3034" spans="2:9" ht="15.75" x14ac:dyDescent="0.25">
      <c r="B3034" s="1365" t="s">
        <v>7248</v>
      </c>
      <c r="C3034" s="1013" t="s">
        <v>4420</v>
      </c>
      <c r="D3034" s="1013" t="s">
        <v>4420</v>
      </c>
      <c r="E3034" s="1014">
        <v>8726</v>
      </c>
      <c r="F3034" s="1013" t="s">
        <v>1065</v>
      </c>
      <c r="G3034" s="1014" t="s">
        <v>266</v>
      </c>
      <c r="H3034" s="1015">
        <v>1150347</v>
      </c>
      <c r="I3034" s="1016" t="s">
        <v>6899</v>
      </c>
    </row>
    <row r="3035" spans="2:9" ht="15.75" x14ac:dyDescent="0.25">
      <c r="B3035" s="1365" t="s">
        <v>7248</v>
      </c>
      <c r="C3035" s="1013" t="s">
        <v>4451</v>
      </c>
      <c r="D3035" s="1013" t="s">
        <v>4452</v>
      </c>
      <c r="E3035" s="1014">
        <v>8727</v>
      </c>
      <c r="F3035" s="1013" t="s">
        <v>7265</v>
      </c>
      <c r="G3035" s="1014" t="s">
        <v>12</v>
      </c>
      <c r="H3035" s="1015">
        <v>686445</v>
      </c>
      <c r="I3035" s="1016" t="s">
        <v>4398</v>
      </c>
    </row>
    <row r="3036" spans="2:9" ht="15.75" x14ac:dyDescent="0.25">
      <c r="B3036" s="1365" t="s">
        <v>7248</v>
      </c>
      <c r="C3036" s="1013" t="s">
        <v>4461</v>
      </c>
      <c r="D3036" s="1013" t="s">
        <v>4461</v>
      </c>
      <c r="E3036" s="1014">
        <v>8728</v>
      </c>
      <c r="F3036" s="1013" t="s">
        <v>1066</v>
      </c>
      <c r="G3036" s="1014" t="s">
        <v>13</v>
      </c>
      <c r="H3036" s="1015">
        <v>661009</v>
      </c>
      <c r="I3036" s="1016" t="s">
        <v>6899</v>
      </c>
    </row>
    <row r="3037" spans="2:9" ht="15.75" x14ac:dyDescent="0.25">
      <c r="B3037" s="1365" t="s">
        <v>7248</v>
      </c>
      <c r="C3037" s="1013" t="s">
        <v>4461</v>
      </c>
      <c r="D3037" s="1013" t="s">
        <v>4461</v>
      </c>
      <c r="E3037" s="1014">
        <v>8729</v>
      </c>
      <c r="F3037" s="1013" t="s">
        <v>1067</v>
      </c>
      <c r="G3037" s="1014" t="s">
        <v>13</v>
      </c>
      <c r="H3037" s="1015">
        <v>1327546</v>
      </c>
      <c r="I3037" s="1016" t="s">
        <v>6899</v>
      </c>
    </row>
    <row r="3038" spans="2:9" ht="15.75" x14ac:dyDescent="0.25">
      <c r="B3038" s="1365" t="s">
        <v>7248</v>
      </c>
      <c r="C3038" s="1013" t="s">
        <v>4431</v>
      </c>
      <c r="D3038" s="1013" t="s">
        <v>4432</v>
      </c>
      <c r="E3038" s="1014">
        <v>8730</v>
      </c>
      <c r="F3038" s="1013" t="s">
        <v>1068</v>
      </c>
      <c r="G3038" s="1014" t="s">
        <v>266</v>
      </c>
      <c r="H3038" s="1015">
        <v>4819220</v>
      </c>
      <c r="I3038" s="1016" t="s">
        <v>6899</v>
      </c>
    </row>
    <row r="3039" spans="2:9" ht="15.75" x14ac:dyDescent="0.25">
      <c r="B3039" s="1365" t="s">
        <v>7248</v>
      </c>
      <c r="C3039" s="1013" t="s">
        <v>4431</v>
      </c>
      <c r="D3039" s="1013" t="s">
        <v>6139</v>
      </c>
      <c r="E3039" s="1014">
        <v>8731</v>
      </c>
      <c r="F3039" s="1013" t="s">
        <v>1069</v>
      </c>
      <c r="G3039" s="1014" t="s">
        <v>266</v>
      </c>
      <c r="H3039" s="1015">
        <v>388789</v>
      </c>
      <c r="I3039" s="1016" t="s">
        <v>6899</v>
      </c>
    </row>
    <row r="3040" spans="2:9" ht="15.75" x14ac:dyDescent="0.25">
      <c r="B3040" s="1365" t="s">
        <v>7248</v>
      </c>
      <c r="C3040" s="1013" t="s">
        <v>4431</v>
      </c>
      <c r="D3040" s="1013" t="s">
        <v>6139</v>
      </c>
      <c r="E3040" s="1014">
        <v>8732</v>
      </c>
      <c r="F3040" s="1013" t="s">
        <v>1070</v>
      </c>
      <c r="G3040" s="1014" t="s">
        <v>266</v>
      </c>
      <c r="H3040" s="1015">
        <v>661723</v>
      </c>
      <c r="I3040" s="1016" t="s">
        <v>6899</v>
      </c>
    </row>
    <row r="3041" spans="2:9" ht="15.75" x14ac:dyDescent="0.25">
      <c r="B3041" s="1365" t="s">
        <v>7248</v>
      </c>
      <c r="C3041" s="1013" t="s">
        <v>4405</v>
      </c>
      <c r="D3041" s="1013" t="s">
        <v>4406</v>
      </c>
      <c r="E3041" s="1014">
        <v>8733</v>
      </c>
      <c r="F3041" s="1013" t="s">
        <v>1071</v>
      </c>
      <c r="G3041" s="1014" t="s">
        <v>13</v>
      </c>
      <c r="H3041" s="1015">
        <v>209460</v>
      </c>
      <c r="I3041" s="1016" t="s">
        <v>4398</v>
      </c>
    </row>
    <row r="3042" spans="2:9" ht="15.75" x14ac:dyDescent="0.25">
      <c r="B3042" s="1365" t="s">
        <v>7248</v>
      </c>
      <c r="C3042" s="1013" t="s">
        <v>4405</v>
      </c>
      <c r="D3042" s="1013" t="s">
        <v>4406</v>
      </c>
      <c r="E3042" s="1014">
        <v>8734</v>
      </c>
      <c r="F3042" s="1013" t="s">
        <v>1072</v>
      </c>
      <c r="G3042" s="1014" t="s">
        <v>13</v>
      </c>
      <c r="H3042" s="1015">
        <v>265816</v>
      </c>
      <c r="I3042" s="1016" t="s">
        <v>4398</v>
      </c>
    </row>
    <row r="3043" spans="2:9" ht="15.75" x14ac:dyDescent="0.25">
      <c r="B3043" s="1365" t="s">
        <v>7248</v>
      </c>
      <c r="C3043" s="1013" t="s">
        <v>4405</v>
      </c>
      <c r="D3043" s="1013" t="s">
        <v>4406</v>
      </c>
      <c r="E3043" s="1014">
        <v>8735</v>
      </c>
      <c r="F3043" s="1013" t="s">
        <v>1073</v>
      </c>
      <c r="G3043" s="1014" t="s">
        <v>13</v>
      </c>
      <c r="H3043" s="1015">
        <v>567891</v>
      </c>
      <c r="I3043" s="1016" t="s">
        <v>4398</v>
      </c>
    </row>
    <row r="3044" spans="2:9" ht="15.75" x14ac:dyDescent="0.25">
      <c r="B3044" s="1365" t="s">
        <v>7248</v>
      </c>
      <c r="C3044" s="1013" t="s">
        <v>4405</v>
      </c>
      <c r="D3044" s="1013" t="s">
        <v>4406</v>
      </c>
      <c r="E3044" s="1014">
        <v>8736</v>
      </c>
      <c r="F3044" s="1013" t="s">
        <v>1074</v>
      </c>
      <c r="G3044" s="1014" t="s">
        <v>13</v>
      </c>
      <c r="H3044" s="1015">
        <v>285930</v>
      </c>
      <c r="I3044" s="1016" t="s">
        <v>4398</v>
      </c>
    </row>
    <row r="3045" spans="2:9" ht="15.75" x14ac:dyDescent="0.25">
      <c r="B3045" s="1365" t="s">
        <v>7248</v>
      </c>
      <c r="C3045" s="1013" t="s">
        <v>4461</v>
      </c>
      <c r="D3045" s="1013" t="s">
        <v>4461</v>
      </c>
      <c r="E3045" s="1014">
        <v>8737</v>
      </c>
      <c r="F3045" s="1013" t="s">
        <v>1075</v>
      </c>
      <c r="G3045" s="1014" t="s">
        <v>266</v>
      </c>
      <c r="H3045" s="1015">
        <v>7300</v>
      </c>
      <c r="I3045" s="1016" t="s">
        <v>4398</v>
      </c>
    </row>
    <row r="3046" spans="2:9" ht="15.75" x14ac:dyDescent="0.25">
      <c r="B3046" s="1365" t="s">
        <v>7248</v>
      </c>
      <c r="C3046" s="1013" t="s">
        <v>4405</v>
      </c>
      <c r="D3046" s="1013" t="s">
        <v>4406</v>
      </c>
      <c r="E3046" s="1014">
        <v>8738</v>
      </c>
      <c r="F3046" s="1013" t="s">
        <v>1076</v>
      </c>
      <c r="G3046" s="1014" t="s">
        <v>266</v>
      </c>
      <c r="H3046" s="1015">
        <v>379853</v>
      </c>
      <c r="I3046" s="1016" t="s">
        <v>6899</v>
      </c>
    </row>
    <row r="3047" spans="2:9" ht="15.75" x14ac:dyDescent="0.25">
      <c r="B3047" s="1365" t="s">
        <v>7248</v>
      </c>
      <c r="C3047" s="1013" t="s">
        <v>4405</v>
      </c>
      <c r="D3047" s="1013" t="s">
        <v>4406</v>
      </c>
      <c r="E3047" s="1014">
        <v>8739</v>
      </c>
      <c r="F3047" s="1013" t="s">
        <v>1077</v>
      </c>
      <c r="G3047" s="1014" t="s">
        <v>13</v>
      </c>
      <c r="H3047" s="1015">
        <v>153381</v>
      </c>
      <c r="I3047" s="1016" t="s">
        <v>4398</v>
      </c>
    </row>
    <row r="3048" spans="2:9" ht="15.75" x14ac:dyDescent="0.25">
      <c r="B3048" s="1365" t="s">
        <v>7248</v>
      </c>
      <c r="C3048" s="1013" t="s">
        <v>4405</v>
      </c>
      <c r="D3048" s="1013" t="s">
        <v>4406</v>
      </c>
      <c r="E3048" s="1014">
        <v>8740</v>
      </c>
      <c r="F3048" s="1013" t="s">
        <v>1078</v>
      </c>
      <c r="G3048" s="1014" t="s">
        <v>13</v>
      </c>
      <c r="H3048" s="1015">
        <v>321455</v>
      </c>
      <c r="I3048" s="1016" t="s">
        <v>4398</v>
      </c>
    </row>
    <row r="3049" spans="2:9" ht="15.75" x14ac:dyDescent="0.25">
      <c r="B3049" s="1365" t="s">
        <v>7248</v>
      </c>
      <c r="C3049" s="1013" t="s">
        <v>4405</v>
      </c>
      <c r="D3049" s="1013" t="s">
        <v>4406</v>
      </c>
      <c r="E3049" s="1014">
        <v>8741</v>
      </c>
      <c r="F3049" s="1013" t="s">
        <v>1079</v>
      </c>
      <c r="G3049" s="1014" t="s">
        <v>13</v>
      </c>
      <c r="H3049" s="1015">
        <v>97098</v>
      </c>
      <c r="I3049" s="1016" t="s">
        <v>4398</v>
      </c>
    </row>
    <row r="3050" spans="2:9" ht="15.75" x14ac:dyDescent="0.25">
      <c r="B3050" s="1365" t="s">
        <v>7248</v>
      </c>
      <c r="C3050" s="1013" t="s">
        <v>4405</v>
      </c>
      <c r="D3050" s="1013" t="s">
        <v>4406</v>
      </c>
      <c r="E3050" s="1014">
        <v>8742</v>
      </c>
      <c r="F3050" s="1013" t="s">
        <v>1080</v>
      </c>
      <c r="G3050" s="1014" t="s">
        <v>13</v>
      </c>
      <c r="H3050" s="1015">
        <v>229850</v>
      </c>
      <c r="I3050" s="1016" t="s">
        <v>4398</v>
      </c>
    </row>
    <row r="3051" spans="2:9" ht="15.75" x14ac:dyDescent="0.25">
      <c r="B3051" s="1365" t="s">
        <v>7248</v>
      </c>
      <c r="C3051" s="1013" t="s">
        <v>4420</v>
      </c>
      <c r="D3051" s="1013" t="s">
        <v>4420</v>
      </c>
      <c r="E3051" s="1014">
        <v>8743</v>
      </c>
      <c r="F3051" s="1013" t="s">
        <v>1081</v>
      </c>
      <c r="G3051" s="1014" t="s">
        <v>266</v>
      </c>
      <c r="H3051" s="1015">
        <v>5048631</v>
      </c>
      <c r="I3051" s="1016" t="s">
        <v>6899</v>
      </c>
    </row>
    <row r="3052" spans="2:9" ht="15.75" x14ac:dyDescent="0.25">
      <c r="B3052" s="1365" t="s">
        <v>7248</v>
      </c>
      <c r="C3052" s="1013" t="s">
        <v>4461</v>
      </c>
      <c r="D3052" s="1013" t="s">
        <v>4461</v>
      </c>
      <c r="E3052" s="1014">
        <v>8744</v>
      </c>
      <c r="F3052" s="1013" t="s">
        <v>1082</v>
      </c>
      <c r="G3052" s="1014" t="s">
        <v>266</v>
      </c>
      <c r="H3052" s="1015">
        <v>2571846</v>
      </c>
      <c r="I3052" s="1016" t="s">
        <v>4398</v>
      </c>
    </row>
    <row r="3053" spans="2:9" ht="15.75" x14ac:dyDescent="0.25">
      <c r="B3053" s="1365" t="s">
        <v>7248</v>
      </c>
      <c r="C3053" s="1013" t="s">
        <v>4431</v>
      </c>
      <c r="D3053" s="1013" t="s">
        <v>5094</v>
      </c>
      <c r="E3053" s="1014">
        <v>8745</v>
      </c>
      <c r="F3053" s="1013" t="s">
        <v>1083</v>
      </c>
      <c r="G3053" s="1014" t="s">
        <v>266</v>
      </c>
      <c r="H3053" s="1015">
        <v>3723850</v>
      </c>
      <c r="I3053" s="1016" t="s">
        <v>6899</v>
      </c>
    </row>
    <row r="3054" spans="2:9" ht="15.75" x14ac:dyDescent="0.25">
      <c r="B3054" s="1365" t="s">
        <v>7248</v>
      </c>
      <c r="C3054" s="1013" t="s">
        <v>4431</v>
      </c>
      <c r="D3054" s="1013" t="s">
        <v>5094</v>
      </c>
      <c r="E3054" s="1014">
        <v>8746</v>
      </c>
      <c r="F3054" s="1013" t="s">
        <v>1084</v>
      </c>
      <c r="G3054" s="1014" t="s">
        <v>266</v>
      </c>
      <c r="H3054" s="1015">
        <v>1206586</v>
      </c>
      <c r="I3054" s="1016" t="s">
        <v>6899</v>
      </c>
    </row>
    <row r="3055" spans="2:9" ht="15.75" x14ac:dyDescent="0.25">
      <c r="B3055" s="1365" t="s">
        <v>7248</v>
      </c>
      <c r="C3055" s="1013" t="s">
        <v>4431</v>
      </c>
      <c r="D3055" s="1013" t="s">
        <v>5094</v>
      </c>
      <c r="E3055" s="1014">
        <v>8747</v>
      </c>
      <c r="F3055" s="1013" t="s">
        <v>1085</v>
      </c>
      <c r="G3055" s="1014" t="s">
        <v>266</v>
      </c>
      <c r="H3055" s="1015">
        <v>768817</v>
      </c>
      <c r="I3055" s="1016" t="s">
        <v>6899</v>
      </c>
    </row>
    <row r="3056" spans="2:9" ht="15.75" x14ac:dyDescent="0.25">
      <c r="B3056" s="1365" t="s">
        <v>7248</v>
      </c>
      <c r="C3056" s="1013" t="s">
        <v>4420</v>
      </c>
      <c r="D3056" s="1013" t="s">
        <v>4420</v>
      </c>
      <c r="E3056" s="1014">
        <v>8748</v>
      </c>
      <c r="F3056" s="1013" t="s">
        <v>1086</v>
      </c>
      <c r="G3056" s="1014" t="s">
        <v>266</v>
      </c>
      <c r="H3056" s="1015">
        <v>1043896</v>
      </c>
      <c r="I3056" s="1016" t="s">
        <v>4398</v>
      </c>
    </row>
    <row r="3057" spans="2:9" ht="15.75" x14ac:dyDescent="0.25">
      <c r="B3057" s="1365" t="s">
        <v>7248</v>
      </c>
      <c r="C3057" s="1013" t="s">
        <v>4420</v>
      </c>
      <c r="D3057" s="1013" t="s">
        <v>4420</v>
      </c>
      <c r="E3057" s="1014">
        <v>8749</v>
      </c>
      <c r="F3057" s="1013" t="s">
        <v>1087</v>
      </c>
      <c r="G3057" s="1014" t="s">
        <v>266</v>
      </c>
      <c r="H3057" s="1015">
        <v>211960</v>
      </c>
      <c r="I3057" s="1016" t="s">
        <v>4398</v>
      </c>
    </row>
    <row r="3058" spans="2:9" ht="15.75" x14ac:dyDescent="0.25">
      <c r="B3058" s="1365" t="s">
        <v>7248</v>
      </c>
      <c r="C3058" s="1013" t="s">
        <v>4461</v>
      </c>
      <c r="D3058" s="1013" t="s">
        <v>4461</v>
      </c>
      <c r="E3058" s="1014">
        <v>8750</v>
      </c>
      <c r="F3058" s="1013" t="s">
        <v>1088</v>
      </c>
      <c r="G3058" s="1014" t="s">
        <v>266</v>
      </c>
      <c r="H3058" s="1015">
        <v>1183589</v>
      </c>
      <c r="I3058" s="1016" t="s">
        <v>4398</v>
      </c>
    </row>
    <row r="3059" spans="2:9" ht="15.75" x14ac:dyDescent="0.25">
      <c r="B3059" s="1365" t="s">
        <v>7248</v>
      </c>
      <c r="C3059" s="1013" t="s">
        <v>5477</v>
      </c>
      <c r="D3059" s="1013" t="s">
        <v>6314</v>
      </c>
      <c r="E3059" s="1014">
        <v>8753</v>
      </c>
      <c r="F3059" s="1013" t="s">
        <v>6757</v>
      </c>
      <c r="G3059" s="1014" t="s">
        <v>266</v>
      </c>
      <c r="H3059" s="1015">
        <v>161729</v>
      </c>
      <c r="I3059" s="1016" t="s">
        <v>4398</v>
      </c>
    </row>
    <row r="3060" spans="2:9" ht="15.75" x14ac:dyDescent="0.25">
      <c r="B3060" s="1365" t="s">
        <v>7248</v>
      </c>
      <c r="C3060" s="1013" t="s">
        <v>5477</v>
      </c>
      <c r="D3060" s="1013" t="s">
        <v>6314</v>
      </c>
      <c r="E3060" s="1014">
        <v>8754</v>
      </c>
      <c r="F3060" s="1013" t="s">
        <v>1089</v>
      </c>
      <c r="G3060" s="1014" t="s">
        <v>266</v>
      </c>
      <c r="H3060" s="1015">
        <v>76609</v>
      </c>
      <c r="I3060" s="1016" t="s">
        <v>4398</v>
      </c>
    </row>
    <row r="3061" spans="2:9" ht="15.75" x14ac:dyDescent="0.25">
      <c r="B3061" s="1365" t="s">
        <v>7248</v>
      </c>
      <c r="C3061" s="1013" t="s">
        <v>5477</v>
      </c>
      <c r="D3061" s="1013" t="s">
        <v>6314</v>
      </c>
      <c r="E3061" s="1014">
        <v>8755</v>
      </c>
      <c r="F3061" s="1013" t="s">
        <v>1090</v>
      </c>
      <c r="G3061" s="1014" t="s">
        <v>266</v>
      </c>
      <c r="H3061" s="1015">
        <v>19598</v>
      </c>
      <c r="I3061" s="1016" t="s">
        <v>6899</v>
      </c>
    </row>
    <row r="3062" spans="2:9" ht="15.75" x14ac:dyDescent="0.25">
      <c r="B3062" s="1365" t="s">
        <v>7248</v>
      </c>
      <c r="C3062" s="1013" t="s">
        <v>5477</v>
      </c>
      <c r="D3062" s="1013" t="s">
        <v>6314</v>
      </c>
      <c r="E3062" s="1014">
        <v>8756</v>
      </c>
      <c r="F3062" s="1013" t="s">
        <v>1091</v>
      </c>
      <c r="G3062" s="1014" t="s">
        <v>266</v>
      </c>
      <c r="H3062" s="1015">
        <v>19598</v>
      </c>
      <c r="I3062" s="1016" t="s">
        <v>6899</v>
      </c>
    </row>
    <row r="3063" spans="2:9" ht="15.75" x14ac:dyDescent="0.25">
      <c r="B3063" s="1365" t="s">
        <v>7266</v>
      </c>
      <c r="C3063" s="1013" t="s">
        <v>6319</v>
      </c>
      <c r="D3063" s="1013" t="s">
        <v>6319</v>
      </c>
      <c r="E3063" s="1014">
        <v>8764</v>
      </c>
      <c r="F3063" s="1013" t="s">
        <v>1092</v>
      </c>
      <c r="G3063" s="1014" t="s">
        <v>546</v>
      </c>
      <c r="H3063" s="1015">
        <v>4443</v>
      </c>
      <c r="I3063" s="1016" t="s">
        <v>6899</v>
      </c>
    </row>
    <row r="3064" spans="2:9" ht="15.75" x14ac:dyDescent="0.25">
      <c r="B3064" s="1365" t="s">
        <v>7266</v>
      </c>
      <c r="C3064" s="1013" t="s">
        <v>6319</v>
      </c>
      <c r="D3064" s="1013" t="s">
        <v>6319</v>
      </c>
      <c r="E3064" s="1014">
        <v>8765</v>
      </c>
      <c r="F3064" s="1013" t="s">
        <v>1093</v>
      </c>
      <c r="G3064" s="1014" t="s">
        <v>546</v>
      </c>
      <c r="H3064" s="1015">
        <v>7493</v>
      </c>
      <c r="I3064" s="1016" t="s">
        <v>6899</v>
      </c>
    </row>
    <row r="3065" spans="2:9" ht="15.75" x14ac:dyDescent="0.25">
      <c r="B3065" s="1365" t="s">
        <v>7266</v>
      </c>
      <c r="C3065" s="1013" t="s">
        <v>6319</v>
      </c>
      <c r="D3065" s="1013" t="s">
        <v>6319</v>
      </c>
      <c r="E3065" s="1014">
        <v>8766</v>
      </c>
      <c r="F3065" s="1013" t="s">
        <v>1094</v>
      </c>
      <c r="G3065" s="1014" t="s">
        <v>546</v>
      </c>
      <c r="H3065" s="1015">
        <v>5858</v>
      </c>
      <c r="I3065" s="1016" t="s">
        <v>6899</v>
      </c>
    </row>
    <row r="3066" spans="2:9" ht="15.75" x14ac:dyDescent="0.25">
      <c r="B3066" s="1365" t="s">
        <v>7266</v>
      </c>
      <c r="C3066" s="1013" t="s">
        <v>6319</v>
      </c>
      <c r="D3066" s="1013" t="s">
        <v>6319</v>
      </c>
      <c r="E3066" s="1014">
        <v>8768</v>
      </c>
      <c r="F3066" s="1013" t="s">
        <v>1095</v>
      </c>
      <c r="G3066" s="1014" t="s">
        <v>546</v>
      </c>
      <c r="H3066" s="1015">
        <v>82500</v>
      </c>
      <c r="I3066" s="1016" t="s">
        <v>6899</v>
      </c>
    </row>
    <row r="3067" spans="2:9" ht="15.75" x14ac:dyDescent="0.25">
      <c r="B3067" s="1365" t="s">
        <v>7266</v>
      </c>
      <c r="C3067" s="1013" t="s">
        <v>6319</v>
      </c>
      <c r="D3067" s="1013" t="s">
        <v>6319</v>
      </c>
      <c r="E3067" s="1014">
        <v>8771</v>
      </c>
      <c r="F3067" s="1013" t="s">
        <v>1096</v>
      </c>
      <c r="G3067" s="1014" t="s">
        <v>546</v>
      </c>
      <c r="H3067" s="1015">
        <v>11250</v>
      </c>
      <c r="I3067" s="1016" t="s">
        <v>3538</v>
      </c>
    </row>
    <row r="3068" spans="2:9" ht="15.75" x14ac:dyDescent="0.25">
      <c r="B3068" s="1365" t="s">
        <v>7266</v>
      </c>
      <c r="C3068" s="1013" t="s">
        <v>6319</v>
      </c>
      <c r="D3068" s="1013" t="s">
        <v>6319</v>
      </c>
      <c r="E3068" s="1014">
        <v>8772</v>
      </c>
      <c r="F3068" s="1013" t="s">
        <v>1097</v>
      </c>
      <c r="G3068" s="1014" t="s">
        <v>546</v>
      </c>
      <c r="H3068" s="1015">
        <v>7493</v>
      </c>
      <c r="I3068" s="1016" t="s">
        <v>3538</v>
      </c>
    </row>
    <row r="3069" spans="2:9" ht="15.75" x14ac:dyDescent="0.25">
      <c r="B3069" s="1365" t="s">
        <v>7266</v>
      </c>
      <c r="C3069" s="1013" t="s">
        <v>6319</v>
      </c>
      <c r="D3069" s="1013" t="s">
        <v>6319</v>
      </c>
      <c r="E3069" s="1014">
        <v>8773</v>
      </c>
      <c r="F3069" s="1013" t="s">
        <v>1098</v>
      </c>
      <c r="G3069" s="1014" t="s">
        <v>546</v>
      </c>
      <c r="H3069" s="1015">
        <v>752554</v>
      </c>
      <c r="I3069" s="1016" t="s">
        <v>6899</v>
      </c>
    </row>
    <row r="3070" spans="2:9" ht="15.75" x14ac:dyDescent="0.25">
      <c r="B3070" s="1365" t="s">
        <v>7266</v>
      </c>
      <c r="C3070" s="1013" t="s">
        <v>6319</v>
      </c>
      <c r="D3070" s="1013" t="s">
        <v>6319</v>
      </c>
      <c r="E3070" s="1014">
        <v>8774</v>
      </c>
      <c r="F3070" s="1013" t="s">
        <v>1099</v>
      </c>
      <c r="G3070" s="1014" t="s">
        <v>546</v>
      </c>
      <c r="H3070" s="1015">
        <v>550054</v>
      </c>
      <c r="I3070" s="1016" t="s">
        <v>6899</v>
      </c>
    </row>
    <row r="3071" spans="2:9" ht="15.75" x14ac:dyDescent="0.25">
      <c r="B3071" s="1365" t="s">
        <v>7266</v>
      </c>
      <c r="C3071" s="1013" t="s">
        <v>6319</v>
      </c>
      <c r="D3071" s="1013" t="s">
        <v>6319</v>
      </c>
      <c r="E3071" s="1014">
        <v>8775</v>
      </c>
      <c r="F3071" s="1013" t="s">
        <v>1100</v>
      </c>
      <c r="G3071" s="1014" t="s">
        <v>546</v>
      </c>
      <c r="H3071" s="1015">
        <v>52696</v>
      </c>
      <c r="I3071" s="1016" t="s">
        <v>6899</v>
      </c>
    </row>
    <row r="3072" spans="2:9" ht="15.75" x14ac:dyDescent="0.25">
      <c r="B3072" s="1365" t="s">
        <v>7248</v>
      </c>
      <c r="C3072" s="1013" t="s">
        <v>4417</v>
      </c>
      <c r="D3072" s="1013" t="s">
        <v>4438</v>
      </c>
      <c r="E3072" s="1014">
        <v>8776</v>
      </c>
      <c r="F3072" s="1013" t="s">
        <v>1101</v>
      </c>
      <c r="G3072" s="1014" t="s">
        <v>13</v>
      </c>
      <c r="H3072" s="1015">
        <v>30615</v>
      </c>
      <c r="I3072" s="1016" t="s">
        <v>6899</v>
      </c>
    </row>
    <row r="3073" spans="2:9" ht="15.75" x14ac:dyDescent="0.25">
      <c r="B3073" s="1365" t="s">
        <v>7248</v>
      </c>
      <c r="C3073" s="1013" t="s">
        <v>4451</v>
      </c>
      <c r="D3073" s="1013" t="s">
        <v>4452</v>
      </c>
      <c r="E3073" s="1014">
        <v>8779</v>
      </c>
      <c r="F3073" s="1013" t="s">
        <v>1102</v>
      </c>
      <c r="G3073" s="1014" t="s">
        <v>12</v>
      </c>
      <c r="H3073" s="1015">
        <v>3094</v>
      </c>
      <c r="I3073" s="1016" t="s">
        <v>4398</v>
      </c>
    </row>
    <row r="3074" spans="2:9" ht="15.75" x14ac:dyDescent="0.25">
      <c r="B3074" s="1365" t="s">
        <v>7248</v>
      </c>
      <c r="C3074" s="1013" t="s">
        <v>4451</v>
      </c>
      <c r="D3074" s="1013" t="s">
        <v>4452</v>
      </c>
      <c r="E3074" s="1014">
        <v>8780</v>
      </c>
      <c r="F3074" s="1013" t="s">
        <v>1103</v>
      </c>
      <c r="G3074" s="1014" t="s">
        <v>3</v>
      </c>
      <c r="H3074" s="1015">
        <v>93927</v>
      </c>
      <c r="I3074" s="1016" t="s">
        <v>6899</v>
      </c>
    </row>
    <row r="3075" spans="2:9" ht="15.75" x14ac:dyDescent="0.25">
      <c r="B3075" s="1365" t="s">
        <v>7248</v>
      </c>
      <c r="C3075" s="1013" t="s">
        <v>4461</v>
      </c>
      <c r="D3075" s="1013" t="s">
        <v>4461</v>
      </c>
      <c r="E3075" s="1014">
        <v>8781</v>
      </c>
      <c r="F3075" s="1013" t="s">
        <v>1104</v>
      </c>
      <c r="G3075" s="1014" t="s">
        <v>266</v>
      </c>
      <c r="H3075" s="1015">
        <v>2839442</v>
      </c>
      <c r="I3075" s="1016" t="s">
        <v>4398</v>
      </c>
    </row>
    <row r="3076" spans="2:9" ht="15.75" x14ac:dyDescent="0.25">
      <c r="B3076" s="1365" t="s">
        <v>7248</v>
      </c>
      <c r="C3076" s="1013" t="s">
        <v>4461</v>
      </c>
      <c r="D3076" s="1013" t="s">
        <v>4461</v>
      </c>
      <c r="E3076" s="1014">
        <v>8782</v>
      </c>
      <c r="F3076" s="1013" t="s">
        <v>1105</v>
      </c>
      <c r="G3076" s="1014" t="s">
        <v>266</v>
      </c>
      <c r="H3076" s="1015">
        <v>141330</v>
      </c>
      <c r="I3076" s="1016" t="s">
        <v>4398</v>
      </c>
    </row>
    <row r="3077" spans="2:9" ht="15.75" x14ac:dyDescent="0.25">
      <c r="B3077" s="1365" t="s">
        <v>7248</v>
      </c>
      <c r="C3077" s="1013" t="s">
        <v>4461</v>
      </c>
      <c r="D3077" s="1013" t="s">
        <v>4461</v>
      </c>
      <c r="E3077" s="1014">
        <v>8785</v>
      </c>
      <c r="F3077" s="1013" t="s">
        <v>1106</v>
      </c>
      <c r="G3077" s="1014" t="s">
        <v>266</v>
      </c>
      <c r="H3077" s="1015">
        <v>531928</v>
      </c>
      <c r="I3077" s="1016" t="s">
        <v>4398</v>
      </c>
    </row>
    <row r="3078" spans="2:9" ht="15.75" x14ac:dyDescent="0.25">
      <c r="B3078" s="1365" t="s">
        <v>7248</v>
      </c>
      <c r="C3078" s="1013" t="s">
        <v>4461</v>
      </c>
      <c r="D3078" s="1013" t="s">
        <v>4461</v>
      </c>
      <c r="E3078" s="1014">
        <v>8786</v>
      </c>
      <c r="F3078" s="1013" t="s">
        <v>6758</v>
      </c>
      <c r="G3078" s="1014" t="s">
        <v>266</v>
      </c>
      <c r="H3078" s="1015">
        <v>982957</v>
      </c>
      <c r="I3078" s="1016" t="s">
        <v>4398</v>
      </c>
    </row>
    <row r="3079" spans="2:9" ht="15.75" x14ac:dyDescent="0.25">
      <c r="B3079" s="1365" t="s">
        <v>7248</v>
      </c>
      <c r="C3079" s="1013" t="s">
        <v>4461</v>
      </c>
      <c r="D3079" s="1013" t="s">
        <v>4461</v>
      </c>
      <c r="E3079" s="1014">
        <v>8787</v>
      </c>
      <c r="F3079" s="1013" t="s">
        <v>1107</v>
      </c>
      <c r="G3079" s="1014" t="s">
        <v>266</v>
      </c>
      <c r="H3079" s="1015">
        <v>2655466</v>
      </c>
      <c r="I3079" s="1016" t="s">
        <v>4398</v>
      </c>
    </row>
    <row r="3080" spans="2:9" ht="15.75" x14ac:dyDescent="0.25">
      <c r="B3080" s="1365" t="s">
        <v>7248</v>
      </c>
      <c r="C3080" s="1013" t="s">
        <v>4461</v>
      </c>
      <c r="D3080" s="1013" t="s">
        <v>4461</v>
      </c>
      <c r="E3080" s="1014">
        <v>8788</v>
      </c>
      <c r="F3080" s="1013" t="s">
        <v>1108</v>
      </c>
      <c r="G3080" s="1014" t="s">
        <v>266</v>
      </c>
      <c r="H3080" s="1015">
        <v>2655466</v>
      </c>
      <c r="I3080" s="1016" t="s">
        <v>4398</v>
      </c>
    </row>
    <row r="3081" spans="2:9" ht="15.75" x14ac:dyDescent="0.25">
      <c r="B3081" s="1365" t="s">
        <v>7248</v>
      </c>
      <c r="C3081" s="1013" t="s">
        <v>4451</v>
      </c>
      <c r="D3081" s="1013" t="s">
        <v>4452</v>
      </c>
      <c r="E3081" s="1014">
        <v>8789</v>
      </c>
      <c r="F3081" s="1013" t="s">
        <v>1109</v>
      </c>
      <c r="G3081" s="1014" t="s">
        <v>3</v>
      </c>
      <c r="H3081" s="1015">
        <v>11302330</v>
      </c>
      <c r="I3081" s="1016" t="s">
        <v>6899</v>
      </c>
    </row>
    <row r="3082" spans="2:9" ht="15.75" x14ac:dyDescent="0.25">
      <c r="B3082" s="1365" t="s">
        <v>7248</v>
      </c>
      <c r="C3082" s="1013" t="s">
        <v>4799</v>
      </c>
      <c r="D3082" s="1013" t="s">
        <v>5199</v>
      </c>
      <c r="E3082" s="1014">
        <v>8791</v>
      </c>
      <c r="F3082" s="1013" t="s">
        <v>1110</v>
      </c>
      <c r="G3082" s="1014" t="s">
        <v>13</v>
      </c>
      <c r="H3082" s="1015">
        <v>853372</v>
      </c>
      <c r="I3082" s="1016" t="s">
        <v>4398</v>
      </c>
    </row>
    <row r="3083" spans="2:9" ht="15.75" x14ac:dyDescent="0.25">
      <c r="B3083" s="1365" t="s">
        <v>7248</v>
      </c>
      <c r="C3083" s="1013" t="s">
        <v>4420</v>
      </c>
      <c r="D3083" s="1013" t="s">
        <v>4420</v>
      </c>
      <c r="E3083" s="1014">
        <v>8792</v>
      </c>
      <c r="F3083" s="1013" t="s">
        <v>1111</v>
      </c>
      <c r="G3083" s="1014" t="s">
        <v>13</v>
      </c>
      <c r="H3083" s="1015">
        <v>199619</v>
      </c>
      <c r="I3083" s="1016" t="s">
        <v>6899</v>
      </c>
    </row>
    <row r="3084" spans="2:9" ht="15.75" x14ac:dyDescent="0.25">
      <c r="B3084" s="1365" t="s">
        <v>7248</v>
      </c>
      <c r="C3084" s="1013" t="s">
        <v>4420</v>
      </c>
      <c r="D3084" s="1013" t="s">
        <v>4420</v>
      </c>
      <c r="E3084" s="1014">
        <v>8793</v>
      </c>
      <c r="F3084" s="1013" t="s">
        <v>1112</v>
      </c>
      <c r="G3084" s="1014" t="s">
        <v>266</v>
      </c>
      <c r="H3084" s="1015">
        <v>217495</v>
      </c>
      <c r="I3084" s="1016" t="s">
        <v>6899</v>
      </c>
    </row>
    <row r="3085" spans="2:9" ht="15.75" x14ac:dyDescent="0.25">
      <c r="B3085" s="1365" t="s">
        <v>7248</v>
      </c>
      <c r="C3085" s="1013" t="s">
        <v>4420</v>
      </c>
      <c r="D3085" s="1013" t="s">
        <v>4420</v>
      </c>
      <c r="E3085" s="1014">
        <v>8794</v>
      </c>
      <c r="F3085" s="1013" t="s">
        <v>1113</v>
      </c>
      <c r="G3085" s="1014" t="s">
        <v>266</v>
      </c>
      <c r="H3085" s="1015">
        <v>187531</v>
      </c>
      <c r="I3085" s="1016" t="s">
        <v>6899</v>
      </c>
    </row>
    <row r="3086" spans="2:9" ht="15.75" x14ac:dyDescent="0.25">
      <c r="B3086" s="1365" t="s">
        <v>7248</v>
      </c>
      <c r="C3086" s="1013" t="s">
        <v>4461</v>
      </c>
      <c r="D3086" s="1013" t="s">
        <v>4461</v>
      </c>
      <c r="E3086" s="1014">
        <v>8799</v>
      </c>
      <c r="F3086" s="1013" t="s">
        <v>6759</v>
      </c>
      <c r="G3086" s="1014" t="s">
        <v>266</v>
      </c>
      <c r="H3086" s="1015">
        <v>423381</v>
      </c>
      <c r="I3086" s="1016" t="s">
        <v>4398</v>
      </c>
    </row>
    <row r="3087" spans="2:9" ht="15.75" x14ac:dyDescent="0.25">
      <c r="B3087" s="1365" t="s">
        <v>7248</v>
      </c>
      <c r="C3087" s="1013" t="s">
        <v>4468</v>
      </c>
      <c r="D3087" s="1013" t="s">
        <v>4814</v>
      </c>
      <c r="E3087" s="1014">
        <v>8827</v>
      </c>
      <c r="F3087" s="1013" t="s">
        <v>6760</v>
      </c>
      <c r="G3087" s="1014" t="s">
        <v>12</v>
      </c>
      <c r="H3087" s="1015">
        <v>111776</v>
      </c>
      <c r="I3087" s="1016" t="s">
        <v>4398</v>
      </c>
    </row>
    <row r="3088" spans="2:9" ht="15.75" x14ac:dyDescent="0.25">
      <c r="B3088" s="1365" t="s">
        <v>6897</v>
      </c>
      <c r="C3088" s="1013" t="s">
        <v>5946</v>
      </c>
      <c r="D3088" s="1013" t="s">
        <v>5947</v>
      </c>
      <c r="E3088" s="1014">
        <v>8830</v>
      </c>
      <c r="F3088" s="1013" t="s">
        <v>1001</v>
      </c>
      <c r="G3088" s="1014" t="s">
        <v>12</v>
      </c>
      <c r="H3088" s="1015">
        <v>37105</v>
      </c>
      <c r="I3088" s="1016" t="s">
        <v>6899</v>
      </c>
    </row>
    <row r="3089" spans="2:9" ht="15.75" x14ac:dyDescent="0.25">
      <c r="B3089" s="1365" t="s">
        <v>6897</v>
      </c>
      <c r="C3089" s="1013" t="s">
        <v>5946</v>
      </c>
      <c r="D3089" s="1013" t="s">
        <v>5947</v>
      </c>
      <c r="E3089" s="1014">
        <v>8831</v>
      </c>
      <c r="F3089" s="1013" t="s">
        <v>1009</v>
      </c>
      <c r="G3089" s="1014" t="s">
        <v>12</v>
      </c>
      <c r="H3089" s="1015">
        <v>33963</v>
      </c>
      <c r="I3089" s="1016" t="s">
        <v>6899</v>
      </c>
    </row>
    <row r="3090" spans="2:9" ht="15.75" x14ac:dyDescent="0.25">
      <c r="B3090" s="1365" t="s">
        <v>6897</v>
      </c>
      <c r="C3090" s="1013" t="s">
        <v>5946</v>
      </c>
      <c r="D3090" s="1013" t="s">
        <v>5947</v>
      </c>
      <c r="E3090" s="1014">
        <v>8832</v>
      </c>
      <c r="F3090" s="1013" t="s">
        <v>1017</v>
      </c>
      <c r="G3090" s="1014" t="s">
        <v>12</v>
      </c>
      <c r="H3090" s="1015">
        <v>11527</v>
      </c>
      <c r="I3090" s="1016" t="s">
        <v>6899</v>
      </c>
    </row>
    <row r="3091" spans="2:9" ht="15.75" x14ac:dyDescent="0.25">
      <c r="B3091" s="1365" t="s">
        <v>6897</v>
      </c>
      <c r="C3091" s="1013" t="s">
        <v>5946</v>
      </c>
      <c r="D3091" s="1013" t="s">
        <v>5947</v>
      </c>
      <c r="E3091" s="1014">
        <v>8833</v>
      </c>
      <c r="F3091" s="1013" t="s">
        <v>1025</v>
      </c>
      <c r="G3091" s="1014" t="s">
        <v>12</v>
      </c>
      <c r="H3091" s="1015">
        <v>14432</v>
      </c>
      <c r="I3091" s="1016" t="s">
        <v>6899</v>
      </c>
    </row>
    <row r="3092" spans="2:9" ht="15.75" x14ac:dyDescent="0.25">
      <c r="B3092" s="1365" t="s">
        <v>6897</v>
      </c>
      <c r="C3092" s="1013" t="s">
        <v>5946</v>
      </c>
      <c r="D3092" s="1013" t="s">
        <v>5947</v>
      </c>
      <c r="E3092" s="1014">
        <v>8834</v>
      </c>
      <c r="F3092" s="1013" t="s">
        <v>1039</v>
      </c>
      <c r="G3092" s="1014" t="s">
        <v>12</v>
      </c>
      <c r="H3092" s="1015">
        <v>9721</v>
      </c>
      <c r="I3092" s="1016" t="s">
        <v>6899</v>
      </c>
    </row>
    <row r="3093" spans="2:9" ht="15.75" x14ac:dyDescent="0.25">
      <c r="B3093" s="1365" t="s">
        <v>6897</v>
      </c>
      <c r="C3093" s="1013" t="s">
        <v>5946</v>
      </c>
      <c r="D3093" s="1013" t="s">
        <v>5947</v>
      </c>
      <c r="E3093" s="1014">
        <v>8835</v>
      </c>
      <c r="F3093" s="1013" t="s">
        <v>1047</v>
      </c>
      <c r="G3093" s="1014" t="s">
        <v>12</v>
      </c>
      <c r="H3093" s="1015">
        <v>11528</v>
      </c>
      <c r="I3093" s="1016" t="s">
        <v>6899</v>
      </c>
    </row>
    <row r="3094" spans="2:9" ht="15.75" x14ac:dyDescent="0.25">
      <c r="B3094" s="1365" t="s">
        <v>7248</v>
      </c>
      <c r="C3094" s="1013" t="s">
        <v>4420</v>
      </c>
      <c r="D3094" s="1013" t="s">
        <v>4420</v>
      </c>
      <c r="E3094" s="1014">
        <v>8951</v>
      </c>
      <c r="F3094" s="1013" t="s">
        <v>6761</v>
      </c>
      <c r="G3094" s="1014" t="s">
        <v>266</v>
      </c>
      <c r="H3094" s="1015">
        <v>486966</v>
      </c>
      <c r="I3094" s="1016" t="s">
        <v>4398</v>
      </c>
    </row>
    <row r="3095" spans="2:9" ht="15.75" x14ac:dyDescent="0.25">
      <c r="B3095" s="1365" t="s">
        <v>7248</v>
      </c>
      <c r="C3095" s="1013" t="s">
        <v>4468</v>
      </c>
      <c r="D3095" s="1013" t="s">
        <v>1798</v>
      </c>
      <c r="E3095" s="1014">
        <v>8953</v>
      </c>
      <c r="F3095" s="1013" t="s">
        <v>6762</v>
      </c>
      <c r="G3095" s="1014" t="s">
        <v>13</v>
      </c>
      <c r="H3095" s="1015">
        <v>587248</v>
      </c>
      <c r="I3095" s="1016" t="s">
        <v>6899</v>
      </c>
    </row>
    <row r="3096" spans="2:9" ht="15.75" x14ac:dyDescent="0.25">
      <c r="B3096" s="1365" t="s">
        <v>7248</v>
      </c>
      <c r="C3096" s="1013" t="s">
        <v>4468</v>
      </c>
      <c r="D3096" s="1013" t="s">
        <v>1798</v>
      </c>
      <c r="E3096" s="1014">
        <v>8955</v>
      </c>
      <c r="F3096" s="1013" t="s">
        <v>6763</v>
      </c>
      <c r="G3096" s="1014" t="s">
        <v>13</v>
      </c>
      <c r="H3096" s="1015">
        <v>562990</v>
      </c>
      <c r="I3096" s="1016" t="s">
        <v>6899</v>
      </c>
    </row>
    <row r="3097" spans="2:9" ht="15.75" x14ac:dyDescent="0.25">
      <c r="B3097" s="1365" t="s">
        <v>7248</v>
      </c>
      <c r="C3097" s="1013" t="s">
        <v>4417</v>
      </c>
      <c r="D3097" s="1013" t="s">
        <v>4438</v>
      </c>
      <c r="E3097" s="1014">
        <v>8958</v>
      </c>
      <c r="F3097" s="1013" t="s">
        <v>6764</v>
      </c>
      <c r="G3097" s="1014" t="s">
        <v>12</v>
      </c>
      <c r="H3097" s="1015">
        <v>109761</v>
      </c>
      <c r="I3097" s="1016" t="s">
        <v>6899</v>
      </c>
    </row>
    <row r="3098" spans="2:9" ht="15.75" x14ac:dyDescent="0.25">
      <c r="B3098" s="1365" t="s">
        <v>7248</v>
      </c>
      <c r="C3098" s="1013" t="s">
        <v>6319</v>
      </c>
      <c r="D3098" s="1013" t="s">
        <v>6319</v>
      </c>
      <c r="E3098" s="1014">
        <v>8960</v>
      </c>
      <c r="F3098" s="1013" t="s">
        <v>6765</v>
      </c>
      <c r="G3098" s="1014" t="s">
        <v>546</v>
      </c>
      <c r="H3098" s="1015">
        <v>74591</v>
      </c>
      <c r="I3098" s="1016" t="s">
        <v>6899</v>
      </c>
    </row>
    <row r="3099" spans="2:9" ht="15.75" x14ac:dyDescent="0.25">
      <c r="B3099" s="1365" t="s">
        <v>7248</v>
      </c>
      <c r="C3099" s="1013" t="s">
        <v>6319</v>
      </c>
      <c r="D3099" s="1013" t="s">
        <v>6319</v>
      </c>
      <c r="E3099" s="1014">
        <v>8961</v>
      </c>
      <c r="F3099" s="1013" t="s">
        <v>6766</v>
      </c>
      <c r="G3099" s="1014" t="s">
        <v>546</v>
      </c>
      <c r="H3099" s="1015">
        <v>74862</v>
      </c>
      <c r="I3099" s="1016" t="s">
        <v>6899</v>
      </c>
    </row>
    <row r="3100" spans="2:9" ht="15.75" x14ac:dyDescent="0.25">
      <c r="B3100" s="1365" t="s">
        <v>7248</v>
      </c>
      <c r="C3100" s="1013" t="s">
        <v>6319</v>
      </c>
      <c r="D3100" s="1013" t="s">
        <v>6319</v>
      </c>
      <c r="E3100" s="1014">
        <v>8962</v>
      </c>
      <c r="F3100" s="1013" t="s">
        <v>6767</v>
      </c>
      <c r="G3100" s="1014" t="s">
        <v>546</v>
      </c>
      <c r="H3100" s="1015">
        <v>6995</v>
      </c>
      <c r="I3100" s="1016" t="s">
        <v>6899</v>
      </c>
    </row>
    <row r="3101" spans="2:9" ht="15.75" x14ac:dyDescent="0.25">
      <c r="B3101" s="1365" t="s">
        <v>7248</v>
      </c>
      <c r="C3101" s="1013" t="s">
        <v>6319</v>
      </c>
      <c r="D3101" s="1013" t="s">
        <v>6319</v>
      </c>
      <c r="E3101" s="1014">
        <v>8963</v>
      </c>
      <c r="F3101" s="1013" t="s">
        <v>6768</v>
      </c>
      <c r="G3101" s="1014" t="s">
        <v>546</v>
      </c>
      <c r="H3101" s="1015">
        <v>4443</v>
      </c>
      <c r="I3101" s="1016" t="s">
        <v>6899</v>
      </c>
    </row>
    <row r="3102" spans="2:9" ht="15.75" x14ac:dyDescent="0.25">
      <c r="B3102" s="1365" t="s">
        <v>7248</v>
      </c>
      <c r="C3102" s="1013" t="s">
        <v>6319</v>
      </c>
      <c r="D3102" s="1013" t="s">
        <v>6319</v>
      </c>
      <c r="E3102" s="1014">
        <v>8964</v>
      </c>
      <c r="F3102" s="1013" t="s">
        <v>6769</v>
      </c>
      <c r="G3102" s="1014" t="s">
        <v>546</v>
      </c>
      <c r="H3102" s="1015">
        <v>625360</v>
      </c>
      <c r="I3102" s="1016" t="s">
        <v>6899</v>
      </c>
    </row>
    <row r="3103" spans="2:9" ht="15.75" x14ac:dyDescent="0.25">
      <c r="B3103" s="1365" t="s">
        <v>7248</v>
      </c>
      <c r="C3103" s="1013" t="s">
        <v>6319</v>
      </c>
      <c r="D3103" s="1013" t="s">
        <v>6319</v>
      </c>
      <c r="E3103" s="1014">
        <v>8965</v>
      </c>
      <c r="F3103" s="1013" t="s">
        <v>4210</v>
      </c>
      <c r="G3103" s="1014" t="s">
        <v>3</v>
      </c>
      <c r="H3103" s="1015">
        <v>371137</v>
      </c>
      <c r="I3103" s="1016" t="s">
        <v>6899</v>
      </c>
    </row>
    <row r="3104" spans="2:9" ht="15.75" x14ac:dyDescent="0.25">
      <c r="B3104" s="1365" t="s">
        <v>7248</v>
      </c>
      <c r="C3104" s="1013" t="s">
        <v>6319</v>
      </c>
      <c r="D3104" s="1013" t="s">
        <v>6319</v>
      </c>
      <c r="E3104" s="1014">
        <v>8966</v>
      </c>
      <c r="F3104" s="1013" t="s">
        <v>6770</v>
      </c>
      <c r="G3104" s="1014" t="s">
        <v>546</v>
      </c>
      <c r="H3104" s="1015">
        <v>29093</v>
      </c>
      <c r="I3104" s="1016" t="s">
        <v>6899</v>
      </c>
    </row>
    <row r="3105" spans="2:9" ht="15.75" x14ac:dyDescent="0.25">
      <c r="B3105" s="1365" t="s">
        <v>7248</v>
      </c>
      <c r="C3105" s="1013" t="s">
        <v>4461</v>
      </c>
      <c r="D3105" s="1013" t="s">
        <v>4461</v>
      </c>
      <c r="E3105" s="1014">
        <v>8970</v>
      </c>
      <c r="F3105" s="1013" t="s">
        <v>6771</v>
      </c>
      <c r="G3105" s="1014" t="s">
        <v>266</v>
      </c>
      <c r="H3105" s="1015">
        <v>299742</v>
      </c>
      <c r="I3105" s="1016" t="s">
        <v>4398</v>
      </c>
    </row>
    <row r="3106" spans="2:9" ht="15.75" x14ac:dyDescent="0.25">
      <c r="B3106" s="1365" t="s">
        <v>7248</v>
      </c>
      <c r="C3106" s="1013" t="s">
        <v>4799</v>
      </c>
      <c r="D3106" s="1013" t="s">
        <v>5876</v>
      </c>
      <c r="E3106" s="1014">
        <v>8972</v>
      </c>
      <c r="F3106" s="1013" t="s">
        <v>6772</v>
      </c>
      <c r="G3106" s="1014" t="s">
        <v>202</v>
      </c>
      <c r="H3106" s="1015">
        <v>251285</v>
      </c>
      <c r="I3106" s="1016" t="s">
        <v>3538</v>
      </c>
    </row>
    <row r="3107" spans="2:9" ht="15.75" x14ac:dyDescent="0.25">
      <c r="B3107" s="1365" t="s">
        <v>7267</v>
      </c>
      <c r="C3107" s="1013" t="s">
        <v>4405</v>
      </c>
      <c r="D3107" s="1013" t="s">
        <v>4406</v>
      </c>
      <c r="E3107" s="1014">
        <v>9030</v>
      </c>
      <c r="F3107" s="1013" t="s">
        <v>6773</v>
      </c>
      <c r="G3107" s="1014" t="s">
        <v>266</v>
      </c>
      <c r="H3107" s="1015">
        <v>979396</v>
      </c>
      <c r="I3107" s="1016" t="s">
        <v>6899</v>
      </c>
    </row>
    <row r="3108" spans="2:9" ht="15.75" x14ac:dyDescent="0.25">
      <c r="B3108" s="1365" t="s">
        <v>7267</v>
      </c>
      <c r="C3108" s="1013" t="s">
        <v>4405</v>
      </c>
      <c r="D3108" s="1013" t="s">
        <v>4406</v>
      </c>
      <c r="E3108" s="1014">
        <v>9031</v>
      </c>
      <c r="F3108" s="1013" t="s">
        <v>6774</v>
      </c>
      <c r="G3108" s="1014" t="s">
        <v>266</v>
      </c>
      <c r="H3108" s="1015">
        <v>2120184</v>
      </c>
      <c r="I3108" s="1016" t="s">
        <v>6899</v>
      </c>
    </row>
    <row r="3109" spans="2:9" ht="15.75" x14ac:dyDescent="0.25">
      <c r="B3109" s="1365" t="s">
        <v>7267</v>
      </c>
      <c r="C3109" s="1013" t="s">
        <v>4405</v>
      </c>
      <c r="D3109" s="1013" t="s">
        <v>4406</v>
      </c>
      <c r="E3109" s="1014">
        <v>9032</v>
      </c>
      <c r="F3109" s="1013" t="s">
        <v>6775</v>
      </c>
      <c r="G3109" s="1014" t="s">
        <v>266</v>
      </c>
      <c r="H3109" s="1015">
        <v>3463482</v>
      </c>
      <c r="I3109" s="1016" t="s">
        <v>6899</v>
      </c>
    </row>
    <row r="3110" spans="2:9" ht="15.75" x14ac:dyDescent="0.25">
      <c r="B3110" s="1365" t="s">
        <v>7267</v>
      </c>
      <c r="C3110" s="1013" t="s">
        <v>4405</v>
      </c>
      <c r="D3110" s="1013" t="s">
        <v>4406</v>
      </c>
      <c r="E3110" s="1014">
        <v>9033</v>
      </c>
      <c r="F3110" s="1013" t="s">
        <v>6776</v>
      </c>
      <c r="G3110" s="1014" t="s">
        <v>266</v>
      </c>
      <c r="H3110" s="1015">
        <v>4586228</v>
      </c>
      <c r="I3110" s="1016" t="s">
        <v>6899</v>
      </c>
    </row>
    <row r="3111" spans="2:9" ht="15.75" x14ac:dyDescent="0.25">
      <c r="B3111" s="1365" t="s">
        <v>7267</v>
      </c>
      <c r="C3111" s="1013" t="s">
        <v>4405</v>
      </c>
      <c r="D3111" s="1013" t="s">
        <v>4406</v>
      </c>
      <c r="E3111" s="1014">
        <v>9034</v>
      </c>
      <c r="F3111" s="1013" t="s">
        <v>6777</v>
      </c>
      <c r="G3111" s="1014" t="s">
        <v>266</v>
      </c>
      <c r="H3111" s="1015">
        <v>4545940</v>
      </c>
      <c r="I3111" s="1016" t="s">
        <v>6899</v>
      </c>
    </row>
    <row r="3112" spans="2:9" ht="15.75" x14ac:dyDescent="0.25">
      <c r="B3112" s="1365" t="s">
        <v>7267</v>
      </c>
      <c r="C3112" s="1013" t="s">
        <v>4405</v>
      </c>
      <c r="D3112" s="1013" t="s">
        <v>4406</v>
      </c>
      <c r="E3112" s="1014">
        <v>9035</v>
      </c>
      <c r="F3112" s="1013" t="s">
        <v>6778</v>
      </c>
      <c r="G3112" s="1014" t="s">
        <v>266</v>
      </c>
      <c r="H3112" s="1015">
        <v>7374206</v>
      </c>
      <c r="I3112" s="1016" t="s">
        <v>6899</v>
      </c>
    </row>
    <row r="3113" spans="2:9" ht="15.75" x14ac:dyDescent="0.25">
      <c r="B3113" s="1365" t="s">
        <v>7267</v>
      </c>
      <c r="C3113" s="1013" t="s">
        <v>5292</v>
      </c>
      <c r="D3113" s="1013" t="s">
        <v>5292</v>
      </c>
      <c r="E3113" s="1014">
        <v>9042</v>
      </c>
      <c r="F3113" s="1013" t="s">
        <v>6779</v>
      </c>
      <c r="G3113" s="1014" t="s">
        <v>13</v>
      </c>
      <c r="H3113" s="1015">
        <v>69492</v>
      </c>
      <c r="I3113" s="1016" t="s">
        <v>6899</v>
      </c>
    </row>
    <row r="3114" spans="2:9" ht="15.75" x14ac:dyDescent="0.25">
      <c r="B3114" s="1365" t="s">
        <v>7267</v>
      </c>
      <c r="C3114" s="1013" t="s">
        <v>5292</v>
      </c>
      <c r="D3114" s="1013" t="s">
        <v>5292</v>
      </c>
      <c r="E3114" s="1014">
        <v>9044</v>
      </c>
      <c r="F3114" s="1013" t="s">
        <v>6780</v>
      </c>
      <c r="G3114" s="1014" t="s">
        <v>266</v>
      </c>
      <c r="H3114" s="1015">
        <v>7267118</v>
      </c>
      <c r="I3114" s="1016" t="s">
        <v>6899</v>
      </c>
    </row>
    <row r="3115" spans="2:9" ht="15.75" x14ac:dyDescent="0.25">
      <c r="B3115" s="1365" t="s">
        <v>7267</v>
      </c>
      <c r="C3115" s="1013" t="s">
        <v>4401</v>
      </c>
      <c r="D3115" s="1013" t="s">
        <v>4401</v>
      </c>
      <c r="E3115" s="1014">
        <v>9045</v>
      </c>
      <c r="F3115" s="1013" t="s">
        <v>6781</v>
      </c>
      <c r="G3115" s="1014" t="s">
        <v>13</v>
      </c>
      <c r="H3115" s="1015">
        <v>7884</v>
      </c>
      <c r="I3115" s="1016" t="s">
        <v>4398</v>
      </c>
    </row>
    <row r="3116" spans="2:9" ht="15.75" x14ac:dyDescent="0.25">
      <c r="B3116" s="1365" t="s">
        <v>7267</v>
      </c>
      <c r="C3116" s="1013" t="s">
        <v>4401</v>
      </c>
      <c r="D3116" s="1013" t="s">
        <v>4401</v>
      </c>
      <c r="E3116" s="1014">
        <v>9046</v>
      </c>
      <c r="F3116" s="1013" t="s">
        <v>6782</v>
      </c>
      <c r="G3116" s="1014" t="s">
        <v>266</v>
      </c>
      <c r="H3116" s="1015">
        <v>29955</v>
      </c>
      <c r="I3116" s="1016" t="s">
        <v>4398</v>
      </c>
    </row>
    <row r="3117" spans="2:9" ht="15.75" x14ac:dyDescent="0.25">
      <c r="B3117" s="1365" t="s">
        <v>7267</v>
      </c>
      <c r="C3117" s="1013" t="s">
        <v>4401</v>
      </c>
      <c r="D3117" s="1013" t="s">
        <v>4401</v>
      </c>
      <c r="E3117" s="1014">
        <v>9047</v>
      </c>
      <c r="F3117" s="1013" t="s">
        <v>6783</v>
      </c>
      <c r="G3117" s="1014" t="s">
        <v>266</v>
      </c>
      <c r="H3117" s="1015">
        <v>83648</v>
      </c>
      <c r="I3117" s="1016" t="s">
        <v>4398</v>
      </c>
    </row>
    <row r="3118" spans="2:9" ht="15.75" x14ac:dyDescent="0.25">
      <c r="B3118" s="1366" t="s">
        <v>7267</v>
      </c>
      <c r="C3118" s="1017" t="s">
        <v>4401</v>
      </c>
      <c r="D3118" s="1017" t="s">
        <v>4401</v>
      </c>
      <c r="E3118" s="1018">
        <v>9048</v>
      </c>
      <c r="F3118" s="1017" t="s">
        <v>6784</v>
      </c>
      <c r="G3118" s="1018" t="s">
        <v>13</v>
      </c>
      <c r="H3118" s="1019">
        <v>3942</v>
      </c>
      <c r="I3118" s="1020" t="s">
        <v>4398</v>
      </c>
    </row>
    <row r="3119" spans="2:9" ht="15.75" x14ac:dyDescent="0.25">
      <c r="B3119" s="1366" t="s">
        <v>7267</v>
      </c>
      <c r="C3119" s="1017" t="s">
        <v>4468</v>
      </c>
      <c r="D3119" s="1017" t="s">
        <v>1798</v>
      </c>
      <c r="E3119" s="1018">
        <v>9052</v>
      </c>
      <c r="F3119" s="1017" t="s">
        <v>6785</v>
      </c>
      <c r="G3119" s="1018" t="s">
        <v>752</v>
      </c>
      <c r="H3119" s="1019">
        <v>3175</v>
      </c>
      <c r="I3119" s="1020" t="s">
        <v>6899</v>
      </c>
    </row>
    <row r="3120" spans="2:9" ht="15.75" x14ac:dyDescent="0.25">
      <c r="B3120" s="1366" t="s">
        <v>7267</v>
      </c>
      <c r="C3120" s="1017" t="s">
        <v>4468</v>
      </c>
      <c r="D3120" s="1017" t="s">
        <v>4814</v>
      </c>
      <c r="E3120" s="1018">
        <v>9055</v>
      </c>
      <c r="F3120" s="1017" t="s">
        <v>6786</v>
      </c>
      <c r="G3120" s="1018" t="s">
        <v>13</v>
      </c>
      <c r="H3120" s="1019">
        <v>14036</v>
      </c>
      <c r="I3120" s="1020" t="s">
        <v>4398</v>
      </c>
    </row>
    <row r="3121" spans="2:9" ht="15.75" x14ac:dyDescent="0.25">
      <c r="B3121" s="1366" t="s">
        <v>7267</v>
      </c>
      <c r="C3121" s="1017" t="s">
        <v>5292</v>
      </c>
      <c r="D3121" s="1017" t="s">
        <v>5293</v>
      </c>
      <c r="E3121" s="1018">
        <v>9056</v>
      </c>
      <c r="F3121" s="1017" t="s">
        <v>6787</v>
      </c>
      <c r="G3121" s="1018" t="s">
        <v>13</v>
      </c>
      <c r="H3121" s="1019">
        <v>694892</v>
      </c>
      <c r="I3121" s="1020" t="s">
        <v>6899</v>
      </c>
    </row>
    <row r="3122" spans="2:9" ht="15.75" x14ac:dyDescent="0.25">
      <c r="B3122" s="1366" t="s">
        <v>7267</v>
      </c>
      <c r="C3122" s="1017" t="s">
        <v>5946</v>
      </c>
      <c r="D3122" s="1017" t="s">
        <v>5947</v>
      </c>
      <c r="E3122" s="1018">
        <v>9058</v>
      </c>
      <c r="F3122" s="1017" t="s">
        <v>6788</v>
      </c>
      <c r="G3122" s="1018" t="s">
        <v>12</v>
      </c>
      <c r="H3122" s="1019">
        <v>133424</v>
      </c>
      <c r="I3122" s="1020" t="s">
        <v>6899</v>
      </c>
    </row>
    <row r="3123" spans="2:9" ht="15.75" x14ac:dyDescent="0.25">
      <c r="B3123" s="1366" t="s">
        <v>7267</v>
      </c>
      <c r="C3123" s="1017" t="s">
        <v>4468</v>
      </c>
      <c r="D3123" s="1017" t="s">
        <v>4469</v>
      </c>
      <c r="E3123" s="1018">
        <v>9072</v>
      </c>
      <c r="F3123" s="1017" t="s">
        <v>6789</v>
      </c>
      <c r="G3123" s="1018" t="s">
        <v>3</v>
      </c>
      <c r="H3123" s="1019">
        <v>858112</v>
      </c>
      <c r="I3123" s="1020" t="s">
        <v>6899</v>
      </c>
    </row>
    <row r="3124" spans="2:9" ht="15.75" x14ac:dyDescent="0.25">
      <c r="B3124" s="1366" t="s">
        <v>7267</v>
      </c>
      <c r="C3124" s="1017" t="s">
        <v>4461</v>
      </c>
      <c r="D3124" s="1017" t="s">
        <v>4461</v>
      </c>
      <c r="E3124" s="1018">
        <v>9075</v>
      </c>
      <c r="F3124" s="1017" t="s">
        <v>6790</v>
      </c>
      <c r="G3124" s="1018" t="s">
        <v>266</v>
      </c>
      <c r="H3124" s="1019">
        <v>3009224</v>
      </c>
      <c r="I3124" s="1020" t="s">
        <v>4398</v>
      </c>
    </row>
    <row r="3125" spans="2:9" ht="15.75" x14ac:dyDescent="0.25">
      <c r="B3125" s="1366" t="s">
        <v>7267</v>
      </c>
      <c r="C3125" s="1017" t="s">
        <v>4461</v>
      </c>
      <c r="D3125" s="1017" t="s">
        <v>4461</v>
      </c>
      <c r="E3125" s="1018">
        <v>9076</v>
      </c>
      <c r="F3125" s="1017" t="s">
        <v>820</v>
      </c>
      <c r="G3125" s="1018" t="s">
        <v>266</v>
      </c>
      <c r="H3125" s="1019">
        <v>9057280</v>
      </c>
      <c r="I3125" s="1020" t="s">
        <v>4398</v>
      </c>
    </row>
    <row r="3126" spans="2:9" ht="15.75" x14ac:dyDescent="0.25">
      <c r="B3126" s="1366" t="s">
        <v>7267</v>
      </c>
      <c r="C3126" s="1017" t="s">
        <v>4461</v>
      </c>
      <c r="D3126" s="1017" t="s">
        <v>4461</v>
      </c>
      <c r="E3126" s="1018">
        <v>9077</v>
      </c>
      <c r="F3126" s="1017" t="s">
        <v>6791</v>
      </c>
      <c r="G3126" s="1018" t="s">
        <v>266</v>
      </c>
      <c r="H3126" s="1019">
        <v>464941</v>
      </c>
      <c r="I3126" s="1020" t="s">
        <v>4398</v>
      </c>
    </row>
    <row r="3127" spans="2:9" ht="15.75" x14ac:dyDescent="0.25">
      <c r="B3127" s="1366" t="s">
        <v>7267</v>
      </c>
      <c r="C3127" s="1017" t="s">
        <v>1474</v>
      </c>
      <c r="D3127" s="1017" t="s">
        <v>5380</v>
      </c>
      <c r="E3127" s="1018">
        <v>9087</v>
      </c>
      <c r="F3127" s="1017" t="s">
        <v>6792</v>
      </c>
      <c r="G3127" s="1018" t="s">
        <v>13</v>
      </c>
      <c r="H3127" s="1019">
        <v>2966189</v>
      </c>
      <c r="I3127" s="1020" t="s">
        <v>6899</v>
      </c>
    </row>
    <row r="3128" spans="2:9" ht="15.75" x14ac:dyDescent="0.25">
      <c r="B3128" s="1366" t="s">
        <v>7267</v>
      </c>
      <c r="C3128" s="1017" t="s">
        <v>1474</v>
      </c>
      <c r="D3128" s="1017" t="s">
        <v>5380</v>
      </c>
      <c r="E3128" s="1018">
        <v>9088</v>
      </c>
      <c r="F3128" s="1017" t="s">
        <v>6793</v>
      </c>
      <c r="G3128" s="1018" t="s">
        <v>13</v>
      </c>
      <c r="H3128" s="1019">
        <v>5974782</v>
      </c>
      <c r="I3128" s="1020" t="s">
        <v>6899</v>
      </c>
    </row>
    <row r="3129" spans="2:9" ht="15.75" x14ac:dyDescent="0.25">
      <c r="B3129" s="1366" t="s">
        <v>7267</v>
      </c>
      <c r="C3129" s="1017" t="s">
        <v>4468</v>
      </c>
      <c r="D3129" s="1017" t="s">
        <v>4469</v>
      </c>
      <c r="E3129" s="1018">
        <v>9094</v>
      </c>
      <c r="F3129" s="1017" t="s">
        <v>6794</v>
      </c>
      <c r="G3129" s="1018" t="s">
        <v>3</v>
      </c>
      <c r="H3129" s="1019">
        <v>983631</v>
      </c>
      <c r="I3129" s="1020" t="s">
        <v>6899</v>
      </c>
    </row>
    <row r="3130" spans="2:9" ht="15.75" x14ac:dyDescent="0.25">
      <c r="B3130" s="1366" t="s">
        <v>7267</v>
      </c>
      <c r="C3130" s="1017" t="s">
        <v>4468</v>
      </c>
      <c r="D3130" s="1017" t="s">
        <v>4469</v>
      </c>
      <c r="E3130" s="1018">
        <v>9095</v>
      </c>
      <c r="F3130" s="1017" t="s">
        <v>6795</v>
      </c>
      <c r="G3130" s="1018" t="s">
        <v>3</v>
      </c>
      <c r="H3130" s="1019">
        <v>815208</v>
      </c>
      <c r="I3130" s="1020" t="s">
        <v>6899</v>
      </c>
    </row>
    <row r="3131" spans="2:9" ht="15.75" x14ac:dyDescent="0.25">
      <c r="B3131" s="1366" t="s">
        <v>7267</v>
      </c>
      <c r="C3131" s="1017" t="s">
        <v>4468</v>
      </c>
      <c r="D3131" s="1017" t="s">
        <v>4468</v>
      </c>
      <c r="E3131" s="1018">
        <v>9096</v>
      </c>
      <c r="F3131" s="1017" t="s">
        <v>6796</v>
      </c>
      <c r="G3131" s="1018" t="s">
        <v>3</v>
      </c>
      <c r="H3131" s="1019">
        <v>1060122</v>
      </c>
      <c r="I3131" s="1020" t="s">
        <v>6899</v>
      </c>
    </row>
    <row r="3132" spans="2:9" ht="15.75" x14ac:dyDescent="0.25">
      <c r="B3132" s="1366" t="s">
        <v>7267</v>
      </c>
      <c r="C3132" s="1017" t="s">
        <v>2542</v>
      </c>
      <c r="D3132" s="1017" t="s">
        <v>2542</v>
      </c>
      <c r="E3132" s="1018">
        <v>9097</v>
      </c>
      <c r="F3132" s="1017" t="s">
        <v>6797</v>
      </c>
      <c r="G3132" s="1018" t="s">
        <v>266</v>
      </c>
      <c r="H3132" s="1019">
        <v>2085475</v>
      </c>
      <c r="I3132" s="1020" t="s">
        <v>3538</v>
      </c>
    </row>
    <row r="3133" spans="2:9" ht="15.75" x14ac:dyDescent="0.25">
      <c r="B3133" s="1366" t="s">
        <v>7267</v>
      </c>
      <c r="C3133" s="1017" t="s">
        <v>2542</v>
      </c>
      <c r="D3133" s="1017" t="s">
        <v>2542</v>
      </c>
      <c r="E3133" s="1018">
        <v>9098</v>
      </c>
      <c r="F3133" s="1017" t="s">
        <v>6798</v>
      </c>
      <c r="G3133" s="1018" t="s">
        <v>266</v>
      </c>
      <c r="H3133" s="1019">
        <v>4843161</v>
      </c>
      <c r="I3133" s="1020" t="s">
        <v>3538</v>
      </c>
    </row>
    <row r="3134" spans="2:9" ht="15.75" x14ac:dyDescent="0.25">
      <c r="B3134" s="1366" t="s">
        <v>7267</v>
      </c>
      <c r="C3134" s="1017" t="s">
        <v>2542</v>
      </c>
      <c r="D3134" s="1017" t="s">
        <v>2542</v>
      </c>
      <c r="E3134" s="1018">
        <v>9099</v>
      </c>
      <c r="F3134" s="1017" t="s">
        <v>6799</v>
      </c>
      <c r="G3134" s="1018" t="s">
        <v>266</v>
      </c>
      <c r="H3134" s="1019">
        <v>1332800</v>
      </c>
      <c r="I3134" s="1020" t="s">
        <v>3538</v>
      </c>
    </row>
    <row r="3135" spans="2:9" ht="15.75" x14ac:dyDescent="0.25">
      <c r="B3135" s="1366" t="s">
        <v>7267</v>
      </c>
      <c r="C3135" s="1017" t="s">
        <v>6800</v>
      </c>
      <c r="D3135" s="1017" t="s">
        <v>6801</v>
      </c>
      <c r="E3135" s="1018">
        <v>9100</v>
      </c>
      <c r="F3135" s="1017" t="s">
        <v>4248</v>
      </c>
      <c r="G3135" s="1018" t="s">
        <v>266</v>
      </c>
      <c r="H3135" s="1019">
        <v>19499839</v>
      </c>
      <c r="I3135" s="1020" t="s">
        <v>6899</v>
      </c>
    </row>
    <row r="3136" spans="2:9" ht="15.75" x14ac:dyDescent="0.25">
      <c r="B3136" s="1366" t="s">
        <v>7267</v>
      </c>
      <c r="C3136" s="1017" t="s">
        <v>2542</v>
      </c>
      <c r="D3136" s="1017" t="s">
        <v>2542</v>
      </c>
      <c r="E3136" s="1018">
        <v>9101</v>
      </c>
      <c r="F3136" s="1017" t="s">
        <v>6802</v>
      </c>
      <c r="G3136" s="1018" t="s">
        <v>266</v>
      </c>
      <c r="H3136" s="1019">
        <v>2289000</v>
      </c>
      <c r="I3136" s="1020" t="s">
        <v>3538</v>
      </c>
    </row>
    <row r="3137" spans="2:9" ht="15.75" x14ac:dyDescent="0.25">
      <c r="B3137" s="1366" t="s">
        <v>7267</v>
      </c>
      <c r="C3137" s="1017" t="s">
        <v>4468</v>
      </c>
      <c r="D3137" s="1017" t="s">
        <v>4469</v>
      </c>
      <c r="E3137" s="1018">
        <v>9109</v>
      </c>
      <c r="F3137" s="1017" t="s">
        <v>6803</v>
      </c>
      <c r="G3137" s="1018" t="s">
        <v>3</v>
      </c>
      <c r="H3137" s="1019">
        <v>608571</v>
      </c>
      <c r="I3137" s="1020" t="s">
        <v>6899</v>
      </c>
    </row>
    <row r="3138" spans="2:9" ht="15.75" x14ac:dyDescent="0.25">
      <c r="B3138" s="1366" t="s">
        <v>7267</v>
      </c>
      <c r="C3138" s="1017" t="s">
        <v>4468</v>
      </c>
      <c r="D3138" s="1017" t="s">
        <v>4814</v>
      </c>
      <c r="E3138" s="1018">
        <v>9122</v>
      </c>
      <c r="F3138" s="1017" t="s">
        <v>6804</v>
      </c>
      <c r="G3138" s="1018" t="s">
        <v>6</v>
      </c>
      <c r="H3138" s="1019">
        <v>4956</v>
      </c>
      <c r="I3138" s="1020" t="s">
        <v>6899</v>
      </c>
    </row>
    <row r="3139" spans="2:9" ht="15.75" x14ac:dyDescent="0.25">
      <c r="B3139" s="1366" t="s">
        <v>7268</v>
      </c>
      <c r="C3139" s="1017" t="s">
        <v>6805</v>
      </c>
      <c r="D3139" s="1017" t="s">
        <v>6805</v>
      </c>
      <c r="E3139" s="1018">
        <v>9129</v>
      </c>
      <c r="F3139" s="1017" t="s">
        <v>6806</v>
      </c>
      <c r="G3139" s="1018" t="s">
        <v>546</v>
      </c>
      <c r="H3139" s="1019">
        <v>456581</v>
      </c>
      <c r="I3139" s="1020" t="s">
        <v>6899</v>
      </c>
    </row>
    <row r="3140" spans="2:9" ht="15.75" x14ac:dyDescent="0.25">
      <c r="B3140" s="1366" t="s">
        <v>7268</v>
      </c>
      <c r="C3140" s="1017" t="s">
        <v>6805</v>
      </c>
      <c r="D3140" s="1017" t="s">
        <v>6805</v>
      </c>
      <c r="E3140" s="1018">
        <v>9130</v>
      </c>
      <c r="F3140" s="1017" t="s">
        <v>6807</v>
      </c>
      <c r="G3140" s="1018" t="s">
        <v>546</v>
      </c>
      <c r="H3140" s="1019">
        <v>645909</v>
      </c>
      <c r="I3140" s="1020" t="s">
        <v>6899</v>
      </c>
    </row>
    <row r="3141" spans="2:9" ht="15.75" x14ac:dyDescent="0.25">
      <c r="B3141" s="1366" t="s">
        <v>7268</v>
      </c>
      <c r="C3141" s="1017" t="s">
        <v>6805</v>
      </c>
      <c r="D3141" s="1017" t="s">
        <v>6805</v>
      </c>
      <c r="E3141" s="1018">
        <v>9131</v>
      </c>
      <c r="F3141" s="1017" t="s">
        <v>6808</v>
      </c>
      <c r="G3141" s="1018" t="s">
        <v>546</v>
      </c>
      <c r="H3141" s="1019">
        <v>544693</v>
      </c>
      <c r="I3141" s="1020" t="s">
        <v>6899</v>
      </c>
    </row>
    <row r="3142" spans="2:9" ht="15.75" x14ac:dyDescent="0.25">
      <c r="B3142" s="1366" t="s">
        <v>7268</v>
      </c>
      <c r="C3142" s="1017" t="s">
        <v>6805</v>
      </c>
      <c r="D3142" s="1017" t="s">
        <v>6805</v>
      </c>
      <c r="E3142" s="1018">
        <v>9132</v>
      </c>
      <c r="F3142" s="1017" t="s">
        <v>4255</v>
      </c>
      <c r="G3142" s="1018" t="s">
        <v>3</v>
      </c>
      <c r="H3142" s="1019">
        <v>311880</v>
      </c>
      <c r="I3142" s="1020" t="s">
        <v>6899</v>
      </c>
    </row>
    <row r="3143" spans="2:9" ht="15.75" x14ac:dyDescent="0.25">
      <c r="B3143" s="1366" t="s">
        <v>7268</v>
      </c>
      <c r="C3143" s="1017" t="s">
        <v>6805</v>
      </c>
      <c r="D3143" s="1017" t="s">
        <v>6805</v>
      </c>
      <c r="E3143" s="1018">
        <v>9133</v>
      </c>
      <c r="F3143" s="1017" t="s">
        <v>6809</v>
      </c>
      <c r="G3143" s="1018" t="s">
        <v>546</v>
      </c>
      <c r="H3143" s="1019">
        <v>11850</v>
      </c>
      <c r="I3143" s="1020" t="s">
        <v>6899</v>
      </c>
    </row>
    <row r="3144" spans="2:9" ht="15.75" x14ac:dyDescent="0.25">
      <c r="B3144" s="1366" t="s">
        <v>7268</v>
      </c>
      <c r="C3144" s="1017" t="s">
        <v>6805</v>
      </c>
      <c r="D3144" s="1017" t="s">
        <v>6805</v>
      </c>
      <c r="E3144" s="1018">
        <v>9134</v>
      </c>
      <c r="F3144" s="1017" t="s">
        <v>6810</v>
      </c>
      <c r="G3144" s="1018" t="s">
        <v>546</v>
      </c>
      <c r="H3144" s="1019">
        <v>137611</v>
      </c>
      <c r="I3144" s="1020" t="s">
        <v>6899</v>
      </c>
    </row>
    <row r="3145" spans="2:9" ht="15.75" x14ac:dyDescent="0.25">
      <c r="B3145" s="1366" t="s">
        <v>7268</v>
      </c>
      <c r="C3145" s="1017" t="s">
        <v>6805</v>
      </c>
      <c r="D3145" s="1017" t="s">
        <v>6805</v>
      </c>
      <c r="E3145" s="1018">
        <v>9135</v>
      </c>
      <c r="F3145" s="1017" t="s">
        <v>6811</v>
      </c>
      <c r="G3145" s="1018" t="s">
        <v>546</v>
      </c>
      <c r="H3145" s="1019">
        <v>5879</v>
      </c>
      <c r="I3145" s="1020" t="s">
        <v>6899</v>
      </c>
    </row>
    <row r="3146" spans="2:9" ht="15.75" x14ac:dyDescent="0.25">
      <c r="B3146" s="1366" t="s">
        <v>7268</v>
      </c>
      <c r="C3146" s="1017" t="s">
        <v>6805</v>
      </c>
      <c r="D3146" s="1017" t="s">
        <v>6805</v>
      </c>
      <c r="E3146" s="1018">
        <v>9136</v>
      </c>
      <c r="F3146" s="1017" t="s">
        <v>6812</v>
      </c>
      <c r="G3146" s="1018" t="s">
        <v>546</v>
      </c>
      <c r="H3146" s="1019">
        <v>4406</v>
      </c>
      <c r="I3146" s="1020" t="s">
        <v>6899</v>
      </c>
    </row>
    <row r="3147" spans="2:9" ht="15.75" x14ac:dyDescent="0.25">
      <c r="B3147" s="1366" t="s">
        <v>7268</v>
      </c>
      <c r="C3147" s="1017" t="s">
        <v>6805</v>
      </c>
      <c r="D3147" s="1017" t="s">
        <v>6805</v>
      </c>
      <c r="E3147" s="1018">
        <v>9137</v>
      </c>
      <c r="F3147" s="1017" t="s">
        <v>6813</v>
      </c>
      <c r="G3147" s="1018" t="s">
        <v>546</v>
      </c>
      <c r="H3147" s="1019">
        <v>3734</v>
      </c>
      <c r="I3147" s="1020" t="s">
        <v>6899</v>
      </c>
    </row>
    <row r="3148" spans="2:9" ht="15.75" x14ac:dyDescent="0.25">
      <c r="B3148" s="1366" t="s">
        <v>7268</v>
      </c>
      <c r="C3148" s="1017" t="s">
        <v>6805</v>
      </c>
      <c r="D3148" s="1017" t="s">
        <v>6805</v>
      </c>
      <c r="E3148" s="1018">
        <v>9138</v>
      </c>
      <c r="F3148" s="1017" t="s">
        <v>6814</v>
      </c>
      <c r="G3148" s="1018" t="s">
        <v>546</v>
      </c>
      <c r="H3148" s="1019">
        <v>3734</v>
      </c>
      <c r="I3148" s="1020" t="s">
        <v>6899</v>
      </c>
    </row>
    <row r="3149" spans="2:9" ht="15.75" x14ac:dyDescent="0.25">
      <c r="B3149" s="1366" t="s">
        <v>7268</v>
      </c>
      <c r="C3149" s="1017" t="s">
        <v>6805</v>
      </c>
      <c r="D3149" s="1017" t="s">
        <v>6805</v>
      </c>
      <c r="E3149" s="1018">
        <v>9139</v>
      </c>
      <c r="F3149" s="1017" t="s">
        <v>6815</v>
      </c>
      <c r="G3149" s="1018" t="s">
        <v>546</v>
      </c>
      <c r="H3149" s="1019">
        <v>44187</v>
      </c>
      <c r="I3149" s="1020" t="s">
        <v>6899</v>
      </c>
    </row>
    <row r="3150" spans="2:9" ht="15.75" x14ac:dyDescent="0.25">
      <c r="B3150" s="1366" t="s">
        <v>7268</v>
      </c>
      <c r="C3150" s="1017" t="s">
        <v>6805</v>
      </c>
      <c r="D3150" s="1017" t="s">
        <v>6805</v>
      </c>
      <c r="E3150" s="1018">
        <v>9140</v>
      </c>
      <c r="F3150" s="1017" t="s">
        <v>6816</v>
      </c>
      <c r="G3150" s="1018" t="s">
        <v>546</v>
      </c>
      <c r="H3150" s="1019">
        <v>62681</v>
      </c>
      <c r="I3150" s="1020" t="s">
        <v>6899</v>
      </c>
    </row>
    <row r="3151" spans="2:9" ht="15.75" x14ac:dyDescent="0.25">
      <c r="B3151" s="1366" t="s">
        <v>7268</v>
      </c>
      <c r="C3151" s="1017" t="s">
        <v>6805</v>
      </c>
      <c r="D3151" s="1017" t="s">
        <v>6805</v>
      </c>
      <c r="E3151" s="1018">
        <v>9141</v>
      </c>
      <c r="F3151" s="1017" t="s">
        <v>6817</v>
      </c>
      <c r="G3151" s="1018" t="s">
        <v>546</v>
      </c>
      <c r="H3151" s="1019">
        <v>6297</v>
      </c>
      <c r="I3151" s="1020" t="s">
        <v>6899</v>
      </c>
    </row>
    <row r="3152" spans="2:9" ht="15.75" x14ac:dyDescent="0.25">
      <c r="B3152" s="1366" t="s">
        <v>7268</v>
      </c>
      <c r="C3152" s="1017" t="s">
        <v>6805</v>
      </c>
      <c r="D3152" s="1017" t="s">
        <v>6805</v>
      </c>
      <c r="E3152" s="1018">
        <v>9142</v>
      </c>
      <c r="F3152" s="1017" t="s">
        <v>6818</v>
      </c>
      <c r="G3152" s="1018" t="s">
        <v>546</v>
      </c>
      <c r="H3152" s="1019">
        <v>2435</v>
      </c>
      <c r="I3152" s="1020" t="s">
        <v>3538</v>
      </c>
    </row>
    <row r="3153" spans="2:9" ht="15.75" x14ac:dyDescent="0.25">
      <c r="B3153" s="1366" t="s">
        <v>7268</v>
      </c>
      <c r="C3153" s="1017" t="s">
        <v>6805</v>
      </c>
      <c r="D3153" s="1017" t="s">
        <v>6805</v>
      </c>
      <c r="E3153" s="1018">
        <v>9143</v>
      </c>
      <c r="F3153" s="1017" t="s">
        <v>6819</v>
      </c>
      <c r="G3153" s="1018" t="s">
        <v>546</v>
      </c>
      <c r="H3153" s="1019">
        <v>62910</v>
      </c>
      <c r="I3153" s="1020" t="s">
        <v>6899</v>
      </c>
    </row>
    <row r="3154" spans="2:9" ht="15.75" x14ac:dyDescent="0.25">
      <c r="B3154" s="1366" t="s">
        <v>7268</v>
      </c>
      <c r="C3154" s="1017" t="s">
        <v>6805</v>
      </c>
      <c r="D3154" s="1017" t="s">
        <v>6805</v>
      </c>
      <c r="E3154" s="1018">
        <v>9144</v>
      </c>
      <c r="F3154" s="1017" t="s">
        <v>6820</v>
      </c>
      <c r="G3154" s="1018" t="s">
        <v>546</v>
      </c>
      <c r="H3154" s="1019">
        <v>4923</v>
      </c>
      <c r="I3154" s="1020" t="s">
        <v>6899</v>
      </c>
    </row>
    <row r="3155" spans="2:9" ht="15.75" x14ac:dyDescent="0.25">
      <c r="B3155" s="1366" t="s">
        <v>7268</v>
      </c>
      <c r="C3155" s="1017" t="s">
        <v>6805</v>
      </c>
      <c r="D3155" s="1017" t="s">
        <v>6805</v>
      </c>
      <c r="E3155" s="1018">
        <v>9145</v>
      </c>
      <c r="F3155" s="1017" t="s">
        <v>6821</v>
      </c>
      <c r="G3155" s="1018" t="s">
        <v>546</v>
      </c>
      <c r="H3155" s="1019">
        <v>69328</v>
      </c>
      <c r="I3155" s="1020" t="s">
        <v>6899</v>
      </c>
    </row>
    <row r="3156" spans="2:9" ht="15.75" x14ac:dyDescent="0.25">
      <c r="B3156" s="1366" t="s">
        <v>7226</v>
      </c>
      <c r="C3156" s="1017" t="s">
        <v>4396</v>
      </c>
      <c r="D3156" s="1017" t="s">
        <v>5392</v>
      </c>
      <c r="E3156" s="1018">
        <v>9146</v>
      </c>
      <c r="F3156" s="1017" t="s">
        <v>6822</v>
      </c>
      <c r="G3156" s="1018" t="s">
        <v>12</v>
      </c>
      <c r="H3156" s="1019">
        <v>27014</v>
      </c>
      <c r="I3156" s="1020" t="s">
        <v>6899</v>
      </c>
    </row>
    <row r="3157" spans="2:9" ht="15.75" x14ac:dyDescent="0.25">
      <c r="B3157" s="1366" t="s">
        <v>7226</v>
      </c>
      <c r="C3157" s="1017" t="s">
        <v>4396</v>
      </c>
      <c r="D3157" s="1017" t="s">
        <v>5392</v>
      </c>
      <c r="E3157" s="1018">
        <v>9147</v>
      </c>
      <c r="F3157" s="1017" t="s">
        <v>6823</v>
      </c>
      <c r="G3157" s="1018" t="s">
        <v>12</v>
      </c>
      <c r="H3157" s="1019">
        <v>29646</v>
      </c>
      <c r="I3157" s="1020" t="s">
        <v>6899</v>
      </c>
    </row>
    <row r="3158" spans="2:9" ht="15.75" x14ac:dyDescent="0.25">
      <c r="B3158" s="1366" t="s">
        <v>7226</v>
      </c>
      <c r="C3158" s="1017" t="s">
        <v>6319</v>
      </c>
      <c r="D3158" s="1017" t="s">
        <v>6319</v>
      </c>
      <c r="E3158" s="1018">
        <v>9148</v>
      </c>
      <c r="F3158" s="1017" t="s">
        <v>6824</v>
      </c>
      <c r="G3158" s="1018" t="s">
        <v>266</v>
      </c>
      <c r="H3158" s="1019">
        <v>1211970</v>
      </c>
      <c r="I3158" s="1020" t="s">
        <v>6899</v>
      </c>
    </row>
    <row r="3159" spans="2:9" ht="15.75" x14ac:dyDescent="0.25">
      <c r="B3159" s="1366" t="s">
        <v>7268</v>
      </c>
      <c r="C3159" s="1017" t="s">
        <v>6805</v>
      </c>
      <c r="D3159" s="1017" t="s">
        <v>6805</v>
      </c>
      <c r="E3159" s="1018">
        <v>9149</v>
      </c>
      <c r="F3159" s="1017" t="s">
        <v>6825</v>
      </c>
      <c r="G3159" s="1018" t="s">
        <v>3</v>
      </c>
      <c r="H3159" s="1019">
        <v>311880</v>
      </c>
      <c r="I3159" s="1020" t="s">
        <v>6899</v>
      </c>
    </row>
    <row r="3160" spans="2:9" ht="15.75" x14ac:dyDescent="0.25">
      <c r="B3160" s="1366" t="s">
        <v>7268</v>
      </c>
      <c r="C3160" s="1017" t="s">
        <v>6805</v>
      </c>
      <c r="D3160" s="1017" t="s">
        <v>6805</v>
      </c>
      <c r="E3160" s="1018">
        <v>9150</v>
      </c>
      <c r="F3160" s="1017" t="s">
        <v>6826</v>
      </c>
      <c r="G3160" s="1018" t="s">
        <v>546</v>
      </c>
      <c r="H3160" s="1019">
        <v>3734</v>
      </c>
      <c r="I3160" s="1020" t="s">
        <v>6899</v>
      </c>
    </row>
    <row r="3161" spans="2:9" ht="15.75" x14ac:dyDescent="0.25">
      <c r="B3161" s="1366" t="s">
        <v>7268</v>
      </c>
      <c r="C3161" s="1017" t="s">
        <v>6805</v>
      </c>
      <c r="D3161" s="1017" t="s">
        <v>6805</v>
      </c>
      <c r="E3161" s="1018">
        <v>9151</v>
      </c>
      <c r="F3161" s="1017" t="s">
        <v>6827</v>
      </c>
      <c r="G3161" s="1018" t="s">
        <v>546</v>
      </c>
      <c r="H3161" s="1019">
        <v>44187</v>
      </c>
      <c r="I3161" s="1020" t="s">
        <v>6899</v>
      </c>
    </row>
    <row r="3162" spans="2:9" ht="15.75" x14ac:dyDescent="0.25">
      <c r="B3162" s="1366" t="s">
        <v>7268</v>
      </c>
      <c r="C3162" s="1017" t="s">
        <v>6805</v>
      </c>
      <c r="D3162" s="1017" t="s">
        <v>6805</v>
      </c>
      <c r="E3162" s="1018">
        <v>9152</v>
      </c>
      <c r="F3162" s="1017" t="s">
        <v>6828</v>
      </c>
      <c r="G3162" s="1018" t="s">
        <v>546</v>
      </c>
      <c r="H3162" s="1019">
        <v>62681</v>
      </c>
      <c r="I3162" s="1020" t="s">
        <v>6899</v>
      </c>
    </row>
    <row r="3163" spans="2:9" ht="15.75" x14ac:dyDescent="0.25">
      <c r="B3163" s="1366" t="s">
        <v>7268</v>
      </c>
      <c r="C3163" s="1017" t="s">
        <v>6805</v>
      </c>
      <c r="D3163" s="1017" t="s">
        <v>6805</v>
      </c>
      <c r="E3163" s="1018">
        <v>9153</v>
      </c>
      <c r="F3163" s="1017" t="s">
        <v>6829</v>
      </c>
      <c r="G3163" s="1018" t="s">
        <v>546</v>
      </c>
      <c r="H3163" s="1019">
        <v>412792</v>
      </c>
      <c r="I3163" s="1020" t="s">
        <v>6899</v>
      </c>
    </row>
    <row r="3164" spans="2:9" ht="15.75" x14ac:dyDescent="0.25">
      <c r="B3164" s="1366" t="s">
        <v>7268</v>
      </c>
      <c r="C3164" s="1017" t="s">
        <v>6805</v>
      </c>
      <c r="D3164" s="1017" t="s">
        <v>6805</v>
      </c>
      <c r="E3164" s="1018">
        <v>9154</v>
      </c>
      <c r="F3164" s="1017" t="s">
        <v>6830</v>
      </c>
      <c r="G3164" s="1018" t="s">
        <v>546</v>
      </c>
      <c r="H3164" s="1019">
        <v>5879</v>
      </c>
      <c r="I3164" s="1020" t="s">
        <v>6899</v>
      </c>
    </row>
    <row r="3165" spans="2:9" ht="15.75" x14ac:dyDescent="0.25">
      <c r="B3165" s="1366" t="s">
        <v>7269</v>
      </c>
      <c r="C3165" s="1017" t="s">
        <v>5292</v>
      </c>
      <c r="D3165" s="1017" t="s">
        <v>5293</v>
      </c>
      <c r="E3165" s="1018">
        <v>9322</v>
      </c>
      <c r="F3165" s="1017" t="s">
        <v>6831</v>
      </c>
      <c r="G3165" s="1018" t="s">
        <v>12</v>
      </c>
      <c r="H3165" s="1019">
        <v>1537076</v>
      </c>
      <c r="I3165" s="1020" t="s">
        <v>6899</v>
      </c>
    </row>
    <row r="3166" spans="2:9" ht="15.75" x14ac:dyDescent="0.25">
      <c r="B3166" s="1366" t="s">
        <v>7269</v>
      </c>
      <c r="C3166" s="1017" t="s">
        <v>5292</v>
      </c>
      <c r="D3166" s="1017" t="s">
        <v>5293</v>
      </c>
      <c r="E3166" s="1018">
        <v>9323</v>
      </c>
      <c r="F3166" s="1017" t="s">
        <v>6832</v>
      </c>
      <c r="G3166" s="1018" t="s">
        <v>12</v>
      </c>
      <c r="H3166" s="1019">
        <v>2206976</v>
      </c>
      <c r="I3166" s="1020" t="s">
        <v>6899</v>
      </c>
    </row>
    <row r="3167" spans="2:9" ht="15.75" x14ac:dyDescent="0.25">
      <c r="B3167" s="1366" t="s">
        <v>7269</v>
      </c>
      <c r="C3167" s="1017" t="s">
        <v>5292</v>
      </c>
      <c r="D3167" s="1017" t="s">
        <v>5293</v>
      </c>
      <c r="E3167" s="1018">
        <v>9324</v>
      </c>
      <c r="F3167" s="1017" t="s">
        <v>6833</v>
      </c>
      <c r="G3167" s="1018" t="s">
        <v>12</v>
      </c>
      <c r="H3167" s="1019">
        <v>2200481</v>
      </c>
      <c r="I3167" s="1020" t="s">
        <v>6899</v>
      </c>
    </row>
    <row r="3168" spans="2:9" ht="15.75" x14ac:dyDescent="0.25">
      <c r="B3168" s="1366" t="s">
        <v>7269</v>
      </c>
      <c r="C3168" s="1017" t="s">
        <v>5292</v>
      </c>
      <c r="D3168" s="1017" t="s">
        <v>5293</v>
      </c>
      <c r="E3168" s="1018">
        <v>9325</v>
      </c>
      <c r="F3168" s="1017" t="s">
        <v>6834</v>
      </c>
      <c r="G3168" s="1018" t="s">
        <v>13</v>
      </c>
      <c r="H3168" s="1019">
        <v>900464</v>
      </c>
      <c r="I3168" s="1020" t="s">
        <v>6899</v>
      </c>
    </row>
    <row r="3169" spans="2:9" ht="15.75" x14ac:dyDescent="0.25">
      <c r="B3169" s="1366" t="s">
        <v>7269</v>
      </c>
      <c r="C3169" s="1017" t="s">
        <v>5292</v>
      </c>
      <c r="D3169" s="1017" t="s">
        <v>5293</v>
      </c>
      <c r="E3169" s="1018">
        <v>9326</v>
      </c>
      <c r="F3169" s="1017" t="s">
        <v>6835</v>
      </c>
      <c r="G3169" s="1018" t="s">
        <v>13</v>
      </c>
      <c r="H3169" s="1019">
        <v>1363206</v>
      </c>
      <c r="I3169" s="1020" t="s">
        <v>6899</v>
      </c>
    </row>
    <row r="3170" spans="2:9" ht="15.75" x14ac:dyDescent="0.25">
      <c r="B3170" s="1366" t="s">
        <v>7269</v>
      </c>
      <c r="C3170" s="1017" t="s">
        <v>5292</v>
      </c>
      <c r="D3170" s="1017" t="s">
        <v>5293</v>
      </c>
      <c r="E3170" s="1018">
        <v>9327</v>
      </c>
      <c r="F3170" s="1017" t="s">
        <v>6836</v>
      </c>
      <c r="G3170" s="1018" t="s">
        <v>13</v>
      </c>
      <c r="H3170" s="1019">
        <v>1360738</v>
      </c>
      <c r="I3170" s="1020" t="s">
        <v>6899</v>
      </c>
    </row>
    <row r="3171" spans="2:9" ht="15.75" x14ac:dyDescent="0.25">
      <c r="B3171" s="1366" t="s">
        <v>7270</v>
      </c>
      <c r="C3171" s="1017" t="s">
        <v>4461</v>
      </c>
      <c r="D3171" s="1017" t="s">
        <v>4461</v>
      </c>
      <c r="E3171" s="1018">
        <v>9394</v>
      </c>
      <c r="F3171" s="1017" t="s">
        <v>6837</v>
      </c>
      <c r="G3171" s="1018" t="s">
        <v>13</v>
      </c>
      <c r="H3171" s="1019">
        <v>1532909</v>
      </c>
      <c r="I3171" s="1020" t="s">
        <v>6899</v>
      </c>
    </row>
    <row r="3172" spans="2:9" ht="15.75" x14ac:dyDescent="0.25">
      <c r="B3172" s="1366" t="s">
        <v>7270</v>
      </c>
      <c r="C3172" s="1017" t="s">
        <v>4461</v>
      </c>
      <c r="D3172" s="1017" t="s">
        <v>4461</v>
      </c>
      <c r="E3172" s="1018">
        <v>9395</v>
      </c>
      <c r="F3172" s="1017" t="s">
        <v>6838</v>
      </c>
      <c r="G3172" s="1018" t="s">
        <v>13</v>
      </c>
      <c r="H3172" s="1019">
        <v>2348719</v>
      </c>
      <c r="I3172" s="1020" t="s">
        <v>6899</v>
      </c>
    </row>
    <row r="3173" spans="2:9" ht="15.75" x14ac:dyDescent="0.25">
      <c r="B3173" s="1366" t="s">
        <v>7270</v>
      </c>
      <c r="C3173" s="1017" t="s">
        <v>4461</v>
      </c>
      <c r="D3173" s="1017" t="s">
        <v>4461</v>
      </c>
      <c r="E3173" s="1018">
        <v>9396</v>
      </c>
      <c r="F3173" s="1017" t="s">
        <v>6839</v>
      </c>
      <c r="G3173" s="1018" t="s">
        <v>13</v>
      </c>
      <c r="H3173" s="1019">
        <v>847266</v>
      </c>
      <c r="I3173" s="1020" t="s">
        <v>6899</v>
      </c>
    </row>
    <row r="3174" spans="2:9" ht="15.75" x14ac:dyDescent="0.25">
      <c r="B3174" s="1366" t="s">
        <v>7270</v>
      </c>
      <c r="C3174" s="1017" t="s">
        <v>4461</v>
      </c>
      <c r="D3174" s="1017" t="s">
        <v>4461</v>
      </c>
      <c r="E3174" s="1018">
        <v>9397</v>
      </c>
      <c r="F3174" s="1017" t="s">
        <v>6840</v>
      </c>
      <c r="G3174" s="1018" t="s">
        <v>13</v>
      </c>
      <c r="H3174" s="1019">
        <v>847266</v>
      </c>
      <c r="I3174" s="1020" t="s">
        <v>6899</v>
      </c>
    </row>
    <row r="3175" spans="2:9" ht="15.75" x14ac:dyDescent="0.25">
      <c r="B3175" s="1366" t="s">
        <v>7270</v>
      </c>
      <c r="C3175" s="1017" t="s">
        <v>4461</v>
      </c>
      <c r="D3175" s="1017" t="s">
        <v>4461</v>
      </c>
      <c r="E3175" s="1018">
        <v>9398</v>
      </c>
      <c r="F3175" s="1017" t="s">
        <v>6841</v>
      </c>
      <c r="G3175" s="1018" t="s">
        <v>13</v>
      </c>
      <c r="H3175" s="1019">
        <v>916071</v>
      </c>
      <c r="I3175" s="1020" t="s">
        <v>6899</v>
      </c>
    </row>
    <row r="3176" spans="2:9" ht="15.75" x14ac:dyDescent="0.25">
      <c r="B3176" s="1366" t="s">
        <v>7271</v>
      </c>
      <c r="C3176" s="1017" t="s">
        <v>4461</v>
      </c>
      <c r="D3176" s="1017" t="s">
        <v>4461</v>
      </c>
      <c r="E3176" s="1018">
        <v>9425</v>
      </c>
      <c r="F3176" s="1017" t="s">
        <v>6842</v>
      </c>
      <c r="G3176" s="1018" t="s">
        <v>13</v>
      </c>
      <c r="H3176" s="1019">
        <v>2260379</v>
      </c>
      <c r="I3176" s="1020" t="s">
        <v>6899</v>
      </c>
    </row>
    <row r="3177" spans="2:9" ht="15.75" x14ac:dyDescent="0.25">
      <c r="B3177" s="1366" t="s">
        <v>7267</v>
      </c>
      <c r="C3177" s="1017" t="s">
        <v>1474</v>
      </c>
      <c r="D3177" s="1017" t="s">
        <v>5380</v>
      </c>
      <c r="E3177" s="1018">
        <v>9463</v>
      </c>
      <c r="F3177" s="1017" t="s">
        <v>6843</v>
      </c>
      <c r="G3177" s="1018" t="s">
        <v>822</v>
      </c>
      <c r="H3177" s="1019">
        <v>50663</v>
      </c>
      <c r="I3177" s="1020" t="s">
        <v>4398</v>
      </c>
    </row>
    <row r="3178" spans="2:9" ht="15.75" x14ac:dyDescent="0.25">
      <c r="B3178" s="1366" t="s">
        <v>7268</v>
      </c>
      <c r="C3178" s="1017" t="s">
        <v>6805</v>
      </c>
      <c r="D3178" s="1017" t="s">
        <v>6805</v>
      </c>
      <c r="E3178" s="1018">
        <v>9466</v>
      </c>
      <c r="F3178" s="1017" t="s">
        <v>6844</v>
      </c>
      <c r="G3178" s="1018" t="s">
        <v>546</v>
      </c>
      <c r="H3178" s="1019">
        <v>412792</v>
      </c>
      <c r="I3178" s="1020" t="s">
        <v>6899</v>
      </c>
    </row>
    <row r="3179" spans="2:9" ht="15.75" x14ac:dyDescent="0.25">
      <c r="B3179" s="1366" t="s">
        <v>7268</v>
      </c>
      <c r="C3179" s="1017" t="s">
        <v>6805</v>
      </c>
      <c r="D3179" s="1017" t="s">
        <v>6805</v>
      </c>
      <c r="E3179" s="1018">
        <v>9467</v>
      </c>
      <c r="F3179" s="1017" t="s">
        <v>6845</v>
      </c>
      <c r="G3179" s="1018" t="s">
        <v>3</v>
      </c>
      <c r="H3179" s="1019">
        <v>311880</v>
      </c>
      <c r="I3179" s="1020" t="s">
        <v>6899</v>
      </c>
    </row>
    <row r="3180" spans="2:9" ht="15.75" x14ac:dyDescent="0.25">
      <c r="B3180" s="1366" t="s">
        <v>7268</v>
      </c>
      <c r="C3180" s="1017" t="s">
        <v>6805</v>
      </c>
      <c r="D3180" s="1017" t="s">
        <v>6805</v>
      </c>
      <c r="E3180" s="1018">
        <v>9468</v>
      </c>
      <c r="F3180" s="1017" t="s">
        <v>6846</v>
      </c>
      <c r="G3180" s="1018" t="s">
        <v>546</v>
      </c>
      <c r="H3180" s="1019">
        <v>62681</v>
      </c>
      <c r="I3180" s="1020" t="s">
        <v>6899</v>
      </c>
    </row>
    <row r="3181" spans="2:9" ht="15.75" x14ac:dyDescent="0.25">
      <c r="B3181" s="1366" t="s">
        <v>7268</v>
      </c>
      <c r="C3181" s="1017" t="s">
        <v>6805</v>
      </c>
      <c r="D3181" s="1017" t="s">
        <v>6805</v>
      </c>
      <c r="E3181" s="1018">
        <v>9469</v>
      </c>
      <c r="F3181" s="1017" t="s">
        <v>6847</v>
      </c>
      <c r="G3181" s="1018" t="s">
        <v>546</v>
      </c>
      <c r="H3181" s="1019">
        <v>5879</v>
      </c>
      <c r="I3181" s="1020" t="s">
        <v>6899</v>
      </c>
    </row>
    <row r="3182" spans="2:9" ht="15.75" x14ac:dyDescent="0.25">
      <c r="B3182" s="1366" t="s">
        <v>7268</v>
      </c>
      <c r="C3182" s="1017" t="s">
        <v>6805</v>
      </c>
      <c r="D3182" s="1017" t="s">
        <v>6805</v>
      </c>
      <c r="E3182" s="1018">
        <v>9470</v>
      </c>
      <c r="F3182" s="1017" t="s">
        <v>6848</v>
      </c>
      <c r="G3182" s="1018" t="s">
        <v>546</v>
      </c>
      <c r="H3182" s="1019">
        <v>3734</v>
      </c>
      <c r="I3182" s="1020" t="s">
        <v>6899</v>
      </c>
    </row>
    <row r="3183" spans="2:9" ht="15.75" x14ac:dyDescent="0.25">
      <c r="B3183" s="1366" t="s">
        <v>7272</v>
      </c>
      <c r="C3183" s="1017" t="s">
        <v>4420</v>
      </c>
      <c r="D3183" s="1017" t="s">
        <v>4420</v>
      </c>
      <c r="E3183" s="1018">
        <v>9563</v>
      </c>
      <c r="F3183" s="1017" t="s">
        <v>6849</v>
      </c>
      <c r="G3183" s="1018" t="s">
        <v>13</v>
      </c>
      <c r="H3183" s="1019">
        <v>153135</v>
      </c>
      <c r="I3183" s="1020" t="s">
        <v>6899</v>
      </c>
    </row>
    <row r="3184" spans="2:9" ht="15.75" x14ac:dyDescent="0.25">
      <c r="B3184" s="1366" t="s">
        <v>6897</v>
      </c>
      <c r="C3184" s="1017" t="s">
        <v>4410</v>
      </c>
      <c r="D3184" s="1017" t="s">
        <v>4642</v>
      </c>
      <c r="E3184" s="1018">
        <v>9997</v>
      </c>
      <c r="F3184" s="1017" t="s">
        <v>6850</v>
      </c>
      <c r="G3184" s="1018" t="s">
        <v>12</v>
      </c>
      <c r="H3184" s="1019">
        <v>2417</v>
      </c>
      <c r="I3184" s="1020" t="s">
        <v>6899</v>
      </c>
    </row>
    <row r="3185" spans="2:9" ht="15.75" x14ac:dyDescent="0.25">
      <c r="B3185" s="1366" t="s">
        <v>6897</v>
      </c>
      <c r="C3185" s="1017" t="s">
        <v>4472</v>
      </c>
      <c r="D3185" s="1017" t="s">
        <v>4817</v>
      </c>
      <c r="E3185" s="1018">
        <v>9998</v>
      </c>
      <c r="F3185" s="1017" t="s">
        <v>6851</v>
      </c>
      <c r="G3185" s="1018" t="s">
        <v>3</v>
      </c>
      <c r="H3185" s="1019">
        <v>1512266</v>
      </c>
      <c r="I3185" s="1020" t="s">
        <v>6899</v>
      </c>
    </row>
    <row r="3186" spans="2:9" ht="15.75" x14ac:dyDescent="0.25">
      <c r="B3186" s="1366" t="s">
        <v>7267</v>
      </c>
      <c r="C3186" s="1017" t="s">
        <v>4417</v>
      </c>
      <c r="D3186" s="1017" t="s">
        <v>4438</v>
      </c>
      <c r="E3186" s="1018">
        <v>9999</v>
      </c>
      <c r="F3186" s="1017" t="s">
        <v>6852</v>
      </c>
      <c r="G3186" s="1018" t="s">
        <v>12</v>
      </c>
      <c r="H3186" s="1019">
        <v>135680</v>
      </c>
      <c r="I3186" s="1020" t="s">
        <v>6899</v>
      </c>
    </row>
    <row r="3187" spans="2:9" ht="15.75" x14ac:dyDescent="0.25">
      <c r="B3187" s="1366" t="s">
        <v>7267</v>
      </c>
      <c r="C3187" s="1017" t="s">
        <v>4417</v>
      </c>
      <c r="D3187" s="1017" t="s">
        <v>4438</v>
      </c>
      <c r="E3187" s="1018">
        <v>10000</v>
      </c>
      <c r="F3187" s="1017" t="s">
        <v>6853</v>
      </c>
      <c r="G3187" s="1018" t="s">
        <v>12</v>
      </c>
      <c r="H3187" s="1019">
        <v>126959</v>
      </c>
      <c r="I3187" s="1020" t="s">
        <v>6899</v>
      </c>
    </row>
    <row r="3188" spans="2:9" ht="15.75" x14ac:dyDescent="0.25">
      <c r="B3188" s="1366" t="s">
        <v>7269</v>
      </c>
      <c r="C3188" s="1017" t="s">
        <v>4410</v>
      </c>
      <c r="D3188" s="1017" t="s">
        <v>4642</v>
      </c>
      <c r="E3188" s="1018">
        <v>10014</v>
      </c>
      <c r="F3188" s="1017" t="s">
        <v>6854</v>
      </c>
      <c r="G3188" s="1018" t="s">
        <v>3</v>
      </c>
      <c r="H3188" s="1019">
        <v>169903</v>
      </c>
      <c r="I3188" s="1020" t="s">
        <v>6899</v>
      </c>
    </row>
    <row r="3189" spans="2:9" ht="15.75" x14ac:dyDescent="0.25">
      <c r="B3189" s="1366" t="s">
        <v>7269</v>
      </c>
      <c r="C3189" s="1017" t="s">
        <v>4410</v>
      </c>
      <c r="D3189" s="1017" t="s">
        <v>4642</v>
      </c>
      <c r="E3189" s="1018">
        <v>10015</v>
      </c>
      <c r="F3189" s="1017" t="s">
        <v>6855</v>
      </c>
      <c r="G3189" s="1018" t="s">
        <v>3</v>
      </c>
      <c r="H3189" s="1019">
        <v>171051</v>
      </c>
      <c r="I3189" s="1020" t="s">
        <v>6899</v>
      </c>
    </row>
    <row r="3190" spans="2:9" ht="15.75" x14ac:dyDescent="0.25">
      <c r="B3190" s="1366" t="s">
        <v>7269</v>
      </c>
      <c r="C3190" s="1017" t="s">
        <v>4410</v>
      </c>
      <c r="D3190" s="1017" t="s">
        <v>4642</v>
      </c>
      <c r="E3190" s="1018">
        <v>10016</v>
      </c>
      <c r="F3190" s="1017" t="s">
        <v>6856</v>
      </c>
      <c r="G3190" s="1018" t="s">
        <v>3</v>
      </c>
      <c r="H3190" s="1019">
        <v>180122</v>
      </c>
      <c r="I3190" s="1020" t="s">
        <v>6899</v>
      </c>
    </row>
    <row r="3191" spans="2:9" ht="15.75" x14ac:dyDescent="0.25">
      <c r="B3191" s="1366" t="s">
        <v>7269</v>
      </c>
      <c r="C3191" s="1017" t="s">
        <v>4410</v>
      </c>
      <c r="D3191" s="1017" t="s">
        <v>4642</v>
      </c>
      <c r="E3191" s="1018">
        <v>10017</v>
      </c>
      <c r="F3191" s="1017" t="s">
        <v>6857</v>
      </c>
      <c r="G3191" s="1018" t="s">
        <v>3</v>
      </c>
      <c r="H3191" s="1019">
        <v>172041</v>
      </c>
      <c r="I3191" s="1020" t="s">
        <v>6899</v>
      </c>
    </row>
    <row r="3192" spans="2:9" ht="15.75" x14ac:dyDescent="0.25">
      <c r="B3192" s="1366" t="s">
        <v>7269</v>
      </c>
      <c r="C3192" s="1017" t="s">
        <v>4410</v>
      </c>
      <c r="D3192" s="1017" t="s">
        <v>4642</v>
      </c>
      <c r="E3192" s="1018">
        <v>10018</v>
      </c>
      <c r="F3192" s="1017" t="s">
        <v>6858</v>
      </c>
      <c r="G3192" s="1018" t="s">
        <v>3</v>
      </c>
      <c r="H3192" s="1019">
        <v>173188</v>
      </c>
      <c r="I3192" s="1020" t="s">
        <v>6899</v>
      </c>
    </row>
    <row r="3193" spans="2:9" ht="15.75" x14ac:dyDescent="0.25">
      <c r="B3193" s="1366" t="s">
        <v>7269</v>
      </c>
      <c r="C3193" s="1017" t="s">
        <v>4410</v>
      </c>
      <c r="D3193" s="1017" t="s">
        <v>4642</v>
      </c>
      <c r="E3193" s="1018">
        <v>10019</v>
      </c>
      <c r="F3193" s="1017" t="s">
        <v>6859</v>
      </c>
      <c r="G3193" s="1018" t="s">
        <v>3</v>
      </c>
      <c r="H3193" s="1019">
        <v>182259</v>
      </c>
      <c r="I3193" s="1020" t="s">
        <v>6899</v>
      </c>
    </row>
    <row r="3194" spans="2:9" ht="15.75" x14ac:dyDescent="0.25">
      <c r="B3194" s="1366" t="s">
        <v>7269</v>
      </c>
      <c r="C3194" s="1017" t="s">
        <v>4410</v>
      </c>
      <c r="D3194" s="1017" t="s">
        <v>4642</v>
      </c>
      <c r="E3194" s="1018">
        <v>10020</v>
      </c>
      <c r="F3194" s="1017" t="s">
        <v>6860</v>
      </c>
      <c r="G3194" s="1018" t="s">
        <v>3</v>
      </c>
      <c r="H3194" s="1019">
        <v>176720</v>
      </c>
      <c r="I3194" s="1020" t="s">
        <v>6899</v>
      </c>
    </row>
    <row r="3195" spans="2:9" ht="15.75" x14ac:dyDescent="0.25">
      <c r="B3195" s="1366" t="s">
        <v>7269</v>
      </c>
      <c r="C3195" s="1017" t="s">
        <v>4410</v>
      </c>
      <c r="D3195" s="1017" t="s">
        <v>4642</v>
      </c>
      <c r="E3195" s="1018">
        <v>10021</v>
      </c>
      <c r="F3195" s="1017" t="s">
        <v>6861</v>
      </c>
      <c r="G3195" s="1018" t="s">
        <v>3</v>
      </c>
      <c r="H3195" s="1019">
        <v>177867</v>
      </c>
      <c r="I3195" s="1020" t="s">
        <v>6899</v>
      </c>
    </row>
    <row r="3196" spans="2:9" ht="15.75" x14ac:dyDescent="0.25">
      <c r="B3196" s="1366" t="s">
        <v>7269</v>
      </c>
      <c r="C3196" s="1017" t="s">
        <v>4410</v>
      </c>
      <c r="D3196" s="1017" t="s">
        <v>4642</v>
      </c>
      <c r="E3196" s="1018">
        <v>10022</v>
      </c>
      <c r="F3196" s="1017" t="s">
        <v>6862</v>
      </c>
      <c r="G3196" s="1018" t="s">
        <v>3</v>
      </c>
      <c r="H3196" s="1019">
        <v>186938</v>
      </c>
      <c r="I3196" s="1020" t="s">
        <v>6899</v>
      </c>
    </row>
    <row r="3197" spans="2:9" ht="15.75" x14ac:dyDescent="0.25">
      <c r="B3197" s="1366" t="s">
        <v>7273</v>
      </c>
      <c r="C3197" s="1017" t="s">
        <v>4410</v>
      </c>
      <c r="D3197" s="1017" t="s">
        <v>4642</v>
      </c>
      <c r="E3197" s="1018">
        <v>10030</v>
      </c>
      <c r="F3197" s="1017" t="s">
        <v>6863</v>
      </c>
      <c r="G3197" s="1018" t="s">
        <v>3</v>
      </c>
      <c r="H3197" s="1019">
        <v>190432</v>
      </c>
      <c r="I3197" s="1020" t="s">
        <v>6899</v>
      </c>
    </row>
    <row r="3198" spans="2:9" ht="15.75" x14ac:dyDescent="0.25">
      <c r="B3198" s="1366" t="s">
        <v>7270</v>
      </c>
      <c r="C3198" s="1017" t="s">
        <v>4410</v>
      </c>
      <c r="D3198" s="1017" t="s">
        <v>4415</v>
      </c>
      <c r="E3198" s="1018">
        <v>10072</v>
      </c>
      <c r="F3198" s="1017" t="s">
        <v>6864</v>
      </c>
      <c r="G3198" s="1018" t="s">
        <v>3</v>
      </c>
      <c r="H3198" s="1019">
        <v>180879</v>
      </c>
      <c r="I3198" s="1020" t="s">
        <v>6899</v>
      </c>
    </row>
    <row r="3199" spans="2:9" ht="15.75" x14ac:dyDescent="0.25">
      <c r="B3199" s="1366" t="s">
        <v>7274</v>
      </c>
      <c r="C3199" s="1017" t="s">
        <v>6319</v>
      </c>
      <c r="D3199" s="1017" t="s">
        <v>6319</v>
      </c>
      <c r="E3199" s="1018">
        <v>10074</v>
      </c>
      <c r="F3199" s="1017" t="s">
        <v>4390</v>
      </c>
      <c r="G3199" s="1018" t="s">
        <v>266</v>
      </c>
      <c r="H3199" s="1019">
        <v>6723500</v>
      </c>
      <c r="I3199" s="1020" t="s">
        <v>3538</v>
      </c>
    </row>
    <row r="3200" spans="2:9" ht="15.75" x14ac:dyDescent="0.25">
      <c r="B3200" s="1366" t="s">
        <v>7274</v>
      </c>
      <c r="C3200" s="1017" t="s">
        <v>6319</v>
      </c>
      <c r="D3200" s="1017" t="s">
        <v>6319</v>
      </c>
      <c r="E3200" s="1018">
        <v>10075</v>
      </c>
      <c r="F3200" s="1017" t="s">
        <v>4391</v>
      </c>
      <c r="G3200" s="1018" t="s">
        <v>266</v>
      </c>
      <c r="H3200" s="1019">
        <v>9163000</v>
      </c>
      <c r="I3200" s="1020" t="s">
        <v>3538</v>
      </c>
    </row>
    <row r="3201" spans="2:9" ht="15.75" x14ac:dyDescent="0.25">
      <c r="B3201" s="1366" t="s">
        <v>7275</v>
      </c>
      <c r="C3201" s="1017" t="s">
        <v>4468</v>
      </c>
      <c r="D3201" s="1017" t="s">
        <v>4469</v>
      </c>
      <c r="E3201" s="1018">
        <v>10214</v>
      </c>
      <c r="F3201" s="1017" t="s">
        <v>6865</v>
      </c>
      <c r="G3201" s="1018" t="s">
        <v>13</v>
      </c>
      <c r="H3201" s="1019">
        <v>346428</v>
      </c>
      <c r="I3201" s="1020" t="s">
        <v>6899</v>
      </c>
    </row>
    <row r="3202" spans="2:9" ht="15.75" x14ac:dyDescent="0.25">
      <c r="B3202" s="1366" t="s">
        <v>7276</v>
      </c>
      <c r="C3202" s="1017" t="s">
        <v>4417</v>
      </c>
      <c r="D3202" s="1017" t="s">
        <v>4631</v>
      </c>
      <c r="E3202" s="1018">
        <v>10246</v>
      </c>
      <c r="F3202" s="1017" t="s">
        <v>7277</v>
      </c>
      <c r="G3202" s="1018" t="s">
        <v>12</v>
      </c>
      <c r="H3202" s="1019">
        <v>107093</v>
      </c>
      <c r="I3202" s="1020" t="s">
        <v>6899</v>
      </c>
    </row>
    <row r="3203" spans="2:9" ht="15.75" x14ac:dyDescent="0.25">
      <c r="B3203" s="1366" t="s">
        <v>7276</v>
      </c>
      <c r="C3203" s="1017" t="s">
        <v>4417</v>
      </c>
      <c r="D3203" s="1017" t="s">
        <v>4631</v>
      </c>
      <c r="E3203" s="1018">
        <v>10247</v>
      </c>
      <c r="F3203" s="1017" t="s">
        <v>7278</v>
      </c>
      <c r="G3203" s="1018" t="s">
        <v>12</v>
      </c>
      <c r="H3203" s="1019">
        <v>112585</v>
      </c>
      <c r="I3203" s="1020" t="s">
        <v>6899</v>
      </c>
    </row>
    <row r="3204" spans="2:9" ht="15.75" x14ac:dyDescent="0.25">
      <c r="B3204" s="1366" t="s">
        <v>7276</v>
      </c>
      <c r="C3204" s="1017" t="s">
        <v>4417</v>
      </c>
      <c r="D3204" s="1017" t="s">
        <v>4631</v>
      </c>
      <c r="E3204" s="1018">
        <v>10248</v>
      </c>
      <c r="F3204" s="1017" t="s">
        <v>7279</v>
      </c>
      <c r="G3204" s="1018" t="s">
        <v>12</v>
      </c>
      <c r="H3204" s="1019">
        <v>113197</v>
      </c>
      <c r="I3204" s="1020" t="s">
        <v>6899</v>
      </c>
    </row>
    <row r="3205" spans="2:9" ht="15.75" x14ac:dyDescent="0.25">
      <c r="B3205" s="1366" t="s">
        <v>7276</v>
      </c>
      <c r="C3205" s="1017" t="s">
        <v>4417</v>
      </c>
      <c r="D3205" s="1017" t="s">
        <v>4631</v>
      </c>
      <c r="E3205" s="1018">
        <v>10249</v>
      </c>
      <c r="F3205" s="1017" t="s">
        <v>7280</v>
      </c>
      <c r="G3205" s="1018" t="s">
        <v>12</v>
      </c>
      <c r="H3205" s="1019">
        <v>111677</v>
      </c>
      <c r="I3205" s="1020" t="s">
        <v>6899</v>
      </c>
    </row>
    <row r="3206" spans="2:9" ht="15.75" x14ac:dyDescent="0.25">
      <c r="B3206" s="1366" t="s">
        <v>7281</v>
      </c>
      <c r="C3206" s="1017" t="s">
        <v>4451</v>
      </c>
      <c r="D3206" s="1017" t="s">
        <v>4452</v>
      </c>
      <c r="E3206" s="1018">
        <v>10250</v>
      </c>
      <c r="F3206" s="1017" t="s">
        <v>7282</v>
      </c>
      <c r="G3206" s="1018" t="s">
        <v>12</v>
      </c>
      <c r="H3206" s="1019">
        <v>93111</v>
      </c>
      <c r="I3206" s="1020" t="s">
        <v>6899</v>
      </c>
    </row>
    <row r="3207" spans="2:9" ht="15.75" x14ac:dyDescent="0.25">
      <c r="B3207" s="1366" t="s">
        <v>7281</v>
      </c>
      <c r="C3207" s="1017" t="s">
        <v>4451</v>
      </c>
      <c r="D3207" s="1017" t="s">
        <v>4452</v>
      </c>
      <c r="E3207" s="1018">
        <v>10251</v>
      </c>
      <c r="F3207" s="1017" t="s">
        <v>7283</v>
      </c>
      <c r="G3207" s="1018" t="s">
        <v>12</v>
      </c>
      <c r="H3207" s="1019">
        <v>101078</v>
      </c>
      <c r="I3207" s="1020" t="s">
        <v>6899</v>
      </c>
    </row>
    <row r="3208" spans="2:9" ht="15.75" x14ac:dyDescent="0.25">
      <c r="B3208" s="1366" t="s">
        <v>7281</v>
      </c>
      <c r="C3208" s="1017" t="s">
        <v>4468</v>
      </c>
      <c r="D3208" s="1017" t="s">
        <v>1798</v>
      </c>
      <c r="E3208" s="1018">
        <v>10252</v>
      </c>
      <c r="F3208" s="1017" t="s">
        <v>7284</v>
      </c>
      <c r="G3208" s="1018" t="s">
        <v>768</v>
      </c>
      <c r="H3208" s="1019">
        <v>7933</v>
      </c>
      <c r="I3208" s="1020" t="s">
        <v>6899</v>
      </c>
    </row>
    <row r="3209" spans="2:9" ht="15.75" x14ac:dyDescent="0.25">
      <c r="B3209" s="1366" t="s">
        <v>7281</v>
      </c>
      <c r="C3209" s="1017" t="s">
        <v>4431</v>
      </c>
      <c r="D3209" s="1017" t="s">
        <v>5094</v>
      </c>
      <c r="E3209" s="1018">
        <v>10253</v>
      </c>
      <c r="F3209" s="1017" t="s">
        <v>7285</v>
      </c>
      <c r="G3209" s="1018" t="s">
        <v>266</v>
      </c>
      <c r="H3209" s="1019">
        <v>131367807</v>
      </c>
      <c r="I3209" s="1020" t="s">
        <v>6899</v>
      </c>
    </row>
    <row r="3210" spans="2:9" ht="15.75" x14ac:dyDescent="0.25">
      <c r="B3210" s="1366" t="s">
        <v>7281</v>
      </c>
      <c r="C3210" s="1017" t="s">
        <v>4431</v>
      </c>
      <c r="D3210" s="1017" t="s">
        <v>5094</v>
      </c>
      <c r="E3210" s="1018">
        <v>10254</v>
      </c>
      <c r="F3210" s="1017" t="s">
        <v>7286</v>
      </c>
      <c r="G3210" s="1018" t="s">
        <v>266</v>
      </c>
      <c r="H3210" s="1019">
        <v>148988043</v>
      </c>
      <c r="I3210" s="1020" t="s">
        <v>6899</v>
      </c>
    </row>
    <row r="3211" spans="2:9" ht="15.75" x14ac:dyDescent="0.25">
      <c r="B3211" s="1366" t="s">
        <v>7281</v>
      </c>
      <c r="C3211" s="1017" t="s">
        <v>4431</v>
      </c>
      <c r="D3211" s="1017" t="s">
        <v>5094</v>
      </c>
      <c r="E3211" s="1018">
        <v>10255</v>
      </c>
      <c r="F3211" s="1017" t="s">
        <v>7287</v>
      </c>
      <c r="G3211" s="1018" t="s">
        <v>266</v>
      </c>
      <c r="H3211" s="1019">
        <v>165562794</v>
      </c>
      <c r="I3211" s="1020" t="s">
        <v>6899</v>
      </c>
    </row>
    <row r="3212" spans="2:9" ht="15.75" x14ac:dyDescent="0.25">
      <c r="B3212" s="1366" t="s">
        <v>7281</v>
      </c>
      <c r="C3212" s="1017" t="s">
        <v>4431</v>
      </c>
      <c r="D3212" s="1017" t="s">
        <v>5094</v>
      </c>
      <c r="E3212" s="1018">
        <v>10256</v>
      </c>
      <c r="F3212" s="1017" t="s">
        <v>7288</v>
      </c>
      <c r="G3212" s="1018" t="s">
        <v>266</v>
      </c>
      <c r="H3212" s="1019">
        <v>1671653</v>
      </c>
      <c r="I3212" s="1020" t="s">
        <v>6899</v>
      </c>
    </row>
    <row r="3213" spans="2:9" ht="15.75" x14ac:dyDescent="0.25">
      <c r="B3213" s="1366" t="s">
        <v>7281</v>
      </c>
      <c r="C3213" s="1017" t="s">
        <v>4454</v>
      </c>
      <c r="D3213" s="1017" t="s">
        <v>4455</v>
      </c>
      <c r="E3213" s="1018">
        <v>10257</v>
      </c>
      <c r="F3213" s="1017" t="s">
        <v>7289</v>
      </c>
      <c r="G3213" s="1018" t="s">
        <v>12</v>
      </c>
      <c r="H3213" s="1019">
        <v>99914</v>
      </c>
      <c r="I3213" s="1020" t="s">
        <v>6899</v>
      </c>
    </row>
    <row r="3214" spans="2:9" ht="15.75" x14ac:dyDescent="0.25">
      <c r="B3214" s="1366" t="s">
        <v>7281</v>
      </c>
      <c r="C3214" s="1017" t="s">
        <v>4468</v>
      </c>
      <c r="D3214" s="1017" t="s">
        <v>1798</v>
      </c>
      <c r="E3214" s="1018">
        <v>10258</v>
      </c>
      <c r="F3214" s="1017" t="s">
        <v>7290</v>
      </c>
      <c r="G3214" s="1018" t="s">
        <v>6</v>
      </c>
      <c r="H3214" s="1019">
        <v>16334</v>
      </c>
      <c r="I3214" s="1020" t="s">
        <v>6899</v>
      </c>
    </row>
    <row r="3215" spans="2:9" ht="15.75" x14ac:dyDescent="0.25">
      <c r="B3215" s="1366" t="s">
        <v>7281</v>
      </c>
      <c r="C3215" s="1017" t="s">
        <v>5366</v>
      </c>
      <c r="D3215" s="1017" t="s">
        <v>5366</v>
      </c>
      <c r="E3215" s="1018">
        <v>10259</v>
      </c>
      <c r="F3215" s="1017" t="s">
        <v>7291</v>
      </c>
      <c r="G3215" s="1018" t="s">
        <v>12</v>
      </c>
      <c r="H3215" s="1019">
        <v>1868</v>
      </c>
      <c r="I3215" s="1020" t="s">
        <v>6899</v>
      </c>
    </row>
    <row r="3216" spans="2:9" ht="15.75" x14ac:dyDescent="0.25">
      <c r="B3216" s="1366" t="s">
        <v>7281</v>
      </c>
      <c r="C3216" s="1017" t="s">
        <v>4454</v>
      </c>
      <c r="D3216" s="1017" t="s">
        <v>4455</v>
      </c>
      <c r="E3216" s="1018">
        <v>10260</v>
      </c>
      <c r="F3216" s="1017" t="s">
        <v>7292</v>
      </c>
      <c r="G3216" s="1018" t="s">
        <v>12</v>
      </c>
      <c r="H3216" s="1019">
        <v>41938</v>
      </c>
      <c r="I3216" s="1020" t="s">
        <v>6899</v>
      </c>
    </row>
    <row r="3217" spans="2:9" ht="15.75" x14ac:dyDescent="0.25">
      <c r="B3217" s="1366" t="s">
        <v>7281</v>
      </c>
      <c r="C3217" s="1017" t="s">
        <v>4454</v>
      </c>
      <c r="D3217" s="1017" t="s">
        <v>4455</v>
      </c>
      <c r="E3217" s="1018">
        <v>10261</v>
      </c>
      <c r="F3217" s="1017" t="s">
        <v>7293</v>
      </c>
      <c r="G3217" s="1018" t="s">
        <v>12</v>
      </c>
      <c r="H3217" s="1019">
        <v>87148</v>
      </c>
      <c r="I3217" s="1020" t="s">
        <v>6899</v>
      </c>
    </row>
    <row r="3218" spans="2:9" ht="15.75" x14ac:dyDescent="0.25">
      <c r="B3218" s="1366" t="s">
        <v>7281</v>
      </c>
      <c r="C3218" s="1017" t="s">
        <v>4454</v>
      </c>
      <c r="D3218" s="1017" t="s">
        <v>5477</v>
      </c>
      <c r="E3218" s="1018">
        <v>10262</v>
      </c>
      <c r="F3218" s="1017" t="s">
        <v>7294</v>
      </c>
      <c r="G3218" s="1018" t="s">
        <v>13</v>
      </c>
      <c r="H3218" s="1019">
        <v>49298</v>
      </c>
      <c r="I3218" s="1020" t="s">
        <v>6899</v>
      </c>
    </row>
    <row r="3219" spans="2:9" ht="15.75" x14ac:dyDescent="0.25">
      <c r="B3219" s="1366" t="s">
        <v>7281</v>
      </c>
      <c r="C3219" s="1017" t="s">
        <v>4454</v>
      </c>
      <c r="D3219" s="1017" t="s">
        <v>5477</v>
      </c>
      <c r="E3219" s="1018">
        <v>10263</v>
      </c>
      <c r="F3219" s="1017" t="s">
        <v>7295</v>
      </c>
      <c r="G3219" s="1018" t="s">
        <v>12</v>
      </c>
      <c r="H3219" s="1019">
        <v>213164</v>
      </c>
      <c r="I3219" s="1020" t="s">
        <v>6899</v>
      </c>
    </row>
    <row r="3220" spans="2:9" ht="15.75" x14ac:dyDescent="0.25">
      <c r="B3220" s="1366" t="s">
        <v>7281</v>
      </c>
      <c r="C3220" s="1017" t="s">
        <v>4454</v>
      </c>
      <c r="D3220" s="1017" t="s">
        <v>5477</v>
      </c>
      <c r="E3220" s="1018">
        <v>10264</v>
      </c>
      <c r="F3220" s="1017" t="s">
        <v>7296</v>
      </c>
      <c r="G3220" s="1018" t="s">
        <v>12</v>
      </c>
      <c r="H3220" s="1019">
        <v>214127</v>
      </c>
      <c r="I3220" s="1020" t="s">
        <v>6899</v>
      </c>
    </row>
    <row r="3221" spans="2:9" ht="15.75" x14ac:dyDescent="0.25">
      <c r="B3221" s="1366" t="s">
        <v>7281</v>
      </c>
      <c r="C3221" s="1017" t="s">
        <v>4468</v>
      </c>
      <c r="D3221" s="1017" t="s">
        <v>4469</v>
      </c>
      <c r="E3221" s="1018">
        <v>10265</v>
      </c>
      <c r="F3221" s="1017" t="s">
        <v>7297</v>
      </c>
      <c r="G3221" s="1018" t="s">
        <v>3</v>
      </c>
      <c r="H3221" s="1019">
        <v>1112945</v>
      </c>
      <c r="I3221" s="1020" t="s">
        <v>6899</v>
      </c>
    </row>
    <row r="3222" spans="2:9" ht="15.75" x14ac:dyDescent="0.25">
      <c r="B3222" s="1366" t="s">
        <v>7281</v>
      </c>
      <c r="C3222" s="1017" t="s">
        <v>4468</v>
      </c>
      <c r="D3222" s="1017" t="s">
        <v>4469</v>
      </c>
      <c r="E3222" s="1018">
        <v>10266</v>
      </c>
      <c r="F3222" s="1017" t="s">
        <v>7298</v>
      </c>
      <c r="G3222" s="1018" t="s">
        <v>3</v>
      </c>
      <c r="H3222" s="1019">
        <v>985603</v>
      </c>
      <c r="I3222" s="1020" t="s">
        <v>6899</v>
      </c>
    </row>
    <row r="3223" spans="2:9" ht="15.75" x14ac:dyDescent="0.25">
      <c r="B3223" s="1366" t="s">
        <v>7281</v>
      </c>
      <c r="C3223" s="1017" t="s">
        <v>4417</v>
      </c>
      <c r="D3223" s="1017" t="s">
        <v>4438</v>
      </c>
      <c r="E3223" s="1018">
        <v>10267</v>
      </c>
      <c r="F3223" s="1017" t="s">
        <v>7299</v>
      </c>
      <c r="G3223" s="1018" t="s">
        <v>12</v>
      </c>
      <c r="H3223" s="1019">
        <v>135976</v>
      </c>
      <c r="I3223" s="1020" t="s">
        <v>6899</v>
      </c>
    </row>
    <row r="3224" spans="2:9" ht="15.75" x14ac:dyDescent="0.25">
      <c r="B3224" s="1366" t="s">
        <v>7281</v>
      </c>
      <c r="C3224" s="1017" t="s">
        <v>4472</v>
      </c>
      <c r="D3224" s="1017" t="s">
        <v>4473</v>
      </c>
      <c r="E3224" s="1018">
        <v>10268</v>
      </c>
      <c r="F3224" s="1017" t="s">
        <v>7300</v>
      </c>
      <c r="G3224" s="1018" t="s">
        <v>12</v>
      </c>
      <c r="H3224" s="1019">
        <v>197264</v>
      </c>
      <c r="I3224" s="1020" t="s">
        <v>6899</v>
      </c>
    </row>
    <row r="3225" spans="2:9" ht="15.75" x14ac:dyDescent="0.25">
      <c r="B3225" s="1366" t="s">
        <v>7281</v>
      </c>
      <c r="C3225" s="1017" t="s">
        <v>4472</v>
      </c>
      <c r="D3225" s="1017" t="s">
        <v>4473</v>
      </c>
      <c r="E3225" s="1018">
        <v>10269</v>
      </c>
      <c r="F3225" s="1017" t="s">
        <v>7301</v>
      </c>
      <c r="G3225" s="1018" t="s">
        <v>12</v>
      </c>
      <c r="H3225" s="1019">
        <v>268139</v>
      </c>
      <c r="I3225" s="1020" t="s">
        <v>6899</v>
      </c>
    </row>
    <row r="3226" spans="2:9" ht="15.75" x14ac:dyDescent="0.25">
      <c r="B3226" s="1366" t="s">
        <v>7281</v>
      </c>
      <c r="C3226" s="1017" t="s">
        <v>4472</v>
      </c>
      <c r="D3226" s="1017" t="s">
        <v>4473</v>
      </c>
      <c r="E3226" s="1018">
        <v>10270</v>
      </c>
      <c r="F3226" s="1017" t="s">
        <v>7302</v>
      </c>
      <c r="G3226" s="1018" t="s">
        <v>12</v>
      </c>
      <c r="H3226" s="1019">
        <v>243583</v>
      </c>
      <c r="I3226" s="1020" t="s">
        <v>6899</v>
      </c>
    </row>
    <row r="3227" spans="2:9" ht="15.75" x14ac:dyDescent="0.25">
      <c r="B3227" s="1366" t="s">
        <v>7281</v>
      </c>
      <c r="C3227" s="1017" t="s">
        <v>4417</v>
      </c>
      <c r="D3227" s="1017" t="s">
        <v>4438</v>
      </c>
      <c r="E3227" s="1018">
        <v>10271</v>
      </c>
      <c r="F3227" s="1017" t="s">
        <v>7303</v>
      </c>
      <c r="G3227" s="1018" t="s">
        <v>12</v>
      </c>
      <c r="H3227" s="1019">
        <v>41011</v>
      </c>
      <c r="I3227" s="1020" t="s">
        <v>6899</v>
      </c>
    </row>
    <row r="3228" spans="2:9" ht="15.75" x14ac:dyDescent="0.25">
      <c r="B3228" s="1366" t="s">
        <v>7281</v>
      </c>
      <c r="C3228" s="1017" t="s">
        <v>4472</v>
      </c>
      <c r="D3228" s="1017" t="s">
        <v>4473</v>
      </c>
      <c r="E3228" s="1018">
        <v>10272</v>
      </c>
      <c r="F3228" s="1017" t="s">
        <v>7304</v>
      </c>
      <c r="G3228" s="1018" t="s">
        <v>12</v>
      </c>
      <c r="H3228" s="1019">
        <v>172005</v>
      </c>
      <c r="I3228" s="1020" t="s">
        <v>6899</v>
      </c>
    </row>
    <row r="3229" spans="2:9" ht="15.75" x14ac:dyDescent="0.25">
      <c r="B3229" s="1366" t="s">
        <v>7281</v>
      </c>
      <c r="C3229" s="1017" t="s">
        <v>4472</v>
      </c>
      <c r="D3229" s="1017" t="s">
        <v>4473</v>
      </c>
      <c r="E3229" s="1018">
        <v>10273</v>
      </c>
      <c r="F3229" s="1017" t="s">
        <v>7305</v>
      </c>
      <c r="G3229" s="1018" t="s">
        <v>3</v>
      </c>
      <c r="H3229" s="1019">
        <v>1393559</v>
      </c>
      <c r="I3229" s="1020" t="s">
        <v>6899</v>
      </c>
    </row>
    <row r="3230" spans="2:9" ht="15.75" x14ac:dyDescent="0.25">
      <c r="B3230" s="1366" t="s">
        <v>7281</v>
      </c>
      <c r="C3230" s="1017" t="s">
        <v>4472</v>
      </c>
      <c r="D3230" s="1017" t="s">
        <v>4473</v>
      </c>
      <c r="E3230" s="1018">
        <v>10274</v>
      </c>
      <c r="F3230" s="1017" t="s">
        <v>7306</v>
      </c>
      <c r="G3230" s="1018" t="s">
        <v>3</v>
      </c>
      <c r="H3230" s="1019">
        <v>1515803</v>
      </c>
      <c r="I3230" s="1020" t="s">
        <v>6899</v>
      </c>
    </row>
    <row r="3231" spans="2:9" ht="15.75" x14ac:dyDescent="0.25">
      <c r="B3231" s="1366" t="s">
        <v>7281</v>
      </c>
      <c r="C3231" s="1017" t="s">
        <v>4468</v>
      </c>
      <c r="D3231" s="1017" t="s">
        <v>4469</v>
      </c>
      <c r="E3231" s="1018">
        <v>10275</v>
      </c>
      <c r="F3231" s="1017" t="s">
        <v>7307</v>
      </c>
      <c r="G3231" s="1018" t="s">
        <v>12</v>
      </c>
      <c r="H3231" s="1019">
        <v>278863</v>
      </c>
      <c r="I3231" s="1020" t="s">
        <v>6899</v>
      </c>
    </row>
    <row r="3232" spans="2:9" ht="15.75" x14ac:dyDescent="0.25">
      <c r="B3232" s="1366" t="s">
        <v>7281</v>
      </c>
      <c r="C3232" s="1017" t="s">
        <v>4472</v>
      </c>
      <c r="D3232" s="1017" t="s">
        <v>4473</v>
      </c>
      <c r="E3232" s="1018">
        <v>10276</v>
      </c>
      <c r="F3232" s="1017" t="s">
        <v>7308</v>
      </c>
      <c r="G3232" s="1018" t="s">
        <v>3</v>
      </c>
      <c r="H3232" s="1019">
        <v>964790</v>
      </c>
      <c r="I3232" s="1020" t="s">
        <v>6899</v>
      </c>
    </row>
    <row r="3233" spans="2:9" ht="15.75" x14ac:dyDescent="0.25">
      <c r="B3233" s="1366" t="s">
        <v>7281</v>
      </c>
      <c r="C3233" s="1017" t="s">
        <v>4472</v>
      </c>
      <c r="D3233" s="1017" t="s">
        <v>4473</v>
      </c>
      <c r="E3233" s="1018">
        <v>10277</v>
      </c>
      <c r="F3233" s="1017" t="s">
        <v>7309</v>
      </c>
      <c r="G3233" s="1018" t="s">
        <v>3</v>
      </c>
      <c r="H3233" s="1019">
        <v>1101308</v>
      </c>
      <c r="I3233" s="1020" t="s">
        <v>6899</v>
      </c>
    </row>
    <row r="3234" spans="2:9" ht="15.75" x14ac:dyDescent="0.25">
      <c r="B3234" s="1366" t="s">
        <v>7310</v>
      </c>
      <c r="C3234" s="1017" t="s">
        <v>7311</v>
      </c>
      <c r="D3234" s="1017" t="s">
        <v>7152</v>
      </c>
      <c r="E3234" s="1018">
        <v>10321</v>
      </c>
      <c r="F3234" s="1017" t="s">
        <v>7153</v>
      </c>
      <c r="G3234" s="1018" t="s">
        <v>266</v>
      </c>
      <c r="H3234" s="1019">
        <v>28755</v>
      </c>
      <c r="I3234" s="1020" t="s">
        <v>6899</v>
      </c>
    </row>
    <row r="3235" spans="2:9" ht="15.75" x14ac:dyDescent="0.25">
      <c r="B3235" s="1366" t="s">
        <v>7310</v>
      </c>
      <c r="C3235" s="1017" t="s">
        <v>7311</v>
      </c>
      <c r="D3235" s="1017" t="s">
        <v>7152</v>
      </c>
      <c r="E3235" s="1018">
        <v>10322</v>
      </c>
      <c r="F3235" s="1017" t="s">
        <v>7154</v>
      </c>
      <c r="G3235" s="1018" t="s">
        <v>266</v>
      </c>
      <c r="H3235" s="1019">
        <v>50516</v>
      </c>
      <c r="I3235" s="1020" t="s">
        <v>6899</v>
      </c>
    </row>
    <row r="3236" spans="2:9" ht="15.75" x14ac:dyDescent="0.25">
      <c r="B3236" s="1366" t="s">
        <v>7310</v>
      </c>
      <c r="C3236" s="1017" t="s">
        <v>7311</v>
      </c>
      <c r="D3236" s="1017" t="s">
        <v>7152</v>
      </c>
      <c r="E3236" s="1018">
        <v>10323</v>
      </c>
      <c r="F3236" s="1017" t="s">
        <v>7155</v>
      </c>
      <c r="G3236" s="1018" t="s">
        <v>266</v>
      </c>
      <c r="H3236" s="1019">
        <v>43522</v>
      </c>
      <c r="I3236" s="1020" t="s">
        <v>6899</v>
      </c>
    </row>
    <row r="3237" spans="2:9" ht="15.75" x14ac:dyDescent="0.25">
      <c r="B3237" s="1366" t="s">
        <v>7310</v>
      </c>
      <c r="C3237" s="1017" t="s">
        <v>7311</v>
      </c>
      <c r="D3237" s="1017" t="s">
        <v>7152</v>
      </c>
      <c r="E3237" s="1018">
        <v>10324</v>
      </c>
      <c r="F3237" s="1017" t="s">
        <v>7156</v>
      </c>
      <c r="G3237" s="1018" t="s">
        <v>266</v>
      </c>
      <c r="H3237" s="1019">
        <v>189629</v>
      </c>
      <c r="I3237" s="1020" t="s">
        <v>6899</v>
      </c>
    </row>
    <row r="3238" spans="2:9" ht="15.75" x14ac:dyDescent="0.25">
      <c r="B3238" s="1366" t="s">
        <v>7310</v>
      </c>
      <c r="C3238" s="1017" t="s">
        <v>7311</v>
      </c>
      <c r="D3238" s="1017" t="s">
        <v>7152</v>
      </c>
      <c r="E3238" s="1018">
        <v>10325</v>
      </c>
      <c r="F3238" s="1017" t="s">
        <v>7157</v>
      </c>
      <c r="G3238" s="1018" t="s">
        <v>13</v>
      </c>
      <c r="H3238" s="1019">
        <v>132119</v>
      </c>
      <c r="I3238" s="1020" t="s">
        <v>6899</v>
      </c>
    </row>
    <row r="3239" spans="2:9" ht="15.75" x14ac:dyDescent="0.25">
      <c r="B3239" s="1366" t="s">
        <v>7310</v>
      </c>
      <c r="C3239" s="1017" t="s">
        <v>7311</v>
      </c>
      <c r="D3239" s="1017" t="s">
        <v>7152</v>
      </c>
      <c r="E3239" s="1018">
        <v>10326</v>
      </c>
      <c r="F3239" s="1017" t="s">
        <v>7158</v>
      </c>
      <c r="G3239" s="1018" t="s">
        <v>266</v>
      </c>
      <c r="H3239" s="1019">
        <v>1002546</v>
      </c>
      <c r="I3239" s="1020" t="s">
        <v>6899</v>
      </c>
    </row>
    <row r="3240" spans="2:9" ht="15.75" x14ac:dyDescent="0.25">
      <c r="B3240" s="1366" t="s">
        <v>7310</v>
      </c>
      <c r="C3240" s="1017" t="s">
        <v>7311</v>
      </c>
      <c r="D3240" s="1017" t="s">
        <v>7152</v>
      </c>
      <c r="E3240" s="1018">
        <v>10327</v>
      </c>
      <c r="F3240" s="1017" t="s">
        <v>7159</v>
      </c>
      <c r="G3240" s="1018" t="s">
        <v>266</v>
      </c>
      <c r="H3240" s="1019">
        <v>1002546</v>
      </c>
      <c r="I3240" s="1020" t="s">
        <v>6899</v>
      </c>
    </row>
    <row r="3241" spans="2:9" ht="15.75" x14ac:dyDescent="0.25">
      <c r="B3241" s="1366" t="s">
        <v>7310</v>
      </c>
      <c r="C3241" s="1017" t="s">
        <v>7311</v>
      </c>
      <c r="D3241" s="1017" t="s">
        <v>7152</v>
      </c>
      <c r="E3241" s="1018">
        <v>10328</v>
      </c>
      <c r="F3241" s="1017" t="s">
        <v>7160</v>
      </c>
      <c r="G3241" s="1018" t="s">
        <v>266</v>
      </c>
      <c r="H3241" s="1019">
        <v>1002546</v>
      </c>
      <c r="I3241" s="1020" t="s">
        <v>6899</v>
      </c>
    </row>
    <row r="3242" spans="2:9" ht="15.75" x14ac:dyDescent="0.25">
      <c r="B3242" s="1366" t="s">
        <v>7310</v>
      </c>
      <c r="C3242" s="1017" t="s">
        <v>7311</v>
      </c>
      <c r="D3242" s="1017" t="s">
        <v>7152</v>
      </c>
      <c r="E3242" s="1018">
        <v>10329</v>
      </c>
      <c r="F3242" s="1017" t="s">
        <v>7161</v>
      </c>
      <c r="G3242" s="1018" t="s">
        <v>266</v>
      </c>
      <c r="H3242" s="1019">
        <v>1381404</v>
      </c>
      <c r="I3242" s="1020" t="s">
        <v>6899</v>
      </c>
    </row>
    <row r="3243" spans="2:9" ht="15.75" x14ac:dyDescent="0.25">
      <c r="B3243" s="1366" t="s">
        <v>7310</v>
      </c>
      <c r="C3243" s="1017" t="s">
        <v>7311</v>
      </c>
      <c r="D3243" s="1017" t="s">
        <v>7152</v>
      </c>
      <c r="E3243" s="1018">
        <v>10330</v>
      </c>
      <c r="F3243" s="1017" t="s">
        <v>7162</v>
      </c>
      <c r="G3243" s="1018" t="s">
        <v>266</v>
      </c>
      <c r="H3243" s="1019">
        <v>1002546</v>
      </c>
      <c r="I3243" s="1020" t="s">
        <v>6899</v>
      </c>
    </row>
    <row r="3244" spans="2:9" ht="15.75" x14ac:dyDescent="0.25">
      <c r="B3244" s="1366" t="s">
        <v>7310</v>
      </c>
      <c r="C3244" s="1017" t="s">
        <v>7311</v>
      </c>
      <c r="D3244" s="1017" t="s">
        <v>7152</v>
      </c>
      <c r="E3244" s="1018">
        <v>10331</v>
      </c>
      <c r="F3244" s="1017" t="s">
        <v>7163</v>
      </c>
      <c r="G3244" s="1018" t="s">
        <v>266</v>
      </c>
      <c r="H3244" s="1019">
        <v>2609649</v>
      </c>
      <c r="I3244" s="1020" t="s">
        <v>6899</v>
      </c>
    </row>
    <row r="3245" spans="2:9" ht="15.75" x14ac:dyDescent="0.25">
      <c r="B3245" s="1366" t="s">
        <v>7310</v>
      </c>
      <c r="C3245" s="1017" t="s">
        <v>7311</v>
      </c>
      <c r="D3245" s="1017" t="s">
        <v>7152</v>
      </c>
      <c r="E3245" s="1018">
        <v>10332</v>
      </c>
      <c r="F3245" s="1017" t="s">
        <v>7164</v>
      </c>
      <c r="G3245" s="1018" t="s">
        <v>266</v>
      </c>
      <c r="H3245" s="1019">
        <v>2969601</v>
      </c>
      <c r="I3245" s="1020" t="s">
        <v>6899</v>
      </c>
    </row>
    <row r="3246" spans="2:9" ht="15.75" x14ac:dyDescent="0.25">
      <c r="B3246" s="1366" t="s">
        <v>7310</v>
      </c>
      <c r="C3246" s="1017" t="s">
        <v>7311</v>
      </c>
      <c r="D3246" s="1017" t="s">
        <v>7152</v>
      </c>
      <c r="E3246" s="1018">
        <v>10333</v>
      </c>
      <c r="F3246" s="1017" t="s">
        <v>7165</v>
      </c>
      <c r="G3246" s="1018" t="s">
        <v>266</v>
      </c>
      <c r="H3246" s="1019">
        <v>2875522</v>
      </c>
      <c r="I3246" s="1020" t="s">
        <v>6899</v>
      </c>
    </row>
    <row r="3247" spans="2:9" ht="15.75" x14ac:dyDescent="0.25">
      <c r="B3247" s="1366" t="s">
        <v>7310</v>
      </c>
      <c r="C3247" s="1017" t="s">
        <v>7311</v>
      </c>
      <c r="D3247" s="1017" t="s">
        <v>7152</v>
      </c>
      <c r="E3247" s="1018">
        <v>10334</v>
      </c>
      <c r="F3247" s="1017" t="s">
        <v>7166</v>
      </c>
      <c r="G3247" s="1018" t="s">
        <v>266</v>
      </c>
      <c r="H3247" s="1019">
        <v>3509528</v>
      </c>
      <c r="I3247" s="1020" t="s">
        <v>6899</v>
      </c>
    </row>
    <row r="3248" spans="2:9" ht="15.75" x14ac:dyDescent="0.25">
      <c r="B3248" s="1366" t="s">
        <v>7310</v>
      </c>
      <c r="C3248" s="1017" t="s">
        <v>7311</v>
      </c>
      <c r="D3248" s="1017" t="s">
        <v>7152</v>
      </c>
      <c r="E3248" s="1018">
        <v>10335</v>
      </c>
      <c r="F3248" s="1017" t="s">
        <v>7167</v>
      </c>
      <c r="G3248" s="1018" t="s">
        <v>266</v>
      </c>
      <c r="H3248" s="1019">
        <v>10414054</v>
      </c>
      <c r="I3248" s="1020" t="s">
        <v>6899</v>
      </c>
    </row>
    <row r="3249" spans="2:9" ht="15.75" x14ac:dyDescent="0.25">
      <c r="B3249" s="1366" t="s">
        <v>7310</v>
      </c>
      <c r="C3249" s="1017" t="s">
        <v>7311</v>
      </c>
      <c r="D3249" s="1017" t="s">
        <v>7152</v>
      </c>
      <c r="E3249" s="1018">
        <v>10336</v>
      </c>
      <c r="F3249" s="1017" t="s">
        <v>7168</v>
      </c>
      <c r="G3249" s="1018" t="s">
        <v>266</v>
      </c>
      <c r="H3249" s="1019">
        <v>13289577</v>
      </c>
      <c r="I3249" s="1020" t="s">
        <v>6899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5"/>
  <dimension ref="A1:Y57"/>
  <sheetViews>
    <sheetView workbookViewId="0"/>
  </sheetViews>
  <sheetFormatPr baseColWidth="10" defaultColWidth="11.5703125" defaultRowHeight="15" x14ac:dyDescent="0.25"/>
  <cols>
    <col min="1" max="1" width="54.28515625" customWidth="1"/>
    <col min="2" max="2" width="10.85546875" bestFit="1" customWidth="1"/>
    <col min="3" max="3" width="36.5703125" style="267" customWidth="1"/>
    <col min="4" max="4" width="13.85546875" style="267" bestFit="1" customWidth="1"/>
    <col min="5" max="5" width="16.85546875" style="267" bestFit="1" customWidth="1"/>
    <col min="6" max="6" width="7.28515625" style="267" bestFit="1" customWidth="1"/>
    <col min="7" max="7" width="16.85546875" style="267" bestFit="1" customWidth="1"/>
    <col min="8" max="8" width="7.28515625" style="267" bestFit="1" customWidth="1"/>
    <col min="9" max="9" width="15.5703125" style="267" bestFit="1" customWidth="1"/>
    <col min="10" max="10" width="7.28515625" style="267" bestFit="1" customWidth="1"/>
    <col min="11" max="11" width="15.5703125" style="267" bestFit="1" customWidth="1"/>
    <col min="12" max="12" width="7.28515625" style="267" bestFit="1" customWidth="1"/>
    <col min="13" max="13" width="15.5703125" style="267" bestFit="1" customWidth="1"/>
    <col min="14" max="14" width="7.28515625" style="267" bestFit="1" customWidth="1"/>
    <col min="15" max="15" width="15.5703125" style="267" bestFit="1" customWidth="1"/>
    <col min="16" max="16" width="7.28515625" style="267" bestFit="1" customWidth="1"/>
    <col min="17" max="17" width="15.5703125" style="267" bestFit="1" customWidth="1"/>
    <col min="18" max="18" width="7.28515625" style="267" bestFit="1" customWidth="1"/>
    <col min="19" max="19" width="15.5703125" style="267" bestFit="1" customWidth="1"/>
    <col min="20" max="20" width="7.28515625" style="267" bestFit="1" customWidth="1"/>
    <col min="22" max="22" width="2" bestFit="1" customWidth="1"/>
    <col min="23" max="23" width="13.85546875" bestFit="1" customWidth="1"/>
    <col min="24" max="24" width="16.5703125" customWidth="1"/>
    <col min="25" max="25" width="10.85546875" bestFit="1" customWidth="1"/>
    <col min="257" max="257" width="51" customWidth="1"/>
    <col min="258" max="258" width="10.85546875" bestFit="1" customWidth="1"/>
    <col min="259" max="259" width="36.5703125" customWidth="1"/>
    <col min="260" max="260" width="7.28515625" bestFit="1" customWidth="1"/>
    <col min="261" max="261" width="15.5703125" bestFit="1" customWidth="1"/>
    <col min="262" max="262" width="7.28515625" bestFit="1" customWidth="1"/>
    <col min="263" max="263" width="15.5703125" bestFit="1" customWidth="1"/>
    <col min="264" max="264" width="7.28515625" bestFit="1" customWidth="1"/>
    <col min="265" max="265" width="15.5703125" bestFit="1" customWidth="1"/>
    <col min="266" max="266" width="7.28515625" bestFit="1" customWidth="1"/>
    <col min="267" max="267" width="15.5703125" bestFit="1" customWidth="1"/>
    <col min="268" max="268" width="7.28515625" bestFit="1" customWidth="1"/>
    <col min="269" max="269" width="15.5703125" bestFit="1" customWidth="1"/>
    <col min="270" max="270" width="7.28515625" bestFit="1" customWidth="1"/>
    <col min="271" max="271" width="15.5703125" bestFit="1" customWidth="1"/>
    <col min="272" max="272" width="7.28515625" bestFit="1" customWidth="1"/>
    <col min="273" max="273" width="15.5703125" bestFit="1" customWidth="1"/>
    <col min="274" max="274" width="7.28515625" bestFit="1" customWidth="1"/>
    <col min="275" max="275" width="15.5703125" bestFit="1" customWidth="1"/>
    <col min="276" max="276" width="7.28515625" bestFit="1" customWidth="1"/>
    <col min="278" max="278" width="2" bestFit="1" customWidth="1"/>
    <col min="279" max="279" width="13.85546875" bestFit="1" customWidth="1"/>
    <col min="280" max="280" width="16.5703125" customWidth="1"/>
    <col min="281" max="281" width="10.85546875" bestFit="1" customWidth="1"/>
    <col min="513" max="513" width="51" customWidth="1"/>
    <col min="514" max="514" width="10.85546875" bestFit="1" customWidth="1"/>
    <col min="515" max="515" width="36.5703125" customWidth="1"/>
    <col min="516" max="516" width="7.28515625" bestFit="1" customWidth="1"/>
    <col min="517" max="517" width="15.5703125" bestFit="1" customWidth="1"/>
    <col min="518" max="518" width="7.28515625" bestFit="1" customWidth="1"/>
    <col min="519" max="519" width="15.5703125" bestFit="1" customWidth="1"/>
    <col min="520" max="520" width="7.28515625" bestFit="1" customWidth="1"/>
    <col min="521" max="521" width="15.5703125" bestFit="1" customWidth="1"/>
    <col min="522" max="522" width="7.28515625" bestFit="1" customWidth="1"/>
    <col min="523" max="523" width="15.5703125" bestFit="1" customWidth="1"/>
    <col min="524" max="524" width="7.28515625" bestFit="1" customWidth="1"/>
    <col min="525" max="525" width="15.5703125" bestFit="1" customWidth="1"/>
    <col min="526" max="526" width="7.28515625" bestFit="1" customWidth="1"/>
    <col min="527" max="527" width="15.5703125" bestFit="1" customWidth="1"/>
    <col min="528" max="528" width="7.28515625" bestFit="1" customWidth="1"/>
    <col min="529" max="529" width="15.5703125" bestFit="1" customWidth="1"/>
    <col min="530" max="530" width="7.28515625" bestFit="1" customWidth="1"/>
    <col min="531" max="531" width="15.5703125" bestFit="1" customWidth="1"/>
    <col min="532" max="532" width="7.28515625" bestFit="1" customWidth="1"/>
    <col min="534" max="534" width="2" bestFit="1" customWidth="1"/>
    <col min="535" max="535" width="13.85546875" bestFit="1" customWidth="1"/>
    <col min="536" max="536" width="16.5703125" customWidth="1"/>
    <col min="537" max="537" width="10.85546875" bestFit="1" customWidth="1"/>
    <col min="769" max="769" width="51" customWidth="1"/>
    <col min="770" max="770" width="10.85546875" bestFit="1" customWidth="1"/>
    <col min="771" max="771" width="36.5703125" customWidth="1"/>
    <col min="772" max="772" width="7.28515625" bestFit="1" customWidth="1"/>
    <col min="773" max="773" width="15.5703125" bestFit="1" customWidth="1"/>
    <col min="774" max="774" width="7.28515625" bestFit="1" customWidth="1"/>
    <col min="775" max="775" width="15.5703125" bestFit="1" customWidth="1"/>
    <col min="776" max="776" width="7.28515625" bestFit="1" customWidth="1"/>
    <col min="777" max="777" width="15.5703125" bestFit="1" customWidth="1"/>
    <col min="778" max="778" width="7.28515625" bestFit="1" customWidth="1"/>
    <col min="779" max="779" width="15.5703125" bestFit="1" customWidth="1"/>
    <col min="780" max="780" width="7.28515625" bestFit="1" customWidth="1"/>
    <col min="781" max="781" width="15.5703125" bestFit="1" customWidth="1"/>
    <col min="782" max="782" width="7.28515625" bestFit="1" customWidth="1"/>
    <col min="783" max="783" width="15.5703125" bestFit="1" customWidth="1"/>
    <col min="784" max="784" width="7.28515625" bestFit="1" customWidth="1"/>
    <col min="785" max="785" width="15.5703125" bestFit="1" customWidth="1"/>
    <col min="786" max="786" width="7.28515625" bestFit="1" customWidth="1"/>
    <col min="787" max="787" width="15.5703125" bestFit="1" customWidth="1"/>
    <col min="788" max="788" width="7.28515625" bestFit="1" customWidth="1"/>
    <col min="790" max="790" width="2" bestFit="1" customWidth="1"/>
    <col min="791" max="791" width="13.85546875" bestFit="1" customWidth="1"/>
    <col min="792" max="792" width="16.5703125" customWidth="1"/>
    <col min="793" max="793" width="10.85546875" bestFit="1" customWidth="1"/>
    <col min="1025" max="1025" width="51" customWidth="1"/>
    <col min="1026" max="1026" width="10.85546875" bestFit="1" customWidth="1"/>
    <col min="1027" max="1027" width="36.5703125" customWidth="1"/>
    <col min="1028" max="1028" width="7.28515625" bestFit="1" customWidth="1"/>
    <col min="1029" max="1029" width="15.5703125" bestFit="1" customWidth="1"/>
    <col min="1030" max="1030" width="7.28515625" bestFit="1" customWidth="1"/>
    <col min="1031" max="1031" width="15.5703125" bestFit="1" customWidth="1"/>
    <col min="1032" max="1032" width="7.28515625" bestFit="1" customWidth="1"/>
    <col min="1033" max="1033" width="15.5703125" bestFit="1" customWidth="1"/>
    <col min="1034" max="1034" width="7.28515625" bestFit="1" customWidth="1"/>
    <col min="1035" max="1035" width="15.5703125" bestFit="1" customWidth="1"/>
    <col min="1036" max="1036" width="7.28515625" bestFit="1" customWidth="1"/>
    <col min="1037" max="1037" width="15.5703125" bestFit="1" customWidth="1"/>
    <col min="1038" max="1038" width="7.28515625" bestFit="1" customWidth="1"/>
    <col min="1039" max="1039" width="15.5703125" bestFit="1" customWidth="1"/>
    <col min="1040" max="1040" width="7.28515625" bestFit="1" customWidth="1"/>
    <col min="1041" max="1041" width="15.5703125" bestFit="1" customWidth="1"/>
    <col min="1042" max="1042" width="7.28515625" bestFit="1" customWidth="1"/>
    <col min="1043" max="1043" width="15.5703125" bestFit="1" customWidth="1"/>
    <col min="1044" max="1044" width="7.28515625" bestFit="1" customWidth="1"/>
    <col min="1046" max="1046" width="2" bestFit="1" customWidth="1"/>
    <col min="1047" max="1047" width="13.85546875" bestFit="1" customWidth="1"/>
    <col min="1048" max="1048" width="16.5703125" customWidth="1"/>
    <col min="1049" max="1049" width="10.85546875" bestFit="1" customWidth="1"/>
    <col min="1281" max="1281" width="51" customWidth="1"/>
    <col min="1282" max="1282" width="10.85546875" bestFit="1" customWidth="1"/>
    <col min="1283" max="1283" width="36.5703125" customWidth="1"/>
    <col min="1284" max="1284" width="7.28515625" bestFit="1" customWidth="1"/>
    <col min="1285" max="1285" width="15.5703125" bestFit="1" customWidth="1"/>
    <col min="1286" max="1286" width="7.28515625" bestFit="1" customWidth="1"/>
    <col min="1287" max="1287" width="15.5703125" bestFit="1" customWidth="1"/>
    <col min="1288" max="1288" width="7.28515625" bestFit="1" customWidth="1"/>
    <col min="1289" max="1289" width="15.5703125" bestFit="1" customWidth="1"/>
    <col min="1290" max="1290" width="7.28515625" bestFit="1" customWidth="1"/>
    <col min="1291" max="1291" width="15.5703125" bestFit="1" customWidth="1"/>
    <col min="1292" max="1292" width="7.28515625" bestFit="1" customWidth="1"/>
    <col min="1293" max="1293" width="15.5703125" bestFit="1" customWidth="1"/>
    <col min="1294" max="1294" width="7.28515625" bestFit="1" customWidth="1"/>
    <col min="1295" max="1295" width="15.5703125" bestFit="1" customWidth="1"/>
    <col min="1296" max="1296" width="7.28515625" bestFit="1" customWidth="1"/>
    <col min="1297" max="1297" width="15.5703125" bestFit="1" customWidth="1"/>
    <col min="1298" max="1298" width="7.28515625" bestFit="1" customWidth="1"/>
    <col min="1299" max="1299" width="15.5703125" bestFit="1" customWidth="1"/>
    <col min="1300" max="1300" width="7.28515625" bestFit="1" customWidth="1"/>
    <col min="1302" max="1302" width="2" bestFit="1" customWidth="1"/>
    <col min="1303" max="1303" width="13.85546875" bestFit="1" customWidth="1"/>
    <col min="1304" max="1304" width="16.5703125" customWidth="1"/>
    <col min="1305" max="1305" width="10.85546875" bestFit="1" customWidth="1"/>
    <col min="1537" max="1537" width="51" customWidth="1"/>
    <col min="1538" max="1538" width="10.85546875" bestFit="1" customWidth="1"/>
    <col min="1539" max="1539" width="36.5703125" customWidth="1"/>
    <col min="1540" max="1540" width="7.28515625" bestFit="1" customWidth="1"/>
    <col min="1541" max="1541" width="15.5703125" bestFit="1" customWidth="1"/>
    <col min="1542" max="1542" width="7.28515625" bestFit="1" customWidth="1"/>
    <col min="1543" max="1543" width="15.5703125" bestFit="1" customWidth="1"/>
    <col min="1544" max="1544" width="7.28515625" bestFit="1" customWidth="1"/>
    <col min="1545" max="1545" width="15.5703125" bestFit="1" customWidth="1"/>
    <col min="1546" max="1546" width="7.28515625" bestFit="1" customWidth="1"/>
    <col min="1547" max="1547" width="15.5703125" bestFit="1" customWidth="1"/>
    <col min="1548" max="1548" width="7.28515625" bestFit="1" customWidth="1"/>
    <col min="1549" max="1549" width="15.5703125" bestFit="1" customWidth="1"/>
    <col min="1550" max="1550" width="7.28515625" bestFit="1" customWidth="1"/>
    <col min="1551" max="1551" width="15.5703125" bestFit="1" customWidth="1"/>
    <col min="1552" max="1552" width="7.28515625" bestFit="1" customWidth="1"/>
    <col min="1553" max="1553" width="15.5703125" bestFit="1" customWidth="1"/>
    <col min="1554" max="1554" width="7.28515625" bestFit="1" customWidth="1"/>
    <col min="1555" max="1555" width="15.5703125" bestFit="1" customWidth="1"/>
    <col min="1556" max="1556" width="7.28515625" bestFit="1" customWidth="1"/>
    <col min="1558" max="1558" width="2" bestFit="1" customWidth="1"/>
    <col min="1559" max="1559" width="13.85546875" bestFit="1" customWidth="1"/>
    <col min="1560" max="1560" width="16.5703125" customWidth="1"/>
    <col min="1561" max="1561" width="10.85546875" bestFit="1" customWidth="1"/>
    <col min="1793" max="1793" width="51" customWidth="1"/>
    <col min="1794" max="1794" width="10.85546875" bestFit="1" customWidth="1"/>
    <col min="1795" max="1795" width="36.5703125" customWidth="1"/>
    <col min="1796" max="1796" width="7.28515625" bestFit="1" customWidth="1"/>
    <col min="1797" max="1797" width="15.5703125" bestFit="1" customWidth="1"/>
    <col min="1798" max="1798" width="7.28515625" bestFit="1" customWidth="1"/>
    <col min="1799" max="1799" width="15.5703125" bestFit="1" customWidth="1"/>
    <col min="1800" max="1800" width="7.28515625" bestFit="1" customWidth="1"/>
    <col min="1801" max="1801" width="15.5703125" bestFit="1" customWidth="1"/>
    <col min="1802" max="1802" width="7.28515625" bestFit="1" customWidth="1"/>
    <col min="1803" max="1803" width="15.5703125" bestFit="1" customWidth="1"/>
    <col min="1804" max="1804" width="7.28515625" bestFit="1" customWidth="1"/>
    <col min="1805" max="1805" width="15.5703125" bestFit="1" customWidth="1"/>
    <col min="1806" max="1806" width="7.28515625" bestFit="1" customWidth="1"/>
    <col min="1807" max="1807" width="15.5703125" bestFit="1" customWidth="1"/>
    <col min="1808" max="1808" width="7.28515625" bestFit="1" customWidth="1"/>
    <col min="1809" max="1809" width="15.5703125" bestFit="1" customWidth="1"/>
    <col min="1810" max="1810" width="7.28515625" bestFit="1" customWidth="1"/>
    <col min="1811" max="1811" width="15.5703125" bestFit="1" customWidth="1"/>
    <col min="1812" max="1812" width="7.28515625" bestFit="1" customWidth="1"/>
    <col min="1814" max="1814" width="2" bestFit="1" customWidth="1"/>
    <col min="1815" max="1815" width="13.85546875" bestFit="1" customWidth="1"/>
    <col min="1816" max="1816" width="16.5703125" customWidth="1"/>
    <col min="1817" max="1817" width="10.85546875" bestFit="1" customWidth="1"/>
    <col min="2049" max="2049" width="51" customWidth="1"/>
    <col min="2050" max="2050" width="10.85546875" bestFit="1" customWidth="1"/>
    <col min="2051" max="2051" width="36.5703125" customWidth="1"/>
    <col min="2052" max="2052" width="7.28515625" bestFit="1" customWidth="1"/>
    <col min="2053" max="2053" width="15.5703125" bestFit="1" customWidth="1"/>
    <col min="2054" max="2054" width="7.28515625" bestFit="1" customWidth="1"/>
    <col min="2055" max="2055" width="15.5703125" bestFit="1" customWidth="1"/>
    <col min="2056" max="2056" width="7.28515625" bestFit="1" customWidth="1"/>
    <col min="2057" max="2057" width="15.5703125" bestFit="1" customWidth="1"/>
    <col min="2058" max="2058" width="7.28515625" bestFit="1" customWidth="1"/>
    <col min="2059" max="2059" width="15.5703125" bestFit="1" customWidth="1"/>
    <col min="2060" max="2060" width="7.28515625" bestFit="1" customWidth="1"/>
    <col min="2061" max="2061" width="15.5703125" bestFit="1" customWidth="1"/>
    <col min="2062" max="2062" width="7.28515625" bestFit="1" customWidth="1"/>
    <col min="2063" max="2063" width="15.5703125" bestFit="1" customWidth="1"/>
    <col min="2064" max="2064" width="7.28515625" bestFit="1" customWidth="1"/>
    <col min="2065" max="2065" width="15.5703125" bestFit="1" customWidth="1"/>
    <col min="2066" max="2066" width="7.28515625" bestFit="1" customWidth="1"/>
    <col min="2067" max="2067" width="15.5703125" bestFit="1" customWidth="1"/>
    <col min="2068" max="2068" width="7.28515625" bestFit="1" customWidth="1"/>
    <col min="2070" max="2070" width="2" bestFit="1" customWidth="1"/>
    <col min="2071" max="2071" width="13.85546875" bestFit="1" customWidth="1"/>
    <col min="2072" max="2072" width="16.5703125" customWidth="1"/>
    <col min="2073" max="2073" width="10.85546875" bestFit="1" customWidth="1"/>
    <col min="2305" max="2305" width="51" customWidth="1"/>
    <col min="2306" max="2306" width="10.85546875" bestFit="1" customWidth="1"/>
    <col min="2307" max="2307" width="36.5703125" customWidth="1"/>
    <col min="2308" max="2308" width="7.28515625" bestFit="1" customWidth="1"/>
    <col min="2309" max="2309" width="15.5703125" bestFit="1" customWidth="1"/>
    <col min="2310" max="2310" width="7.28515625" bestFit="1" customWidth="1"/>
    <col min="2311" max="2311" width="15.5703125" bestFit="1" customWidth="1"/>
    <col min="2312" max="2312" width="7.28515625" bestFit="1" customWidth="1"/>
    <col min="2313" max="2313" width="15.5703125" bestFit="1" customWidth="1"/>
    <col min="2314" max="2314" width="7.28515625" bestFit="1" customWidth="1"/>
    <col min="2315" max="2315" width="15.5703125" bestFit="1" customWidth="1"/>
    <col min="2316" max="2316" width="7.28515625" bestFit="1" customWidth="1"/>
    <col min="2317" max="2317" width="15.5703125" bestFit="1" customWidth="1"/>
    <col min="2318" max="2318" width="7.28515625" bestFit="1" customWidth="1"/>
    <col min="2319" max="2319" width="15.5703125" bestFit="1" customWidth="1"/>
    <col min="2320" max="2320" width="7.28515625" bestFit="1" customWidth="1"/>
    <col min="2321" max="2321" width="15.5703125" bestFit="1" customWidth="1"/>
    <col min="2322" max="2322" width="7.28515625" bestFit="1" customWidth="1"/>
    <col min="2323" max="2323" width="15.5703125" bestFit="1" customWidth="1"/>
    <col min="2324" max="2324" width="7.28515625" bestFit="1" customWidth="1"/>
    <col min="2326" max="2326" width="2" bestFit="1" customWidth="1"/>
    <col min="2327" max="2327" width="13.85546875" bestFit="1" customWidth="1"/>
    <col min="2328" max="2328" width="16.5703125" customWidth="1"/>
    <col min="2329" max="2329" width="10.85546875" bestFit="1" customWidth="1"/>
    <col min="2561" max="2561" width="51" customWidth="1"/>
    <col min="2562" max="2562" width="10.85546875" bestFit="1" customWidth="1"/>
    <col min="2563" max="2563" width="36.5703125" customWidth="1"/>
    <col min="2564" max="2564" width="7.28515625" bestFit="1" customWidth="1"/>
    <col min="2565" max="2565" width="15.5703125" bestFit="1" customWidth="1"/>
    <col min="2566" max="2566" width="7.28515625" bestFit="1" customWidth="1"/>
    <col min="2567" max="2567" width="15.5703125" bestFit="1" customWidth="1"/>
    <col min="2568" max="2568" width="7.28515625" bestFit="1" customWidth="1"/>
    <col min="2569" max="2569" width="15.5703125" bestFit="1" customWidth="1"/>
    <col min="2570" max="2570" width="7.28515625" bestFit="1" customWidth="1"/>
    <col min="2571" max="2571" width="15.5703125" bestFit="1" customWidth="1"/>
    <col min="2572" max="2572" width="7.28515625" bestFit="1" customWidth="1"/>
    <col min="2573" max="2573" width="15.5703125" bestFit="1" customWidth="1"/>
    <col min="2574" max="2574" width="7.28515625" bestFit="1" customWidth="1"/>
    <col min="2575" max="2575" width="15.5703125" bestFit="1" customWidth="1"/>
    <col min="2576" max="2576" width="7.28515625" bestFit="1" customWidth="1"/>
    <col min="2577" max="2577" width="15.5703125" bestFit="1" customWidth="1"/>
    <col min="2578" max="2578" width="7.28515625" bestFit="1" customWidth="1"/>
    <col min="2579" max="2579" width="15.5703125" bestFit="1" customWidth="1"/>
    <col min="2580" max="2580" width="7.28515625" bestFit="1" customWidth="1"/>
    <col min="2582" max="2582" width="2" bestFit="1" customWidth="1"/>
    <col min="2583" max="2583" width="13.85546875" bestFit="1" customWidth="1"/>
    <col min="2584" max="2584" width="16.5703125" customWidth="1"/>
    <col min="2585" max="2585" width="10.85546875" bestFit="1" customWidth="1"/>
    <col min="2817" max="2817" width="51" customWidth="1"/>
    <col min="2818" max="2818" width="10.85546875" bestFit="1" customWidth="1"/>
    <col min="2819" max="2819" width="36.5703125" customWidth="1"/>
    <col min="2820" max="2820" width="7.28515625" bestFit="1" customWidth="1"/>
    <col min="2821" max="2821" width="15.5703125" bestFit="1" customWidth="1"/>
    <col min="2822" max="2822" width="7.28515625" bestFit="1" customWidth="1"/>
    <col min="2823" max="2823" width="15.5703125" bestFit="1" customWidth="1"/>
    <col min="2824" max="2824" width="7.28515625" bestFit="1" customWidth="1"/>
    <col min="2825" max="2825" width="15.5703125" bestFit="1" customWidth="1"/>
    <col min="2826" max="2826" width="7.28515625" bestFit="1" customWidth="1"/>
    <col min="2827" max="2827" width="15.5703125" bestFit="1" customWidth="1"/>
    <col min="2828" max="2828" width="7.28515625" bestFit="1" customWidth="1"/>
    <col min="2829" max="2829" width="15.5703125" bestFit="1" customWidth="1"/>
    <col min="2830" max="2830" width="7.28515625" bestFit="1" customWidth="1"/>
    <col min="2831" max="2831" width="15.5703125" bestFit="1" customWidth="1"/>
    <col min="2832" max="2832" width="7.28515625" bestFit="1" customWidth="1"/>
    <col min="2833" max="2833" width="15.5703125" bestFit="1" customWidth="1"/>
    <col min="2834" max="2834" width="7.28515625" bestFit="1" customWidth="1"/>
    <col min="2835" max="2835" width="15.5703125" bestFit="1" customWidth="1"/>
    <col min="2836" max="2836" width="7.28515625" bestFit="1" customWidth="1"/>
    <col min="2838" max="2838" width="2" bestFit="1" customWidth="1"/>
    <col min="2839" max="2839" width="13.85546875" bestFit="1" customWidth="1"/>
    <col min="2840" max="2840" width="16.5703125" customWidth="1"/>
    <col min="2841" max="2841" width="10.85546875" bestFit="1" customWidth="1"/>
    <col min="3073" max="3073" width="51" customWidth="1"/>
    <col min="3074" max="3074" width="10.85546875" bestFit="1" customWidth="1"/>
    <col min="3075" max="3075" width="36.5703125" customWidth="1"/>
    <col min="3076" max="3076" width="7.28515625" bestFit="1" customWidth="1"/>
    <col min="3077" max="3077" width="15.5703125" bestFit="1" customWidth="1"/>
    <col min="3078" max="3078" width="7.28515625" bestFit="1" customWidth="1"/>
    <col min="3079" max="3079" width="15.5703125" bestFit="1" customWidth="1"/>
    <col min="3080" max="3080" width="7.28515625" bestFit="1" customWidth="1"/>
    <col min="3081" max="3081" width="15.5703125" bestFit="1" customWidth="1"/>
    <col min="3082" max="3082" width="7.28515625" bestFit="1" customWidth="1"/>
    <col min="3083" max="3083" width="15.5703125" bestFit="1" customWidth="1"/>
    <col min="3084" max="3084" width="7.28515625" bestFit="1" customWidth="1"/>
    <col min="3085" max="3085" width="15.5703125" bestFit="1" customWidth="1"/>
    <col min="3086" max="3086" width="7.28515625" bestFit="1" customWidth="1"/>
    <col min="3087" max="3087" width="15.5703125" bestFit="1" customWidth="1"/>
    <col min="3088" max="3088" width="7.28515625" bestFit="1" customWidth="1"/>
    <col min="3089" max="3089" width="15.5703125" bestFit="1" customWidth="1"/>
    <col min="3090" max="3090" width="7.28515625" bestFit="1" customWidth="1"/>
    <col min="3091" max="3091" width="15.5703125" bestFit="1" customWidth="1"/>
    <col min="3092" max="3092" width="7.28515625" bestFit="1" customWidth="1"/>
    <col min="3094" max="3094" width="2" bestFit="1" customWidth="1"/>
    <col min="3095" max="3095" width="13.85546875" bestFit="1" customWidth="1"/>
    <col min="3096" max="3096" width="16.5703125" customWidth="1"/>
    <col min="3097" max="3097" width="10.85546875" bestFit="1" customWidth="1"/>
    <col min="3329" max="3329" width="51" customWidth="1"/>
    <col min="3330" max="3330" width="10.85546875" bestFit="1" customWidth="1"/>
    <col min="3331" max="3331" width="36.5703125" customWidth="1"/>
    <col min="3332" max="3332" width="7.28515625" bestFit="1" customWidth="1"/>
    <col min="3333" max="3333" width="15.5703125" bestFit="1" customWidth="1"/>
    <col min="3334" max="3334" width="7.28515625" bestFit="1" customWidth="1"/>
    <col min="3335" max="3335" width="15.5703125" bestFit="1" customWidth="1"/>
    <col min="3336" max="3336" width="7.28515625" bestFit="1" customWidth="1"/>
    <col min="3337" max="3337" width="15.5703125" bestFit="1" customWidth="1"/>
    <col min="3338" max="3338" width="7.28515625" bestFit="1" customWidth="1"/>
    <col min="3339" max="3339" width="15.5703125" bestFit="1" customWidth="1"/>
    <col min="3340" max="3340" width="7.28515625" bestFit="1" customWidth="1"/>
    <col min="3341" max="3341" width="15.5703125" bestFit="1" customWidth="1"/>
    <col min="3342" max="3342" width="7.28515625" bestFit="1" customWidth="1"/>
    <col min="3343" max="3343" width="15.5703125" bestFit="1" customWidth="1"/>
    <col min="3344" max="3344" width="7.28515625" bestFit="1" customWidth="1"/>
    <col min="3345" max="3345" width="15.5703125" bestFit="1" customWidth="1"/>
    <col min="3346" max="3346" width="7.28515625" bestFit="1" customWidth="1"/>
    <col min="3347" max="3347" width="15.5703125" bestFit="1" customWidth="1"/>
    <col min="3348" max="3348" width="7.28515625" bestFit="1" customWidth="1"/>
    <col min="3350" max="3350" width="2" bestFit="1" customWidth="1"/>
    <col min="3351" max="3351" width="13.85546875" bestFit="1" customWidth="1"/>
    <col min="3352" max="3352" width="16.5703125" customWidth="1"/>
    <col min="3353" max="3353" width="10.85546875" bestFit="1" customWidth="1"/>
    <col min="3585" max="3585" width="51" customWidth="1"/>
    <col min="3586" max="3586" width="10.85546875" bestFit="1" customWidth="1"/>
    <col min="3587" max="3587" width="36.5703125" customWidth="1"/>
    <col min="3588" max="3588" width="7.28515625" bestFit="1" customWidth="1"/>
    <col min="3589" max="3589" width="15.5703125" bestFit="1" customWidth="1"/>
    <col min="3590" max="3590" width="7.28515625" bestFit="1" customWidth="1"/>
    <col min="3591" max="3591" width="15.5703125" bestFit="1" customWidth="1"/>
    <col min="3592" max="3592" width="7.28515625" bestFit="1" customWidth="1"/>
    <col min="3593" max="3593" width="15.5703125" bestFit="1" customWidth="1"/>
    <col min="3594" max="3594" width="7.28515625" bestFit="1" customWidth="1"/>
    <col min="3595" max="3595" width="15.5703125" bestFit="1" customWidth="1"/>
    <col min="3596" max="3596" width="7.28515625" bestFit="1" customWidth="1"/>
    <col min="3597" max="3597" width="15.5703125" bestFit="1" customWidth="1"/>
    <col min="3598" max="3598" width="7.28515625" bestFit="1" customWidth="1"/>
    <col min="3599" max="3599" width="15.5703125" bestFit="1" customWidth="1"/>
    <col min="3600" max="3600" width="7.28515625" bestFit="1" customWidth="1"/>
    <col min="3601" max="3601" width="15.5703125" bestFit="1" customWidth="1"/>
    <col min="3602" max="3602" width="7.28515625" bestFit="1" customWidth="1"/>
    <col min="3603" max="3603" width="15.5703125" bestFit="1" customWidth="1"/>
    <col min="3604" max="3604" width="7.28515625" bestFit="1" customWidth="1"/>
    <col min="3606" max="3606" width="2" bestFit="1" customWidth="1"/>
    <col min="3607" max="3607" width="13.85546875" bestFit="1" customWidth="1"/>
    <col min="3608" max="3608" width="16.5703125" customWidth="1"/>
    <col min="3609" max="3609" width="10.85546875" bestFit="1" customWidth="1"/>
    <col min="3841" max="3841" width="51" customWidth="1"/>
    <col min="3842" max="3842" width="10.85546875" bestFit="1" customWidth="1"/>
    <col min="3843" max="3843" width="36.5703125" customWidth="1"/>
    <col min="3844" max="3844" width="7.28515625" bestFit="1" customWidth="1"/>
    <col min="3845" max="3845" width="15.5703125" bestFit="1" customWidth="1"/>
    <col min="3846" max="3846" width="7.28515625" bestFit="1" customWidth="1"/>
    <col min="3847" max="3847" width="15.5703125" bestFit="1" customWidth="1"/>
    <col min="3848" max="3848" width="7.28515625" bestFit="1" customWidth="1"/>
    <col min="3849" max="3849" width="15.5703125" bestFit="1" customWidth="1"/>
    <col min="3850" max="3850" width="7.28515625" bestFit="1" customWidth="1"/>
    <col min="3851" max="3851" width="15.5703125" bestFit="1" customWidth="1"/>
    <col min="3852" max="3852" width="7.28515625" bestFit="1" customWidth="1"/>
    <col min="3853" max="3853" width="15.5703125" bestFit="1" customWidth="1"/>
    <col min="3854" max="3854" width="7.28515625" bestFit="1" customWidth="1"/>
    <col min="3855" max="3855" width="15.5703125" bestFit="1" customWidth="1"/>
    <col min="3856" max="3856" width="7.28515625" bestFit="1" customWidth="1"/>
    <col min="3857" max="3857" width="15.5703125" bestFit="1" customWidth="1"/>
    <col min="3858" max="3858" width="7.28515625" bestFit="1" customWidth="1"/>
    <col min="3859" max="3859" width="15.5703125" bestFit="1" customWidth="1"/>
    <col min="3860" max="3860" width="7.28515625" bestFit="1" customWidth="1"/>
    <col min="3862" max="3862" width="2" bestFit="1" customWidth="1"/>
    <col min="3863" max="3863" width="13.85546875" bestFit="1" customWidth="1"/>
    <col min="3864" max="3864" width="16.5703125" customWidth="1"/>
    <col min="3865" max="3865" width="10.85546875" bestFit="1" customWidth="1"/>
    <col min="4097" max="4097" width="51" customWidth="1"/>
    <col min="4098" max="4098" width="10.85546875" bestFit="1" customWidth="1"/>
    <col min="4099" max="4099" width="36.5703125" customWidth="1"/>
    <col min="4100" max="4100" width="7.28515625" bestFit="1" customWidth="1"/>
    <col min="4101" max="4101" width="15.5703125" bestFit="1" customWidth="1"/>
    <col min="4102" max="4102" width="7.28515625" bestFit="1" customWidth="1"/>
    <col min="4103" max="4103" width="15.5703125" bestFit="1" customWidth="1"/>
    <col min="4104" max="4104" width="7.28515625" bestFit="1" customWidth="1"/>
    <col min="4105" max="4105" width="15.5703125" bestFit="1" customWidth="1"/>
    <col min="4106" max="4106" width="7.28515625" bestFit="1" customWidth="1"/>
    <col min="4107" max="4107" width="15.5703125" bestFit="1" customWidth="1"/>
    <col min="4108" max="4108" width="7.28515625" bestFit="1" customWidth="1"/>
    <col min="4109" max="4109" width="15.5703125" bestFit="1" customWidth="1"/>
    <col min="4110" max="4110" width="7.28515625" bestFit="1" customWidth="1"/>
    <col min="4111" max="4111" width="15.5703125" bestFit="1" customWidth="1"/>
    <col min="4112" max="4112" width="7.28515625" bestFit="1" customWidth="1"/>
    <col min="4113" max="4113" width="15.5703125" bestFit="1" customWidth="1"/>
    <col min="4114" max="4114" width="7.28515625" bestFit="1" customWidth="1"/>
    <col min="4115" max="4115" width="15.5703125" bestFit="1" customWidth="1"/>
    <col min="4116" max="4116" width="7.28515625" bestFit="1" customWidth="1"/>
    <col min="4118" max="4118" width="2" bestFit="1" customWidth="1"/>
    <col min="4119" max="4119" width="13.85546875" bestFit="1" customWidth="1"/>
    <col min="4120" max="4120" width="16.5703125" customWidth="1"/>
    <col min="4121" max="4121" width="10.85546875" bestFit="1" customWidth="1"/>
    <col min="4353" max="4353" width="51" customWidth="1"/>
    <col min="4354" max="4354" width="10.85546875" bestFit="1" customWidth="1"/>
    <col min="4355" max="4355" width="36.5703125" customWidth="1"/>
    <col min="4356" max="4356" width="7.28515625" bestFit="1" customWidth="1"/>
    <col min="4357" max="4357" width="15.5703125" bestFit="1" customWidth="1"/>
    <col min="4358" max="4358" width="7.28515625" bestFit="1" customWidth="1"/>
    <col min="4359" max="4359" width="15.5703125" bestFit="1" customWidth="1"/>
    <col min="4360" max="4360" width="7.28515625" bestFit="1" customWidth="1"/>
    <col min="4361" max="4361" width="15.5703125" bestFit="1" customWidth="1"/>
    <col min="4362" max="4362" width="7.28515625" bestFit="1" customWidth="1"/>
    <col min="4363" max="4363" width="15.5703125" bestFit="1" customWidth="1"/>
    <col min="4364" max="4364" width="7.28515625" bestFit="1" customWidth="1"/>
    <col min="4365" max="4365" width="15.5703125" bestFit="1" customWidth="1"/>
    <col min="4366" max="4366" width="7.28515625" bestFit="1" customWidth="1"/>
    <col min="4367" max="4367" width="15.5703125" bestFit="1" customWidth="1"/>
    <col min="4368" max="4368" width="7.28515625" bestFit="1" customWidth="1"/>
    <col min="4369" max="4369" width="15.5703125" bestFit="1" customWidth="1"/>
    <col min="4370" max="4370" width="7.28515625" bestFit="1" customWidth="1"/>
    <col min="4371" max="4371" width="15.5703125" bestFit="1" customWidth="1"/>
    <col min="4372" max="4372" width="7.28515625" bestFit="1" customWidth="1"/>
    <col min="4374" max="4374" width="2" bestFit="1" customWidth="1"/>
    <col min="4375" max="4375" width="13.85546875" bestFit="1" customWidth="1"/>
    <col min="4376" max="4376" width="16.5703125" customWidth="1"/>
    <col min="4377" max="4377" width="10.85546875" bestFit="1" customWidth="1"/>
    <col min="4609" max="4609" width="51" customWidth="1"/>
    <col min="4610" max="4610" width="10.85546875" bestFit="1" customWidth="1"/>
    <col min="4611" max="4611" width="36.5703125" customWidth="1"/>
    <col min="4612" max="4612" width="7.28515625" bestFit="1" customWidth="1"/>
    <col min="4613" max="4613" width="15.5703125" bestFit="1" customWidth="1"/>
    <col min="4614" max="4614" width="7.28515625" bestFit="1" customWidth="1"/>
    <col min="4615" max="4615" width="15.5703125" bestFit="1" customWidth="1"/>
    <col min="4616" max="4616" width="7.28515625" bestFit="1" customWidth="1"/>
    <col min="4617" max="4617" width="15.5703125" bestFit="1" customWidth="1"/>
    <col min="4618" max="4618" width="7.28515625" bestFit="1" customWidth="1"/>
    <col min="4619" max="4619" width="15.5703125" bestFit="1" customWidth="1"/>
    <col min="4620" max="4620" width="7.28515625" bestFit="1" customWidth="1"/>
    <col min="4621" max="4621" width="15.5703125" bestFit="1" customWidth="1"/>
    <col min="4622" max="4622" width="7.28515625" bestFit="1" customWidth="1"/>
    <col min="4623" max="4623" width="15.5703125" bestFit="1" customWidth="1"/>
    <col min="4624" max="4624" width="7.28515625" bestFit="1" customWidth="1"/>
    <col min="4625" max="4625" width="15.5703125" bestFit="1" customWidth="1"/>
    <col min="4626" max="4626" width="7.28515625" bestFit="1" customWidth="1"/>
    <col min="4627" max="4627" width="15.5703125" bestFit="1" customWidth="1"/>
    <col min="4628" max="4628" width="7.28515625" bestFit="1" customWidth="1"/>
    <col min="4630" max="4630" width="2" bestFit="1" customWidth="1"/>
    <col min="4631" max="4631" width="13.85546875" bestFit="1" customWidth="1"/>
    <col min="4632" max="4632" width="16.5703125" customWidth="1"/>
    <col min="4633" max="4633" width="10.85546875" bestFit="1" customWidth="1"/>
    <col min="4865" max="4865" width="51" customWidth="1"/>
    <col min="4866" max="4866" width="10.85546875" bestFit="1" customWidth="1"/>
    <col min="4867" max="4867" width="36.5703125" customWidth="1"/>
    <col min="4868" max="4868" width="7.28515625" bestFit="1" customWidth="1"/>
    <col min="4869" max="4869" width="15.5703125" bestFit="1" customWidth="1"/>
    <col min="4870" max="4870" width="7.28515625" bestFit="1" customWidth="1"/>
    <col min="4871" max="4871" width="15.5703125" bestFit="1" customWidth="1"/>
    <col min="4872" max="4872" width="7.28515625" bestFit="1" customWidth="1"/>
    <col min="4873" max="4873" width="15.5703125" bestFit="1" customWidth="1"/>
    <col min="4874" max="4874" width="7.28515625" bestFit="1" customWidth="1"/>
    <col min="4875" max="4875" width="15.5703125" bestFit="1" customWidth="1"/>
    <col min="4876" max="4876" width="7.28515625" bestFit="1" customWidth="1"/>
    <col min="4877" max="4877" width="15.5703125" bestFit="1" customWidth="1"/>
    <col min="4878" max="4878" width="7.28515625" bestFit="1" customWidth="1"/>
    <col min="4879" max="4879" width="15.5703125" bestFit="1" customWidth="1"/>
    <col min="4880" max="4880" width="7.28515625" bestFit="1" customWidth="1"/>
    <col min="4881" max="4881" width="15.5703125" bestFit="1" customWidth="1"/>
    <col min="4882" max="4882" width="7.28515625" bestFit="1" customWidth="1"/>
    <col min="4883" max="4883" width="15.5703125" bestFit="1" customWidth="1"/>
    <col min="4884" max="4884" width="7.28515625" bestFit="1" customWidth="1"/>
    <col min="4886" max="4886" width="2" bestFit="1" customWidth="1"/>
    <col min="4887" max="4887" width="13.85546875" bestFit="1" customWidth="1"/>
    <col min="4888" max="4888" width="16.5703125" customWidth="1"/>
    <col min="4889" max="4889" width="10.85546875" bestFit="1" customWidth="1"/>
    <col min="5121" max="5121" width="51" customWidth="1"/>
    <col min="5122" max="5122" width="10.85546875" bestFit="1" customWidth="1"/>
    <col min="5123" max="5123" width="36.5703125" customWidth="1"/>
    <col min="5124" max="5124" width="7.28515625" bestFit="1" customWidth="1"/>
    <col min="5125" max="5125" width="15.5703125" bestFit="1" customWidth="1"/>
    <col min="5126" max="5126" width="7.28515625" bestFit="1" customWidth="1"/>
    <col min="5127" max="5127" width="15.5703125" bestFit="1" customWidth="1"/>
    <col min="5128" max="5128" width="7.28515625" bestFit="1" customWidth="1"/>
    <col min="5129" max="5129" width="15.5703125" bestFit="1" customWidth="1"/>
    <col min="5130" max="5130" width="7.28515625" bestFit="1" customWidth="1"/>
    <col min="5131" max="5131" width="15.5703125" bestFit="1" customWidth="1"/>
    <col min="5132" max="5132" width="7.28515625" bestFit="1" customWidth="1"/>
    <col min="5133" max="5133" width="15.5703125" bestFit="1" customWidth="1"/>
    <col min="5134" max="5134" width="7.28515625" bestFit="1" customWidth="1"/>
    <col min="5135" max="5135" width="15.5703125" bestFit="1" customWidth="1"/>
    <col min="5136" max="5136" width="7.28515625" bestFit="1" customWidth="1"/>
    <col min="5137" max="5137" width="15.5703125" bestFit="1" customWidth="1"/>
    <col min="5138" max="5138" width="7.28515625" bestFit="1" customWidth="1"/>
    <col min="5139" max="5139" width="15.5703125" bestFit="1" customWidth="1"/>
    <col min="5140" max="5140" width="7.28515625" bestFit="1" customWidth="1"/>
    <col min="5142" max="5142" width="2" bestFit="1" customWidth="1"/>
    <col min="5143" max="5143" width="13.85546875" bestFit="1" customWidth="1"/>
    <col min="5144" max="5144" width="16.5703125" customWidth="1"/>
    <col min="5145" max="5145" width="10.85546875" bestFit="1" customWidth="1"/>
    <col min="5377" max="5377" width="51" customWidth="1"/>
    <col min="5378" max="5378" width="10.85546875" bestFit="1" customWidth="1"/>
    <col min="5379" max="5379" width="36.5703125" customWidth="1"/>
    <col min="5380" max="5380" width="7.28515625" bestFit="1" customWidth="1"/>
    <col min="5381" max="5381" width="15.5703125" bestFit="1" customWidth="1"/>
    <col min="5382" max="5382" width="7.28515625" bestFit="1" customWidth="1"/>
    <col min="5383" max="5383" width="15.5703125" bestFit="1" customWidth="1"/>
    <col min="5384" max="5384" width="7.28515625" bestFit="1" customWidth="1"/>
    <col min="5385" max="5385" width="15.5703125" bestFit="1" customWidth="1"/>
    <col min="5386" max="5386" width="7.28515625" bestFit="1" customWidth="1"/>
    <col min="5387" max="5387" width="15.5703125" bestFit="1" customWidth="1"/>
    <col min="5388" max="5388" width="7.28515625" bestFit="1" customWidth="1"/>
    <col min="5389" max="5389" width="15.5703125" bestFit="1" customWidth="1"/>
    <col min="5390" max="5390" width="7.28515625" bestFit="1" customWidth="1"/>
    <col min="5391" max="5391" width="15.5703125" bestFit="1" customWidth="1"/>
    <col min="5392" max="5392" width="7.28515625" bestFit="1" customWidth="1"/>
    <col min="5393" max="5393" width="15.5703125" bestFit="1" customWidth="1"/>
    <col min="5394" max="5394" width="7.28515625" bestFit="1" customWidth="1"/>
    <col min="5395" max="5395" width="15.5703125" bestFit="1" customWidth="1"/>
    <col min="5396" max="5396" width="7.28515625" bestFit="1" customWidth="1"/>
    <col min="5398" max="5398" width="2" bestFit="1" customWidth="1"/>
    <col min="5399" max="5399" width="13.85546875" bestFit="1" customWidth="1"/>
    <col min="5400" max="5400" width="16.5703125" customWidth="1"/>
    <col min="5401" max="5401" width="10.85546875" bestFit="1" customWidth="1"/>
    <col min="5633" max="5633" width="51" customWidth="1"/>
    <col min="5634" max="5634" width="10.85546875" bestFit="1" customWidth="1"/>
    <col min="5635" max="5635" width="36.5703125" customWidth="1"/>
    <col min="5636" max="5636" width="7.28515625" bestFit="1" customWidth="1"/>
    <col min="5637" max="5637" width="15.5703125" bestFit="1" customWidth="1"/>
    <col min="5638" max="5638" width="7.28515625" bestFit="1" customWidth="1"/>
    <col min="5639" max="5639" width="15.5703125" bestFit="1" customWidth="1"/>
    <col min="5640" max="5640" width="7.28515625" bestFit="1" customWidth="1"/>
    <col min="5641" max="5641" width="15.5703125" bestFit="1" customWidth="1"/>
    <col min="5642" max="5642" width="7.28515625" bestFit="1" customWidth="1"/>
    <col min="5643" max="5643" width="15.5703125" bestFit="1" customWidth="1"/>
    <col min="5644" max="5644" width="7.28515625" bestFit="1" customWidth="1"/>
    <col min="5645" max="5645" width="15.5703125" bestFit="1" customWidth="1"/>
    <col min="5646" max="5646" width="7.28515625" bestFit="1" customWidth="1"/>
    <col min="5647" max="5647" width="15.5703125" bestFit="1" customWidth="1"/>
    <col min="5648" max="5648" width="7.28515625" bestFit="1" customWidth="1"/>
    <col min="5649" max="5649" width="15.5703125" bestFit="1" customWidth="1"/>
    <col min="5650" max="5650" width="7.28515625" bestFit="1" customWidth="1"/>
    <col min="5651" max="5651" width="15.5703125" bestFit="1" customWidth="1"/>
    <col min="5652" max="5652" width="7.28515625" bestFit="1" customWidth="1"/>
    <col min="5654" max="5654" width="2" bestFit="1" customWidth="1"/>
    <col min="5655" max="5655" width="13.85546875" bestFit="1" customWidth="1"/>
    <col min="5656" max="5656" width="16.5703125" customWidth="1"/>
    <col min="5657" max="5657" width="10.85546875" bestFit="1" customWidth="1"/>
    <col min="5889" max="5889" width="51" customWidth="1"/>
    <col min="5890" max="5890" width="10.85546875" bestFit="1" customWidth="1"/>
    <col min="5891" max="5891" width="36.5703125" customWidth="1"/>
    <col min="5892" max="5892" width="7.28515625" bestFit="1" customWidth="1"/>
    <col min="5893" max="5893" width="15.5703125" bestFit="1" customWidth="1"/>
    <col min="5894" max="5894" width="7.28515625" bestFit="1" customWidth="1"/>
    <col min="5895" max="5895" width="15.5703125" bestFit="1" customWidth="1"/>
    <col min="5896" max="5896" width="7.28515625" bestFit="1" customWidth="1"/>
    <col min="5897" max="5897" width="15.5703125" bestFit="1" customWidth="1"/>
    <col min="5898" max="5898" width="7.28515625" bestFit="1" customWidth="1"/>
    <col min="5899" max="5899" width="15.5703125" bestFit="1" customWidth="1"/>
    <col min="5900" max="5900" width="7.28515625" bestFit="1" customWidth="1"/>
    <col min="5901" max="5901" width="15.5703125" bestFit="1" customWidth="1"/>
    <col min="5902" max="5902" width="7.28515625" bestFit="1" customWidth="1"/>
    <col min="5903" max="5903" width="15.5703125" bestFit="1" customWidth="1"/>
    <col min="5904" max="5904" width="7.28515625" bestFit="1" customWidth="1"/>
    <col min="5905" max="5905" width="15.5703125" bestFit="1" customWidth="1"/>
    <col min="5906" max="5906" width="7.28515625" bestFit="1" customWidth="1"/>
    <col min="5907" max="5907" width="15.5703125" bestFit="1" customWidth="1"/>
    <col min="5908" max="5908" width="7.28515625" bestFit="1" customWidth="1"/>
    <col min="5910" max="5910" width="2" bestFit="1" customWidth="1"/>
    <col min="5911" max="5911" width="13.85546875" bestFit="1" customWidth="1"/>
    <col min="5912" max="5912" width="16.5703125" customWidth="1"/>
    <col min="5913" max="5913" width="10.85546875" bestFit="1" customWidth="1"/>
    <col min="6145" max="6145" width="51" customWidth="1"/>
    <col min="6146" max="6146" width="10.85546875" bestFit="1" customWidth="1"/>
    <col min="6147" max="6147" width="36.5703125" customWidth="1"/>
    <col min="6148" max="6148" width="7.28515625" bestFit="1" customWidth="1"/>
    <col min="6149" max="6149" width="15.5703125" bestFit="1" customWidth="1"/>
    <col min="6150" max="6150" width="7.28515625" bestFit="1" customWidth="1"/>
    <col min="6151" max="6151" width="15.5703125" bestFit="1" customWidth="1"/>
    <col min="6152" max="6152" width="7.28515625" bestFit="1" customWidth="1"/>
    <col min="6153" max="6153" width="15.5703125" bestFit="1" customWidth="1"/>
    <col min="6154" max="6154" width="7.28515625" bestFit="1" customWidth="1"/>
    <col min="6155" max="6155" width="15.5703125" bestFit="1" customWidth="1"/>
    <col min="6156" max="6156" width="7.28515625" bestFit="1" customWidth="1"/>
    <col min="6157" max="6157" width="15.5703125" bestFit="1" customWidth="1"/>
    <col min="6158" max="6158" width="7.28515625" bestFit="1" customWidth="1"/>
    <col min="6159" max="6159" width="15.5703125" bestFit="1" customWidth="1"/>
    <col min="6160" max="6160" width="7.28515625" bestFit="1" customWidth="1"/>
    <col min="6161" max="6161" width="15.5703125" bestFit="1" customWidth="1"/>
    <col min="6162" max="6162" width="7.28515625" bestFit="1" customWidth="1"/>
    <col min="6163" max="6163" width="15.5703125" bestFit="1" customWidth="1"/>
    <col min="6164" max="6164" width="7.28515625" bestFit="1" customWidth="1"/>
    <col min="6166" max="6166" width="2" bestFit="1" customWidth="1"/>
    <col min="6167" max="6167" width="13.85546875" bestFit="1" customWidth="1"/>
    <col min="6168" max="6168" width="16.5703125" customWidth="1"/>
    <col min="6169" max="6169" width="10.85546875" bestFit="1" customWidth="1"/>
    <col min="6401" max="6401" width="51" customWidth="1"/>
    <col min="6402" max="6402" width="10.85546875" bestFit="1" customWidth="1"/>
    <col min="6403" max="6403" width="36.5703125" customWidth="1"/>
    <col min="6404" max="6404" width="7.28515625" bestFit="1" customWidth="1"/>
    <col min="6405" max="6405" width="15.5703125" bestFit="1" customWidth="1"/>
    <col min="6406" max="6406" width="7.28515625" bestFit="1" customWidth="1"/>
    <col min="6407" max="6407" width="15.5703125" bestFit="1" customWidth="1"/>
    <col min="6408" max="6408" width="7.28515625" bestFit="1" customWidth="1"/>
    <col min="6409" max="6409" width="15.5703125" bestFit="1" customWidth="1"/>
    <col min="6410" max="6410" width="7.28515625" bestFit="1" customWidth="1"/>
    <col min="6411" max="6411" width="15.5703125" bestFit="1" customWidth="1"/>
    <col min="6412" max="6412" width="7.28515625" bestFit="1" customWidth="1"/>
    <col min="6413" max="6413" width="15.5703125" bestFit="1" customWidth="1"/>
    <col min="6414" max="6414" width="7.28515625" bestFit="1" customWidth="1"/>
    <col min="6415" max="6415" width="15.5703125" bestFit="1" customWidth="1"/>
    <col min="6416" max="6416" width="7.28515625" bestFit="1" customWidth="1"/>
    <col min="6417" max="6417" width="15.5703125" bestFit="1" customWidth="1"/>
    <col min="6418" max="6418" width="7.28515625" bestFit="1" customWidth="1"/>
    <col min="6419" max="6419" width="15.5703125" bestFit="1" customWidth="1"/>
    <col min="6420" max="6420" width="7.28515625" bestFit="1" customWidth="1"/>
    <col min="6422" max="6422" width="2" bestFit="1" customWidth="1"/>
    <col min="6423" max="6423" width="13.85546875" bestFit="1" customWidth="1"/>
    <col min="6424" max="6424" width="16.5703125" customWidth="1"/>
    <col min="6425" max="6425" width="10.85546875" bestFit="1" customWidth="1"/>
    <col min="6657" max="6657" width="51" customWidth="1"/>
    <col min="6658" max="6658" width="10.85546875" bestFit="1" customWidth="1"/>
    <col min="6659" max="6659" width="36.5703125" customWidth="1"/>
    <col min="6660" max="6660" width="7.28515625" bestFit="1" customWidth="1"/>
    <col min="6661" max="6661" width="15.5703125" bestFit="1" customWidth="1"/>
    <col min="6662" max="6662" width="7.28515625" bestFit="1" customWidth="1"/>
    <col min="6663" max="6663" width="15.5703125" bestFit="1" customWidth="1"/>
    <col min="6664" max="6664" width="7.28515625" bestFit="1" customWidth="1"/>
    <col min="6665" max="6665" width="15.5703125" bestFit="1" customWidth="1"/>
    <col min="6666" max="6666" width="7.28515625" bestFit="1" customWidth="1"/>
    <col min="6667" max="6667" width="15.5703125" bestFit="1" customWidth="1"/>
    <col min="6668" max="6668" width="7.28515625" bestFit="1" customWidth="1"/>
    <col min="6669" max="6669" width="15.5703125" bestFit="1" customWidth="1"/>
    <col min="6670" max="6670" width="7.28515625" bestFit="1" customWidth="1"/>
    <col min="6671" max="6671" width="15.5703125" bestFit="1" customWidth="1"/>
    <col min="6672" max="6672" width="7.28515625" bestFit="1" customWidth="1"/>
    <col min="6673" max="6673" width="15.5703125" bestFit="1" customWidth="1"/>
    <col min="6674" max="6674" width="7.28515625" bestFit="1" customWidth="1"/>
    <col min="6675" max="6675" width="15.5703125" bestFit="1" customWidth="1"/>
    <col min="6676" max="6676" width="7.28515625" bestFit="1" customWidth="1"/>
    <col min="6678" max="6678" width="2" bestFit="1" customWidth="1"/>
    <col min="6679" max="6679" width="13.85546875" bestFit="1" customWidth="1"/>
    <col min="6680" max="6680" width="16.5703125" customWidth="1"/>
    <col min="6681" max="6681" width="10.85546875" bestFit="1" customWidth="1"/>
    <col min="6913" max="6913" width="51" customWidth="1"/>
    <col min="6914" max="6914" width="10.85546875" bestFit="1" customWidth="1"/>
    <col min="6915" max="6915" width="36.5703125" customWidth="1"/>
    <col min="6916" max="6916" width="7.28515625" bestFit="1" customWidth="1"/>
    <col min="6917" max="6917" width="15.5703125" bestFit="1" customWidth="1"/>
    <col min="6918" max="6918" width="7.28515625" bestFit="1" customWidth="1"/>
    <col min="6919" max="6919" width="15.5703125" bestFit="1" customWidth="1"/>
    <col min="6920" max="6920" width="7.28515625" bestFit="1" customWidth="1"/>
    <col min="6921" max="6921" width="15.5703125" bestFit="1" customWidth="1"/>
    <col min="6922" max="6922" width="7.28515625" bestFit="1" customWidth="1"/>
    <col min="6923" max="6923" width="15.5703125" bestFit="1" customWidth="1"/>
    <col min="6924" max="6924" width="7.28515625" bestFit="1" customWidth="1"/>
    <col min="6925" max="6925" width="15.5703125" bestFit="1" customWidth="1"/>
    <col min="6926" max="6926" width="7.28515625" bestFit="1" customWidth="1"/>
    <col min="6927" max="6927" width="15.5703125" bestFit="1" customWidth="1"/>
    <col min="6928" max="6928" width="7.28515625" bestFit="1" customWidth="1"/>
    <col min="6929" max="6929" width="15.5703125" bestFit="1" customWidth="1"/>
    <col min="6930" max="6930" width="7.28515625" bestFit="1" customWidth="1"/>
    <col min="6931" max="6931" width="15.5703125" bestFit="1" customWidth="1"/>
    <col min="6932" max="6932" width="7.28515625" bestFit="1" customWidth="1"/>
    <col min="6934" max="6934" width="2" bestFit="1" customWidth="1"/>
    <col min="6935" max="6935" width="13.85546875" bestFit="1" customWidth="1"/>
    <col min="6936" max="6936" width="16.5703125" customWidth="1"/>
    <col min="6937" max="6937" width="10.85546875" bestFit="1" customWidth="1"/>
    <col min="7169" max="7169" width="51" customWidth="1"/>
    <col min="7170" max="7170" width="10.85546875" bestFit="1" customWidth="1"/>
    <col min="7171" max="7171" width="36.5703125" customWidth="1"/>
    <col min="7172" max="7172" width="7.28515625" bestFit="1" customWidth="1"/>
    <col min="7173" max="7173" width="15.5703125" bestFit="1" customWidth="1"/>
    <col min="7174" max="7174" width="7.28515625" bestFit="1" customWidth="1"/>
    <col min="7175" max="7175" width="15.5703125" bestFit="1" customWidth="1"/>
    <col min="7176" max="7176" width="7.28515625" bestFit="1" customWidth="1"/>
    <col min="7177" max="7177" width="15.5703125" bestFit="1" customWidth="1"/>
    <col min="7178" max="7178" width="7.28515625" bestFit="1" customWidth="1"/>
    <col min="7179" max="7179" width="15.5703125" bestFit="1" customWidth="1"/>
    <col min="7180" max="7180" width="7.28515625" bestFit="1" customWidth="1"/>
    <col min="7181" max="7181" width="15.5703125" bestFit="1" customWidth="1"/>
    <col min="7182" max="7182" width="7.28515625" bestFit="1" customWidth="1"/>
    <col min="7183" max="7183" width="15.5703125" bestFit="1" customWidth="1"/>
    <col min="7184" max="7184" width="7.28515625" bestFit="1" customWidth="1"/>
    <col min="7185" max="7185" width="15.5703125" bestFit="1" customWidth="1"/>
    <col min="7186" max="7186" width="7.28515625" bestFit="1" customWidth="1"/>
    <col min="7187" max="7187" width="15.5703125" bestFit="1" customWidth="1"/>
    <col min="7188" max="7188" width="7.28515625" bestFit="1" customWidth="1"/>
    <col min="7190" max="7190" width="2" bestFit="1" customWidth="1"/>
    <col min="7191" max="7191" width="13.85546875" bestFit="1" customWidth="1"/>
    <col min="7192" max="7192" width="16.5703125" customWidth="1"/>
    <col min="7193" max="7193" width="10.85546875" bestFit="1" customWidth="1"/>
    <col min="7425" max="7425" width="51" customWidth="1"/>
    <col min="7426" max="7426" width="10.85546875" bestFit="1" customWidth="1"/>
    <col min="7427" max="7427" width="36.5703125" customWidth="1"/>
    <col min="7428" max="7428" width="7.28515625" bestFit="1" customWidth="1"/>
    <col min="7429" max="7429" width="15.5703125" bestFit="1" customWidth="1"/>
    <col min="7430" max="7430" width="7.28515625" bestFit="1" customWidth="1"/>
    <col min="7431" max="7431" width="15.5703125" bestFit="1" customWidth="1"/>
    <col min="7432" max="7432" width="7.28515625" bestFit="1" customWidth="1"/>
    <col min="7433" max="7433" width="15.5703125" bestFit="1" customWidth="1"/>
    <col min="7434" max="7434" width="7.28515625" bestFit="1" customWidth="1"/>
    <col min="7435" max="7435" width="15.5703125" bestFit="1" customWidth="1"/>
    <col min="7436" max="7436" width="7.28515625" bestFit="1" customWidth="1"/>
    <col min="7437" max="7437" width="15.5703125" bestFit="1" customWidth="1"/>
    <col min="7438" max="7438" width="7.28515625" bestFit="1" customWidth="1"/>
    <col min="7439" max="7439" width="15.5703125" bestFit="1" customWidth="1"/>
    <col min="7440" max="7440" width="7.28515625" bestFit="1" customWidth="1"/>
    <col min="7441" max="7441" width="15.5703125" bestFit="1" customWidth="1"/>
    <col min="7442" max="7442" width="7.28515625" bestFit="1" customWidth="1"/>
    <col min="7443" max="7443" width="15.5703125" bestFit="1" customWidth="1"/>
    <col min="7444" max="7444" width="7.28515625" bestFit="1" customWidth="1"/>
    <col min="7446" max="7446" width="2" bestFit="1" customWidth="1"/>
    <col min="7447" max="7447" width="13.85546875" bestFit="1" customWidth="1"/>
    <col min="7448" max="7448" width="16.5703125" customWidth="1"/>
    <col min="7449" max="7449" width="10.85546875" bestFit="1" customWidth="1"/>
    <col min="7681" max="7681" width="51" customWidth="1"/>
    <col min="7682" max="7682" width="10.85546875" bestFit="1" customWidth="1"/>
    <col min="7683" max="7683" width="36.5703125" customWidth="1"/>
    <col min="7684" max="7684" width="7.28515625" bestFit="1" customWidth="1"/>
    <col min="7685" max="7685" width="15.5703125" bestFit="1" customWidth="1"/>
    <col min="7686" max="7686" width="7.28515625" bestFit="1" customWidth="1"/>
    <col min="7687" max="7687" width="15.5703125" bestFit="1" customWidth="1"/>
    <col min="7688" max="7688" width="7.28515625" bestFit="1" customWidth="1"/>
    <col min="7689" max="7689" width="15.5703125" bestFit="1" customWidth="1"/>
    <col min="7690" max="7690" width="7.28515625" bestFit="1" customWidth="1"/>
    <col min="7691" max="7691" width="15.5703125" bestFit="1" customWidth="1"/>
    <col min="7692" max="7692" width="7.28515625" bestFit="1" customWidth="1"/>
    <col min="7693" max="7693" width="15.5703125" bestFit="1" customWidth="1"/>
    <col min="7694" max="7694" width="7.28515625" bestFit="1" customWidth="1"/>
    <col min="7695" max="7695" width="15.5703125" bestFit="1" customWidth="1"/>
    <col min="7696" max="7696" width="7.28515625" bestFit="1" customWidth="1"/>
    <col min="7697" max="7697" width="15.5703125" bestFit="1" customWidth="1"/>
    <col min="7698" max="7698" width="7.28515625" bestFit="1" customWidth="1"/>
    <col min="7699" max="7699" width="15.5703125" bestFit="1" customWidth="1"/>
    <col min="7700" max="7700" width="7.28515625" bestFit="1" customWidth="1"/>
    <col min="7702" max="7702" width="2" bestFit="1" customWidth="1"/>
    <col min="7703" max="7703" width="13.85546875" bestFit="1" customWidth="1"/>
    <col min="7704" max="7704" width="16.5703125" customWidth="1"/>
    <col min="7705" max="7705" width="10.85546875" bestFit="1" customWidth="1"/>
    <col min="7937" max="7937" width="51" customWidth="1"/>
    <col min="7938" max="7938" width="10.85546875" bestFit="1" customWidth="1"/>
    <col min="7939" max="7939" width="36.5703125" customWidth="1"/>
    <col min="7940" max="7940" width="7.28515625" bestFit="1" customWidth="1"/>
    <col min="7941" max="7941" width="15.5703125" bestFit="1" customWidth="1"/>
    <col min="7942" max="7942" width="7.28515625" bestFit="1" customWidth="1"/>
    <col min="7943" max="7943" width="15.5703125" bestFit="1" customWidth="1"/>
    <col min="7944" max="7944" width="7.28515625" bestFit="1" customWidth="1"/>
    <col min="7945" max="7945" width="15.5703125" bestFit="1" customWidth="1"/>
    <col min="7946" max="7946" width="7.28515625" bestFit="1" customWidth="1"/>
    <col min="7947" max="7947" width="15.5703125" bestFit="1" customWidth="1"/>
    <col min="7948" max="7948" width="7.28515625" bestFit="1" customWidth="1"/>
    <col min="7949" max="7949" width="15.5703125" bestFit="1" customWidth="1"/>
    <col min="7950" max="7950" width="7.28515625" bestFit="1" customWidth="1"/>
    <col min="7951" max="7951" width="15.5703125" bestFit="1" customWidth="1"/>
    <col min="7952" max="7952" width="7.28515625" bestFit="1" customWidth="1"/>
    <col min="7953" max="7953" width="15.5703125" bestFit="1" customWidth="1"/>
    <col min="7954" max="7954" width="7.28515625" bestFit="1" customWidth="1"/>
    <col min="7955" max="7955" width="15.5703125" bestFit="1" customWidth="1"/>
    <col min="7956" max="7956" width="7.28515625" bestFit="1" customWidth="1"/>
    <col min="7958" max="7958" width="2" bestFit="1" customWidth="1"/>
    <col min="7959" max="7959" width="13.85546875" bestFit="1" customWidth="1"/>
    <col min="7960" max="7960" width="16.5703125" customWidth="1"/>
    <col min="7961" max="7961" width="10.85546875" bestFit="1" customWidth="1"/>
    <col min="8193" max="8193" width="51" customWidth="1"/>
    <col min="8194" max="8194" width="10.85546875" bestFit="1" customWidth="1"/>
    <col min="8195" max="8195" width="36.5703125" customWidth="1"/>
    <col min="8196" max="8196" width="7.28515625" bestFit="1" customWidth="1"/>
    <col min="8197" max="8197" width="15.5703125" bestFit="1" customWidth="1"/>
    <col min="8198" max="8198" width="7.28515625" bestFit="1" customWidth="1"/>
    <col min="8199" max="8199" width="15.5703125" bestFit="1" customWidth="1"/>
    <col min="8200" max="8200" width="7.28515625" bestFit="1" customWidth="1"/>
    <col min="8201" max="8201" width="15.5703125" bestFit="1" customWidth="1"/>
    <col min="8202" max="8202" width="7.28515625" bestFit="1" customWidth="1"/>
    <col min="8203" max="8203" width="15.5703125" bestFit="1" customWidth="1"/>
    <col min="8204" max="8204" width="7.28515625" bestFit="1" customWidth="1"/>
    <col min="8205" max="8205" width="15.5703125" bestFit="1" customWidth="1"/>
    <col min="8206" max="8206" width="7.28515625" bestFit="1" customWidth="1"/>
    <col min="8207" max="8207" width="15.5703125" bestFit="1" customWidth="1"/>
    <col min="8208" max="8208" width="7.28515625" bestFit="1" customWidth="1"/>
    <col min="8209" max="8209" width="15.5703125" bestFit="1" customWidth="1"/>
    <col min="8210" max="8210" width="7.28515625" bestFit="1" customWidth="1"/>
    <col min="8211" max="8211" width="15.5703125" bestFit="1" customWidth="1"/>
    <col min="8212" max="8212" width="7.28515625" bestFit="1" customWidth="1"/>
    <col min="8214" max="8214" width="2" bestFit="1" customWidth="1"/>
    <col min="8215" max="8215" width="13.85546875" bestFit="1" customWidth="1"/>
    <col min="8216" max="8216" width="16.5703125" customWidth="1"/>
    <col min="8217" max="8217" width="10.85546875" bestFit="1" customWidth="1"/>
    <col min="8449" max="8449" width="51" customWidth="1"/>
    <col min="8450" max="8450" width="10.85546875" bestFit="1" customWidth="1"/>
    <col min="8451" max="8451" width="36.5703125" customWidth="1"/>
    <col min="8452" max="8452" width="7.28515625" bestFit="1" customWidth="1"/>
    <col min="8453" max="8453" width="15.5703125" bestFit="1" customWidth="1"/>
    <col min="8454" max="8454" width="7.28515625" bestFit="1" customWidth="1"/>
    <col min="8455" max="8455" width="15.5703125" bestFit="1" customWidth="1"/>
    <col min="8456" max="8456" width="7.28515625" bestFit="1" customWidth="1"/>
    <col min="8457" max="8457" width="15.5703125" bestFit="1" customWidth="1"/>
    <col min="8458" max="8458" width="7.28515625" bestFit="1" customWidth="1"/>
    <col min="8459" max="8459" width="15.5703125" bestFit="1" customWidth="1"/>
    <col min="8460" max="8460" width="7.28515625" bestFit="1" customWidth="1"/>
    <col min="8461" max="8461" width="15.5703125" bestFit="1" customWidth="1"/>
    <col min="8462" max="8462" width="7.28515625" bestFit="1" customWidth="1"/>
    <col min="8463" max="8463" width="15.5703125" bestFit="1" customWidth="1"/>
    <col min="8464" max="8464" width="7.28515625" bestFit="1" customWidth="1"/>
    <col min="8465" max="8465" width="15.5703125" bestFit="1" customWidth="1"/>
    <col min="8466" max="8466" width="7.28515625" bestFit="1" customWidth="1"/>
    <col min="8467" max="8467" width="15.5703125" bestFit="1" customWidth="1"/>
    <col min="8468" max="8468" width="7.28515625" bestFit="1" customWidth="1"/>
    <col min="8470" max="8470" width="2" bestFit="1" customWidth="1"/>
    <col min="8471" max="8471" width="13.85546875" bestFit="1" customWidth="1"/>
    <col min="8472" max="8472" width="16.5703125" customWidth="1"/>
    <col min="8473" max="8473" width="10.85546875" bestFit="1" customWidth="1"/>
    <col min="8705" max="8705" width="51" customWidth="1"/>
    <col min="8706" max="8706" width="10.85546875" bestFit="1" customWidth="1"/>
    <col min="8707" max="8707" width="36.5703125" customWidth="1"/>
    <col min="8708" max="8708" width="7.28515625" bestFit="1" customWidth="1"/>
    <col min="8709" max="8709" width="15.5703125" bestFit="1" customWidth="1"/>
    <col min="8710" max="8710" width="7.28515625" bestFit="1" customWidth="1"/>
    <col min="8711" max="8711" width="15.5703125" bestFit="1" customWidth="1"/>
    <col min="8712" max="8712" width="7.28515625" bestFit="1" customWidth="1"/>
    <col min="8713" max="8713" width="15.5703125" bestFit="1" customWidth="1"/>
    <col min="8714" max="8714" width="7.28515625" bestFit="1" customWidth="1"/>
    <col min="8715" max="8715" width="15.5703125" bestFit="1" customWidth="1"/>
    <col min="8716" max="8716" width="7.28515625" bestFit="1" customWidth="1"/>
    <col min="8717" max="8717" width="15.5703125" bestFit="1" customWidth="1"/>
    <col min="8718" max="8718" width="7.28515625" bestFit="1" customWidth="1"/>
    <col min="8719" max="8719" width="15.5703125" bestFit="1" customWidth="1"/>
    <col min="8720" max="8720" width="7.28515625" bestFit="1" customWidth="1"/>
    <col min="8721" max="8721" width="15.5703125" bestFit="1" customWidth="1"/>
    <col min="8722" max="8722" width="7.28515625" bestFit="1" customWidth="1"/>
    <col min="8723" max="8723" width="15.5703125" bestFit="1" customWidth="1"/>
    <col min="8724" max="8724" width="7.28515625" bestFit="1" customWidth="1"/>
    <col min="8726" max="8726" width="2" bestFit="1" customWidth="1"/>
    <col min="8727" max="8727" width="13.85546875" bestFit="1" customWidth="1"/>
    <col min="8728" max="8728" width="16.5703125" customWidth="1"/>
    <col min="8729" max="8729" width="10.85546875" bestFit="1" customWidth="1"/>
    <col min="8961" max="8961" width="51" customWidth="1"/>
    <col min="8962" max="8962" width="10.85546875" bestFit="1" customWidth="1"/>
    <col min="8963" max="8963" width="36.5703125" customWidth="1"/>
    <col min="8964" max="8964" width="7.28515625" bestFit="1" customWidth="1"/>
    <col min="8965" max="8965" width="15.5703125" bestFit="1" customWidth="1"/>
    <col min="8966" max="8966" width="7.28515625" bestFit="1" customWidth="1"/>
    <col min="8967" max="8967" width="15.5703125" bestFit="1" customWidth="1"/>
    <col min="8968" max="8968" width="7.28515625" bestFit="1" customWidth="1"/>
    <col min="8969" max="8969" width="15.5703125" bestFit="1" customWidth="1"/>
    <col min="8970" max="8970" width="7.28515625" bestFit="1" customWidth="1"/>
    <col min="8971" max="8971" width="15.5703125" bestFit="1" customWidth="1"/>
    <col min="8972" max="8972" width="7.28515625" bestFit="1" customWidth="1"/>
    <col min="8973" max="8973" width="15.5703125" bestFit="1" customWidth="1"/>
    <col min="8974" max="8974" width="7.28515625" bestFit="1" customWidth="1"/>
    <col min="8975" max="8975" width="15.5703125" bestFit="1" customWidth="1"/>
    <col min="8976" max="8976" width="7.28515625" bestFit="1" customWidth="1"/>
    <col min="8977" max="8977" width="15.5703125" bestFit="1" customWidth="1"/>
    <col min="8978" max="8978" width="7.28515625" bestFit="1" customWidth="1"/>
    <col min="8979" max="8979" width="15.5703125" bestFit="1" customWidth="1"/>
    <col min="8980" max="8980" width="7.28515625" bestFit="1" customWidth="1"/>
    <col min="8982" max="8982" width="2" bestFit="1" customWidth="1"/>
    <col min="8983" max="8983" width="13.85546875" bestFit="1" customWidth="1"/>
    <col min="8984" max="8984" width="16.5703125" customWidth="1"/>
    <col min="8985" max="8985" width="10.85546875" bestFit="1" customWidth="1"/>
    <col min="9217" max="9217" width="51" customWidth="1"/>
    <col min="9218" max="9218" width="10.85546875" bestFit="1" customWidth="1"/>
    <col min="9219" max="9219" width="36.5703125" customWidth="1"/>
    <col min="9220" max="9220" width="7.28515625" bestFit="1" customWidth="1"/>
    <col min="9221" max="9221" width="15.5703125" bestFit="1" customWidth="1"/>
    <col min="9222" max="9222" width="7.28515625" bestFit="1" customWidth="1"/>
    <col min="9223" max="9223" width="15.5703125" bestFit="1" customWidth="1"/>
    <col min="9224" max="9224" width="7.28515625" bestFit="1" customWidth="1"/>
    <col min="9225" max="9225" width="15.5703125" bestFit="1" customWidth="1"/>
    <col min="9226" max="9226" width="7.28515625" bestFit="1" customWidth="1"/>
    <col min="9227" max="9227" width="15.5703125" bestFit="1" customWidth="1"/>
    <col min="9228" max="9228" width="7.28515625" bestFit="1" customWidth="1"/>
    <col min="9229" max="9229" width="15.5703125" bestFit="1" customWidth="1"/>
    <col min="9230" max="9230" width="7.28515625" bestFit="1" customWidth="1"/>
    <col min="9231" max="9231" width="15.5703125" bestFit="1" customWidth="1"/>
    <col min="9232" max="9232" width="7.28515625" bestFit="1" customWidth="1"/>
    <col min="9233" max="9233" width="15.5703125" bestFit="1" customWidth="1"/>
    <col min="9234" max="9234" width="7.28515625" bestFit="1" customWidth="1"/>
    <col min="9235" max="9235" width="15.5703125" bestFit="1" customWidth="1"/>
    <col min="9236" max="9236" width="7.28515625" bestFit="1" customWidth="1"/>
    <col min="9238" max="9238" width="2" bestFit="1" customWidth="1"/>
    <col min="9239" max="9239" width="13.85546875" bestFit="1" customWidth="1"/>
    <col min="9240" max="9240" width="16.5703125" customWidth="1"/>
    <col min="9241" max="9241" width="10.85546875" bestFit="1" customWidth="1"/>
    <col min="9473" max="9473" width="51" customWidth="1"/>
    <col min="9474" max="9474" width="10.85546875" bestFit="1" customWidth="1"/>
    <col min="9475" max="9475" width="36.5703125" customWidth="1"/>
    <col min="9476" max="9476" width="7.28515625" bestFit="1" customWidth="1"/>
    <col min="9477" max="9477" width="15.5703125" bestFit="1" customWidth="1"/>
    <col min="9478" max="9478" width="7.28515625" bestFit="1" customWidth="1"/>
    <col min="9479" max="9479" width="15.5703125" bestFit="1" customWidth="1"/>
    <col min="9480" max="9480" width="7.28515625" bestFit="1" customWidth="1"/>
    <col min="9481" max="9481" width="15.5703125" bestFit="1" customWidth="1"/>
    <col min="9482" max="9482" width="7.28515625" bestFit="1" customWidth="1"/>
    <col min="9483" max="9483" width="15.5703125" bestFit="1" customWidth="1"/>
    <col min="9484" max="9484" width="7.28515625" bestFit="1" customWidth="1"/>
    <col min="9485" max="9485" width="15.5703125" bestFit="1" customWidth="1"/>
    <col min="9486" max="9486" width="7.28515625" bestFit="1" customWidth="1"/>
    <col min="9487" max="9487" width="15.5703125" bestFit="1" customWidth="1"/>
    <col min="9488" max="9488" width="7.28515625" bestFit="1" customWidth="1"/>
    <col min="9489" max="9489" width="15.5703125" bestFit="1" customWidth="1"/>
    <col min="9490" max="9490" width="7.28515625" bestFit="1" customWidth="1"/>
    <col min="9491" max="9491" width="15.5703125" bestFit="1" customWidth="1"/>
    <col min="9492" max="9492" width="7.28515625" bestFit="1" customWidth="1"/>
    <col min="9494" max="9494" width="2" bestFit="1" customWidth="1"/>
    <col min="9495" max="9495" width="13.85546875" bestFit="1" customWidth="1"/>
    <col min="9496" max="9496" width="16.5703125" customWidth="1"/>
    <col min="9497" max="9497" width="10.85546875" bestFit="1" customWidth="1"/>
    <col min="9729" max="9729" width="51" customWidth="1"/>
    <col min="9730" max="9730" width="10.85546875" bestFit="1" customWidth="1"/>
    <col min="9731" max="9731" width="36.5703125" customWidth="1"/>
    <col min="9732" max="9732" width="7.28515625" bestFit="1" customWidth="1"/>
    <col min="9733" max="9733" width="15.5703125" bestFit="1" customWidth="1"/>
    <col min="9734" max="9734" width="7.28515625" bestFit="1" customWidth="1"/>
    <col min="9735" max="9735" width="15.5703125" bestFit="1" customWidth="1"/>
    <col min="9736" max="9736" width="7.28515625" bestFit="1" customWidth="1"/>
    <col min="9737" max="9737" width="15.5703125" bestFit="1" customWidth="1"/>
    <col min="9738" max="9738" width="7.28515625" bestFit="1" customWidth="1"/>
    <col min="9739" max="9739" width="15.5703125" bestFit="1" customWidth="1"/>
    <col min="9740" max="9740" width="7.28515625" bestFit="1" customWidth="1"/>
    <col min="9741" max="9741" width="15.5703125" bestFit="1" customWidth="1"/>
    <col min="9742" max="9742" width="7.28515625" bestFit="1" customWidth="1"/>
    <col min="9743" max="9743" width="15.5703125" bestFit="1" customWidth="1"/>
    <col min="9744" max="9744" width="7.28515625" bestFit="1" customWidth="1"/>
    <col min="9745" max="9745" width="15.5703125" bestFit="1" customWidth="1"/>
    <col min="9746" max="9746" width="7.28515625" bestFit="1" customWidth="1"/>
    <col min="9747" max="9747" width="15.5703125" bestFit="1" customWidth="1"/>
    <col min="9748" max="9748" width="7.28515625" bestFit="1" customWidth="1"/>
    <col min="9750" max="9750" width="2" bestFit="1" customWidth="1"/>
    <col min="9751" max="9751" width="13.85546875" bestFit="1" customWidth="1"/>
    <col min="9752" max="9752" width="16.5703125" customWidth="1"/>
    <col min="9753" max="9753" width="10.85546875" bestFit="1" customWidth="1"/>
    <col min="9985" max="9985" width="51" customWidth="1"/>
    <col min="9986" max="9986" width="10.85546875" bestFit="1" customWidth="1"/>
    <col min="9987" max="9987" width="36.5703125" customWidth="1"/>
    <col min="9988" max="9988" width="7.28515625" bestFit="1" customWidth="1"/>
    <col min="9989" max="9989" width="15.5703125" bestFit="1" customWidth="1"/>
    <col min="9990" max="9990" width="7.28515625" bestFit="1" customWidth="1"/>
    <col min="9991" max="9991" width="15.5703125" bestFit="1" customWidth="1"/>
    <col min="9992" max="9992" width="7.28515625" bestFit="1" customWidth="1"/>
    <col min="9993" max="9993" width="15.5703125" bestFit="1" customWidth="1"/>
    <col min="9994" max="9994" width="7.28515625" bestFit="1" customWidth="1"/>
    <col min="9995" max="9995" width="15.5703125" bestFit="1" customWidth="1"/>
    <col min="9996" max="9996" width="7.28515625" bestFit="1" customWidth="1"/>
    <col min="9997" max="9997" width="15.5703125" bestFit="1" customWidth="1"/>
    <col min="9998" max="9998" width="7.28515625" bestFit="1" customWidth="1"/>
    <col min="9999" max="9999" width="15.5703125" bestFit="1" customWidth="1"/>
    <col min="10000" max="10000" width="7.28515625" bestFit="1" customWidth="1"/>
    <col min="10001" max="10001" width="15.5703125" bestFit="1" customWidth="1"/>
    <col min="10002" max="10002" width="7.28515625" bestFit="1" customWidth="1"/>
    <col min="10003" max="10003" width="15.5703125" bestFit="1" customWidth="1"/>
    <col min="10004" max="10004" width="7.28515625" bestFit="1" customWidth="1"/>
    <col min="10006" max="10006" width="2" bestFit="1" customWidth="1"/>
    <col min="10007" max="10007" width="13.85546875" bestFit="1" customWidth="1"/>
    <col min="10008" max="10008" width="16.5703125" customWidth="1"/>
    <col min="10009" max="10009" width="10.85546875" bestFit="1" customWidth="1"/>
    <col min="10241" max="10241" width="51" customWidth="1"/>
    <col min="10242" max="10242" width="10.85546875" bestFit="1" customWidth="1"/>
    <col min="10243" max="10243" width="36.5703125" customWidth="1"/>
    <col min="10244" max="10244" width="7.28515625" bestFit="1" customWidth="1"/>
    <col min="10245" max="10245" width="15.5703125" bestFit="1" customWidth="1"/>
    <col min="10246" max="10246" width="7.28515625" bestFit="1" customWidth="1"/>
    <col min="10247" max="10247" width="15.5703125" bestFit="1" customWidth="1"/>
    <col min="10248" max="10248" width="7.28515625" bestFit="1" customWidth="1"/>
    <col min="10249" max="10249" width="15.5703125" bestFit="1" customWidth="1"/>
    <col min="10250" max="10250" width="7.28515625" bestFit="1" customWidth="1"/>
    <col min="10251" max="10251" width="15.5703125" bestFit="1" customWidth="1"/>
    <col min="10252" max="10252" width="7.28515625" bestFit="1" customWidth="1"/>
    <col min="10253" max="10253" width="15.5703125" bestFit="1" customWidth="1"/>
    <col min="10254" max="10254" width="7.28515625" bestFit="1" customWidth="1"/>
    <col min="10255" max="10255" width="15.5703125" bestFit="1" customWidth="1"/>
    <col min="10256" max="10256" width="7.28515625" bestFit="1" customWidth="1"/>
    <col min="10257" max="10257" width="15.5703125" bestFit="1" customWidth="1"/>
    <col min="10258" max="10258" width="7.28515625" bestFit="1" customWidth="1"/>
    <col min="10259" max="10259" width="15.5703125" bestFit="1" customWidth="1"/>
    <col min="10260" max="10260" width="7.28515625" bestFit="1" customWidth="1"/>
    <col min="10262" max="10262" width="2" bestFit="1" customWidth="1"/>
    <col min="10263" max="10263" width="13.85546875" bestFit="1" customWidth="1"/>
    <col min="10264" max="10264" width="16.5703125" customWidth="1"/>
    <col min="10265" max="10265" width="10.85546875" bestFit="1" customWidth="1"/>
    <col min="10497" max="10497" width="51" customWidth="1"/>
    <col min="10498" max="10498" width="10.85546875" bestFit="1" customWidth="1"/>
    <col min="10499" max="10499" width="36.5703125" customWidth="1"/>
    <col min="10500" max="10500" width="7.28515625" bestFit="1" customWidth="1"/>
    <col min="10501" max="10501" width="15.5703125" bestFit="1" customWidth="1"/>
    <col min="10502" max="10502" width="7.28515625" bestFit="1" customWidth="1"/>
    <col min="10503" max="10503" width="15.5703125" bestFit="1" customWidth="1"/>
    <col min="10504" max="10504" width="7.28515625" bestFit="1" customWidth="1"/>
    <col min="10505" max="10505" width="15.5703125" bestFit="1" customWidth="1"/>
    <col min="10506" max="10506" width="7.28515625" bestFit="1" customWidth="1"/>
    <col min="10507" max="10507" width="15.5703125" bestFit="1" customWidth="1"/>
    <col min="10508" max="10508" width="7.28515625" bestFit="1" customWidth="1"/>
    <col min="10509" max="10509" width="15.5703125" bestFit="1" customWidth="1"/>
    <col min="10510" max="10510" width="7.28515625" bestFit="1" customWidth="1"/>
    <col min="10511" max="10511" width="15.5703125" bestFit="1" customWidth="1"/>
    <col min="10512" max="10512" width="7.28515625" bestFit="1" customWidth="1"/>
    <col min="10513" max="10513" width="15.5703125" bestFit="1" customWidth="1"/>
    <col min="10514" max="10514" width="7.28515625" bestFit="1" customWidth="1"/>
    <col min="10515" max="10515" width="15.5703125" bestFit="1" customWidth="1"/>
    <col min="10516" max="10516" width="7.28515625" bestFit="1" customWidth="1"/>
    <col min="10518" max="10518" width="2" bestFit="1" customWidth="1"/>
    <col min="10519" max="10519" width="13.85546875" bestFit="1" customWidth="1"/>
    <col min="10520" max="10520" width="16.5703125" customWidth="1"/>
    <col min="10521" max="10521" width="10.85546875" bestFit="1" customWidth="1"/>
    <col min="10753" max="10753" width="51" customWidth="1"/>
    <col min="10754" max="10754" width="10.85546875" bestFit="1" customWidth="1"/>
    <col min="10755" max="10755" width="36.5703125" customWidth="1"/>
    <col min="10756" max="10756" width="7.28515625" bestFit="1" customWidth="1"/>
    <col min="10757" max="10757" width="15.5703125" bestFit="1" customWidth="1"/>
    <col min="10758" max="10758" width="7.28515625" bestFit="1" customWidth="1"/>
    <col min="10759" max="10759" width="15.5703125" bestFit="1" customWidth="1"/>
    <col min="10760" max="10760" width="7.28515625" bestFit="1" customWidth="1"/>
    <col min="10761" max="10761" width="15.5703125" bestFit="1" customWidth="1"/>
    <col min="10762" max="10762" width="7.28515625" bestFit="1" customWidth="1"/>
    <col min="10763" max="10763" width="15.5703125" bestFit="1" customWidth="1"/>
    <col min="10764" max="10764" width="7.28515625" bestFit="1" customWidth="1"/>
    <col min="10765" max="10765" width="15.5703125" bestFit="1" customWidth="1"/>
    <col min="10766" max="10766" width="7.28515625" bestFit="1" customWidth="1"/>
    <col min="10767" max="10767" width="15.5703125" bestFit="1" customWidth="1"/>
    <col min="10768" max="10768" width="7.28515625" bestFit="1" customWidth="1"/>
    <col min="10769" max="10769" width="15.5703125" bestFit="1" customWidth="1"/>
    <col min="10770" max="10770" width="7.28515625" bestFit="1" customWidth="1"/>
    <col min="10771" max="10771" width="15.5703125" bestFit="1" customWidth="1"/>
    <col min="10772" max="10772" width="7.28515625" bestFit="1" customWidth="1"/>
    <col min="10774" max="10774" width="2" bestFit="1" customWidth="1"/>
    <col min="10775" max="10775" width="13.85546875" bestFit="1" customWidth="1"/>
    <col min="10776" max="10776" width="16.5703125" customWidth="1"/>
    <col min="10777" max="10777" width="10.85546875" bestFit="1" customWidth="1"/>
    <col min="11009" max="11009" width="51" customWidth="1"/>
    <col min="11010" max="11010" width="10.85546875" bestFit="1" customWidth="1"/>
    <col min="11011" max="11011" width="36.5703125" customWidth="1"/>
    <col min="11012" max="11012" width="7.28515625" bestFit="1" customWidth="1"/>
    <col min="11013" max="11013" width="15.5703125" bestFit="1" customWidth="1"/>
    <col min="11014" max="11014" width="7.28515625" bestFit="1" customWidth="1"/>
    <col min="11015" max="11015" width="15.5703125" bestFit="1" customWidth="1"/>
    <col min="11016" max="11016" width="7.28515625" bestFit="1" customWidth="1"/>
    <col min="11017" max="11017" width="15.5703125" bestFit="1" customWidth="1"/>
    <col min="11018" max="11018" width="7.28515625" bestFit="1" customWidth="1"/>
    <col min="11019" max="11019" width="15.5703125" bestFit="1" customWidth="1"/>
    <col min="11020" max="11020" width="7.28515625" bestFit="1" customWidth="1"/>
    <col min="11021" max="11021" width="15.5703125" bestFit="1" customWidth="1"/>
    <col min="11022" max="11022" width="7.28515625" bestFit="1" customWidth="1"/>
    <col min="11023" max="11023" width="15.5703125" bestFit="1" customWidth="1"/>
    <col min="11024" max="11024" width="7.28515625" bestFit="1" customWidth="1"/>
    <col min="11025" max="11025" width="15.5703125" bestFit="1" customWidth="1"/>
    <col min="11026" max="11026" width="7.28515625" bestFit="1" customWidth="1"/>
    <col min="11027" max="11027" width="15.5703125" bestFit="1" customWidth="1"/>
    <col min="11028" max="11028" width="7.28515625" bestFit="1" customWidth="1"/>
    <col min="11030" max="11030" width="2" bestFit="1" customWidth="1"/>
    <col min="11031" max="11031" width="13.85546875" bestFit="1" customWidth="1"/>
    <col min="11032" max="11032" width="16.5703125" customWidth="1"/>
    <col min="11033" max="11033" width="10.85546875" bestFit="1" customWidth="1"/>
    <col min="11265" max="11265" width="51" customWidth="1"/>
    <col min="11266" max="11266" width="10.85546875" bestFit="1" customWidth="1"/>
    <col min="11267" max="11267" width="36.5703125" customWidth="1"/>
    <col min="11268" max="11268" width="7.28515625" bestFit="1" customWidth="1"/>
    <col min="11269" max="11269" width="15.5703125" bestFit="1" customWidth="1"/>
    <col min="11270" max="11270" width="7.28515625" bestFit="1" customWidth="1"/>
    <col min="11271" max="11271" width="15.5703125" bestFit="1" customWidth="1"/>
    <col min="11272" max="11272" width="7.28515625" bestFit="1" customWidth="1"/>
    <col min="11273" max="11273" width="15.5703125" bestFit="1" customWidth="1"/>
    <col min="11274" max="11274" width="7.28515625" bestFit="1" customWidth="1"/>
    <col min="11275" max="11275" width="15.5703125" bestFit="1" customWidth="1"/>
    <col min="11276" max="11276" width="7.28515625" bestFit="1" customWidth="1"/>
    <col min="11277" max="11277" width="15.5703125" bestFit="1" customWidth="1"/>
    <col min="11278" max="11278" width="7.28515625" bestFit="1" customWidth="1"/>
    <col min="11279" max="11279" width="15.5703125" bestFit="1" customWidth="1"/>
    <col min="11280" max="11280" width="7.28515625" bestFit="1" customWidth="1"/>
    <col min="11281" max="11281" width="15.5703125" bestFit="1" customWidth="1"/>
    <col min="11282" max="11282" width="7.28515625" bestFit="1" customWidth="1"/>
    <col min="11283" max="11283" width="15.5703125" bestFit="1" customWidth="1"/>
    <col min="11284" max="11284" width="7.28515625" bestFit="1" customWidth="1"/>
    <col min="11286" max="11286" width="2" bestFit="1" customWidth="1"/>
    <col min="11287" max="11287" width="13.85546875" bestFit="1" customWidth="1"/>
    <col min="11288" max="11288" width="16.5703125" customWidth="1"/>
    <col min="11289" max="11289" width="10.85546875" bestFit="1" customWidth="1"/>
    <col min="11521" max="11521" width="51" customWidth="1"/>
    <col min="11522" max="11522" width="10.85546875" bestFit="1" customWidth="1"/>
    <col min="11523" max="11523" width="36.5703125" customWidth="1"/>
    <col min="11524" max="11524" width="7.28515625" bestFit="1" customWidth="1"/>
    <col min="11525" max="11525" width="15.5703125" bestFit="1" customWidth="1"/>
    <col min="11526" max="11526" width="7.28515625" bestFit="1" customWidth="1"/>
    <col min="11527" max="11527" width="15.5703125" bestFit="1" customWidth="1"/>
    <col min="11528" max="11528" width="7.28515625" bestFit="1" customWidth="1"/>
    <col min="11529" max="11529" width="15.5703125" bestFit="1" customWidth="1"/>
    <col min="11530" max="11530" width="7.28515625" bestFit="1" customWidth="1"/>
    <col min="11531" max="11531" width="15.5703125" bestFit="1" customWidth="1"/>
    <col min="11532" max="11532" width="7.28515625" bestFit="1" customWidth="1"/>
    <col min="11533" max="11533" width="15.5703125" bestFit="1" customWidth="1"/>
    <col min="11534" max="11534" width="7.28515625" bestFit="1" customWidth="1"/>
    <col min="11535" max="11535" width="15.5703125" bestFit="1" customWidth="1"/>
    <col min="11536" max="11536" width="7.28515625" bestFit="1" customWidth="1"/>
    <col min="11537" max="11537" width="15.5703125" bestFit="1" customWidth="1"/>
    <col min="11538" max="11538" width="7.28515625" bestFit="1" customWidth="1"/>
    <col min="11539" max="11539" width="15.5703125" bestFit="1" customWidth="1"/>
    <col min="11540" max="11540" width="7.28515625" bestFit="1" customWidth="1"/>
    <col min="11542" max="11542" width="2" bestFit="1" customWidth="1"/>
    <col min="11543" max="11543" width="13.85546875" bestFit="1" customWidth="1"/>
    <col min="11544" max="11544" width="16.5703125" customWidth="1"/>
    <col min="11545" max="11545" width="10.85546875" bestFit="1" customWidth="1"/>
    <col min="11777" max="11777" width="51" customWidth="1"/>
    <col min="11778" max="11778" width="10.85546875" bestFit="1" customWidth="1"/>
    <col min="11779" max="11779" width="36.5703125" customWidth="1"/>
    <col min="11780" max="11780" width="7.28515625" bestFit="1" customWidth="1"/>
    <col min="11781" max="11781" width="15.5703125" bestFit="1" customWidth="1"/>
    <col min="11782" max="11782" width="7.28515625" bestFit="1" customWidth="1"/>
    <col min="11783" max="11783" width="15.5703125" bestFit="1" customWidth="1"/>
    <col min="11784" max="11784" width="7.28515625" bestFit="1" customWidth="1"/>
    <col min="11785" max="11785" width="15.5703125" bestFit="1" customWidth="1"/>
    <col min="11786" max="11786" width="7.28515625" bestFit="1" customWidth="1"/>
    <col min="11787" max="11787" width="15.5703125" bestFit="1" customWidth="1"/>
    <col min="11788" max="11788" width="7.28515625" bestFit="1" customWidth="1"/>
    <col min="11789" max="11789" width="15.5703125" bestFit="1" customWidth="1"/>
    <col min="11790" max="11790" width="7.28515625" bestFit="1" customWidth="1"/>
    <col min="11791" max="11791" width="15.5703125" bestFit="1" customWidth="1"/>
    <col min="11792" max="11792" width="7.28515625" bestFit="1" customWidth="1"/>
    <col min="11793" max="11793" width="15.5703125" bestFit="1" customWidth="1"/>
    <col min="11794" max="11794" width="7.28515625" bestFit="1" customWidth="1"/>
    <col min="11795" max="11795" width="15.5703125" bestFit="1" customWidth="1"/>
    <col min="11796" max="11796" width="7.28515625" bestFit="1" customWidth="1"/>
    <col min="11798" max="11798" width="2" bestFit="1" customWidth="1"/>
    <col min="11799" max="11799" width="13.85546875" bestFit="1" customWidth="1"/>
    <col min="11800" max="11800" width="16.5703125" customWidth="1"/>
    <col min="11801" max="11801" width="10.85546875" bestFit="1" customWidth="1"/>
    <col min="12033" max="12033" width="51" customWidth="1"/>
    <col min="12034" max="12034" width="10.85546875" bestFit="1" customWidth="1"/>
    <col min="12035" max="12035" width="36.5703125" customWidth="1"/>
    <col min="12036" max="12036" width="7.28515625" bestFit="1" customWidth="1"/>
    <col min="12037" max="12037" width="15.5703125" bestFit="1" customWidth="1"/>
    <col min="12038" max="12038" width="7.28515625" bestFit="1" customWidth="1"/>
    <col min="12039" max="12039" width="15.5703125" bestFit="1" customWidth="1"/>
    <col min="12040" max="12040" width="7.28515625" bestFit="1" customWidth="1"/>
    <col min="12041" max="12041" width="15.5703125" bestFit="1" customWidth="1"/>
    <col min="12042" max="12042" width="7.28515625" bestFit="1" customWidth="1"/>
    <col min="12043" max="12043" width="15.5703125" bestFit="1" customWidth="1"/>
    <col min="12044" max="12044" width="7.28515625" bestFit="1" customWidth="1"/>
    <col min="12045" max="12045" width="15.5703125" bestFit="1" customWidth="1"/>
    <col min="12046" max="12046" width="7.28515625" bestFit="1" customWidth="1"/>
    <col min="12047" max="12047" width="15.5703125" bestFit="1" customWidth="1"/>
    <col min="12048" max="12048" width="7.28515625" bestFit="1" customWidth="1"/>
    <col min="12049" max="12049" width="15.5703125" bestFit="1" customWidth="1"/>
    <col min="12050" max="12050" width="7.28515625" bestFit="1" customWidth="1"/>
    <col min="12051" max="12051" width="15.5703125" bestFit="1" customWidth="1"/>
    <col min="12052" max="12052" width="7.28515625" bestFit="1" customWidth="1"/>
    <col min="12054" max="12054" width="2" bestFit="1" customWidth="1"/>
    <col min="12055" max="12055" width="13.85546875" bestFit="1" customWidth="1"/>
    <col min="12056" max="12056" width="16.5703125" customWidth="1"/>
    <col min="12057" max="12057" width="10.85546875" bestFit="1" customWidth="1"/>
    <col min="12289" max="12289" width="51" customWidth="1"/>
    <col min="12290" max="12290" width="10.85546875" bestFit="1" customWidth="1"/>
    <col min="12291" max="12291" width="36.5703125" customWidth="1"/>
    <col min="12292" max="12292" width="7.28515625" bestFit="1" customWidth="1"/>
    <col min="12293" max="12293" width="15.5703125" bestFit="1" customWidth="1"/>
    <col min="12294" max="12294" width="7.28515625" bestFit="1" customWidth="1"/>
    <col min="12295" max="12295" width="15.5703125" bestFit="1" customWidth="1"/>
    <col min="12296" max="12296" width="7.28515625" bestFit="1" customWidth="1"/>
    <col min="12297" max="12297" width="15.5703125" bestFit="1" customWidth="1"/>
    <col min="12298" max="12298" width="7.28515625" bestFit="1" customWidth="1"/>
    <col min="12299" max="12299" width="15.5703125" bestFit="1" customWidth="1"/>
    <col min="12300" max="12300" width="7.28515625" bestFit="1" customWidth="1"/>
    <col min="12301" max="12301" width="15.5703125" bestFit="1" customWidth="1"/>
    <col min="12302" max="12302" width="7.28515625" bestFit="1" customWidth="1"/>
    <col min="12303" max="12303" width="15.5703125" bestFit="1" customWidth="1"/>
    <col min="12304" max="12304" width="7.28515625" bestFit="1" customWidth="1"/>
    <col min="12305" max="12305" width="15.5703125" bestFit="1" customWidth="1"/>
    <col min="12306" max="12306" width="7.28515625" bestFit="1" customWidth="1"/>
    <col min="12307" max="12307" width="15.5703125" bestFit="1" customWidth="1"/>
    <col min="12308" max="12308" width="7.28515625" bestFit="1" customWidth="1"/>
    <col min="12310" max="12310" width="2" bestFit="1" customWidth="1"/>
    <col min="12311" max="12311" width="13.85546875" bestFit="1" customWidth="1"/>
    <col min="12312" max="12312" width="16.5703125" customWidth="1"/>
    <col min="12313" max="12313" width="10.85546875" bestFit="1" customWidth="1"/>
    <col min="12545" max="12545" width="51" customWidth="1"/>
    <col min="12546" max="12546" width="10.85546875" bestFit="1" customWidth="1"/>
    <col min="12547" max="12547" width="36.5703125" customWidth="1"/>
    <col min="12548" max="12548" width="7.28515625" bestFit="1" customWidth="1"/>
    <col min="12549" max="12549" width="15.5703125" bestFit="1" customWidth="1"/>
    <col min="12550" max="12550" width="7.28515625" bestFit="1" customWidth="1"/>
    <col min="12551" max="12551" width="15.5703125" bestFit="1" customWidth="1"/>
    <col min="12552" max="12552" width="7.28515625" bestFit="1" customWidth="1"/>
    <col min="12553" max="12553" width="15.5703125" bestFit="1" customWidth="1"/>
    <col min="12554" max="12554" width="7.28515625" bestFit="1" customWidth="1"/>
    <col min="12555" max="12555" width="15.5703125" bestFit="1" customWidth="1"/>
    <col min="12556" max="12556" width="7.28515625" bestFit="1" customWidth="1"/>
    <col min="12557" max="12557" width="15.5703125" bestFit="1" customWidth="1"/>
    <col min="12558" max="12558" width="7.28515625" bestFit="1" customWidth="1"/>
    <col min="12559" max="12559" width="15.5703125" bestFit="1" customWidth="1"/>
    <col min="12560" max="12560" width="7.28515625" bestFit="1" customWidth="1"/>
    <col min="12561" max="12561" width="15.5703125" bestFit="1" customWidth="1"/>
    <col min="12562" max="12562" width="7.28515625" bestFit="1" customWidth="1"/>
    <col min="12563" max="12563" width="15.5703125" bestFit="1" customWidth="1"/>
    <col min="12564" max="12564" width="7.28515625" bestFit="1" customWidth="1"/>
    <col min="12566" max="12566" width="2" bestFit="1" customWidth="1"/>
    <col min="12567" max="12567" width="13.85546875" bestFit="1" customWidth="1"/>
    <col min="12568" max="12568" width="16.5703125" customWidth="1"/>
    <col min="12569" max="12569" width="10.85546875" bestFit="1" customWidth="1"/>
    <col min="12801" max="12801" width="51" customWidth="1"/>
    <col min="12802" max="12802" width="10.85546875" bestFit="1" customWidth="1"/>
    <col min="12803" max="12803" width="36.5703125" customWidth="1"/>
    <col min="12804" max="12804" width="7.28515625" bestFit="1" customWidth="1"/>
    <col min="12805" max="12805" width="15.5703125" bestFit="1" customWidth="1"/>
    <col min="12806" max="12806" width="7.28515625" bestFit="1" customWidth="1"/>
    <col min="12807" max="12807" width="15.5703125" bestFit="1" customWidth="1"/>
    <col min="12808" max="12808" width="7.28515625" bestFit="1" customWidth="1"/>
    <col min="12809" max="12809" width="15.5703125" bestFit="1" customWidth="1"/>
    <col min="12810" max="12810" width="7.28515625" bestFit="1" customWidth="1"/>
    <col min="12811" max="12811" width="15.5703125" bestFit="1" customWidth="1"/>
    <col min="12812" max="12812" width="7.28515625" bestFit="1" customWidth="1"/>
    <col min="12813" max="12813" width="15.5703125" bestFit="1" customWidth="1"/>
    <col min="12814" max="12814" width="7.28515625" bestFit="1" customWidth="1"/>
    <col min="12815" max="12815" width="15.5703125" bestFit="1" customWidth="1"/>
    <col min="12816" max="12816" width="7.28515625" bestFit="1" customWidth="1"/>
    <col min="12817" max="12817" width="15.5703125" bestFit="1" customWidth="1"/>
    <col min="12818" max="12818" width="7.28515625" bestFit="1" customWidth="1"/>
    <col min="12819" max="12819" width="15.5703125" bestFit="1" customWidth="1"/>
    <col min="12820" max="12820" width="7.28515625" bestFit="1" customWidth="1"/>
    <col min="12822" max="12822" width="2" bestFit="1" customWidth="1"/>
    <col min="12823" max="12823" width="13.85546875" bestFit="1" customWidth="1"/>
    <col min="12824" max="12824" width="16.5703125" customWidth="1"/>
    <col min="12825" max="12825" width="10.85546875" bestFit="1" customWidth="1"/>
    <col min="13057" max="13057" width="51" customWidth="1"/>
    <col min="13058" max="13058" width="10.85546875" bestFit="1" customWidth="1"/>
    <col min="13059" max="13059" width="36.5703125" customWidth="1"/>
    <col min="13060" max="13060" width="7.28515625" bestFit="1" customWidth="1"/>
    <col min="13061" max="13061" width="15.5703125" bestFit="1" customWidth="1"/>
    <col min="13062" max="13062" width="7.28515625" bestFit="1" customWidth="1"/>
    <col min="13063" max="13063" width="15.5703125" bestFit="1" customWidth="1"/>
    <col min="13064" max="13064" width="7.28515625" bestFit="1" customWidth="1"/>
    <col min="13065" max="13065" width="15.5703125" bestFit="1" customWidth="1"/>
    <col min="13066" max="13066" width="7.28515625" bestFit="1" customWidth="1"/>
    <col min="13067" max="13067" width="15.5703125" bestFit="1" customWidth="1"/>
    <col min="13068" max="13068" width="7.28515625" bestFit="1" customWidth="1"/>
    <col min="13069" max="13069" width="15.5703125" bestFit="1" customWidth="1"/>
    <col min="13070" max="13070" width="7.28515625" bestFit="1" customWidth="1"/>
    <col min="13071" max="13071" width="15.5703125" bestFit="1" customWidth="1"/>
    <col min="13072" max="13072" width="7.28515625" bestFit="1" customWidth="1"/>
    <col min="13073" max="13073" width="15.5703125" bestFit="1" customWidth="1"/>
    <col min="13074" max="13074" width="7.28515625" bestFit="1" customWidth="1"/>
    <col min="13075" max="13075" width="15.5703125" bestFit="1" customWidth="1"/>
    <col min="13076" max="13076" width="7.28515625" bestFit="1" customWidth="1"/>
    <col min="13078" max="13078" width="2" bestFit="1" customWidth="1"/>
    <col min="13079" max="13079" width="13.85546875" bestFit="1" customWidth="1"/>
    <col min="13080" max="13080" width="16.5703125" customWidth="1"/>
    <col min="13081" max="13081" width="10.85546875" bestFit="1" customWidth="1"/>
    <col min="13313" max="13313" width="51" customWidth="1"/>
    <col min="13314" max="13314" width="10.85546875" bestFit="1" customWidth="1"/>
    <col min="13315" max="13315" width="36.5703125" customWidth="1"/>
    <col min="13316" max="13316" width="7.28515625" bestFit="1" customWidth="1"/>
    <col min="13317" max="13317" width="15.5703125" bestFit="1" customWidth="1"/>
    <col min="13318" max="13318" width="7.28515625" bestFit="1" customWidth="1"/>
    <col min="13319" max="13319" width="15.5703125" bestFit="1" customWidth="1"/>
    <col min="13320" max="13320" width="7.28515625" bestFit="1" customWidth="1"/>
    <col min="13321" max="13321" width="15.5703125" bestFit="1" customWidth="1"/>
    <col min="13322" max="13322" width="7.28515625" bestFit="1" customWidth="1"/>
    <col min="13323" max="13323" width="15.5703125" bestFit="1" customWidth="1"/>
    <col min="13324" max="13324" width="7.28515625" bestFit="1" customWidth="1"/>
    <col min="13325" max="13325" width="15.5703125" bestFit="1" customWidth="1"/>
    <col min="13326" max="13326" width="7.28515625" bestFit="1" customWidth="1"/>
    <col min="13327" max="13327" width="15.5703125" bestFit="1" customWidth="1"/>
    <col min="13328" max="13328" width="7.28515625" bestFit="1" customWidth="1"/>
    <col min="13329" max="13329" width="15.5703125" bestFit="1" customWidth="1"/>
    <col min="13330" max="13330" width="7.28515625" bestFit="1" customWidth="1"/>
    <col min="13331" max="13331" width="15.5703125" bestFit="1" customWidth="1"/>
    <col min="13332" max="13332" width="7.28515625" bestFit="1" customWidth="1"/>
    <col min="13334" max="13334" width="2" bestFit="1" customWidth="1"/>
    <col min="13335" max="13335" width="13.85546875" bestFit="1" customWidth="1"/>
    <col min="13336" max="13336" width="16.5703125" customWidth="1"/>
    <col min="13337" max="13337" width="10.85546875" bestFit="1" customWidth="1"/>
    <col min="13569" max="13569" width="51" customWidth="1"/>
    <col min="13570" max="13570" width="10.85546875" bestFit="1" customWidth="1"/>
    <col min="13571" max="13571" width="36.5703125" customWidth="1"/>
    <col min="13572" max="13572" width="7.28515625" bestFit="1" customWidth="1"/>
    <col min="13573" max="13573" width="15.5703125" bestFit="1" customWidth="1"/>
    <col min="13574" max="13574" width="7.28515625" bestFit="1" customWidth="1"/>
    <col min="13575" max="13575" width="15.5703125" bestFit="1" customWidth="1"/>
    <col min="13576" max="13576" width="7.28515625" bestFit="1" customWidth="1"/>
    <col min="13577" max="13577" width="15.5703125" bestFit="1" customWidth="1"/>
    <col min="13578" max="13578" width="7.28515625" bestFit="1" customWidth="1"/>
    <col min="13579" max="13579" width="15.5703125" bestFit="1" customWidth="1"/>
    <col min="13580" max="13580" width="7.28515625" bestFit="1" customWidth="1"/>
    <col min="13581" max="13581" width="15.5703125" bestFit="1" customWidth="1"/>
    <col min="13582" max="13582" width="7.28515625" bestFit="1" customWidth="1"/>
    <col min="13583" max="13583" width="15.5703125" bestFit="1" customWidth="1"/>
    <col min="13584" max="13584" width="7.28515625" bestFit="1" customWidth="1"/>
    <col min="13585" max="13585" width="15.5703125" bestFit="1" customWidth="1"/>
    <col min="13586" max="13586" width="7.28515625" bestFit="1" customWidth="1"/>
    <col min="13587" max="13587" width="15.5703125" bestFit="1" customWidth="1"/>
    <col min="13588" max="13588" width="7.28515625" bestFit="1" customWidth="1"/>
    <col min="13590" max="13590" width="2" bestFit="1" customWidth="1"/>
    <col min="13591" max="13591" width="13.85546875" bestFit="1" customWidth="1"/>
    <col min="13592" max="13592" width="16.5703125" customWidth="1"/>
    <col min="13593" max="13593" width="10.85546875" bestFit="1" customWidth="1"/>
    <col min="13825" max="13825" width="51" customWidth="1"/>
    <col min="13826" max="13826" width="10.85546875" bestFit="1" customWidth="1"/>
    <col min="13827" max="13827" width="36.5703125" customWidth="1"/>
    <col min="13828" max="13828" width="7.28515625" bestFit="1" customWidth="1"/>
    <col min="13829" max="13829" width="15.5703125" bestFit="1" customWidth="1"/>
    <col min="13830" max="13830" width="7.28515625" bestFit="1" customWidth="1"/>
    <col min="13831" max="13831" width="15.5703125" bestFit="1" customWidth="1"/>
    <col min="13832" max="13832" width="7.28515625" bestFit="1" customWidth="1"/>
    <col min="13833" max="13833" width="15.5703125" bestFit="1" customWidth="1"/>
    <col min="13834" max="13834" width="7.28515625" bestFit="1" customWidth="1"/>
    <col min="13835" max="13835" width="15.5703125" bestFit="1" customWidth="1"/>
    <col min="13836" max="13836" width="7.28515625" bestFit="1" customWidth="1"/>
    <col min="13837" max="13837" width="15.5703125" bestFit="1" customWidth="1"/>
    <col min="13838" max="13838" width="7.28515625" bestFit="1" customWidth="1"/>
    <col min="13839" max="13839" width="15.5703125" bestFit="1" customWidth="1"/>
    <col min="13840" max="13840" width="7.28515625" bestFit="1" customWidth="1"/>
    <col min="13841" max="13841" width="15.5703125" bestFit="1" customWidth="1"/>
    <col min="13842" max="13842" width="7.28515625" bestFit="1" customWidth="1"/>
    <col min="13843" max="13843" width="15.5703125" bestFit="1" customWidth="1"/>
    <col min="13844" max="13844" width="7.28515625" bestFit="1" customWidth="1"/>
    <col min="13846" max="13846" width="2" bestFit="1" customWidth="1"/>
    <col min="13847" max="13847" width="13.85546875" bestFit="1" customWidth="1"/>
    <col min="13848" max="13848" width="16.5703125" customWidth="1"/>
    <col min="13849" max="13849" width="10.85546875" bestFit="1" customWidth="1"/>
    <col min="14081" max="14081" width="51" customWidth="1"/>
    <col min="14082" max="14082" width="10.85546875" bestFit="1" customWidth="1"/>
    <col min="14083" max="14083" width="36.5703125" customWidth="1"/>
    <col min="14084" max="14084" width="7.28515625" bestFit="1" customWidth="1"/>
    <col min="14085" max="14085" width="15.5703125" bestFit="1" customWidth="1"/>
    <col min="14086" max="14086" width="7.28515625" bestFit="1" customWidth="1"/>
    <col min="14087" max="14087" width="15.5703125" bestFit="1" customWidth="1"/>
    <col min="14088" max="14088" width="7.28515625" bestFit="1" customWidth="1"/>
    <col min="14089" max="14089" width="15.5703125" bestFit="1" customWidth="1"/>
    <col min="14090" max="14090" width="7.28515625" bestFit="1" customWidth="1"/>
    <col min="14091" max="14091" width="15.5703125" bestFit="1" customWidth="1"/>
    <col min="14092" max="14092" width="7.28515625" bestFit="1" customWidth="1"/>
    <col min="14093" max="14093" width="15.5703125" bestFit="1" customWidth="1"/>
    <col min="14094" max="14094" width="7.28515625" bestFit="1" customWidth="1"/>
    <col min="14095" max="14095" width="15.5703125" bestFit="1" customWidth="1"/>
    <col min="14096" max="14096" width="7.28515625" bestFit="1" customWidth="1"/>
    <col min="14097" max="14097" width="15.5703125" bestFit="1" customWidth="1"/>
    <col min="14098" max="14098" width="7.28515625" bestFit="1" customWidth="1"/>
    <col min="14099" max="14099" width="15.5703125" bestFit="1" customWidth="1"/>
    <col min="14100" max="14100" width="7.28515625" bestFit="1" customWidth="1"/>
    <col min="14102" max="14102" width="2" bestFit="1" customWidth="1"/>
    <col min="14103" max="14103" width="13.85546875" bestFit="1" customWidth="1"/>
    <col min="14104" max="14104" width="16.5703125" customWidth="1"/>
    <col min="14105" max="14105" width="10.85546875" bestFit="1" customWidth="1"/>
    <col min="14337" max="14337" width="51" customWidth="1"/>
    <col min="14338" max="14338" width="10.85546875" bestFit="1" customWidth="1"/>
    <col min="14339" max="14339" width="36.5703125" customWidth="1"/>
    <col min="14340" max="14340" width="7.28515625" bestFit="1" customWidth="1"/>
    <col min="14341" max="14341" width="15.5703125" bestFit="1" customWidth="1"/>
    <col min="14342" max="14342" width="7.28515625" bestFit="1" customWidth="1"/>
    <col min="14343" max="14343" width="15.5703125" bestFit="1" customWidth="1"/>
    <col min="14344" max="14344" width="7.28515625" bestFit="1" customWidth="1"/>
    <col min="14345" max="14345" width="15.5703125" bestFit="1" customWidth="1"/>
    <col min="14346" max="14346" width="7.28515625" bestFit="1" customWidth="1"/>
    <col min="14347" max="14347" width="15.5703125" bestFit="1" customWidth="1"/>
    <col min="14348" max="14348" width="7.28515625" bestFit="1" customWidth="1"/>
    <col min="14349" max="14349" width="15.5703125" bestFit="1" customWidth="1"/>
    <col min="14350" max="14350" width="7.28515625" bestFit="1" customWidth="1"/>
    <col min="14351" max="14351" width="15.5703125" bestFit="1" customWidth="1"/>
    <col min="14352" max="14352" width="7.28515625" bestFit="1" customWidth="1"/>
    <col min="14353" max="14353" width="15.5703125" bestFit="1" customWidth="1"/>
    <col min="14354" max="14354" width="7.28515625" bestFit="1" customWidth="1"/>
    <col min="14355" max="14355" width="15.5703125" bestFit="1" customWidth="1"/>
    <col min="14356" max="14356" width="7.28515625" bestFit="1" customWidth="1"/>
    <col min="14358" max="14358" width="2" bestFit="1" customWidth="1"/>
    <col min="14359" max="14359" width="13.85546875" bestFit="1" customWidth="1"/>
    <col min="14360" max="14360" width="16.5703125" customWidth="1"/>
    <col min="14361" max="14361" width="10.85546875" bestFit="1" customWidth="1"/>
    <col min="14593" max="14593" width="51" customWidth="1"/>
    <col min="14594" max="14594" width="10.85546875" bestFit="1" customWidth="1"/>
    <col min="14595" max="14595" width="36.5703125" customWidth="1"/>
    <col min="14596" max="14596" width="7.28515625" bestFit="1" customWidth="1"/>
    <col min="14597" max="14597" width="15.5703125" bestFit="1" customWidth="1"/>
    <col min="14598" max="14598" width="7.28515625" bestFit="1" customWidth="1"/>
    <col min="14599" max="14599" width="15.5703125" bestFit="1" customWidth="1"/>
    <col min="14600" max="14600" width="7.28515625" bestFit="1" customWidth="1"/>
    <col min="14601" max="14601" width="15.5703125" bestFit="1" customWidth="1"/>
    <col min="14602" max="14602" width="7.28515625" bestFit="1" customWidth="1"/>
    <col min="14603" max="14603" width="15.5703125" bestFit="1" customWidth="1"/>
    <col min="14604" max="14604" width="7.28515625" bestFit="1" customWidth="1"/>
    <col min="14605" max="14605" width="15.5703125" bestFit="1" customWidth="1"/>
    <col min="14606" max="14606" width="7.28515625" bestFit="1" customWidth="1"/>
    <col min="14607" max="14607" width="15.5703125" bestFit="1" customWidth="1"/>
    <col min="14608" max="14608" width="7.28515625" bestFit="1" customWidth="1"/>
    <col min="14609" max="14609" width="15.5703125" bestFit="1" customWidth="1"/>
    <col min="14610" max="14610" width="7.28515625" bestFit="1" customWidth="1"/>
    <col min="14611" max="14611" width="15.5703125" bestFit="1" customWidth="1"/>
    <col min="14612" max="14612" width="7.28515625" bestFit="1" customWidth="1"/>
    <col min="14614" max="14614" width="2" bestFit="1" customWidth="1"/>
    <col min="14615" max="14615" width="13.85546875" bestFit="1" customWidth="1"/>
    <col min="14616" max="14616" width="16.5703125" customWidth="1"/>
    <col min="14617" max="14617" width="10.85546875" bestFit="1" customWidth="1"/>
    <col min="14849" max="14849" width="51" customWidth="1"/>
    <col min="14850" max="14850" width="10.85546875" bestFit="1" customWidth="1"/>
    <col min="14851" max="14851" width="36.5703125" customWidth="1"/>
    <col min="14852" max="14852" width="7.28515625" bestFit="1" customWidth="1"/>
    <col min="14853" max="14853" width="15.5703125" bestFit="1" customWidth="1"/>
    <col min="14854" max="14854" width="7.28515625" bestFit="1" customWidth="1"/>
    <col min="14855" max="14855" width="15.5703125" bestFit="1" customWidth="1"/>
    <col min="14856" max="14856" width="7.28515625" bestFit="1" customWidth="1"/>
    <col min="14857" max="14857" width="15.5703125" bestFit="1" customWidth="1"/>
    <col min="14858" max="14858" width="7.28515625" bestFit="1" customWidth="1"/>
    <col min="14859" max="14859" width="15.5703125" bestFit="1" customWidth="1"/>
    <col min="14860" max="14860" width="7.28515625" bestFit="1" customWidth="1"/>
    <col min="14861" max="14861" width="15.5703125" bestFit="1" customWidth="1"/>
    <col min="14862" max="14862" width="7.28515625" bestFit="1" customWidth="1"/>
    <col min="14863" max="14863" width="15.5703125" bestFit="1" customWidth="1"/>
    <col min="14864" max="14864" width="7.28515625" bestFit="1" customWidth="1"/>
    <col min="14865" max="14865" width="15.5703125" bestFit="1" customWidth="1"/>
    <col min="14866" max="14866" width="7.28515625" bestFit="1" customWidth="1"/>
    <col min="14867" max="14867" width="15.5703125" bestFit="1" customWidth="1"/>
    <col min="14868" max="14868" width="7.28515625" bestFit="1" customWidth="1"/>
    <col min="14870" max="14870" width="2" bestFit="1" customWidth="1"/>
    <col min="14871" max="14871" width="13.85546875" bestFit="1" customWidth="1"/>
    <col min="14872" max="14872" width="16.5703125" customWidth="1"/>
    <col min="14873" max="14873" width="10.85546875" bestFit="1" customWidth="1"/>
    <col min="15105" max="15105" width="51" customWidth="1"/>
    <col min="15106" max="15106" width="10.85546875" bestFit="1" customWidth="1"/>
    <col min="15107" max="15107" width="36.5703125" customWidth="1"/>
    <col min="15108" max="15108" width="7.28515625" bestFit="1" customWidth="1"/>
    <col min="15109" max="15109" width="15.5703125" bestFit="1" customWidth="1"/>
    <col min="15110" max="15110" width="7.28515625" bestFit="1" customWidth="1"/>
    <col min="15111" max="15111" width="15.5703125" bestFit="1" customWidth="1"/>
    <col min="15112" max="15112" width="7.28515625" bestFit="1" customWidth="1"/>
    <col min="15113" max="15113" width="15.5703125" bestFit="1" customWidth="1"/>
    <col min="15114" max="15114" width="7.28515625" bestFit="1" customWidth="1"/>
    <col min="15115" max="15115" width="15.5703125" bestFit="1" customWidth="1"/>
    <col min="15116" max="15116" width="7.28515625" bestFit="1" customWidth="1"/>
    <col min="15117" max="15117" width="15.5703125" bestFit="1" customWidth="1"/>
    <col min="15118" max="15118" width="7.28515625" bestFit="1" customWidth="1"/>
    <col min="15119" max="15119" width="15.5703125" bestFit="1" customWidth="1"/>
    <col min="15120" max="15120" width="7.28515625" bestFit="1" customWidth="1"/>
    <col min="15121" max="15121" width="15.5703125" bestFit="1" customWidth="1"/>
    <col min="15122" max="15122" width="7.28515625" bestFit="1" customWidth="1"/>
    <col min="15123" max="15123" width="15.5703125" bestFit="1" customWidth="1"/>
    <col min="15124" max="15124" width="7.28515625" bestFit="1" customWidth="1"/>
    <col min="15126" max="15126" width="2" bestFit="1" customWidth="1"/>
    <col min="15127" max="15127" width="13.85546875" bestFit="1" customWidth="1"/>
    <col min="15128" max="15128" width="16.5703125" customWidth="1"/>
    <col min="15129" max="15129" width="10.85546875" bestFit="1" customWidth="1"/>
    <col min="15361" max="15361" width="51" customWidth="1"/>
    <col min="15362" max="15362" width="10.85546875" bestFit="1" customWidth="1"/>
    <col min="15363" max="15363" width="36.5703125" customWidth="1"/>
    <col min="15364" max="15364" width="7.28515625" bestFit="1" customWidth="1"/>
    <col min="15365" max="15365" width="15.5703125" bestFit="1" customWidth="1"/>
    <col min="15366" max="15366" width="7.28515625" bestFit="1" customWidth="1"/>
    <col min="15367" max="15367" width="15.5703125" bestFit="1" customWidth="1"/>
    <col min="15368" max="15368" width="7.28515625" bestFit="1" customWidth="1"/>
    <col min="15369" max="15369" width="15.5703125" bestFit="1" customWidth="1"/>
    <col min="15370" max="15370" width="7.28515625" bestFit="1" customWidth="1"/>
    <col min="15371" max="15371" width="15.5703125" bestFit="1" customWidth="1"/>
    <col min="15372" max="15372" width="7.28515625" bestFit="1" customWidth="1"/>
    <col min="15373" max="15373" width="15.5703125" bestFit="1" customWidth="1"/>
    <col min="15374" max="15374" width="7.28515625" bestFit="1" customWidth="1"/>
    <col min="15375" max="15375" width="15.5703125" bestFit="1" customWidth="1"/>
    <col min="15376" max="15376" width="7.28515625" bestFit="1" customWidth="1"/>
    <col min="15377" max="15377" width="15.5703125" bestFit="1" customWidth="1"/>
    <col min="15378" max="15378" width="7.28515625" bestFit="1" customWidth="1"/>
    <col min="15379" max="15379" width="15.5703125" bestFit="1" customWidth="1"/>
    <col min="15380" max="15380" width="7.28515625" bestFit="1" customWidth="1"/>
    <col min="15382" max="15382" width="2" bestFit="1" customWidth="1"/>
    <col min="15383" max="15383" width="13.85546875" bestFit="1" customWidth="1"/>
    <col min="15384" max="15384" width="16.5703125" customWidth="1"/>
    <col min="15385" max="15385" width="10.85546875" bestFit="1" customWidth="1"/>
    <col min="15617" max="15617" width="51" customWidth="1"/>
    <col min="15618" max="15618" width="10.85546875" bestFit="1" customWidth="1"/>
    <col min="15619" max="15619" width="36.5703125" customWidth="1"/>
    <col min="15620" max="15620" width="7.28515625" bestFit="1" customWidth="1"/>
    <col min="15621" max="15621" width="15.5703125" bestFit="1" customWidth="1"/>
    <col min="15622" max="15622" width="7.28515625" bestFit="1" customWidth="1"/>
    <col min="15623" max="15623" width="15.5703125" bestFit="1" customWidth="1"/>
    <col min="15624" max="15624" width="7.28515625" bestFit="1" customWidth="1"/>
    <col min="15625" max="15625" width="15.5703125" bestFit="1" customWidth="1"/>
    <col min="15626" max="15626" width="7.28515625" bestFit="1" customWidth="1"/>
    <col min="15627" max="15627" width="15.5703125" bestFit="1" customWidth="1"/>
    <col min="15628" max="15628" width="7.28515625" bestFit="1" customWidth="1"/>
    <col min="15629" max="15629" width="15.5703125" bestFit="1" customWidth="1"/>
    <col min="15630" max="15630" width="7.28515625" bestFit="1" customWidth="1"/>
    <col min="15631" max="15631" width="15.5703125" bestFit="1" customWidth="1"/>
    <col min="15632" max="15632" width="7.28515625" bestFit="1" customWidth="1"/>
    <col min="15633" max="15633" width="15.5703125" bestFit="1" customWidth="1"/>
    <col min="15634" max="15634" width="7.28515625" bestFit="1" customWidth="1"/>
    <col min="15635" max="15635" width="15.5703125" bestFit="1" customWidth="1"/>
    <col min="15636" max="15636" width="7.28515625" bestFit="1" customWidth="1"/>
    <col min="15638" max="15638" width="2" bestFit="1" customWidth="1"/>
    <col min="15639" max="15639" width="13.85546875" bestFit="1" customWidth="1"/>
    <col min="15640" max="15640" width="16.5703125" customWidth="1"/>
    <col min="15641" max="15641" width="10.85546875" bestFit="1" customWidth="1"/>
    <col min="15873" max="15873" width="51" customWidth="1"/>
    <col min="15874" max="15874" width="10.85546875" bestFit="1" customWidth="1"/>
    <col min="15875" max="15875" width="36.5703125" customWidth="1"/>
    <col min="15876" max="15876" width="7.28515625" bestFit="1" customWidth="1"/>
    <col min="15877" max="15877" width="15.5703125" bestFit="1" customWidth="1"/>
    <col min="15878" max="15878" width="7.28515625" bestFit="1" customWidth="1"/>
    <col min="15879" max="15879" width="15.5703125" bestFit="1" customWidth="1"/>
    <col min="15880" max="15880" width="7.28515625" bestFit="1" customWidth="1"/>
    <col min="15881" max="15881" width="15.5703125" bestFit="1" customWidth="1"/>
    <col min="15882" max="15882" width="7.28515625" bestFit="1" customWidth="1"/>
    <col min="15883" max="15883" width="15.5703125" bestFit="1" customWidth="1"/>
    <col min="15884" max="15884" width="7.28515625" bestFit="1" customWidth="1"/>
    <col min="15885" max="15885" width="15.5703125" bestFit="1" customWidth="1"/>
    <col min="15886" max="15886" width="7.28515625" bestFit="1" customWidth="1"/>
    <col min="15887" max="15887" width="15.5703125" bestFit="1" customWidth="1"/>
    <col min="15888" max="15888" width="7.28515625" bestFit="1" customWidth="1"/>
    <col min="15889" max="15889" width="15.5703125" bestFit="1" customWidth="1"/>
    <col min="15890" max="15890" width="7.28515625" bestFit="1" customWidth="1"/>
    <col min="15891" max="15891" width="15.5703125" bestFit="1" customWidth="1"/>
    <col min="15892" max="15892" width="7.28515625" bestFit="1" customWidth="1"/>
    <col min="15894" max="15894" width="2" bestFit="1" customWidth="1"/>
    <col min="15895" max="15895" width="13.85546875" bestFit="1" customWidth="1"/>
    <col min="15896" max="15896" width="16.5703125" customWidth="1"/>
    <col min="15897" max="15897" width="10.85546875" bestFit="1" customWidth="1"/>
    <col min="16129" max="16129" width="51" customWidth="1"/>
    <col min="16130" max="16130" width="10.85546875" bestFit="1" customWidth="1"/>
    <col min="16131" max="16131" width="36.5703125" customWidth="1"/>
    <col min="16132" max="16132" width="7.28515625" bestFit="1" customWidth="1"/>
    <col min="16133" max="16133" width="15.5703125" bestFit="1" customWidth="1"/>
    <col min="16134" max="16134" width="7.28515625" bestFit="1" customWidth="1"/>
    <col min="16135" max="16135" width="15.5703125" bestFit="1" customWidth="1"/>
    <col min="16136" max="16136" width="7.28515625" bestFit="1" customWidth="1"/>
    <col min="16137" max="16137" width="15.5703125" bestFit="1" customWidth="1"/>
    <col min="16138" max="16138" width="7.28515625" bestFit="1" customWidth="1"/>
    <col min="16139" max="16139" width="15.5703125" bestFit="1" customWidth="1"/>
    <col min="16140" max="16140" width="7.28515625" bestFit="1" customWidth="1"/>
    <col min="16141" max="16141" width="15.5703125" bestFit="1" customWidth="1"/>
    <col min="16142" max="16142" width="7.28515625" bestFit="1" customWidth="1"/>
    <col min="16143" max="16143" width="15.5703125" bestFit="1" customWidth="1"/>
    <col min="16144" max="16144" width="7.28515625" bestFit="1" customWidth="1"/>
    <col min="16145" max="16145" width="15.5703125" bestFit="1" customWidth="1"/>
    <col min="16146" max="16146" width="7.28515625" bestFit="1" customWidth="1"/>
    <col min="16147" max="16147" width="15.5703125" bestFit="1" customWidth="1"/>
    <col min="16148" max="16148" width="7.28515625" bestFit="1" customWidth="1"/>
    <col min="16150" max="16150" width="2" bestFit="1" customWidth="1"/>
    <col min="16151" max="16151" width="13.85546875" bestFit="1" customWidth="1"/>
    <col min="16152" max="16152" width="16.5703125" customWidth="1"/>
    <col min="16153" max="16153" width="10.85546875" bestFit="1" customWidth="1"/>
  </cols>
  <sheetData>
    <row r="1" spans="1:25" ht="15.75" x14ac:dyDescent="0.25">
      <c r="A1" s="101" t="s">
        <v>2961</v>
      </c>
      <c r="B1" s="102"/>
      <c r="C1" s="270"/>
      <c r="D1" s="270"/>
      <c r="E1" s="270"/>
      <c r="F1" s="271"/>
      <c r="G1" s="270"/>
      <c r="H1" s="270"/>
      <c r="I1" s="270"/>
      <c r="J1" s="270"/>
      <c r="K1" s="270"/>
      <c r="L1" s="270"/>
      <c r="M1" s="270"/>
      <c r="N1" s="270"/>
      <c r="O1" s="270"/>
      <c r="P1" s="270"/>
      <c r="Q1" s="270"/>
      <c r="R1" s="270"/>
      <c r="S1" s="270"/>
      <c r="T1" s="270"/>
      <c r="U1" s="102"/>
      <c r="V1" s="102"/>
      <c r="W1" s="102"/>
      <c r="X1" s="102"/>
      <c r="Y1" s="102"/>
    </row>
    <row r="2" spans="1:25" ht="15.75" x14ac:dyDescent="0.25">
      <c r="A2" s="103" t="s">
        <v>3018</v>
      </c>
      <c r="B2" s="102"/>
      <c r="C2" s="270"/>
      <c r="D2" s="270"/>
      <c r="E2" s="272"/>
      <c r="F2" s="271"/>
      <c r="G2" s="270"/>
      <c r="H2" s="270"/>
      <c r="I2" s="270"/>
      <c r="J2" s="270"/>
      <c r="K2" s="270"/>
      <c r="L2" s="270"/>
      <c r="M2" s="270"/>
      <c r="N2" s="270"/>
      <c r="O2" s="270"/>
      <c r="P2" s="270"/>
      <c r="Q2" s="270"/>
      <c r="R2" s="270"/>
      <c r="S2" s="270"/>
      <c r="T2" s="270"/>
      <c r="U2" s="102"/>
      <c r="V2" s="102"/>
      <c r="W2" s="102"/>
      <c r="X2" s="102"/>
      <c r="Y2" s="102"/>
    </row>
    <row r="3" spans="1:25" ht="15.75" x14ac:dyDescent="0.25">
      <c r="A3" s="103"/>
      <c r="B3" s="102"/>
      <c r="C3" s="270"/>
      <c r="D3" s="270"/>
      <c r="E3" s="272"/>
      <c r="F3" s="271"/>
      <c r="G3" s="270"/>
      <c r="H3" s="270"/>
      <c r="I3" s="270"/>
      <c r="J3" s="270"/>
      <c r="K3" s="270"/>
      <c r="L3" s="270"/>
      <c r="M3" s="270"/>
      <c r="N3" s="270"/>
      <c r="O3" s="270"/>
      <c r="P3" s="270"/>
      <c r="Q3" s="270"/>
      <c r="R3" s="270"/>
      <c r="S3" s="270"/>
      <c r="T3" s="270"/>
      <c r="U3" s="102"/>
      <c r="V3" s="102"/>
      <c r="W3" s="102"/>
      <c r="X3" s="102"/>
      <c r="Y3" s="102"/>
    </row>
    <row r="4" spans="1:25" ht="15.75" x14ac:dyDescent="0.25">
      <c r="A4" s="104" t="s">
        <v>2962</v>
      </c>
      <c r="B4" s="105">
        <v>877803</v>
      </c>
      <c r="C4" s="273" t="s">
        <v>3016</v>
      </c>
      <c r="D4" s="270"/>
      <c r="E4" s="274"/>
      <c r="F4" s="270"/>
      <c r="G4" s="275"/>
      <c r="H4" s="270"/>
      <c r="I4" s="270"/>
      <c r="J4" s="270"/>
      <c r="K4" s="270"/>
      <c r="L4" s="270"/>
      <c r="M4" s="270"/>
      <c r="N4" s="270"/>
      <c r="O4" s="270"/>
      <c r="P4" s="270"/>
      <c r="Q4" s="270"/>
      <c r="R4" s="270"/>
      <c r="S4" s="270"/>
      <c r="T4" s="270"/>
      <c r="U4" s="102"/>
      <c r="V4" s="102"/>
      <c r="W4" s="102"/>
      <c r="X4" s="102"/>
      <c r="Y4" s="102"/>
    </row>
    <row r="5" spans="1:25" ht="15.75" x14ac:dyDescent="0.25">
      <c r="A5" s="104" t="s">
        <v>2963</v>
      </c>
      <c r="B5" s="105">
        <v>102854</v>
      </c>
      <c r="C5" s="273" t="s">
        <v>3017</v>
      </c>
      <c r="D5" s="270"/>
      <c r="E5" s="270"/>
      <c r="F5" s="270"/>
      <c r="G5" s="276">
        <f>+E10/C10</f>
        <v>1.1999999999999997</v>
      </c>
      <c r="H5" s="270"/>
      <c r="I5" s="270"/>
      <c r="J5" s="270"/>
      <c r="K5" s="270"/>
      <c r="L5" s="270"/>
      <c r="M5" s="270"/>
      <c r="N5" s="270"/>
      <c r="O5" s="270"/>
      <c r="P5" s="270"/>
      <c r="Q5" s="270"/>
      <c r="R5" s="270"/>
      <c r="S5" s="270"/>
      <c r="T5" s="270"/>
      <c r="U5" s="102"/>
      <c r="V5" s="102"/>
      <c r="W5" s="102"/>
      <c r="X5" s="102"/>
      <c r="Y5" s="102"/>
    </row>
    <row r="6" spans="1:25" x14ac:dyDescent="0.25">
      <c r="A6" s="102"/>
      <c r="B6" s="102"/>
      <c r="C6" s="270"/>
      <c r="D6" s="270"/>
      <c r="E6" s="270"/>
      <c r="F6" s="270"/>
      <c r="G6" s="270"/>
      <c r="H6" s="270"/>
      <c r="I6" s="270"/>
      <c r="J6" s="270"/>
      <c r="K6" s="270"/>
      <c r="L6" s="270"/>
      <c r="M6" s="270"/>
      <c r="N6" s="270"/>
      <c r="O6" s="270"/>
      <c r="P6" s="270"/>
      <c r="Q6" s="270"/>
      <c r="R6" s="270"/>
      <c r="S6" s="270"/>
      <c r="T6" s="270"/>
      <c r="U6" s="102"/>
      <c r="V6" s="102"/>
      <c r="W6" s="102"/>
      <c r="X6" s="106">
        <v>2500</v>
      </c>
      <c r="Y6" s="102"/>
    </row>
    <row r="7" spans="1:25" ht="18.75" x14ac:dyDescent="0.3">
      <c r="A7" s="102"/>
      <c r="B7" s="107"/>
      <c r="C7" s="1516" t="s">
        <v>2964</v>
      </c>
      <c r="D7" s="1517"/>
      <c r="E7" s="1517"/>
      <c r="F7" s="1517"/>
      <c r="G7" s="1517"/>
      <c r="H7" s="1517"/>
      <c r="I7" s="1517"/>
      <c r="J7" s="1517"/>
      <c r="K7" s="1517"/>
      <c r="L7" s="1517"/>
      <c r="M7" s="1517"/>
      <c r="N7" s="1517"/>
      <c r="O7" s="1517"/>
      <c r="P7" s="1517"/>
      <c r="Q7" s="1517"/>
      <c r="R7" s="1517"/>
      <c r="S7" s="1517"/>
      <c r="T7" s="1517"/>
      <c r="U7" s="102"/>
      <c r="V7" s="102"/>
      <c r="W7" s="102"/>
      <c r="X7" s="104" t="s">
        <v>2965</v>
      </c>
      <c r="Y7" s="104" t="s">
        <v>2966</v>
      </c>
    </row>
    <row r="8" spans="1:25" x14ac:dyDescent="0.25">
      <c r="A8" s="102"/>
      <c r="B8" s="102"/>
      <c r="C8" s="1518">
        <v>1</v>
      </c>
      <c r="D8" s="1518"/>
      <c r="E8" s="1519">
        <v>1.2</v>
      </c>
      <c r="F8" s="1519"/>
      <c r="G8" s="1519">
        <v>1.5</v>
      </c>
      <c r="H8" s="1519"/>
      <c r="I8" s="1519">
        <v>2</v>
      </c>
      <c r="J8" s="1519"/>
      <c r="K8" s="1519">
        <v>2.5</v>
      </c>
      <c r="L8" s="1519"/>
      <c r="M8" s="1519">
        <v>3</v>
      </c>
      <c r="N8" s="1519"/>
      <c r="O8" s="1519">
        <v>4</v>
      </c>
      <c r="P8" s="1519"/>
      <c r="Q8" s="1519">
        <v>4.5</v>
      </c>
      <c r="R8" s="1519"/>
      <c r="S8" s="1519">
        <v>5</v>
      </c>
      <c r="T8" s="1519"/>
      <c r="U8" s="102"/>
      <c r="V8" s="104">
        <v>1</v>
      </c>
      <c r="W8" s="104" t="s">
        <v>2967</v>
      </c>
      <c r="X8" s="108">
        <v>36359.040000000001</v>
      </c>
      <c r="Y8" s="108">
        <v>14.543616</v>
      </c>
    </row>
    <row r="9" spans="1:25" x14ac:dyDescent="0.25">
      <c r="A9" s="109" t="s">
        <v>2968</v>
      </c>
      <c r="B9" s="110"/>
      <c r="C9" s="277">
        <v>1</v>
      </c>
      <c r="D9" s="277" t="s">
        <v>177</v>
      </c>
      <c r="E9" s="278">
        <v>1.2</v>
      </c>
      <c r="F9" s="277" t="s">
        <v>177</v>
      </c>
      <c r="G9" s="278">
        <v>1.5</v>
      </c>
      <c r="H9" s="277" t="s">
        <v>177</v>
      </c>
      <c r="I9" s="278">
        <v>2</v>
      </c>
      <c r="J9" s="277" t="s">
        <v>177</v>
      </c>
      <c r="K9" s="278">
        <v>2.5</v>
      </c>
      <c r="L9" s="277" t="s">
        <v>177</v>
      </c>
      <c r="M9" s="278">
        <v>3</v>
      </c>
      <c r="N9" s="277" t="s">
        <v>177</v>
      </c>
      <c r="O9" s="278">
        <v>4</v>
      </c>
      <c r="P9" s="277" t="s">
        <v>177</v>
      </c>
      <c r="Q9" s="278">
        <v>4.5</v>
      </c>
      <c r="R9" s="277" t="s">
        <v>177</v>
      </c>
      <c r="S9" s="278">
        <v>5</v>
      </c>
      <c r="T9" s="277" t="s">
        <v>177</v>
      </c>
      <c r="U9" s="102"/>
      <c r="V9" s="104">
        <v>2</v>
      </c>
      <c r="W9" s="104" t="s">
        <v>2969</v>
      </c>
      <c r="X9" s="108">
        <v>58442.133333333331</v>
      </c>
      <c r="Y9" s="108">
        <v>23.376853333333333</v>
      </c>
    </row>
    <row r="10" spans="1:25" x14ac:dyDescent="0.25">
      <c r="A10" s="112" t="s">
        <v>2970</v>
      </c>
      <c r="B10" s="112"/>
      <c r="C10" s="279">
        <f>+$B$4*C9</f>
        <v>877803</v>
      </c>
      <c r="D10" s="280"/>
      <c r="E10" s="279">
        <f>+$B$4*E9</f>
        <v>1053363.5999999999</v>
      </c>
      <c r="F10" s="280"/>
      <c r="G10" s="279">
        <f>+$B$4*G9</f>
        <v>1316704.5</v>
      </c>
      <c r="H10" s="280"/>
      <c r="I10" s="279">
        <f>+$B$4*I9</f>
        <v>1755606</v>
      </c>
      <c r="J10" s="280"/>
      <c r="K10" s="279">
        <f>+$B$4*K9</f>
        <v>2194507.5</v>
      </c>
      <c r="L10" s="280"/>
      <c r="M10" s="279">
        <f>+$B$4*M9</f>
        <v>2633409</v>
      </c>
      <c r="N10" s="280"/>
      <c r="O10" s="279">
        <f>+$B$4*O9</f>
        <v>3511212</v>
      </c>
      <c r="P10" s="280"/>
      <c r="Q10" s="279">
        <f>+$B$4*Q9</f>
        <v>3950113.5</v>
      </c>
      <c r="R10" s="280"/>
      <c r="S10" s="279">
        <f>+$B$4*S9</f>
        <v>4389015</v>
      </c>
      <c r="T10" s="280"/>
      <c r="U10" s="102"/>
      <c r="V10" s="104">
        <v>3</v>
      </c>
      <c r="W10" s="104" t="s">
        <v>2971</v>
      </c>
      <c r="X10" s="108">
        <v>82811.600000000006</v>
      </c>
      <c r="Y10" s="108">
        <v>33.124639999999999</v>
      </c>
    </row>
    <row r="11" spans="1:25" x14ac:dyDescent="0.25">
      <c r="A11" s="112" t="s">
        <v>2963</v>
      </c>
      <c r="B11" s="112"/>
      <c r="C11" s="279">
        <f>+$B$5</f>
        <v>102854</v>
      </c>
      <c r="D11" s="280"/>
      <c r="E11" s="279">
        <f>+$B$5</f>
        <v>102854</v>
      </c>
      <c r="F11" s="280"/>
      <c r="G11" s="279">
        <f>+$B$5</f>
        <v>102854</v>
      </c>
      <c r="H11" s="280"/>
      <c r="I11" s="279">
        <f>+$B$5</f>
        <v>102854</v>
      </c>
      <c r="J11" s="280"/>
      <c r="K11" s="279">
        <f>+$B$5</f>
        <v>102854</v>
      </c>
      <c r="L11" s="280"/>
      <c r="M11" s="279">
        <f>+$B$5</f>
        <v>102854</v>
      </c>
      <c r="N11" s="280"/>
      <c r="O11" s="279">
        <f>+$B$5</f>
        <v>102854</v>
      </c>
      <c r="P11" s="280"/>
      <c r="Q11" s="279">
        <f>+$B$5</f>
        <v>102854</v>
      </c>
      <c r="R11" s="280"/>
      <c r="S11" s="279">
        <f>+$B$5</f>
        <v>102854</v>
      </c>
      <c r="T11" s="280"/>
      <c r="U11" s="102"/>
      <c r="V11" s="104">
        <v>4</v>
      </c>
      <c r="W11" s="104" t="s">
        <v>2972</v>
      </c>
      <c r="X11" s="108">
        <v>110415.46666666666</v>
      </c>
      <c r="Y11" s="108">
        <v>44.166186666666661</v>
      </c>
    </row>
    <row r="12" spans="1:25" x14ac:dyDescent="0.25">
      <c r="A12" s="112" t="s">
        <v>2973</v>
      </c>
      <c r="B12" s="112"/>
      <c r="C12" s="279">
        <f>+C11+C10</f>
        <v>980657</v>
      </c>
      <c r="D12" s="280"/>
      <c r="E12" s="279">
        <f>+E11+E10</f>
        <v>1156217.5999999999</v>
      </c>
      <c r="F12" s="280"/>
      <c r="G12" s="279">
        <f>+G11+G10</f>
        <v>1419558.5</v>
      </c>
      <c r="H12" s="280"/>
      <c r="I12" s="279">
        <f>+I11+I10</f>
        <v>1858460</v>
      </c>
      <c r="J12" s="280"/>
      <c r="K12" s="279">
        <f>+K11+K10</f>
        <v>2297361.5</v>
      </c>
      <c r="L12" s="280"/>
      <c r="M12" s="279">
        <f>+M11+M10</f>
        <v>2736263</v>
      </c>
      <c r="N12" s="280"/>
      <c r="O12" s="279">
        <f>+O11+O10</f>
        <v>3614066</v>
      </c>
      <c r="P12" s="280"/>
      <c r="Q12" s="279">
        <f>+Q11+Q10</f>
        <v>4052967.5</v>
      </c>
      <c r="R12" s="280"/>
      <c r="S12" s="279">
        <f>+S11+S10</f>
        <v>4491869</v>
      </c>
      <c r="T12" s="280"/>
      <c r="U12" s="102"/>
      <c r="V12" s="104">
        <v>5</v>
      </c>
      <c r="W12" s="104" t="s">
        <v>128</v>
      </c>
      <c r="X12" s="108">
        <v>110415.46666666666</v>
      </c>
      <c r="Y12" s="102"/>
    </row>
    <row r="13" spans="1:25" x14ac:dyDescent="0.25">
      <c r="A13" s="112" t="s">
        <v>2974</v>
      </c>
      <c r="B13" s="112"/>
      <c r="C13" s="279">
        <f>+C12/30</f>
        <v>32688.566666666666</v>
      </c>
      <c r="D13" s="280"/>
      <c r="E13" s="279">
        <f>+E12/30</f>
        <v>38540.586666666662</v>
      </c>
      <c r="F13" s="280"/>
      <c r="G13" s="279">
        <f>+G12/30</f>
        <v>47318.616666666669</v>
      </c>
      <c r="H13" s="280"/>
      <c r="I13" s="279">
        <f>+I12/30</f>
        <v>61948.666666666664</v>
      </c>
      <c r="J13" s="280"/>
      <c r="K13" s="279">
        <f>+K12/30</f>
        <v>76578.71666666666</v>
      </c>
      <c r="L13" s="280"/>
      <c r="M13" s="279">
        <f>+M12/30</f>
        <v>91208.766666666663</v>
      </c>
      <c r="N13" s="280"/>
      <c r="O13" s="279">
        <f>+O12/30</f>
        <v>120468.86666666667</v>
      </c>
      <c r="P13" s="280"/>
      <c r="Q13" s="279">
        <f>+Q12/30</f>
        <v>135098.91666666666</v>
      </c>
      <c r="R13" s="280"/>
      <c r="S13" s="279">
        <f>+S12/30</f>
        <v>149728.96666666667</v>
      </c>
      <c r="T13" s="280"/>
      <c r="U13" s="102"/>
      <c r="V13" s="102"/>
      <c r="W13" s="102"/>
      <c r="X13" s="102"/>
      <c r="Y13" s="102"/>
    </row>
    <row r="14" spans="1:25" x14ac:dyDescent="0.25">
      <c r="A14" s="112" t="s">
        <v>2975</v>
      </c>
      <c r="B14" s="113">
        <v>12.166666666666666</v>
      </c>
      <c r="C14" s="279">
        <f>+C10/30*365</f>
        <v>10679936.5</v>
      </c>
      <c r="D14" s="281">
        <v>1</v>
      </c>
      <c r="E14" s="279">
        <f>+E10/30*365</f>
        <v>12815923.799999999</v>
      </c>
      <c r="F14" s="281">
        <v>1</v>
      </c>
      <c r="G14" s="279">
        <f>+G10/30*365</f>
        <v>16019904.75</v>
      </c>
      <c r="H14" s="281">
        <v>1</v>
      </c>
      <c r="I14" s="279">
        <f>+I10/30*365</f>
        <v>21359873</v>
      </c>
      <c r="J14" s="281">
        <v>1</v>
      </c>
      <c r="K14" s="279">
        <f>+K10/30*365</f>
        <v>26699841.25</v>
      </c>
      <c r="L14" s="281">
        <v>1</v>
      </c>
      <c r="M14" s="279">
        <f>+M10/30*365</f>
        <v>32039809.5</v>
      </c>
      <c r="N14" s="281">
        <v>1</v>
      </c>
      <c r="O14" s="279">
        <f>+O10/30*365</f>
        <v>42719746</v>
      </c>
      <c r="P14" s="281">
        <v>1</v>
      </c>
      <c r="Q14" s="279">
        <f>+Q10/30*365</f>
        <v>48059714.250000007</v>
      </c>
      <c r="R14" s="281">
        <v>1</v>
      </c>
      <c r="S14" s="279">
        <f>+S10/30*365</f>
        <v>53399682.5</v>
      </c>
      <c r="T14" s="281">
        <v>1</v>
      </c>
      <c r="U14" s="102"/>
      <c r="V14" s="102"/>
      <c r="W14" s="102"/>
      <c r="X14" s="102"/>
      <c r="Y14" s="102"/>
    </row>
    <row r="15" spans="1:25" x14ac:dyDescent="0.25">
      <c r="A15" s="112" t="s">
        <v>2976</v>
      </c>
      <c r="B15" s="113">
        <v>12.166666666666666</v>
      </c>
      <c r="C15" s="279">
        <f>+C11/30*365</f>
        <v>1251390.3333333333</v>
      </c>
      <c r="D15" s="280"/>
      <c r="E15" s="279">
        <f>+E11/30*365</f>
        <v>1251390.3333333333</v>
      </c>
      <c r="F15" s="280"/>
      <c r="G15" s="279">
        <f>+G11/30*365</f>
        <v>1251390.3333333333</v>
      </c>
      <c r="H15" s="280"/>
      <c r="I15" s="279">
        <f>+I11/30*365</f>
        <v>1251390.3333333333</v>
      </c>
      <c r="J15" s="280"/>
      <c r="K15" s="279">
        <f>+K11/30*365</f>
        <v>1251390.3333333333</v>
      </c>
      <c r="L15" s="280"/>
      <c r="M15" s="279">
        <f>+M11/30*365</f>
        <v>1251390.3333333333</v>
      </c>
      <c r="N15" s="280"/>
      <c r="O15" s="279">
        <f>+O11/30*365</f>
        <v>1251390.3333333333</v>
      </c>
      <c r="P15" s="280"/>
      <c r="Q15" s="279">
        <f>+Q11/30*365</f>
        <v>1251390.3333333333</v>
      </c>
      <c r="R15" s="280"/>
      <c r="S15" s="279">
        <f>+S11/30*365</f>
        <v>1251390.3333333333</v>
      </c>
      <c r="T15" s="280"/>
      <c r="U15" s="102"/>
      <c r="V15" s="102"/>
      <c r="W15" s="102"/>
      <c r="X15" s="102"/>
      <c r="Y15" s="102"/>
    </row>
    <row r="16" spans="1:25" x14ac:dyDescent="0.25">
      <c r="A16" s="112" t="s">
        <v>2977</v>
      </c>
      <c r="B16" s="112"/>
      <c r="C16" s="282">
        <f>+ROUND(SUM(C14:C15),0)</f>
        <v>11931327</v>
      </c>
      <c r="D16" s="280"/>
      <c r="E16" s="282">
        <f>+ROUND(SUM(E14:E15),0)</f>
        <v>14067314</v>
      </c>
      <c r="F16" s="280"/>
      <c r="G16" s="282">
        <f>+ROUND(SUM(G14:G15),0)</f>
        <v>17271295</v>
      </c>
      <c r="H16" s="280"/>
      <c r="I16" s="282">
        <f>+ROUND(SUM(I14:I15),0)</f>
        <v>22611263</v>
      </c>
      <c r="J16" s="280"/>
      <c r="K16" s="282">
        <f>+ROUND(SUM(K14:K15),0)</f>
        <v>27951232</v>
      </c>
      <c r="L16" s="280"/>
      <c r="M16" s="282">
        <f>+ROUND(SUM(M14:M15),0)</f>
        <v>33291200</v>
      </c>
      <c r="N16" s="280"/>
      <c r="O16" s="282">
        <f>+ROUND(SUM(O14:O15),0)</f>
        <v>43971136</v>
      </c>
      <c r="P16" s="280"/>
      <c r="Q16" s="282">
        <f>+ROUND(SUM(Q14:Q15),0)</f>
        <v>49311105</v>
      </c>
      <c r="R16" s="280"/>
      <c r="S16" s="282">
        <f>+ROUND(SUM(S14:S15),0)</f>
        <v>54651073</v>
      </c>
      <c r="T16" s="280"/>
      <c r="U16" s="102"/>
      <c r="V16" s="102"/>
      <c r="W16" s="102"/>
      <c r="X16" s="102"/>
      <c r="Y16" s="102"/>
    </row>
    <row r="17" spans="1:20" x14ac:dyDescent="0.25">
      <c r="A17" s="112" t="s">
        <v>2978</v>
      </c>
      <c r="B17" s="112"/>
      <c r="C17" s="283"/>
      <c r="D17" s="284"/>
      <c r="E17" s="284"/>
      <c r="F17" s="284"/>
      <c r="G17" s="284"/>
      <c r="H17" s="284"/>
      <c r="I17" s="284"/>
      <c r="J17" s="284"/>
      <c r="K17" s="284"/>
      <c r="L17" s="284"/>
      <c r="M17" s="284"/>
      <c r="N17" s="284"/>
      <c r="O17" s="284"/>
      <c r="P17" s="284"/>
      <c r="Q17" s="284"/>
      <c r="R17" s="284"/>
      <c r="S17" s="284"/>
      <c r="T17" s="284"/>
    </row>
    <row r="18" spans="1:20" x14ac:dyDescent="0.25">
      <c r="A18" s="112" t="s">
        <v>2979</v>
      </c>
      <c r="B18" s="112"/>
      <c r="C18" s="284"/>
      <c r="D18" s="284"/>
      <c r="E18" s="284"/>
      <c r="F18" s="284"/>
      <c r="G18" s="284"/>
      <c r="H18" s="284"/>
      <c r="I18" s="284"/>
      <c r="J18" s="284"/>
      <c r="K18" s="284"/>
      <c r="L18" s="284"/>
      <c r="M18" s="284"/>
      <c r="N18" s="284"/>
      <c r="O18" s="284"/>
      <c r="P18" s="284"/>
      <c r="Q18" s="284"/>
      <c r="R18" s="284"/>
      <c r="S18" s="284"/>
      <c r="T18" s="284"/>
    </row>
    <row r="19" spans="1:20" x14ac:dyDescent="0.25">
      <c r="A19" s="112" t="s">
        <v>2963</v>
      </c>
      <c r="B19" s="112"/>
      <c r="C19" s="284"/>
      <c r="D19" s="284"/>
      <c r="E19" s="284"/>
      <c r="F19" s="284"/>
      <c r="G19" s="284"/>
      <c r="H19" s="284"/>
      <c r="I19" s="284"/>
      <c r="J19" s="284"/>
      <c r="K19" s="284"/>
      <c r="L19" s="284"/>
      <c r="M19" s="284"/>
      <c r="N19" s="284"/>
      <c r="O19" s="284"/>
      <c r="P19" s="284"/>
      <c r="Q19" s="284"/>
      <c r="R19" s="284"/>
      <c r="S19" s="284"/>
      <c r="T19" s="284"/>
    </row>
    <row r="20" spans="1:20" x14ac:dyDescent="0.25">
      <c r="A20" s="1514" t="s">
        <v>2980</v>
      </c>
      <c r="B20" s="1514"/>
      <c r="C20" s="277"/>
      <c r="D20" s="277" t="s">
        <v>177</v>
      </c>
      <c r="E20" s="277"/>
      <c r="F20" s="277" t="s">
        <v>177</v>
      </c>
      <c r="G20" s="277"/>
      <c r="H20" s="277" t="s">
        <v>177</v>
      </c>
      <c r="I20" s="277"/>
      <c r="J20" s="277" t="s">
        <v>177</v>
      </c>
      <c r="K20" s="277"/>
      <c r="L20" s="277" t="s">
        <v>177</v>
      </c>
      <c r="M20" s="277"/>
      <c r="N20" s="277" t="s">
        <v>177</v>
      </c>
      <c r="O20" s="277"/>
      <c r="P20" s="277" t="s">
        <v>177</v>
      </c>
      <c r="Q20" s="277"/>
      <c r="R20" s="277" t="s">
        <v>177</v>
      </c>
      <c r="S20" s="277"/>
      <c r="T20" s="277" t="s">
        <v>177</v>
      </c>
    </row>
    <row r="21" spans="1:20" x14ac:dyDescent="0.25">
      <c r="A21" s="112" t="s">
        <v>2981</v>
      </c>
      <c r="B21" s="114">
        <v>8.3299999999999999E-2</v>
      </c>
      <c r="C21" s="285">
        <f>+C16*$B$21</f>
        <v>993879.53909999994</v>
      </c>
      <c r="D21" s="286">
        <v>0.11018682645016246</v>
      </c>
      <c r="E21" s="284">
        <f>+E16*$B$21</f>
        <v>1171807.2561999999</v>
      </c>
      <c r="F21" s="286">
        <v>0.10826071153951895</v>
      </c>
      <c r="G21" s="284">
        <f>+G16*$B$21</f>
        <v>1438698.8735</v>
      </c>
      <c r="H21" s="286">
        <v>0.10633459662887543</v>
      </c>
      <c r="I21" s="284">
        <f>+I16*$B$21</f>
        <v>1883518.2079</v>
      </c>
      <c r="J21" s="286">
        <v>0.10440848171823192</v>
      </c>
      <c r="K21" s="284">
        <f>+K16*$B$21</f>
        <v>2328337.6255999999</v>
      </c>
      <c r="L21" s="286">
        <v>9.8630136986301381E-2</v>
      </c>
      <c r="M21" s="284">
        <f>+M16*$B$21</f>
        <v>2773156.96</v>
      </c>
      <c r="N21" s="286">
        <v>9.8630136986301367E-2</v>
      </c>
      <c r="O21" s="284">
        <f>+O16*$B$21</f>
        <v>3662795.6288000001</v>
      </c>
      <c r="P21" s="286">
        <v>9.8630136986301367E-2</v>
      </c>
      <c r="Q21" s="284">
        <f>+Q16*$B$21</f>
        <v>4107615.0465000002</v>
      </c>
      <c r="R21" s="286">
        <v>9.8630136986301353E-2</v>
      </c>
      <c r="S21" s="284">
        <f>+S16*$B$21</f>
        <v>4552434.3809000002</v>
      </c>
      <c r="T21" s="286">
        <v>9.8630136986301381E-2</v>
      </c>
    </row>
    <row r="22" spans="1:20" x14ac:dyDescent="0.25">
      <c r="A22" s="112" t="s">
        <v>2982</v>
      </c>
      <c r="B22" s="115">
        <v>0.12</v>
      </c>
      <c r="C22" s="287">
        <f>+C21*$B$22</f>
        <v>119265.54469199998</v>
      </c>
      <c r="D22" s="286">
        <v>1.3222419174019496E-2</v>
      </c>
      <c r="E22" s="287">
        <f>+E21*$B$22</f>
        <v>140616.87074399999</v>
      </c>
      <c r="F22" s="286">
        <v>1.2991285384742273E-2</v>
      </c>
      <c r="G22" s="287">
        <f>+G21*$B$22</f>
        <v>172643.86481999999</v>
      </c>
      <c r="H22" s="286">
        <v>1.2760151595465051E-2</v>
      </c>
      <c r="I22" s="287">
        <f>+I21*$B$22</f>
        <v>226022.18494800001</v>
      </c>
      <c r="J22" s="286">
        <v>1.252901780618783E-2</v>
      </c>
      <c r="K22" s="287">
        <f>+K21*$B$22</f>
        <v>279400.51507199998</v>
      </c>
      <c r="L22" s="286">
        <v>1.1835616438356166E-2</v>
      </c>
      <c r="M22" s="287">
        <f>+M21*$B$22</f>
        <v>332778.83519999997</v>
      </c>
      <c r="N22" s="286">
        <v>1.1835616438356166E-2</v>
      </c>
      <c r="O22" s="287">
        <f>+O21*$B$22</f>
        <v>439535.47545600001</v>
      </c>
      <c r="P22" s="286">
        <v>1.1835616438356162E-2</v>
      </c>
      <c r="Q22" s="287">
        <f>+Q21*$B$22</f>
        <v>492913.80557999999</v>
      </c>
      <c r="R22" s="286">
        <v>1.1835616438356164E-2</v>
      </c>
      <c r="S22" s="287">
        <f>+S21*$B$22</f>
        <v>546292.12570800004</v>
      </c>
      <c r="T22" s="286">
        <v>1.1835616438356166E-2</v>
      </c>
    </row>
    <row r="23" spans="1:20" x14ac:dyDescent="0.25">
      <c r="A23" s="112" t="s">
        <v>2983</v>
      </c>
      <c r="B23" s="115">
        <v>1</v>
      </c>
      <c r="C23" s="287">
        <f>+C10</f>
        <v>877803</v>
      </c>
      <c r="D23" s="286">
        <v>8.2191780821917818E-2</v>
      </c>
      <c r="E23" s="287">
        <f>+E10</f>
        <v>1053363.5999999999</v>
      </c>
      <c r="F23" s="286">
        <v>8.2191780821917804E-2</v>
      </c>
      <c r="G23" s="287">
        <f>+G10</f>
        <v>1316704.5</v>
      </c>
      <c r="H23" s="286">
        <v>8.2191780821917804E-2</v>
      </c>
      <c r="I23" s="287">
        <f>+I10</f>
        <v>1755606</v>
      </c>
      <c r="J23" s="286">
        <v>8.2191780821917818E-2</v>
      </c>
      <c r="K23" s="287">
        <f>+K10</f>
        <v>2194507.5</v>
      </c>
      <c r="L23" s="286">
        <v>8.2191780821917818E-2</v>
      </c>
      <c r="M23" s="287">
        <f>+M10</f>
        <v>2633409</v>
      </c>
      <c r="N23" s="286">
        <v>8.2191780821917804E-2</v>
      </c>
      <c r="O23" s="287">
        <f>+O10</f>
        <v>3511212</v>
      </c>
      <c r="P23" s="286">
        <v>8.2191780821917818E-2</v>
      </c>
      <c r="Q23" s="287">
        <f>+Q10</f>
        <v>3950113.5</v>
      </c>
      <c r="R23" s="286">
        <v>8.2191780821917804E-2</v>
      </c>
      <c r="S23" s="287">
        <f>+S10</f>
        <v>4389015</v>
      </c>
      <c r="T23" s="286">
        <v>8.2191780821917818E-2</v>
      </c>
    </row>
    <row r="24" spans="1:20" x14ac:dyDescent="0.25">
      <c r="A24" s="112" t="s">
        <v>2984</v>
      </c>
      <c r="B24" s="115">
        <v>0.5</v>
      </c>
      <c r="C24" s="287">
        <f>+C10*0.5</f>
        <v>438901.5</v>
      </c>
      <c r="D24" s="286">
        <v>4.1095890410958909E-2</v>
      </c>
      <c r="E24" s="287">
        <f>+E10*0.5</f>
        <v>526681.79999999993</v>
      </c>
      <c r="F24" s="286">
        <v>4.1095890410958902E-2</v>
      </c>
      <c r="G24" s="287">
        <f>+G10*0.5</f>
        <v>658352.25</v>
      </c>
      <c r="H24" s="286">
        <v>4.1095890410958902E-2</v>
      </c>
      <c r="I24" s="287">
        <f>+I10*0.5</f>
        <v>877803</v>
      </c>
      <c r="J24" s="286">
        <v>4.1095890410958909E-2</v>
      </c>
      <c r="K24" s="287">
        <f>+K10*0.5</f>
        <v>1097253.75</v>
      </c>
      <c r="L24" s="286">
        <v>4.1095890410958909E-2</v>
      </c>
      <c r="M24" s="287">
        <f>+M10*0.5</f>
        <v>1316704.5</v>
      </c>
      <c r="N24" s="286">
        <v>4.1095890410958902E-2</v>
      </c>
      <c r="O24" s="287">
        <f>+O10*0.5</f>
        <v>1755606</v>
      </c>
      <c r="P24" s="286">
        <v>4.1095890410958909E-2</v>
      </c>
      <c r="Q24" s="287">
        <f>+Q10*0.5</f>
        <v>1975056.75</v>
      </c>
      <c r="R24" s="286">
        <v>4.1095890410958902E-2</v>
      </c>
      <c r="S24" s="287">
        <f>+S10*0.5</f>
        <v>2194507.5</v>
      </c>
      <c r="T24" s="286">
        <v>4.1095890410958909E-2</v>
      </c>
    </row>
    <row r="25" spans="1:20" x14ac:dyDescent="0.25">
      <c r="A25" s="1515" t="s">
        <v>2985</v>
      </c>
      <c r="B25" s="1515"/>
      <c r="C25" s="288">
        <f>SUM(C21:C24)</f>
        <v>2429849.5837920001</v>
      </c>
      <c r="D25" s="280"/>
      <c r="E25" s="288">
        <f>SUM(E21:E24)</f>
        <v>2892469.5269439993</v>
      </c>
      <c r="F25" s="280"/>
      <c r="G25" s="288">
        <f>SUM(G21:G24)</f>
        <v>3586399.48832</v>
      </c>
      <c r="H25" s="280"/>
      <c r="I25" s="288">
        <f>SUM(I21:I24)</f>
        <v>4742949.3928479999</v>
      </c>
      <c r="J25" s="280"/>
      <c r="K25" s="288">
        <f>SUM(K21:K24)</f>
        <v>5899499.3906720001</v>
      </c>
      <c r="L25" s="280"/>
      <c r="M25" s="288">
        <f>SUM(M21:M24)</f>
        <v>7056049.2951999996</v>
      </c>
      <c r="N25" s="280"/>
      <c r="O25" s="288">
        <f>SUM(O21:O24)</f>
        <v>9369149.1042560004</v>
      </c>
      <c r="P25" s="280"/>
      <c r="Q25" s="288">
        <f>SUM(Q21:Q24)</f>
        <v>10525699.102080001</v>
      </c>
      <c r="R25" s="280"/>
      <c r="S25" s="288">
        <f>SUM(S21:S24)</f>
        <v>11682249.006608</v>
      </c>
      <c r="T25" s="280"/>
    </row>
    <row r="26" spans="1:20" x14ac:dyDescent="0.25">
      <c r="A26" s="1514" t="s">
        <v>2986</v>
      </c>
      <c r="B26" s="1514"/>
      <c r="C26" s="289"/>
      <c r="D26" s="277" t="s">
        <v>177</v>
      </c>
      <c r="E26" s="289"/>
      <c r="F26" s="277" t="s">
        <v>177</v>
      </c>
      <c r="G26" s="289"/>
      <c r="H26" s="277" t="s">
        <v>177</v>
      </c>
      <c r="I26" s="289"/>
      <c r="J26" s="277" t="s">
        <v>177</v>
      </c>
      <c r="K26" s="289"/>
      <c r="L26" s="277" t="s">
        <v>177</v>
      </c>
      <c r="M26" s="289"/>
      <c r="N26" s="277" t="s">
        <v>177</v>
      </c>
      <c r="O26" s="289"/>
      <c r="P26" s="277" t="s">
        <v>177</v>
      </c>
      <c r="Q26" s="289"/>
      <c r="R26" s="277" t="s">
        <v>177</v>
      </c>
      <c r="S26" s="289"/>
      <c r="T26" s="277" t="s">
        <v>177</v>
      </c>
    </row>
    <row r="27" spans="1:20" x14ac:dyDescent="0.25">
      <c r="A27" s="112" t="s">
        <v>2987</v>
      </c>
      <c r="B27" s="115">
        <v>0.12</v>
      </c>
      <c r="C27" s="287">
        <f>+C14*$B$27</f>
        <v>1281592.3799999999</v>
      </c>
      <c r="D27" s="286">
        <v>0.12</v>
      </c>
      <c r="E27" s="287">
        <f>+E14*$B$27</f>
        <v>1537910.8559999999</v>
      </c>
      <c r="F27" s="286">
        <v>0.12</v>
      </c>
      <c r="G27" s="287">
        <f>+G14*$B$27</f>
        <v>1922388.5699999998</v>
      </c>
      <c r="H27" s="286">
        <v>0.12</v>
      </c>
      <c r="I27" s="287">
        <f>+I14*$B$27</f>
        <v>2563184.7599999998</v>
      </c>
      <c r="J27" s="286">
        <v>0.12</v>
      </c>
      <c r="K27" s="287">
        <f>+K14*$B$27</f>
        <v>3203980.9499999997</v>
      </c>
      <c r="L27" s="286">
        <v>0.12</v>
      </c>
      <c r="M27" s="287">
        <f>+M14*$B$27</f>
        <v>3844777.1399999997</v>
      </c>
      <c r="N27" s="286">
        <v>0.12</v>
      </c>
      <c r="O27" s="287">
        <f>+O14*$B$27</f>
        <v>5126369.5199999996</v>
      </c>
      <c r="P27" s="286">
        <v>0.12</v>
      </c>
      <c r="Q27" s="287">
        <f>+Q14*$B$27</f>
        <v>5767165.7100000009</v>
      </c>
      <c r="R27" s="286">
        <v>0.12</v>
      </c>
      <c r="S27" s="287">
        <f>+S14*$B$27</f>
        <v>6407961.8999999994</v>
      </c>
      <c r="T27" s="286">
        <v>0.12</v>
      </c>
    </row>
    <row r="28" spans="1:20" x14ac:dyDescent="0.25">
      <c r="A28" s="112" t="s">
        <v>2988</v>
      </c>
      <c r="B28" s="115">
        <v>0</v>
      </c>
      <c r="C28" s="290">
        <f>+$B$28*C14</f>
        <v>0</v>
      </c>
      <c r="D28" s="286">
        <v>0</v>
      </c>
      <c r="E28" s="290">
        <f>+$B$28*E14</f>
        <v>0</v>
      </c>
      <c r="F28" s="286">
        <v>0</v>
      </c>
      <c r="G28" s="290">
        <f>+$B$28*G14</f>
        <v>0</v>
      </c>
      <c r="H28" s="286">
        <v>0</v>
      </c>
      <c r="I28" s="290">
        <f>+$B$28*I14</f>
        <v>0</v>
      </c>
      <c r="J28" s="286">
        <v>0</v>
      </c>
      <c r="K28" s="290">
        <f>+$B$28*K14</f>
        <v>0</v>
      </c>
      <c r="L28" s="286">
        <v>0</v>
      </c>
      <c r="M28" s="290">
        <f>+$B$28*M14</f>
        <v>0</v>
      </c>
      <c r="N28" s="286">
        <v>0</v>
      </c>
      <c r="O28" s="290">
        <f>+$B$28*O14</f>
        <v>0</v>
      </c>
      <c r="P28" s="286">
        <v>0</v>
      </c>
      <c r="Q28" s="290">
        <f>+$B$28*Q14</f>
        <v>0</v>
      </c>
      <c r="R28" s="286">
        <v>0</v>
      </c>
      <c r="S28" s="290">
        <f>+$B$28*S14</f>
        <v>0</v>
      </c>
      <c r="T28" s="286">
        <v>0</v>
      </c>
    </row>
    <row r="29" spans="1:20" x14ac:dyDescent="0.25">
      <c r="A29" s="112" t="s">
        <v>2989</v>
      </c>
      <c r="B29" s="116">
        <v>6.9599999999999995E-2</v>
      </c>
      <c r="C29" s="287">
        <f>+$B$29*C14</f>
        <v>743323.58039999998</v>
      </c>
      <c r="D29" s="286">
        <v>6.9599999999999995E-2</v>
      </c>
      <c r="E29" s="287">
        <f>+$B$29*E14</f>
        <v>891988.2964799999</v>
      </c>
      <c r="F29" s="286">
        <v>6.9599999999999995E-2</v>
      </c>
      <c r="G29" s="287">
        <f>+$B$29*G14</f>
        <v>1114985.3706</v>
      </c>
      <c r="H29" s="286">
        <v>6.9599999999999995E-2</v>
      </c>
      <c r="I29" s="287">
        <f>+$B$29*I14</f>
        <v>1486647.1608</v>
      </c>
      <c r="J29" s="286">
        <v>6.9599999999999995E-2</v>
      </c>
      <c r="K29" s="287">
        <f>+$B$29*K14</f>
        <v>1858308.9509999999</v>
      </c>
      <c r="L29" s="286">
        <v>6.9599999999999995E-2</v>
      </c>
      <c r="M29" s="287">
        <f>+$B$29*M14</f>
        <v>2229970.7412</v>
      </c>
      <c r="N29" s="286">
        <v>6.9599999999999995E-2</v>
      </c>
      <c r="O29" s="287">
        <f>+$B$29*O14</f>
        <v>2973294.3215999999</v>
      </c>
      <c r="P29" s="286">
        <v>6.9599999999999995E-2</v>
      </c>
      <c r="Q29" s="287">
        <f>+$B$29*Q14</f>
        <v>3344956.1118000001</v>
      </c>
      <c r="R29" s="286">
        <v>6.9599999999999995E-2</v>
      </c>
      <c r="S29" s="287">
        <f>+$B$29*S14</f>
        <v>3716617.9019999998</v>
      </c>
      <c r="T29" s="286">
        <v>6.9599999999999995E-2</v>
      </c>
    </row>
    <row r="30" spans="1:20" x14ac:dyDescent="0.25">
      <c r="A30" s="1515" t="s">
        <v>2990</v>
      </c>
      <c r="B30" s="1515"/>
      <c r="C30" s="288">
        <f>ROUND(SUM(C27:C29),0)</f>
        <v>2024916</v>
      </c>
      <c r="D30" s="280"/>
      <c r="E30" s="288">
        <f>ROUND(SUM(E27:E29),0)</f>
        <v>2429899</v>
      </c>
      <c r="F30" s="280"/>
      <c r="G30" s="288">
        <f>ROUND(SUM(G27:G29),0)</f>
        <v>3037374</v>
      </c>
      <c r="H30" s="280"/>
      <c r="I30" s="288">
        <f>ROUND(SUM(I27:I29),0)</f>
        <v>4049832</v>
      </c>
      <c r="J30" s="280"/>
      <c r="K30" s="288">
        <f>ROUND(SUM(K27:K29),0)</f>
        <v>5062290</v>
      </c>
      <c r="L30" s="280"/>
      <c r="M30" s="288">
        <f>ROUND(SUM(M27:M29),0)</f>
        <v>6074748</v>
      </c>
      <c r="N30" s="280"/>
      <c r="O30" s="288">
        <f>ROUND(SUM(O27:O29),0)</f>
        <v>8099664</v>
      </c>
      <c r="P30" s="280"/>
      <c r="Q30" s="288">
        <f>ROUND(SUM(Q27:Q29),0)</f>
        <v>9112122</v>
      </c>
      <c r="R30" s="280"/>
      <c r="S30" s="288">
        <f>ROUND(SUM(S27:S29),0)</f>
        <v>10124580</v>
      </c>
      <c r="T30" s="280"/>
    </row>
    <row r="31" spans="1:20" x14ac:dyDescent="0.25">
      <c r="A31" s="1514" t="s">
        <v>2991</v>
      </c>
      <c r="B31" s="1514"/>
      <c r="C31" s="277"/>
      <c r="D31" s="277" t="s">
        <v>177</v>
      </c>
      <c r="E31" s="277"/>
      <c r="F31" s="277" t="s">
        <v>177</v>
      </c>
      <c r="G31" s="277"/>
      <c r="H31" s="277" t="s">
        <v>177</v>
      </c>
      <c r="I31" s="277"/>
      <c r="J31" s="277" t="s">
        <v>177</v>
      </c>
      <c r="K31" s="277"/>
      <c r="L31" s="277" t="s">
        <v>177</v>
      </c>
      <c r="M31" s="277"/>
      <c r="N31" s="277" t="s">
        <v>177</v>
      </c>
      <c r="O31" s="277"/>
      <c r="P31" s="277" t="s">
        <v>177</v>
      </c>
      <c r="Q31" s="277"/>
      <c r="R31" s="277" t="s">
        <v>177</v>
      </c>
      <c r="S31" s="277"/>
      <c r="T31" s="277" t="s">
        <v>177</v>
      </c>
    </row>
    <row r="32" spans="1:20" x14ac:dyDescent="0.25">
      <c r="A32" s="112" t="s">
        <v>2992</v>
      </c>
      <c r="B32" s="115">
        <v>0</v>
      </c>
      <c r="C32" s="287">
        <f>+$B$32*C14</f>
        <v>0</v>
      </c>
      <c r="D32" s="286">
        <v>0</v>
      </c>
      <c r="E32" s="287">
        <f>+$B$32*E14</f>
        <v>0</v>
      </c>
      <c r="F32" s="286">
        <v>0</v>
      </c>
      <c r="G32" s="287">
        <f>+$B$32*G14</f>
        <v>0</v>
      </c>
      <c r="H32" s="286">
        <v>0</v>
      </c>
      <c r="I32" s="287">
        <f>+$B$32*I14</f>
        <v>0</v>
      </c>
      <c r="J32" s="286">
        <v>0</v>
      </c>
      <c r="K32" s="287">
        <f>+$B$32*K14</f>
        <v>0</v>
      </c>
      <c r="L32" s="286">
        <v>0</v>
      </c>
      <c r="M32" s="287">
        <f>+$B$32*M14</f>
        <v>0</v>
      </c>
      <c r="N32" s="286">
        <v>0</v>
      </c>
      <c r="O32" s="287">
        <f>+$B$32*O14</f>
        <v>0</v>
      </c>
      <c r="P32" s="286">
        <v>0</v>
      </c>
      <c r="Q32" s="287">
        <f>+$B$32*Q14</f>
        <v>0</v>
      </c>
      <c r="R32" s="286">
        <v>0</v>
      </c>
      <c r="S32" s="287">
        <f>+$B$32*S14</f>
        <v>0</v>
      </c>
      <c r="T32" s="286">
        <v>0</v>
      </c>
    </row>
    <row r="33" spans="1:20" x14ac:dyDescent="0.25">
      <c r="A33" s="112" t="s">
        <v>2993</v>
      </c>
      <c r="B33" s="115">
        <v>0</v>
      </c>
      <c r="C33" s="291">
        <f>+$B$33*C14</f>
        <v>0</v>
      </c>
      <c r="D33" s="286">
        <v>0</v>
      </c>
      <c r="E33" s="291">
        <f>+$B$33*E14</f>
        <v>0</v>
      </c>
      <c r="F33" s="286">
        <v>0</v>
      </c>
      <c r="G33" s="291">
        <f>+$B$33*G14</f>
        <v>0</v>
      </c>
      <c r="H33" s="286">
        <v>0</v>
      </c>
      <c r="I33" s="291">
        <f>+$B$33*I14</f>
        <v>0</v>
      </c>
      <c r="J33" s="286">
        <v>0</v>
      </c>
      <c r="K33" s="291">
        <f>+$B$33*K14</f>
        <v>0</v>
      </c>
      <c r="L33" s="286">
        <v>0</v>
      </c>
      <c r="M33" s="291">
        <f>+$B$33*M14</f>
        <v>0</v>
      </c>
      <c r="N33" s="286">
        <v>0</v>
      </c>
      <c r="O33" s="291">
        <f>+$B$33*O14</f>
        <v>0</v>
      </c>
      <c r="P33" s="286">
        <v>0</v>
      </c>
      <c r="Q33" s="291">
        <f>+$B$33*Q14</f>
        <v>0</v>
      </c>
      <c r="R33" s="286">
        <v>0</v>
      </c>
      <c r="S33" s="291">
        <f>+$B$33*S14</f>
        <v>0</v>
      </c>
      <c r="T33" s="286">
        <v>0</v>
      </c>
    </row>
    <row r="34" spans="1:20" x14ac:dyDescent="0.25">
      <c r="A34" s="112" t="s">
        <v>2994</v>
      </c>
      <c r="B34" s="115">
        <v>0.04</v>
      </c>
      <c r="C34" s="287">
        <f>+C14*$B$34</f>
        <v>427197.46</v>
      </c>
      <c r="D34" s="286">
        <v>0.04</v>
      </c>
      <c r="E34" s="287">
        <f>+E14*$B$34</f>
        <v>512636.95199999999</v>
      </c>
      <c r="F34" s="286">
        <v>0.04</v>
      </c>
      <c r="G34" s="287">
        <f>+G14*$B$34</f>
        <v>640796.19000000006</v>
      </c>
      <c r="H34" s="286">
        <v>0.04</v>
      </c>
      <c r="I34" s="287">
        <f>+I14*$B$34</f>
        <v>854394.92</v>
      </c>
      <c r="J34" s="286">
        <v>0.04</v>
      </c>
      <c r="K34" s="287">
        <f>+K14*$B$34</f>
        <v>1067993.6499999999</v>
      </c>
      <c r="L34" s="286">
        <v>0.04</v>
      </c>
      <c r="M34" s="287">
        <f>+M14*$B$34</f>
        <v>1281592.3800000001</v>
      </c>
      <c r="N34" s="286">
        <v>0.04</v>
      </c>
      <c r="O34" s="287">
        <f>+O14*$B$34</f>
        <v>1708789.84</v>
      </c>
      <c r="P34" s="286">
        <v>0.04</v>
      </c>
      <c r="Q34" s="287">
        <f>+Q14*$B$34</f>
        <v>1922388.5700000003</v>
      </c>
      <c r="R34" s="286">
        <v>0.04</v>
      </c>
      <c r="S34" s="287">
        <f>+S14*$B$34</f>
        <v>2135987.2999999998</v>
      </c>
      <c r="T34" s="286">
        <v>0.04</v>
      </c>
    </row>
    <row r="35" spans="1:20" x14ac:dyDescent="0.25">
      <c r="A35" s="112" t="s">
        <v>2995</v>
      </c>
      <c r="B35" s="121">
        <v>2.5000000000000001E-2</v>
      </c>
      <c r="C35" s="287">
        <f>+$B$35*$C$14</f>
        <v>266998.41250000003</v>
      </c>
      <c r="D35" s="286">
        <v>3.0821917808219183E-2</v>
      </c>
      <c r="E35" s="287">
        <f>+$B$35*$C$14</f>
        <v>266998.41250000003</v>
      </c>
      <c r="F35" s="286">
        <v>2.5684931506849317E-2</v>
      </c>
      <c r="G35" s="287">
        <f>+$B$35*$C$14</f>
        <v>266998.41250000003</v>
      </c>
      <c r="H35" s="286">
        <v>2.0547945205479451E-2</v>
      </c>
      <c r="I35" s="287">
        <f>+$B$35*$C$14</f>
        <v>266998.41250000003</v>
      </c>
      <c r="J35" s="286">
        <v>1.5410958904109592E-2</v>
      </c>
      <c r="K35" s="287">
        <f>+$B$35*$C$14</f>
        <v>266998.41250000003</v>
      </c>
      <c r="L35" s="286">
        <v>1.2328767123287673E-2</v>
      </c>
      <c r="M35" s="287">
        <f>+$B$35*$C$14</f>
        <v>266998.41250000003</v>
      </c>
      <c r="N35" s="286">
        <v>1.0273972602739725E-2</v>
      </c>
      <c r="O35" s="287">
        <f>+$B$35*$C$14</f>
        <v>266998.41250000003</v>
      </c>
      <c r="P35" s="286">
        <v>7.7054794520547958E-3</v>
      </c>
      <c r="Q35" s="287">
        <f>+$B$35*$C$14</f>
        <v>266998.41250000003</v>
      </c>
      <c r="R35" s="286">
        <v>6.8493150684931503E-3</v>
      </c>
      <c r="S35" s="287">
        <f>+$B$35*$C$14</f>
        <v>266998.41250000003</v>
      </c>
      <c r="T35" s="286">
        <v>6.1643835616438363E-3</v>
      </c>
    </row>
    <row r="36" spans="1:20" x14ac:dyDescent="0.25">
      <c r="A36" s="1515" t="s">
        <v>2996</v>
      </c>
      <c r="B36" s="1515"/>
      <c r="C36" s="288">
        <f>SUM(C32:C35)</f>
        <v>694195.87250000006</v>
      </c>
      <c r="D36" s="280"/>
      <c r="E36" s="288">
        <f>SUM(E32:E35)</f>
        <v>779635.36450000003</v>
      </c>
      <c r="F36" s="280"/>
      <c r="G36" s="288">
        <f>SUM(G32:G35)</f>
        <v>907794.60250000004</v>
      </c>
      <c r="H36" s="280"/>
      <c r="I36" s="288">
        <f>SUM(I32:I35)</f>
        <v>1121393.3325</v>
      </c>
      <c r="J36" s="280"/>
      <c r="K36" s="288">
        <f>SUM(K32:K35)</f>
        <v>1334992.0625</v>
      </c>
      <c r="L36" s="280"/>
      <c r="M36" s="288">
        <f>SUM(M32:M35)</f>
        <v>1548590.7925000002</v>
      </c>
      <c r="N36" s="280"/>
      <c r="O36" s="288">
        <f>SUM(O32:O35)</f>
        <v>1975788.2525000002</v>
      </c>
      <c r="P36" s="280"/>
      <c r="Q36" s="288">
        <f>SUM(Q32:Q35)</f>
        <v>2189386.9825000004</v>
      </c>
      <c r="R36" s="280"/>
      <c r="S36" s="288">
        <f>SUM(S32:S35)</f>
        <v>2402985.7124999999</v>
      </c>
      <c r="T36" s="280"/>
    </row>
    <row r="37" spans="1:20" x14ac:dyDescent="0.25">
      <c r="A37" s="1514" t="s">
        <v>2997</v>
      </c>
      <c r="B37" s="1514"/>
      <c r="C37" s="277"/>
      <c r="D37" s="277" t="s">
        <v>177</v>
      </c>
      <c r="E37" s="277"/>
      <c r="F37" s="277" t="s">
        <v>177</v>
      </c>
      <c r="G37" s="277"/>
      <c r="H37" s="277" t="s">
        <v>177</v>
      </c>
      <c r="I37" s="277"/>
      <c r="J37" s="277" t="s">
        <v>177</v>
      </c>
      <c r="K37" s="277"/>
      <c r="L37" s="277" t="s">
        <v>177</v>
      </c>
      <c r="M37" s="277"/>
      <c r="N37" s="277" t="s">
        <v>177</v>
      </c>
      <c r="O37" s="277"/>
      <c r="P37" s="277" t="s">
        <v>177</v>
      </c>
      <c r="Q37" s="277"/>
      <c r="R37" s="277" t="s">
        <v>177</v>
      </c>
      <c r="S37" s="277"/>
      <c r="T37" s="277" t="s">
        <v>177</v>
      </c>
    </row>
    <row r="38" spans="1:20" x14ac:dyDescent="0.25">
      <c r="A38" s="112" t="s">
        <v>2998</v>
      </c>
      <c r="B38" s="113"/>
      <c r="C38" s="287">
        <v>350000</v>
      </c>
      <c r="D38" s="286">
        <v>3.4738035839992507E-2</v>
      </c>
      <c r="E38" s="287">
        <v>350000</v>
      </c>
      <c r="F38" s="286">
        <v>2.8948363199993755E-2</v>
      </c>
      <c r="G38" s="287">
        <v>350000</v>
      </c>
      <c r="H38" s="286">
        <v>2.3158690559995004E-2</v>
      </c>
      <c r="I38" s="287">
        <v>350000</v>
      </c>
      <c r="J38" s="286">
        <v>1.7369017919996253E-2</v>
      </c>
      <c r="K38" s="287">
        <v>350000</v>
      </c>
      <c r="L38" s="286">
        <v>1.3895214335997002E-2</v>
      </c>
      <c r="M38" s="287">
        <v>350000</v>
      </c>
      <c r="N38" s="286">
        <v>0</v>
      </c>
      <c r="O38" s="287">
        <v>350000</v>
      </c>
      <c r="P38" s="286">
        <v>0</v>
      </c>
      <c r="Q38" s="287">
        <v>350000</v>
      </c>
      <c r="R38" s="286">
        <v>0</v>
      </c>
      <c r="S38" s="287">
        <v>350000</v>
      </c>
      <c r="T38" s="286">
        <v>0</v>
      </c>
    </row>
    <row r="39" spans="1:20" x14ac:dyDescent="0.25">
      <c r="A39" s="112" t="s">
        <v>2999</v>
      </c>
      <c r="B39" s="113"/>
      <c r="C39" s="287">
        <v>280000</v>
      </c>
      <c r="D39" s="286">
        <v>2.7790428671994008E-2</v>
      </c>
      <c r="E39" s="287">
        <v>280000</v>
      </c>
      <c r="F39" s="286">
        <v>2.3158690559995004E-2</v>
      </c>
      <c r="G39" s="287">
        <v>280000</v>
      </c>
      <c r="H39" s="286">
        <v>1.8526952447996001E-2</v>
      </c>
      <c r="I39" s="287">
        <v>280000</v>
      </c>
      <c r="J39" s="286">
        <v>1.3895214335997004E-2</v>
      </c>
      <c r="K39" s="287">
        <v>280000</v>
      </c>
      <c r="L39" s="286">
        <v>1.1116171468797603E-2</v>
      </c>
      <c r="M39" s="287">
        <v>280000</v>
      </c>
      <c r="N39" s="286">
        <v>0</v>
      </c>
      <c r="O39" s="287">
        <v>280000</v>
      </c>
      <c r="P39" s="286">
        <v>0</v>
      </c>
      <c r="Q39" s="287">
        <v>280000</v>
      </c>
      <c r="R39" s="286">
        <v>0</v>
      </c>
      <c r="S39" s="287">
        <v>280000</v>
      </c>
      <c r="T39" s="286">
        <v>0</v>
      </c>
    </row>
    <row r="40" spans="1:20" x14ac:dyDescent="0.25">
      <c r="A40" s="1515" t="s">
        <v>3000</v>
      </c>
      <c r="B40" s="1515"/>
      <c r="C40" s="288">
        <f>SUM(C38:C39)</f>
        <v>630000</v>
      </c>
      <c r="D40" s="280"/>
      <c r="E40" s="288">
        <f>SUM(E38:E39)</f>
        <v>630000</v>
      </c>
      <c r="F40" s="280"/>
      <c r="G40" s="288">
        <f>SUM(G38:G39)</f>
        <v>630000</v>
      </c>
      <c r="H40" s="280"/>
      <c r="I40" s="288">
        <f>SUM(I38:I39)</f>
        <v>630000</v>
      </c>
      <c r="J40" s="280"/>
      <c r="K40" s="288">
        <f>SUM(K38:K39)</f>
        <v>630000</v>
      </c>
      <c r="L40" s="280"/>
      <c r="M40" s="288">
        <f>SUM(M38:M39)</f>
        <v>630000</v>
      </c>
      <c r="N40" s="280"/>
      <c r="O40" s="288">
        <f>SUM(O38:O39)</f>
        <v>630000</v>
      </c>
      <c r="P40" s="280"/>
      <c r="Q40" s="288">
        <f>SUM(Q38:Q39)</f>
        <v>630000</v>
      </c>
      <c r="R40" s="280"/>
      <c r="S40" s="288">
        <f>SUM(S38:S39)</f>
        <v>630000</v>
      </c>
      <c r="T40" s="280"/>
    </row>
    <row r="41" spans="1:20" ht="15.75" x14ac:dyDescent="0.25">
      <c r="A41" s="117" t="s">
        <v>3001</v>
      </c>
      <c r="B41" s="118"/>
      <c r="C41" s="292">
        <f>+C16+C25+C30+C36+C40</f>
        <v>17710288.456292</v>
      </c>
      <c r="D41" s="293">
        <v>1.5696472991772645</v>
      </c>
      <c r="E41" s="292">
        <f>+E16+E25+E30+E36+E40</f>
        <v>20799317.891444001</v>
      </c>
      <c r="F41" s="293">
        <v>1.5519316534239758</v>
      </c>
      <c r="G41" s="292">
        <f>+G16+G25+G30+G36+G40</f>
        <v>25432863.09082</v>
      </c>
      <c r="H41" s="293">
        <v>1.5342160076706872</v>
      </c>
      <c r="I41" s="292">
        <f>+I16+I25+I30+I36+I40</f>
        <v>33155437.725347999</v>
      </c>
      <c r="J41" s="293">
        <v>1.5165003619173993</v>
      </c>
      <c r="K41" s="292">
        <f>+K16+K25+K30+K36+K40</f>
        <v>40878013.453171998</v>
      </c>
      <c r="L41" s="293">
        <v>1.5006935775856163</v>
      </c>
      <c r="M41" s="292">
        <f>+M16+M25+M30+M36+M40</f>
        <v>48600588.087699994</v>
      </c>
      <c r="N41" s="293">
        <v>1.4736273972602738</v>
      </c>
      <c r="O41" s="292">
        <f>+O16+O25+O30+O36+O40</f>
        <v>64045737.356756002</v>
      </c>
      <c r="P41" s="293">
        <v>1.4710589041095889</v>
      </c>
      <c r="Q41" s="292">
        <f>+Q16+Q25+Q30+Q36+Q40</f>
        <v>71768313.084580004</v>
      </c>
      <c r="R41" s="293">
        <v>1.4702027397260273</v>
      </c>
      <c r="S41" s="292">
        <f>+S16+S25+S30+S36+S40</f>
        <v>79490887.719108015</v>
      </c>
      <c r="T41" s="293">
        <v>1.469517808219178</v>
      </c>
    </row>
    <row r="42" spans="1:20" x14ac:dyDescent="0.25">
      <c r="E42" s="294">
        <f>+E40+E36+E25+E16+E30</f>
        <v>20799317.891443998</v>
      </c>
    </row>
    <row r="43" spans="1:20" ht="18.75" x14ac:dyDescent="0.3">
      <c r="A43" s="102"/>
      <c r="B43" s="107"/>
      <c r="C43" s="1520" t="s">
        <v>3002</v>
      </c>
      <c r="D43" s="1521"/>
      <c r="E43" s="1521"/>
      <c r="F43" s="1521"/>
      <c r="G43" s="1521"/>
      <c r="H43" s="1521"/>
      <c r="I43" s="1521"/>
      <c r="J43" s="1521"/>
      <c r="K43" s="1521"/>
      <c r="L43" s="1521"/>
      <c r="M43" s="1521"/>
      <c r="N43" s="1521"/>
      <c r="O43" s="1521"/>
      <c r="P43" s="1521"/>
      <c r="Q43" s="1521"/>
      <c r="R43" s="1521"/>
      <c r="S43" s="1521"/>
      <c r="T43" s="1521"/>
    </row>
    <row r="44" spans="1:20" x14ac:dyDescent="0.25">
      <c r="A44" s="111" t="s">
        <v>3003</v>
      </c>
      <c r="B44" s="122"/>
      <c r="C44" s="1518">
        <v>1</v>
      </c>
      <c r="D44" s="1518"/>
      <c r="E44" s="1519">
        <v>1.2</v>
      </c>
      <c r="F44" s="1519"/>
      <c r="G44" s="1519">
        <v>1.5</v>
      </c>
      <c r="H44" s="1519"/>
      <c r="I44" s="1519">
        <v>2</v>
      </c>
      <c r="J44" s="1519"/>
      <c r="K44" s="1519">
        <v>2.5</v>
      </c>
      <c r="L44" s="1519"/>
      <c r="M44" s="1519">
        <v>3</v>
      </c>
      <c r="N44" s="1519"/>
      <c r="O44" s="1519">
        <v>4</v>
      </c>
      <c r="P44" s="1519"/>
      <c r="Q44" s="1519">
        <v>4.5</v>
      </c>
      <c r="R44" s="1519"/>
      <c r="S44" s="1519">
        <v>5</v>
      </c>
      <c r="T44" s="1519"/>
    </row>
    <row r="45" spans="1:20" x14ac:dyDescent="0.25">
      <c r="A45" s="1524" t="s">
        <v>3004</v>
      </c>
      <c r="B45" s="1525"/>
      <c r="C45" s="1526">
        <v>52</v>
      </c>
      <c r="D45" s="1527"/>
      <c r="E45" s="1522">
        <v>52</v>
      </c>
      <c r="F45" s="1523"/>
      <c r="G45" s="1522">
        <v>52</v>
      </c>
      <c r="H45" s="1523"/>
      <c r="I45" s="1522">
        <v>52</v>
      </c>
      <c r="J45" s="1523"/>
      <c r="K45" s="1522">
        <v>52</v>
      </c>
      <c r="L45" s="1523"/>
      <c r="M45" s="1522">
        <v>52</v>
      </c>
      <c r="N45" s="1523"/>
      <c r="O45" s="1522">
        <v>52</v>
      </c>
      <c r="P45" s="1523"/>
      <c r="Q45" s="1522">
        <v>52</v>
      </c>
      <c r="R45" s="1523"/>
      <c r="S45" s="1522">
        <v>52</v>
      </c>
      <c r="T45" s="1523"/>
    </row>
    <row r="46" spans="1:20" x14ac:dyDescent="0.25">
      <c r="A46" s="1524" t="s">
        <v>3005</v>
      </c>
      <c r="B46" s="1525"/>
      <c r="C46" s="1526">
        <v>16</v>
      </c>
      <c r="D46" s="1527"/>
      <c r="E46" s="1522">
        <v>16</v>
      </c>
      <c r="F46" s="1523"/>
      <c r="G46" s="1522">
        <v>16</v>
      </c>
      <c r="H46" s="1523"/>
      <c r="I46" s="1522">
        <v>16</v>
      </c>
      <c r="J46" s="1523"/>
      <c r="K46" s="1522">
        <v>16</v>
      </c>
      <c r="L46" s="1523"/>
      <c r="M46" s="1522">
        <v>16</v>
      </c>
      <c r="N46" s="1523"/>
      <c r="O46" s="1522">
        <v>16</v>
      </c>
      <c r="P46" s="1523"/>
      <c r="Q46" s="1522">
        <v>16</v>
      </c>
      <c r="R46" s="1523"/>
      <c r="S46" s="1522">
        <v>16</v>
      </c>
      <c r="T46" s="1523"/>
    </row>
    <row r="47" spans="1:20" x14ac:dyDescent="0.25">
      <c r="A47" s="1524" t="s">
        <v>3006</v>
      </c>
      <c r="B47" s="1525"/>
      <c r="C47" s="1526">
        <v>3</v>
      </c>
      <c r="D47" s="1527"/>
      <c r="E47" s="1522">
        <v>3</v>
      </c>
      <c r="F47" s="1523"/>
      <c r="G47" s="1522">
        <v>3</v>
      </c>
      <c r="H47" s="1523"/>
      <c r="I47" s="1522">
        <v>3</v>
      </c>
      <c r="J47" s="1523"/>
      <c r="K47" s="1522">
        <v>3</v>
      </c>
      <c r="L47" s="1523"/>
      <c r="M47" s="1522">
        <v>3</v>
      </c>
      <c r="N47" s="1523"/>
      <c r="O47" s="1522">
        <v>3</v>
      </c>
      <c r="P47" s="1523"/>
      <c r="Q47" s="1522">
        <v>3</v>
      </c>
      <c r="R47" s="1523"/>
      <c r="S47" s="1522">
        <v>3</v>
      </c>
      <c r="T47" s="1523"/>
    </row>
    <row r="48" spans="1:20" x14ac:dyDescent="0.25">
      <c r="A48" s="1524" t="s">
        <v>3007</v>
      </c>
      <c r="B48" s="1525"/>
      <c r="C48" s="1526">
        <f>+SUM(C45:D47)</f>
        <v>71</v>
      </c>
      <c r="D48" s="1527"/>
      <c r="E48" s="1522">
        <v>71</v>
      </c>
      <c r="F48" s="1523"/>
      <c r="G48" s="1522">
        <v>71</v>
      </c>
      <c r="H48" s="1523"/>
      <c r="I48" s="1522">
        <v>71</v>
      </c>
      <c r="J48" s="1523"/>
      <c r="K48" s="1522">
        <v>71</v>
      </c>
      <c r="L48" s="1523"/>
      <c r="M48" s="1522">
        <v>71</v>
      </c>
      <c r="N48" s="1523"/>
      <c r="O48" s="1522">
        <v>71</v>
      </c>
      <c r="P48" s="1523"/>
      <c r="Q48" s="1522">
        <v>71</v>
      </c>
      <c r="R48" s="1523"/>
      <c r="S48" s="1522">
        <v>71</v>
      </c>
      <c r="T48" s="1523"/>
    </row>
    <row r="49" spans="1:20" x14ac:dyDescent="0.25">
      <c r="A49" s="1524" t="s">
        <v>3008</v>
      </c>
      <c r="B49" s="1525"/>
      <c r="C49" s="1526">
        <f>8*(365-C48)</f>
        <v>2352</v>
      </c>
      <c r="D49" s="1527"/>
      <c r="E49" s="1522">
        <v>2352</v>
      </c>
      <c r="F49" s="1523"/>
      <c r="G49" s="1522">
        <v>2352</v>
      </c>
      <c r="H49" s="1523"/>
      <c r="I49" s="1522">
        <v>2352</v>
      </c>
      <c r="J49" s="1523"/>
      <c r="K49" s="1522">
        <v>2352</v>
      </c>
      <c r="L49" s="1523"/>
      <c r="M49" s="1522">
        <v>2352</v>
      </c>
      <c r="N49" s="1523"/>
      <c r="O49" s="1522">
        <v>2352</v>
      </c>
      <c r="P49" s="1523"/>
      <c r="Q49" s="1522">
        <v>2352</v>
      </c>
      <c r="R49" s="1523"/>
      <c r="S49" s="1522">
        <v>2352</v>
      </c>
      <c r="T49" s="1523"/>
    </row>
    <row r="50" spans="1:20" x14ac:dyDescent="0.25">
      <c r="A50" s="1528" t="s">
        <v>3009</v>
      </c>
      <c r="B50" s="1528"/>
      <c r="C50" s="1528"/>
      <c r="D50" s="1528"/>
      <c r="E50" s="1528"/>
      <c r="F50" s="1528"/>
      <c r="G50" s="1528"/>
      <c r="H50" s="1528"/>
      <c r="I50" s="1528"/>
      <c r="J50" s="1528"/>
      <c r="K50" s="1528"/>
      <c r="L50" s="1528"/>
      <c r="M50" s="1528"/>
      <c r="N50" s="1528"/>
      <c r="O50" s="1528"/>
      <c r="P50" s="1528"/>
      <c r="Q50" s="1528"/>
      <c r="R50" s="1528"/>
      <c r="S50" s="1528"/>
      <c r="T50" s="1528"/>
    </row>
    <row r="51" spans="1:20" x14ac:dyDescent="0.25">
      <c r="A51" s="1524" t="s">
        <v>3010</v>
      </c>
      <c r="B51" s="1525"/>
      <c r="C51" s="1522">
        <f>+C41/C49</f>
        <v>7529.8845477431969</v>
      </c>
      <c r="D51" s="1523"/>
      <c r="E51" s="1522">
        <f>+E41/E49</f>
        <v>8843.2474028248307</v>
      </c>
      <c r="F51" s="1523"/>
      <c r="G51" s="1522">
        <f>+G41/G49</f>
        <v>10813.29213045068</v>
      </c>
      <c r="H51" s="1523"/>
      <c r="I51" s="1522">
        <f>+I41/I49</f>
        <v>14096.699713158163</v>
      </c>
      <c r="J51" s="1523"/>
      <c r="K51" s="1522">
        <f>+K41/K49</f>
        <v>17380.10776070238</v>
      </c>
      <c r="L51" s="1523"/>
      <c r="M51" s="1522">
        <f>+M41/M49</f>
        <v>20663.515343409861</v>
      </c>
      <c r="N51" s="1523"/>
      <c r="O51" s="1522">
        <f>+O41/O49</f>
        <v>27230.330508824831</v>
      </c>
      <c r="P51" s="1523"/>
      <c r="Q51" s="1522">
        <f>+Q41/Q49</f>
        <v>30513.738556369048</v>
      </c>
      <c r="R51" s="1523"/>
      <c r="S51" s="1522">
        <f>+S41/S49</f>
        <v>33797.14613907654</v>
      </c>
      <c r="T51" s="1523"/>
    </row>
    <row r="52" spans="1:20" x14ac:dyDescent="0.25">
      <c r="A52" s="1524" t="s">
        <v>3011</v>
      </c>
      <c r="B52" s="1525"/>
      <c r="C52" s="1522">
        <f>+C51*8*30</f>
        <v>1807172.2914583674</v>
      </c>
      <c r="D52" s="1523"/>
      <c r="E52" s="1522">
        <f>+E51*8*30</f>
        <v>2122379.3766779592</v>
      </c>
      <c r="F52" s="1523"/>
      <c r="G52" s="1522">
        <f>+G51*8*30</f>
        <v>2595190.111308163</v>
      </c>
      <c r="H52" s="1523"/>
      <c r="I52" s="1522">
        <f>+I51*8*30</f>
        <v>3383207.9311579592</v>
      </c>
      <c r="J52" s="1523"/>
      <c r="K52" s="1522">
        <f>+K51*8*30</f>
        <v>4171225.8625685712</v>
      </c>
      <c r="L52" s="1523"/>
      <c r="M52" s="1522">
        <f>+M51*8*30</f>
        <v>4959243.6824183669</v>
      </c>
      <c r="N52" s="1523"/>
      <c r="O52" s="1522">
        <f>+O51*8*30</f>
        <v>6535279.3221179591</v>
      </c>
      <c r="P52" s="1523"/>
      <c r="Q52" s="1522">
        <f>+Q51*8*30</f>
        <v>7323297.2535285717</v>
      </c>
      <c r="R52" s="1523"/>
      <c r="S52" s="1522">
        <f>+S51*8*30</f>
        <v>8111315.0733783692</v>
      </c>
      <c r="T52" s="1523"/>
    </row>
    <row r="53" spans="1:20" ht="15.75" x14ac:dyDescent="0.25">
      <c r="A53" s="1531" t="s">
        <v>3012</v>
      </c>
      <c r="B53" s="1532"/>
      <c r="C53" s="1529">
        <f>+C52/C12</f>
        <v>1.8428179184550433</v>
      </c>
      <c r="D53" s="1530"/>
      <c r="E53" s="1529">
        <f>+E52/E12</f>
        <v>1.835622789929819</v>
      </c>
      <c r="F53" s="1530"/>
      <c r="G53" s="1529">
        <f>+G52/G12</f>
        <v>1.8281670754027841</v>
      </c>
      <c r="H53" s="1530"/>
      <c r="I53" s="1529">
        <f>+I52/I12</f>
        <v>1.8204362381530725</v>
      </c>
      <c r="J53" s="1530"/>
      <c r="K53" s="1529">
        <f>+K52/K12</f>
        <v>1.8156593390150271</v>
      </c>
      <c r="L53" s="1530"/>
      <c r="M53" s="1529">
        <f>+M52/M12</f>
        <v>1.8124148455095022</v>
      </c>
      <c r="N53" s="1530"/>
      <c r="O53" s="1529">
        <f>+O52/O12</f>
        <v>1.8082899764746851</v>
      </c>
      <c r="P53" s="1530"/>
      <c r="Q53" s="1529">
        <f>+Q52/Q12</f>
        <v>1.8068976012091318</v>
      </c>
      <c r="R53" s="1530"/>
      <c r="S53" s="1529">
        <f>+S52/S12</f>
        <v>1.8057772996893653</v>
      </c>
      <c r="T53" s="1530"/>
    </row>
    <row r="54" spans="1:20" x14ac:dyDescent="0.25">
      <c r="A54" s="102"/>
      <c r="B54" s="102"/>
      <c r="C54" s="295"/>
      <c r="D54" s="270"/>
      <c r="E54" s="270"/>
      <c r="F54" s="270"/>
      <c r="G54" s="270"/>
      <c r="H54" s="270"/>
      <c r="I54" s="270"/>
      <c r="J54" s="270"/>
      <c r="K54" s="270"/>
      <c r="L54" s="270"/>
      <c r="M54" s="270"/>
      <c r="N54" s="270"/>
      <c r="O54" s="270"/>
      <c r="P54" s="270"/>
      <c r="Q54" s="270"/>
      <c r="R54" s="270"/>
      <c r="S54" s="270"/>
      <c r="T54" s="270"/>
    </row>
    <row r="55" spans="1:20" ht="51" x14ac:dyDescent="0.25">
      <c r="A55" s="119" t="s">
        <v>3013</v>
      </c>
      <c r="B55" s="102"/>
      <c r="C55" s="296"/>
      <c r="D55" s="276"/>
      <c r="E55" s="276"/>
      <c r="F55" s="276"/>
      <c r="G55" s="276"/>
      <c r="H55" s="270"/>
      <c r="I55" s="270"/>
      <c r="J55" s="270"/>
      <c r="K55" s="270"/>
      <c r="L55" s="270"/>
      <c r="M55" s="270"/>
      <c r="N55" s="270"/>
      <c r="O55" s="270"/>
      <c r="P55" s="270"/>
      <c r="Q55" s="270"/>
      <c r="R55" s="270"/>
      <c r="S55" s="270"/>
      <c r="T55" s="270"/>
    </row>
    <row r="56" spans="1:20" ht="26.25" x14ac:dyDescent="0.25">
      <c r="A56" s="120" t="s">
        <v>3014</v>
      </c>
      <c r="B56" s="102"/>
      <c r="C56" s="270"/>
      <c r="D56" s="297"/>
      <c r="E56" s="297"/>
      <c r="F56" s="270"/>
      <c r="G56" s="270"/>
      <c r="H56" s="270"/>
      <c r="I56" s="270"/>
      <c r="J56" s="270"/>
      <c r="K56" s="270"/>
      <c r="L56" s="270"/>
      <c r="M56" s="270"/>
      <c r="N56" s="270"/>
      <c r="O56" s="270"/>
      <c r="P56" s="270"/>
      <c r="Q56" s="270"/>
      <c r="R56" s="270"/>
      <c r="S56" s="270"/>
      <c r="T56" s="270"/>
    </row>
    <row r="57" spans="1:20" x14ac:dyDescent="0.25">
      <c r="A57" s="119" t="s">
        <v>3015</v>
      </c>
      <c r="B57" s="102"/>
      <c r="C57" s="270"/>
      <c r="D57" s="270"/>
      <c r="E57" s="270"/>
      <c r="F57" s="270"/>
      <c r="G57" s="270"/>
      <c r="H57" s="270"/>
      <c r="I57" s="270"/>
      <c r="J57" s="270"/>
      <c r="K57" s="270"/>
      <c r="L57" s="270"/>
      <c r="M57" s="270"/>
      <c r="N57" s="270"/>
      <c r="O57" s="270"/>
      <c r="P57" s="270"/>
      <c r="Q57" s="270"/>
      <c r="R57" s="270"/>
      <c r="S57" s="270"/>
      <c r="T57" s="270"/>
    </row>
  </sheetData>
  <mergeCells count="109">
    <mergeCell ref="S53:T53"/>
    <mergeCell ref="O52:P52"/>
    <mergeCell ref="Q52:R52"/>
    <mergeCell ref="S52:T52"/>
    <mergeCell ref="A53:B53"/>
    <mergeCell ref="C53:D53"/>
    <mergeCell ref="E53:F53"/>
    <mergeCell ref="G53:H53"/>
    <mergeCell ref="I53:J53"/>
    <mergeCell ref="K53:L53"/>
    <mergeCell ref="M53:N53"/>
    <mergeCell ref="A52:B52"/>
    <mergeCell ref="C52:D52"/>
    <mergeCell ref="E52:F52"/>
    <mergeCell ref="G52:H52"/>
    <mergeCell ref="I52:J52"/>
    <mergeCell ref="K52:L52"/>
    <mergeCell ref="M52:N52"/>
    <mergeCell ref="O53:P53"/>
    <mergeCell ref="Q53:R53"/>
    <mergeCell ref="S49:T49"/>
    <mergeCell ref="A50:T50"/>
    <mergeCell ref="A51:B51"/>
    <mergeCell ref="C51:D51"/>
    <mergeCell ref="E51:F51"/>
    <mergeCell ref="G51:H51"/>
    <mergeCell ref="I51:J51"/>
    <mergeCell ref="K51:L51"/>
    <mergeCell ref="M51:N51"/>
    <mergeCell ref="O51:P51"/>
    <mergeCell ref="Q51:R51"/>
    <mergeCell ref="S51:T51"/>
    <mergeCell ref="A49:B49"/>
    <mergeCell ref="C49:D49"/>
    <mergeCell ref="E49:F49"/>
    <mergeCell ref="G49:H49"/>
    <mergeCell ref="I49:J49"/>
    <mergeCell ref="K49:L49"/>
    <mergeCell ref="M49:N49"/>
    <mergeCell ref="O49:P49"/>
    <mergeCell ref="Q49:R49"/>
    <mergeCell ref="S47:T47"/>
    <mergeCell ref="A48:B48"/>
    <mergeCell ref="C48:D48"/>
    <mergeCell ref="E48:F48"/>
    <mergeCell ref="G48:H48"/>
    <mergeCell ref="I48:J48"/>
    <mergeCell ref="K48:L48"/>
    <mergeCell ref="M48:N48"/>
    <mergeCell ref="O48:P48"/>
    <mergeCell ref="Q48:R48"/>
    <mergeCell ref="S48:T48"/>
    <mergeCell ref="A47:B47"/>
    <mergeCell ref="C47:D47"/>
    <mergeCell ref="E47:F47"/>
    <mergeCell ref="G47:H47"/>
    <mergeCell ref="I47:J47"/>
    <mergeCell ref="K47:L47"/>
    <mergeCell ref="M47:N47"/>
    <mergeCell ref="O47:P47"/>
    <mergeCell ref="Q47:R47"/>
    <mergeCell ref="S45:T45"/>
    <mergeCell ref="A46:B46"/>
    <mergeCell ref="C46:D46"/>
    <mergeCell ref="E46:F46"/>
    <mergeCell ref="G46:H46"/>
    <mergeCell ref="I46:J46"/>
    <mergeCell ref="K46:L46"/>
    <mergeCell ref="M46:N46"/>
    <mergeCell ref="O46:P46"/>
    <mergeCell ref="Q46:R46"/>
    <mergeCell ref="S46:T46"/>
    <mergeCell ref="A45:B45"/>
    <mergeCell ref="C45:D45"/>
    <mergeCell ref="E45:F45"/>
    <mergeCell ref="G45:H45"/>
    <mergeCell ref="I45:J45"/>
    <mergeCell ref="K45:L45"/>
    <mergeCell ref="M45:N45"/>
    <mergeCell ref="O45:P45"/>
    <mergeCell ref="Q45:R45"/>
    <mergeCell ref="A37:B37"/>
    <mergeCell ref="A40:B40"/>
    <mergeCell ref="C43:T43"/>
    <mergeCell ref="C44:D44"/>
    <mergeCell ref="E44:F44"/>
    <mergeCell ref="G44:H44"/>
    <mergeCell ref="I44:J44"/>
    <mergeCell ref="K44:L44"/>
    <mergeCell ref="M44:N44"/>
    <mergeCell ref="O44:P44"/>
    <mergeCell ref="Q44:R44"/>
    <mergeCell ref="S44:T44"/>
    <mergeCell ref="A20:B20"/>
    <mergeCell ref="A25:B25"/>
    <mergeCell ref="A26:B26"/>
    <mergeCell ref="A30:B30"/>
    <mergeCell ref="A31:B31"/>
    <mergeCell ref="A36:B36"/>
    <mergeCell ref="C7:T7"/>
    <mergeCell ref="C8:D8"/>
    <mergeCell ref="E8:F8"/>
    <mergeCell ref="G8:H8"/>
    <mergeCell ref="I8:J8"/>
    <mergeCell ref="K8:L8"/>
    <mergeCell ref="M8:N8"/>
    <mergeCell ref="O8:P8"/>
    <mergeCell ref="Q8:R8"/>
    <mergeCell ref="S8:T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71"/>
  <dimension ref="A1:Q34"/>
  <sheetViews>
    <sheetView workbookViewId="0">
      <selection sqref="A1:J1"/>
    </sheetView>
  </sheetViews>
  <sheetFormatPr baseColWidth="10" defaultColWidth="11.5703125" defaultRowHeight="15" x14ac:dyDescent="0.25"/>
  <cols>
    <col min="1" max="1" width="5.5703125" customWidth="1"/>
    <col min="7" max="7" width="12" customWidth="1"/>
    <col min="8" max="9" width="11.42578125" customWidth="1"/>
    <col min="16" max="16" width="12.42578125" customWidth="1"/>
    <col min="17" max="17" width="11.42578125" customWidth="1"/>
    <col min="18" max="18" width="6.140625" customWidth="1"/>
    <col min="20" max="20" width="48.140625" customWidth="1"/>
    <col min="36" max="36" width="14.5703125" bestFit="1" customWidth="1"/>
    <col min="37" max="37" width="16.7109375" bestFit="1" customWidth="1"/>
    <col min="38" max="38" width="14.5703125" bestFit="1" customWidth="1"/>
    <col min="261" max="261" width="14.85546875" customWidth="1"/>
    <col min="262" max="263" width="11.42578125" customWidth="1"/>
    <col min="272" max="272" width="14.85546875" customWidth="1"/>
    <col min="273" max="273" width="11.42578125" customWidth="1"/>
    <col min="274" max="274" width="6.140625" customWidth="1"/>
    <col min="276" max="276" width="48.140625" customWidth="1"/>
    <col min="292" max="292" width="14.5703125" bestFit="1" customWidth="1"/>
    <col min="293" max="293" width="16.7109375" bestFit="1" customWidth="1"/>
    <col min="294" max="294" width="14.5703125" bestFit="1" customWidth="1"/>
    <col min="517" max="517" width="14.85546875" customWidth="1"/>
    <col min="518" max="519" width="11.42578125" customWidth="1"/>
    <col min="528" max="528" width="14.85546875" customWidth="1"/>
    <col min="529" max="529" width="11.42578125" customWidth="1"/>
    <col min="530" max="530" width="6.140625" customWidth="1"/>
    <col min="532" max="532" width="48.140625" customWidth="1"/>
    <col min="548" max="548" width="14.5703125" bestFit="1" customWidth="1"/>
    <col min="549" max="549" width="16.7109375" bestFit="1" customWidth="1"/>
    <col min="550" max="550" width="14.5703125" bestFit="1" customWidth="1"/>
    <col min="773" max="773" width="14.85546875" customWidth="1"/>
    <col min="774" max="775" width="11.42578125" customWidth="1"/>
    <col min="784" max="784" width="14.85546875" customWidth="1"/>
    <col min="785" max="785" width="11.42578125" customWidth="1"/>
    <col min="786" max="786" width="6.140625" customWidth="1"/>
    <col min="788" max="788" width="48.140625" customWidth="1"/>
    <col min="804" max="804" width="14.5703125" bestFit="1" customWidth="1"/>
    <col min="805" max="805" width="16.7109375" bestFit="1" customWidth="1"/>
    <col min="806" max="806" width="14.5703125" bestFit="1" customWidth="1"/>
    <col min="1029" max="1029" width="14.85546875" customWidth="1"/>
    <col min="1030" max="1031" width="11.42578125" customWidth="1"/>
    <col min="1040" max="1040" width="14.85546875" customWidth="1"/>
    <col min="1041" max="1041" width="11.42578125" customWidth="1"/>
    <col min="1042" max="1042" width="6.140625" customWidth="1"/>
    <col min="1044" max="1044" width="48.140625" customWidth="1"/>
    <col min="1060" max="1060" width="14.5703125" bestFit="1" customWidth="1"/>
    <col min="1061" max="1061" width="16.7109375" bestFit="1" customWidth="1"/>
    <col min="1062" max="1062" width="14.5703125" bestFit="1" customWidth="1"/>
    <col min="1285" max="1285" width="14.85546875" customWidth="1"/>
    <col min="1286" max="1287" width="11.42578125" customWidth="1"/>
    <col min="1296" max="1296" width="14.85546875" customWidth="1"/>
    <col min="1297" max="1297" width="11.42578125" customWidth="1"/>
    <col min="1298" max="1298" width="6.140625" customWidth="1"/>
    <col min="1300" max="1300" width="48.140625" customWidth="1"/>
    <col min="1316" max="1316" width="14.5703125" bestFit="1" customWidth="1"/>
    <col min="1317" max="1317" width="16.7109375" bestFit="1" customWidth="1"/>
    <col min="1318" max="1318" width="14.5703125" bestFit="1" customWidth="1"/>
    <col min="1541" max="1541" width="14.85546875" customWidth="1"/>
    <col min="1542" max="1543" width="11.42578125" customWidth="1"/>
    <col min="1552" max="1552" width="14.85546875" customWidth="1"/>
    <col min="1553" max="1553" width="11.42578125" customWidth="1"/>
    <col min="1554" max="1554" width="6.140625" customWidth="1"/>
    <col min="1556" max="1556" width="48.140625" customWidth="1"/>
    <col min="1572" max="1572" width="14.5703125" bestFit="1" customWidth="1"/>
    <col min="1573" max="1573" width="16.7109375" bestFit="1" customWidth="1"/>
    <col min="1574" max="1574" width="14.5703125" bestFit="1" customWidth="1"/>
    <col min="1797" max="1797" width="14.85546875" customWidth="1"/>
    <col min="1798" max="1799" width="11.42578125" customWidth="1"/>
    <col min="1808" max="1808" width="14.85546875" customWidth="1"/>
    <col min="1809" max="1809" width="11.42578125" customWidth="1"/>
    <col min="1810" max="1810" width="6.140625" customWidth="1"/>
    <col min="1812" max="1812" width="48.140625" customWidth="1"/>
    <col min="1828" max="1828" width="14.5703125" bestFit="1" customWidth="1"/>
    <col min="1829" max="1829" width="16.7109375" bestFit="1" customWidth="1"/>
    <col min="1830" max="1830" width="14.5703125" bestFit="1" customWidth="1"/>
    <col min="2053" max="2053" width="14.85546875" customWidth="1"/>
    <col min="2054" max="2055" width="11.42578125" customWidth="1"/>
    <col min="2064" max="2064" width="14.85546875" customWidth="1"/>
    <col min="2065" max="2065" width="11.42578125" customWidth="1"/>
    <col min="2066" max="2066" width="6.140625" customWidth="1"/>
    <col min="2068" max="2068" width="48.140625" customWidth="1"/>
    <col min="2084" max="2084" width="14.5703125" bestFit="1" customWidth="1"/>
    <col min="2085" max="2085" width="16.7109375" bestFit="1" customWidth="1"/>
    <col min="2086" max="2086" width="14.5703125" bestFit="1" customWidth="1"/>
    <col min="2309" max="2309" width="14.85546875" customWidth="1"/>
    <col min="2310" max="2311" width="11.42578125" customWidth="1"/>
    <col min="2320" max="2320" width="14.85546875" customWidth="1"/>
    <col min="2321" max="2321" width="11.42578125" customWidth="1"/>
    <col min="2322" max="2322" width="6.140625" customWidth="1"/>
    <col min="2324" max="2324" width="48.140625" customWidth="1"/>
    <col min="2340" max="2340" width="14.5703125" bestFit="1" customWidth="1"/>
    <col min="2341" max="2341" width="16.7109375" bestFit="1" customWidth="1"/>
    <col min="2342" max="2342" width="14.5703125" bestFit="1" customWidth="1"/>
    <col min="2565" max="2565" width="14.85546875" customWidth="1"/>
    <col min="2566" max="2567" width="11.42578125" customWidth="1"/>
    <col min="2576" max="2576" width="14.85546875" customWidth="1"/>
    <col min="2577" max="2577" width="11.42578125" customWidth="1"/>
    <col min="2578" max="2578" width="6.140625" customWidth="1"/>
    <col min="2580" max="2580" width="48.140625" customWidth="1"/>
    <col min="2596" max="2596" width="14.5703125" bestFit="1" customWidth="1"/>
    <col min="2597" max="2597" width="16.7109375" bestFit="1" customWidth="1"/>
    <col min="2598" max="2598" width="14.5703125" bestFit="1" customWidth="1"/>
    <col min="2821" max="2821" width="14.85546875" customWidth="1"/>
    <col min="2822" max="2823" width="11.42578125" customWidth="1"/>
    <col min="2832" max="2832" width="14.85546875" customWidth="1"/>
    <col min="2833" max="2833" width="11.42578125" customWidth="1"/>
    <col min="2834" max="2834" width="6.140625" customWidth="1"/>
    <col min="2836" max="2836" width="48.140625" customWidth="1"/>
    <col min="2852" max="2852" width="14.5703125" bestFit="1" customWidth="1"/>
    <col min="2853" max="2853" width="16.7109375" bestFit="1" customWidth="1"/>
    <col min="2854" max="2854" width="14.5703125" bestFit="1" customWidth="1"/>
    <col min="3077" max="3077" width="14.85546875" customWidth="1"/>
    <col min="3078" max="3079" width="11.42578125" customWidth="1"/>
    <col min="3088" max="3088" width="14.85546875" customWidth="1"/>
    <col min="3089" max="3089" width="11.42578125" customWidth="1"/>
    <col min="3090" max="3090" width="6.140625" customWidth="1"/>
    <col min="3092" max="3092" width="48.140625" customWidth="1"/>
    <col min="3108" max="3108" width="14.5703125" bestFit="1" customWidth="1"/>
    <col min="3109" max="3109" width="16.7109375" bestFit="1" customWidth="1"/>
    <col min="3110" max="3110" width="14.5703125" bestFit="1" customWidth="1"/>
    <col min="3333" max="3333" width="14.85546875" customWidth="1"/>
    <col min="3334" max="3335" width="11.42578125" customWidth="1"/>
    <col min="3344" max="3344" width="14.85546875" customWidth="1"/>
    <col min="3345" max="3345" width="11.42578125" customWidth="1"/>
    <col min="3346" max="3346" width="6.140625" customWidth="1"/>
    <col min="3348" max="3348" width="48.140625" customWidth="1"/>
    <col min="3364" max="3364" width="14.5703125" bestFit="1" customWidth="1"/>
    <col min="3365" max="3365" width="16.7109375" bestFit="1" customWidth="1"/>
    <col min="3366" max="3366" width="14.5703125" bestFit="1" customWidth="1"/>
    <col min="3589" max="3589" width="14.85546875" customWidth="1"/>
    <col min="3590" max="3591" width="11.42578125" customWidth="1"/>
    <col min="3600" max="3600" width="14.85546875" customWidth="1"/>
    <col min="3601" max="3601" width="11.42578125" customWidth="1"/>
    <col min="3602" max="3602" width="6.140625" customWidth="1"/>
    <col min="3604" max="3604" width="48.140625" customWidth="1"/>
    <col min="3620" max="3620" width="14.5703125" bestFit="1" customWidth="1"/>
    <col min="3621" max="3621" width="16.7109375" bestFit="1" customWidth="1"/>
    <col min="3622" max="3622" width="14.5703125" bestFit="1" customWidth="1"/>
    <col min="3845" max="3845" width="14.85546875" customWidth="1"/>
    <col min="3846" max="3847" width="11.42578125" customWidth="1"/>
    <col min="3856" max="3856" width="14.85546875" customWidth="1"/>
    <col min="3857" max="3857" width="11.42578125" customWidth="1"/>
    <col min="3858" max="3858" width="6.140625" customWidth="1"/>
    <col min="3860" max="3860" width="48.140625" customWidth="1"/>
    <col min="3876" max="3876" width="14.5703125" bestFit="1" customWidth="1"/>
    <col min="3877" max="3877" width="16.7109375" bestFit="1" customWidth="1"/>
    <col min="3878" max="3878" width="14.5703125" bestFit="1" customWidth="1"/>
    <col min="4101" max="4101" width="14.85546875" customWidth="1"/>
    <col min="4102" max="4103" width="11.42578125" customWidth="1"/>
    <col min="4112" max="4112" width="14.85546875" customWidth="1"/>
    <col min="4113" max="4113" width="11.42578125" customWidth="1"/>
    <col min="4114" max="4114" width="6.140625" customWidth="1"/>
    <col min="4116" max="4116" width="48.140625" customWidth="1"/>
    <col min="4132" max="4132" width="14.5703125" bestFit="1" customWidth="1"/>
    <col min="4133" max="4133" width="16.7109375" bestFit="1" customWidth="1"/>
    <col min="4134" max="4134" width="14.5703125" bestFit="1" customWidth="1"/>
    <col min="4357" max="4357" width="14.85546875" customWidth="1"/>
    <col min="4358" max="4359" width="11.42578125" customWidth="1"/>
    <col min="4368" max="4368" width="14.85546875" customWidth="1"/>
    <col min="4369" max="4369" width="11.42578125" customWidth="1"/>
    <col min="4370" max="4370" width="6.140625" customWidth="1"/>
    <col min="4372" max="4372" width="48.140625" customWidth="1"/>
    <col min="4388" max="4388" width="14.5703125" bestFit="1" customWidth="1"/>
    <col min="4389" max="4389" width="16.7109375" bestFit="1" customWidth="1"/>
    <col min="4390" max="4390" width="14.5703125" bestFit="1" customWidth="1"/>
    <col min="4613" max="4613" width="14.85546875" customWidth="1"/>
    <col min="4614" max="4615" width="11.42578125" customWidth="1"/>
    <col min="4624" max="4624" width="14.85546875" customWidth="1"/>
    <col min="4625" max="4625" width="11.42578125" customWidth="1"/>
    <col min="4626" max="4626" width="6.140625" customWidth="1"/>
    <col min="4628" max="4628" width="48.140625" customWidth="1"/>
    <col min="4644" max="4644" width="14.5703125" bestFit="1" customWidth="1"/>
    <col min="4645" max="4645" width="16.7109375" bestFit="1" customWidth="1"/>
    <col min="4646" max="4646" width="14.5703125" bestFit="1" customWidth="1"/>
    <col min="4869" max="4869" width="14.85546875" customWidth="1"/>
    <col min="4870" max="4871" width="11.42578125" customWidth="1"/>
    <col min="4880" max="4880" width="14.85546875" customWidth="1"/>
    <col min="4881" max="4881" width="11.42578125" customWidth="1"/>
    <col min="4882" max="4882" width="6.140625" customWidth="1"/>
    <col min="4884" max="4884" width="48.140625" customWidth="1"/>
    <col min="4900" max="4900" width="14.5703125" bestFit="1" customWidth="1"/>
    <col min="4901" max="4901" width="16.7109375" bestFit="1" customWidth="1"/>
    <col min="4902" max="4902" width="14.5703125" bestFit="1" customWidth="1"/>
    <col min="5125" max="5125" width="14.85546875" customWidth="1"/>
    <col min="5126" max="5127" width="11.42578125" customWidth="1"/>
    <col min="5136" max="5136" width="14.85546875" customWidth="1"/>
    <col min="5137" max="5137" width="11.42578125" customWidth="1"/>
    <col min="5138" max="5138" width="6.140625" customWidth="1"/>
    <col min="5140" max="5140" width="48.140625" customWidth="1"/>
    <col min="5156" max="5156" width="14.5703125" bestFit="1" customWidth="1"/>
    <col min="5157" max="5157" width="16.7109375" bestFit="1" customWidth="1"/>
    <col min="5158" max="5158" width="14.5703125" bestFit="1" customWidth="1"/>
    <col min="5381" max="5381" width="14.85546875" customWidth="1"/>
    <col min="5382" max="5383" width="11.42578125" customWidth="1"/>
    <col min="5392" max="5392" width="14.85546875" customWidth="1"/>
    <col min="5393" max="5393" width="11.42578125" customWidth="1"/>
    <col min="5394" max="5394" width="6.140625" customWidth="1"/>
    <col min="5396" max="5396" width="48.140625" customWidth="1"/>
    <col min="5412" max="5412" width="14.5703125" bestFit="1" customWidth="1"/>
    <col min="5413" max="5413" width="16.7109375" bestFit="1" customWidth="1"/>
    <col min="5414" max="5414" width="14.5703125" bestFit="1" customWidth="1"/>
    <col min="5637" max="5637" width="14.85546875" customWidth="1"/>
    <col min="5638" max="5639" width="11.42578125" customWidth="1"/>
    <col min="5648" max="5648" width="14.85546875" customWidth="1"/>
    <col min="5649" max="5649" width="11.42578125" customWidth="1"/>
    <col min="5650" max="5650" width="6.140625" customWidth="1"/>
    <col min="5652" max="5652" width="48.140625" customWidth="1"/>
    <col min="5668" max="5668" width="14.5703125" bestFit="1" customWidth="1"/>
    <col min="5669" max="5669" width="16.7109375" bestFit="1" customWidth="1"/>
    <col min="5670" max="5670" width="14.5703125" bestFit="1" customWidth="1"/>
    <col min="5893" max="5893" width="14.85546875" customWidth="1"/>
    <col min="5894" max="5895" width="11.42578125" customWidth="1"/>
    <col min="5904" max="5904" width="14.85546875" customWidth="1"/>
    <col min="5905" max="5905" width="11.42578125" customWidth="1"/>
    <col min="5906" max="5906" width="6.140625" customWidth="1"/>
    <col min="5908" max="5908" width="48.140625" customWidth="1"/>
    <col min="5924" max="5924" width="14.5703125" bestFit="1" customWidth="1"/>
    <col min="5925" max="5925" width="16.7109375" bestFit="1" customWidth="1"/>
    <col min="5926" max="5926" width="14.5703125" bestFit="1" customWidth="1"/>
    <col min="6149" max="6149" width="14.85546875" customWidth="1"/>
    <col min="6150" max="6151" width="11.42578125" customWidth="1"/>
    <col min="6160" max="6160" width="14.85546875" customWidth="1"/>
    <col min="6161" max="6161" width="11.42578125" customWidth="1"/>
    <col min="6162" max="6162" width="6.140625" customWidth="1"/>
    <col min="6164" max="6164" width="48.140625" customWidth="1"/>
    <col min="6180" max="6180" width="14.5703125" bestFit="1" customWidth="1"/>
    <col min="6181" max="6181" width="16.7109375" bestFit="1" customWidth="1"/>
    <col min="6182" max="6182" width="14.5703125" bestFit="1" customWidth="1"/>
    <col min="6405" max="6405" width="14.85546875" customWidth="1"/>
    <col min="6406" max="6407" width="11.42578125" customWidth="1"/>
    <col min="6416" max="6416" width="14.85546875" customWidth="1"/>
    <col min="6417" max="6417" width="11.42578125" customWidth="1"/>
    <col min="6418" max="6418" width="6.140625" customWidth="1"/>
    <col min="6420" max="6420" width="48.140625" customWidth="1"/>
    <col min="6436" max="6436" width="14.5703125" bestFit="1" customWidth="1"/>
    <col min="6437" max="6437" width="16.7109375" bestFit="1" customWidth="1"/>
    <col min="6438" max="6438" width="14.5703125" bestFit="1" customWidth="1"/>
    <col min="6661" max="6661" width="14.85546875" customWidth="1"/>
    <col min="6662" max="6663" width="11.42578125" customWidth="1"/>
    <col min="6672" max="6672" width="14.85546875" customWidth="1"/>
    <col min="6673" max="6673" width="11.42578125" customWidth="1"/>
    <col min="6674" max="6674" width="6.140625" customWidth="1"/>
    <col min="6676" max="6676" width="48.140625" customWidth="1"/>
    <col min="6692" max="6692" width="14.5703125" bestFit="1" customWidth="1"/>
    <col min="6693" max="6693" width="16.7109375" bestFit="1" customWidth="1"/>
    <col min="6694" max="6694" width="14.5703125" bestFit="1" customWidth="1"/>
    <col min="6917" max="6917" width="14.85546875" customWidth="1"/>
    <col min="6918" max="6919" width="11.42578125" customWidth="1"/>
    <col min="6928" max="6928" width="14.85546875" customWidth="1"/>
    <col min="6929" max="6929" width="11.42578125" customWidth="1"/>
    <col min="6930" max="6930" width="6.140625" customWidth="1"/>
    <col min="6932" max="6932" width="48.140625" customWidth="1"/>
    <col min="6948" max="6948" width="14.5703125" bestFit="1" customWidth="1"/>
    <col min="6949" max="6949" width="16.7109375" bestFit="1" customWidth="1"/>
    <col min="6950" max="6950" width="14.5703125" bestFit="1" customWidth="1"/>
    <col min="7173" max="7173" width="14.85546875" customWidth="1"/>
    <col min="7174" max="7175" width="11.42578125" customWidth="1"/>
    <col min="7184" max="7184" width="14.85546875" customWidth="1"/>
    <col min="7185" max="7185" width="11.42578125" customWidth="1"/>
    <col min="7186" max="7186" width="6.140625" customWidth="1"/>
    <col min="7188" max="7188" width="48.140625" customWidth="1"/>
    <col min="7204" max="7204" width="14.5703125" bestFit="1" customWidth="1"/>
    <col min="7205" max="7205" width="16.7109375" bestFit="1" customWidth="1"/>
    <col min="7206" max="7206" width="14.5703125" bestFit="1" customWidth="1"/>
    <col min="7429" max="7429" width="14.85546875" customWidth="1"/>
    <col min="7430" max="7431" width="11.42578125" customWidth="1"/>
    <col min="7440" max="7440" width="14.85546875" customWidth="1"/>
    <col min="7441" max="7441" width="11.42578125" customWidth="1"/>
    <col min="7442" max="7442" width="6.140625" customWidth="1"/>
    <col min="7444" max="7444" width="48.140625" customWidth="1"/>
    <col min="7460" max="7460" width="14.5703125" bestFit="1" customWidth="1"/>
    <col min="7461" max="7461" width="16.7109375" bestFit="1" customWidth="1"/>
    <col min="7462" max="7462" width="14.5703125" bestFit="1" customWidth="1"/>
    <col min="7685" max="7685" width="14.85546875" customWidth="1"/>
    <col min="7686" max="7687" width="11.42578125" customWidth="1"/>
    <col min="7696" max="7696" width="14.85546875" customWidth="1"/>
    <col min="7697" max="7697" width="11.42578125" customWidth="1"/>
    <col min="7698" max="7698" width="6.140625" customWidth="1"/>
    <col min="7700" max="7700" width="48.140625" customWidth="1"/>
    <col min="7716" max="7716" width="14.5703125" bestFit="1" customWidth="1"/>
    <col min="7717" max="7717" width="16.7109375" bestFit="1" customWidth="1"/>
    <col min="7718" max="7718" width="14.5703125" bestFit="1" customWidth="1"/>
    <col min="7941" max="7941" width="14.85546875" customWidth="1"/>
    <col min="7942" max="7943" width="11.42578125" customWidth="1"/>
    <col min="7952" max="7952" width="14.85546875" customWidth="1"/>
    <col min="7953" max="7953" width="11.42578125" customWidth="1"/>
    <col min="7954" max="7954" width="6.140625" customWidth="1"/>
    <col min="7956" max="7956" width="48.140625" customWidth="1"/>
    <col min="7972" max="7972" width="14.5703125" bestFit="1" customWidth="1"/>
    <col min="7973" max="7973" width="16.7109375" bestFit="1" customWidth="1"/>
    <col min="7974" max="7974" width="14.5703125" bestFit="1" customWidth="1"/>
    <col min="8197" max="8197" width="14.85546875" customWidth="1"/>
    <col min="8198" max="8199" width="11.42578125" customWidth="1"/>
    <col min="8208" max="8208" width="14.85546875" customWidth="1"/>
    <col min="8209" max="8209" width="11.42578125" customWidth="1"/>
    <col min="8210" max="8210" width="6.140625" customWidth="1"/>
    <col min="8212" max="8212" width="48.140625" customWidth="1"/>
    <col min="8228" max="8228" width="14.5703125" bestFit="1" customWidth="1"/>
    <col min="8229" max="8229" width="16.7109375" bestFit="1" customWidth="1"/>
    <col min="8230" max="8230" width="14.5703125" bestFit="1" customWidth="1"/>
    <col min="8453" max="8453" width="14.85546875" customWidth="1"/>
    <col min="8454" max="8455" width="11.42578125" customWidth="1"/>
    <col min="8464" max="8464" width="14.85546875" customWidth="1"/>
    <col min="8465" max="8465" width="11.42578125" customWidth="1"/>
    <col min="8466" max="8466" width="6.140625" customWidth="1"/>
    <col min="8468" max="8468" width="48.140625" customWidth="1"/>
    <col min="8484" max="8484" width="14.5703125" bestFit="1" customWidth="1"/>
    <col min="8485" max="8485" width="16.7109375" bestFit="1" customWidth="1"/>
    <col min="8486" max="8486" width="14.5703125" bestFit="1" customWidth="1"/>
    <col min="8709" max="8709" width="14.85546875" customWidth="1"/>
    <col min="8710" max="8711" width="11.42578125" customWidth="1"/>
    <col min="8720" max="8720" width="14.85546875" customWidth="1"/>
    <col min="8721" max="8721" width="11.42578125" customWidth="1"/>
    <col min="8722" max="8722" width="6.140625" customWidth="1"/>
    <col min="8724" max="8724" width="48.140625" customWidth="1"/>
    <col min="8740" max="8740" width="14.5703125" bestFit="1" customWidth="1"/>
    <col min="8741" max="8741" width="16.7109375" bestFit="1" customWidth="1"/>
    <col min="8742" max="8742" width="14.5703125" bestFit="1" customWidth="1"/>
    <col min="8965" max="8965" width="14.85546875" customWidth="1"/>
    <col min="8966" max="8967" width="11.42578125" customWidth="1"/>
    <col min="8976" max="8976" width="14.85546875" customWidth="1"/>
    <col min="8977" max="8977" width="11.42578125" customWidth="1"/>
    <col min="8978" max="8978" width="6.140625" customWidth="1"/>
    <col min="8980" max="8980" width="48.140625" customWidth="1"/>
    <col min="8996" max="8996" width="14.5703125" bestFit="1" customWidth="1"/>
    <col min="8997" max="8997" width="16.7109375" bestFit="1" customWidth="1"/>
    <col min="8998" max="8998" width="14.5703125" bestFit="1" customWidth="1"/>
    <col min="9221" max="9221" width="14.85546875" customWidth="1"/>
    <col min="9222" max="9223" width="11.42578125" customWidth="1"/>
    <col min="9232" max="9232" width="14.85546875" customWidth="1"/>
    <col min="9233" max="9233" width="11.42578125" customWidth="1"/>
    <col min="9234" max="9234" width="6.140625" customWidth="1"/>
    <col min="9236" max="9236" width="48.140625" customWidth="1"/>
    <col min="9252" max="9252" width="14.5703125" bestFit="1" customWidth="1"/>
    <col min="9253" max="9253" width="16.7109375" bestFit="1" customWidth="1"/>
    <col min="9254" max="9254" width="14.5703125" bestFit="1" customWidth="1"/>
    <col min="9477" max="9477" width="14.85546875" customWidth="1"/>
    <col min="9478" max="9479" width="11.42578125" customWidth="1"/>
    <col min="9488" max="9488" width="14.85546875" customWidth="1"/>
    <col min="9489" max="9489" width="11.42578125" customWidth="1"/>
    <col min="9490" max="9490" width="6.140625" customWidth="1"/>
    <col min="9492" max="9492" width="48.140625" customWidth="1"/>
    <col min="9508" max="9508" width="14.5703125" bestFit="1" customWidth="1"/>
    <col min="9509" max="9509" width="16.7109375" bestFit="1" customWidth="1"/>
    <col min="9510" max="9510" width="14.5703125" bestFit="1" customWidth="1"/>
    <col min="9733" max="9733" width="14.85546875" customWidth="1"/>
    <col min="9734" max="9735" width="11.42578125" customWidth="1"/>
    <col min="9744" max="9744" width="14.85546875" customWidth="1"/>
    <col min="9745" max="9745" width="11.42578125" customWidth="1"/>
    <col min="9746" max="9746" width="6.140625" customWidth="1"/>
    <col min="9748" max="9748" width="48.140625" customWidth="1"/>
    <col min="9764" max="9764" width="14.5703125" bestFit="1" customWidth="1"/>
    <col min="9765" max="9765" width="16.7109375" bestFit="1" customWidth="1"/>
    <col min="9766" max="9766" width="14.5703125" bestFit="1" customWidth="1"/>
    <col min="9989" max="9989" width="14.85546875" customWidth="1"/>
    <col min="9990" max="9991" width="11.42578125" customWidth="1"/>
    <col min="10000" max="10000" width="14.85546875" customWidth="1"/>
    <col min="10001" max="10001" width="11.42578125" customWidth="1"/>
    <col min="10002" max="10002" width="6.140625" customWidth="1"/>
    <col min="10004" max="10004" width="48.140625" customWidth="1"/>
    <col min="10020" max="10020" width="14.5703125" bestFit="1" customWidth="1"/>
    <col min="10021" max="10021" width="16.7109375" bestFit="1" customWidth="1"/>
    <col min="10022" max="10022" width="14.5703125" bestFit="1" customWidth="1"/>
    <col min="10245" max="10245" width="14.85546875" customWidth="1"/>
    <col min="10246" max="10247" width="11.42578125" customWidth="1"/>
    <col min="10256" max="10256" width="14.85546875" customWidth="1"/>
    <col min="10257" max="10257" width="11.42578125" customWidth="1"/>
    <col min="10258" max="10258" width="6.140625" customWidth="1"/>
    <col min="10260" max="10260" width="48.140625" customWidth="1"/>
    <col min="10276" max="10276" width="14.5703125" bestFit="1" customWidth="1"/>
    <col min="10277" max="10277" width="16.7109375" bestFit="1" customWidth="1"/>
    <col min="10278" max="10278" width="14.5703125" bestFit="1" customWidth="1"/>
    <col min="10501" max="10501" width="14.85546875" customWidth="1"/>
    <col min="10502" max="10503" width="11.42578125" customWidth="1"/>
    <col min="10512" max="10512" width="14.85546875" customWidth="1"/>
    <col min="10513" max="10513" width="11.42578125" customWidth="1"/>
    <col min="10514" max="10514" width="6.140625" customWidth="1"/>
    <col min="10516" max="10516" width="48.140625" customWidth="1"/>
    <col min="10532" max="10532" width="14.5703125" bestFit="1" customWidth="1"/>
    <col min="10533" max="10533" width="16.7109375" bestFit="1" customWidth="1"/>
    <col min="10534" max="10534" width="14.5703125" bestFit="1" customWidth="1"/>
    <col min="10757" max="10757" width="14.85546875" customWidth="1"/>
    <col min="10758" max="10759" width="11.42578125" customWidth="1"/>
    <col min="10768" max="10768" width="14.85546875" customWidth="1"/>
    <col min="10769" max="10769" width="11.42578125" customWidth="1"/>
    <col min="10770" max="10770" width="6.140625" customWidth="1"/>
    <col min="10772" max="10772" width="48.140625" customWidth="1"/>
    <col min="10788" max="10788" width="14.5703125" bestFit="1" customWidth="1"/>
    <col min="10789" max="10789" width="16.7109375" bestFit="1" customWidth="1"/>
    <col min="10790" max="10790" width="14.5703125" bestFit="1" customWidth="1"/>
    <col min="11013" max="11013" width="14.85546875" customWidth="1"/>
    <col min="11014" max="11015" width="11.42578125" customWidth="1"/>
    <col min="11024" max="11024" width="14.85546875" customWidth="1"/>
    <col min="11025" max="11025" width="11.42578125" customWidth="1"/>
    <col min="11026" max="11026" width="6.140625" customWidth="1"/>
    <col min="11028" max="11028" width="48.140625" customWidth="1"/>
    <col min="11044" max="11044" width="14.5703125" bestFit="1" customWidth="1"/>
    <col min="11045" max="11045" width="16.7109375" bestFit="1" customWidth="1"/>
    <col min="11046" max="11046" width="14.5703125" bestFit="1" customWidth="1"/>
    <col min="11269" max="11269" width="14.85546875" customWidth="1"/>
    <col min="11270" max="11271" width="11.42578125" customWidth="1"/>
    <col min="11280" max="11280" width="14.85546875" customWidth="1"/>
    <col min="11281" max="11281" width="11.42578125" customWidth="1"/>
    <col min="11282" max="11282" width="6.140625" customWidth="1"/>
    <col min="11284" max="11284" width="48.140625" customWidth="1"/>
    <col min="11300" max="11300" width="14.5703125" bestFit="1" customWidth="1"/>
    <col min="11301" max="11301" width="16.7109375" bestFit="1" customWidth="1"/>
    <col min="11302" max="11302" width="14.5703125" bestFit="1" customWidth="1"/>
    <col min="11525" max="11525" width="14.85546875" customWidth="1"/>
    <col min="11526" max="11527" width="11.42578125" customWidth="1"/>
    <col min="11536" max="11536" width="14.85546875" customWidth="1"/>
    <col min="11537" max="11537" width="11.42578125" customWidth="1"/>
    <col min="11538" max="11538" width="6.140625" customWidth="1"/>
    <col min="11540" max="11540" width="48.140625" customWidth="1"/>
    <col min="11556" max="11556" width="14.5703125" bestFit="1" customWidth="1"/>
    <col min="11557" max="11557" width="16.7109375" bestFit="1" customWidth="1"/>
    <col min="11558" max="11558" width="14.5703125" bestFit="1" customWidth="1"/>
    <col min="11781" max="11781" width="14.85546875" customWidth="1"/>
    <col min="11782" max="11783" width="11.42578125" customWidth="1"/>
    <col min="11792" max="11792" width="14.85546875" customWidth="1"/>
    <col min="11793" max="11793" width="11.42578125" customWidth="1"/>
    <col min="11794" max="11794" width="6.140625" customWidth="1"/>
    <col min="11796" max="11796" width="48.140625" customWidth="1"/>
    <col min="11812" max="11812" width="14.5703125" bestFit="1" customWidth="1"/>
    <col min="11813" max="11813" width="16.7109375" bestFit="1" customWidth="1"/>
    <col min="11814" max="11814" width="14.5703125" bestFit="1" customWidth="1"/>
    <col min="12037" max="12037" width="14.85546875" customWidth="1"/>
    <col min="12038" max="12039" width="11.42578125" customWidth="1"/>
    <col min="12048" max="12048" width="14.85546875" customWidth="1"/>
    <col min="12049" max="12049" width="11.42578125" customWidth="1"/>
    <col min="12050" max="12050" width="6.140625" customWidth="1"/>
    <col min="12052" max="12052" width="48.140625" customWidth="1"/>
    <col min="12068" max="12068" width="14.5703125" bestFit="1" customWidth="1"/>
    <col min="12069" max="12069" width="16.7109375" bestFit="1" customWidth="1"/>
    <col min="12070" max="12070" width="14.5703125" bestFit="1" customWidth="1"/>
    <col min="12293" max="12293" width="14.85546875" customWidth="1"/>
    <col min="12294" max="12295" width="11.42578125" customWidth="1"/>
    <col min="12304" max="12304" width="14.85546875" customWidth="1"/>
    <col min="12305" max="12305" width="11.42578125" customWidth="1"/>
    <col min="12306" max="12306" width="6.140625" customWidth="1"/>
    <col min="12308" max="12308" width="48.140625" customWidth="1"/>
    <col min="12324" max="12324" width="14.5703125" bestFit="1" customWidth="1"/>
    <col min="12325" max="12325" width="16.7109375" bestFit="1" customWidth="1"/>
    <col min="12326" max="12326" width="14.5703125" bestFit="1" customWidth="1"/>
    <col min="12549" max="12549" width="14.85546875" customWidth="1"/>
    <col min="12550" max="12551" width="11.42578125" customWidth="1"/>
    <col min="12560" max="12560" width="14.85546875" customWidth="1"/>
    <col min="12561" max="12561" width="11.42578125" customWidth="1"/>
    <col min="12562" max="12562" width="6.140625" customWidth="1"/>
    <col min="12564" max="12564" width="48.140625" customWidth="1"/>
    <col min="12580" max="12580" width="14.5703125" bestFit="1" customWidth="1"/>
    <col min="12581" max="12581" width="16.7109375" bestFit="1" customWidth="1"/>
    <col min="12582" max="12582" width="14.5703125" bestFit="1" customWidth="1"/>
    <col min="12805" max="12805" width="14.85546875" customWidth="1"/>
    <col min="12806" max="12807" width="11.42578125" customWidth="1"/>
    <col min="12816" max="12816" width="14.85546875" customWidth="1"/>
    <col min="12817" max="12817" width="11.42578125" customWidth="1"/>
    <col min="12818" max="12818" width="6.140625" customWidth="1"/>
    <col min="12820" max="12820" width="48.140625" customWidth="1"/>
    <col min="12836" max="12836" width="14.5703125" bestFit="1" customWidth="1"/>
    <col min="12837" max="12837" width="16.7109375" bestFit="1" customWidth="1"/>
    <col min="12838" max="12838" width="14.5703125" bestFit="1" customWidth="1"/>
    <col min="13061" max="13061" width="14.85546875" customWidth="1"/>
    <col min="13062" max="13063" width="11.42578125" customWidth="1"/>
    <col min="13072" max="13072" width="14.85546875" customWidth="1"/>
    <col min="13073" max="13073" width="11.42578125" customWidth="1"/>
    <col min="13074" max="13074" width="6.140625" customWidth="1"/>
    <col min="13076" max="13076" width="48.140625" customWidth="1"/>
    <col min="13092" max="13092" width="14.5703125" bestFit="1" customWidth="1"/>
    <col min="13093" max="13093" width="16.7109375" bestFit="1" customWidth="1"/>
    <col min="13094" max="13094" width="14.5703125" bestFit="1" customWidth="1"/>
    <col min="13317" max="13317" width="14.85546875" customWidth="1"/>
    <col min="13318" max="13319" width="11.42578125" customWidth="1"/>
    <col min="13328" max="13328" width="14.85546875" customWidth="1"/>
    <col min="13329" max="13329" width="11.42578125" customWidth="1"/>
    <col min="13330" max="13330" width="6.140625" customWidth="1"/>
    <col min="13332" max="13332" width="48.140625" customWidth="1"/>
    <col min="13348" max="13348" width="14.5703125" bestFit="1" customWidth="1"/>
    <col min="13349" max="13349" width="16.7109375" bestFit="1" customWidth="1"/>
    <col min="13350" max="13350" width="14.5703125" bestFit="1" customWidth="1"/>
    <col min="13573" max="13573" width="14.85546875" customWidth="1"/>
    <col min="13574" max="13575" width="11.42578125" customWidth="1"/>
    <col min="13584" max="13584" width="14.85546875" customWidth="1"/>
    <col min="13585" max="13585" width="11.42578125" customWidth="1"/>
    <col min="13586" max="13586" width="6.140625" customWidth="1"/>
    <col min="13588" max="13588" width="48.140625" customWidth="1"/>
    <col min="13604" max="13604" width="14.5703125" bestFit="1" customWidth="1"/>
    <col min="13605" max="13605" width="16.7109375" bestFit="1" customWidth="1"/>
    <col min="13606" max="13606" width="14.5703125" bestFit="1" customWidth="1"/>
    <col min="13829" max="13829" width="14.85546875" customWidth="1"/>
    <col min="13830" max="13831" width="11.42578125" customWidth="1"/>
    <col min="13840" max="13840" width="14.85546875" customWidth="1"/>
    <col min="13841" max="13841" width="11.42578125" customWidth="1"/>
    <col min="13842" max="13842" width="6.140625" customWidth="1"/>
    <col min="13844" max="13844" width="48.140625" customWidth="1"/>
    <col min="13860" max="13860" width="14.5703125" bestFit="1" customWidth="1"/>
    <col min="13861" max="13861" width="16.7109375" bestFit="1" customWidth="1"/>
    <col min="13862" max="13862" width="14.5703125" bestFit="1" customWidth="1"/>
    <col min="14085" max="14085" width="14.85546875" customWidth="1"/>
    <col min="14086" max="14087" width="11.42578125" customWidth="1"/>
    <col min="14096" max="14096" width="14.85546875" customWidth="1"/>
    <col min="14097" max="14097" width="11.42578125" customWidth="1"/>
    <col min="14098" max="14098" width="6.140625" customWidth="1"/>
    <col min="14100" max="14100" width="48.140625" customWidth="1"/>
    <col min="14116" max="14116" width="14.5703125" bestFit="1" customWidth="1"/>
    <col min="14117" max="14117" width="16.7109375" bestFit="1" customWidth="1"/>
    <col min="14118" max="14118" width="14.5703125" bestFit="1" customWidth="1"/>
    <col min="14341" max="14341" width="14.85546875" customWidth="1"/>
    <col min="14342" max="14343" width="11.42578125" customWidth="1"/>
    <col min="14352" max="14352" width="14.85546875" customWidth="1"/>
    <col min="14353" max="14353" width="11.42578125" customWidth="1"/>
    <col min="14354" max="14354" width="6.140625" customWidth="1"/>
    <col min="14356" max="14356" width="48.140625" customWidth="1"/>
    <col min="14372" max="14372" width="14.5703125" bestFit="1" customWidth="1"/>
    <col min="14373" max="14373" width="16.7109375" bestFit="1" customWidth="1"/>
    <col min="14374" max="14374" width="14.5703125" bestFit="1" customWidth="1"/>
    <col min="14597" max="14597" width="14.85546875" customWidth="1"/>
    <col min="14598" max="14599" width="11.42578125" customWidth="1"/>
    <col min="14608" max="14608" width="14.85546875" customWidth="1"/>
    <col min="14609" max="14609" width="11.42578125" customWidth="1"/>
    <col min="14610" max="14610" width="6.140625" customWidth="1"/>
    <col min="14612" max="14612" width="48.140625" customWidth="1"/>
    <col min="14628" max="14628" width="14.5703125" bestFit="1" customWidth="1"/>
    <col min="14629" max="14629" width="16.7109375" bestFit="1" customWidth="1"/>
    <col min="14630" max="14630" width="14.5703125" bestFit="1" customWidth="1"/>
    <col min="14853" max="14853" width="14.85546875" customWidth="1"/>
    <col min="14854" max="14855" width="11.42578125" customWidth="1"/>
    <col min="14864" max="14864" width="14.85546875" customWidth="1"/>
    <col min="14865" max="14865" width="11.42578125" customWidth="1"/>
    <col min="14866" max="14866" width="6.140625" customWidth="1"/>
    <col min="14868" max="14868" width="48.140625" customWidth="1"/>
    <col min="14884" max="14884" width="14.5703125" bestFit="1" customWidth="1"/>
    <col min="14885" max="14885" width="16.7109375" bestFit="1" customWidth="1"/>
    <col min="14886" max="14886" width="14.5703125" bestFit="1" customWidth="1"/>
    <col min="15109" max="15109" width="14.85546875" customWidth="1"/>
    <col min="15110" max="15111" width="11.42578125" customWidth="1"/>
    <col min="15120" max="15120" width="14.85546875" customWidth="1"/>
    <col min="15121" max="15121" width="11.42578125" customWidth="1"/>
    <col min="15122" max="15122" width="6.140625" customWidth="1"/>
    <col min="15124" max="15124" width="48.140625" customWidth="1"/>
    <col min="15140" max="15140" width="14.5703125" bestFit="1" customWidth="1"/>
    <col min="15141" max="15141" width="16.7109375" bestFit="1" customWidth="1"/>
    <col min="15142" max="15142" width="14.5703125" bestFit="1" customWidth="1"/>
    <col min="15365" max="15365" width="14.85546875" customWidth="1"/>
    <col min="15366" max="15367" width="11.42578125" customWidth="1"/>
    <col min="15376" max="15376" width="14.85546875" customWidth="1"/>
    <col min="15377" max="15377" width="11.42578125" customWidth="1"/>
    <col min="15378" max="15378" width="6.140625" customWidth="1"/>
    <col min="15380" max="15380" width="48.140625" customWidth="1"/>
    <col min="15396" max="15396" width="14.5703125" bestFit="1" customWidth="1"/>
    <col min="15397" max="15397" width="16.7109375" bestFit="1" customWidth="1"/>
    <col min="15398" max="15398" width="14.5703125" bestFit="1" customWidth="1"/>
    <col min="15621" max="15621" width="14.85546875" customWidth="1"/>
    <col min="15622" max="15623" width="11.42578125" customWidth="1"/>
    <col min="15632" max="15632" width="14.85546875" customWidth="1"/>
    <col min="15633" max="15633" width="11.42578125" customWidth="1"/>
    <col min="15634" max="15634" width="6.140625" customWidth="1"/>
    <col min="15636" max="15636" width="48.140625" customWidth="1"/>
    <col min="15652" max="15652" width="14.5703125" bestFit="1" customWidth="1"/>
    <col min="15653" max="15653" width="16.7109375" bestFit="1" customWidth="1"/>
    <col min="15654" max="15654" width="14.5703125" bestFit="1" customWidth="1"/>
    <col min="15877" max="15877" width="14.85546875" customWidth="1"/>
    <col min="15878" max="15879" width="11.42578125" customWidth="1"/>
    <col min="15888" max="15888" width="14.85546875" customWidth="1"/>
    <col min="15889" max="15889" width="11.42578125" customWidth="1"/>
    <col min="15890" max="15890" width="6.140625" customWidth="1"/>
    <col min="15892" max="15892" width="48.140625" customWidth="1"/>
    <col min="15908" max="15908" width="14.5703125" bestFit="1" customWidth="1"/>
    <col min="15909" max="15909" width="16.7109375" bestFit="1" customWidth="1"/>
    <col min="15910" max="15910" width="14.5703125" bestFit="1" customWidth="1"/>
    <col min="16133" max="16133" width="14.85546875" customWidth="1"/>
    <col min="16134" max="16135" width="11.42578125" customWidth="1"/>
    <col min="16144" max="16144" width="14.85546875" customWidth="1"/>
    <col min="16145" max="16145" width="11.42578125" customWidth="1"/>
    <col min="16146" max="16146" width="6.140625" customWidth="1"/>
    <col min="16148" max="16148" width="48.140625" customWidth="1"/>
    <col min="16164" max="16164" width="14.5703125" bestFit="1" customWidth="1"/>
    <col min="16165" max="16165" width="16.7109375" bestFit="1" customWidth="1"/>
    <col min="16166" max="16166" width="14.5703125" bestFit="1" customWidth="1"/>
  </cols>
  <sheetData>
    <row r="1" spans="1:16" ht="18" x14ac:dyDescent="0.25">
      <c r="A1" s="696"/>
      <c r="B1" s="697"/>
      <c r="C1" s="697"/>
      <c r="D1" s="697"/>
      <c r="E1" s="697"/>
      <c r="F1" s="697"/>
      <c r="G1" s="698"/>
      <c r="J1" s="696"/>
      <c r="K1" s="697"/>
      <c r="L1" s="697"/>
      <c r="M1" s="697"/>
      <c r="N1" s="697"/>
      <c r="O1" s="697"/>
      <c r="P1" s="698"/>
    </row>
    <row r="2" spans="1:16" ht="18" x14ac:dyDescent="0.25">
      <c r="A2" s="1501"/>
      <c r="B2" s="1502"/>
      <c r="C2" s="1502"/>
      <c r="D2" s="1502"/>
      <c r="E2" s="1502"/>
      <c r="F2" s="1502"/>
      <c r="G2" s="1502"/>
      <c r="J2" s="1501"/>
      <c r="K2" s="1502"/>
      <c r="L2" s="1502"/>
      <c r="M2" s="1502"/>
      <c r="N2" s="1502"/>
      <c r="O2" s="1502"/>
      <c r="P2" s="1502"/>
    </row>
    <row r="3" spans="1:16" x14ac:dyDescent="0.25">
      <c r="A3" s="1503" t="s">
        <v>3363</v>
      </c>
      <c r="B3" s="1504"/>
      <c r="C3" s="1504"/>
      <c r="D3" s="1504"/>
      <c r="E3" s="1504"/>
      <c r="F3" s="1504"/>
      <c r="G3" s="699"/>
      <c r="J3" s="1503" t="s">
        <v>3364</v>
      </c>
      <c r="K3" s="1505"/>
      <c r="L3" s="1505"/>
      <c r="M3" s="1505"/>
      <c r="N3" s="1505"/>
      <c r="O3" s="1505"/>
      <c r="P3" s="1505"/>
    </row>
    <row r="4" spans="1:16" x14ac:dyDescent="0.25">
      <c r="A4" s="700"/>
      <c r="B4" s="701" t="s">
        <v>3365</v>
      </c>
      <c r="C4" s="702"/>
      <c r="D4" s="703"/>
      <c r="E4" s="703"/>
      <c r="F4" s="704"/>
      <c r="G4" s="705" t="s">
        <v>3366</v>
      </c>
      <c r="J4" s="700"/>
      <c r="K4" s="701" t="s">
        <v>3365</v>
      </c>
      <c r="L4" s="702"/>
      <c r="M4" s="703"/>
      <c r="N4" s="703"/>
      <c r="O4" s="704"/>
      <c r="P4" s="705" t="s">
        <v>3366</v>
      </c>
    </row>
    <row r="5" spans="1:16" x14ac:dyDescent="0.25">
      <c r="A5" s="706" t="s">
        <v>3367</v>
      </c>
      <c r="B5" s="1506" t="s">
        <v>3368</v>
      </c>
      <c r="C5" s="1507"/>
      <c r="D5" s="1507"/>
      <c r="E5" s="1507"/>
      <c r="F5" s="1507"/>
      <c r="G5" s="1507"/>
      <c r="J5" s="706" t="s">
        <v>3367</v>
      </c>
      <c r="K5" s="1506" t="s">
        <v>3368</v>
      </c>
      <c r="L5" s="1507"/>
      <c r="M5" s="1507"/>
      <c r="N5" s="1507"/>
      <c r="O5" s="1507"/>
      <c r="P5" s="1507"/>
    </row>
    <row r="6" spans="1:16" x14ac:dyDescent="0.25">
      <c r="A6" s="700"/>
      <c r="B6" s="707"/>
      <c r="C6" s="708"/>
      <c r="D6" s="708"/>
      <c r="E6" s="708"/>
      <c r="F6" s="709"/>
      <c r="G6" s="710"/>
      <c r="J6" s="700"/>
      <c r="K6" s="707"/>
      <c r="L6" s="708"/>
      <c r="M6" s="708"/>
      <c r="N6" s="708"/>
      <c r="O6" s="709"/>
      <c r="P6" s="710"/>
    </row>
    <row r="7" spans="1:16" x14ac:dyDescent="0.25">
      <c r="A7" s="711">
        <v>1.1000000000000001</v>
      </c>
      <c r="B7" s="1493" t="s">
        <v>3369</v>
      </c>
      <c r="C7" s="1494"/>
      <c r="D7" s="1494"/>
      <c r="E7" s="1494"/>
      <c r="F7" s="1495"/>
      <c r="G7" s="712">
        <v>1</v>
      </c>
      <c r="J7" s="711">
        <v>1.1000000000000001</v>
      </c>
      <c r="K7" s="1493" t="s">
        <v>3369</v>
      </c>
      <c r="L7" s="1494"/>
      <c r="M7" s="1494"/>
      <c r="N7" s="1494"/>
      <c r="O7" s="1495"/>
      <c r="P7" s="712">
        <v>1</v>
      </c>
    </row>
    <row r="8" spans="1:16" x14ac:dyDescent="0.25">
      <c r="A8" s="711">
        <v>1.2</v>
      </c>
      <c r="B8" s="1493" t="s">
        <v>3370</v>
      </c>
      <c r="C8" s="1494"/>
      <c r="D8" s="1494"/>
      <c r="E8" s="1494"/>
      <c r="F8" s="1495"/>
      <c r="G8" s="712">
        <f>1/12</f>
        <v>8.3333333333333329E-2</v>
      </c>
      <c r="J8" s="711">
        <v>1.2</v>
      </c>
      <c r="K8" s="1493" t="s">
        <v>3370</v>
      </c>
      <c r="L8" s="1494"/>
      <c r="M8" s="1494"/>
      <c r="N8" s="1494"/>
      <c r="O8" s="1495"/>
      <c r="P8" s="712">
        <f>1/12</f>
        <v>8.3333333333333329E-2</v>
      </c>
    </row>
    <row r="9" spans="1:16" x14ac:dyDescent="0.25">
      <c r="A9" s="711">
        <v>1.3</v>
      </c>
      <c r="B9" s="1493" t="s">
        <v>3371</v>
      </c>
      <c r="C9" s="1494"/>
      <c r="D9" s="1494"/>
      <c r="E9" s="1494"/>
      <c r="F9" s="1495"/>
      <c r="G9" s="712">
        <f>1/12</f>
        <v>8.3333333333333329E-2</v>
      </c>
      <c r="J9" s="711">
        <v>1.3</v>
      </c>
      <c r="K9" s="1493" t="s">
        <v>3371</v>
      </c>
      <c r="L9" s="1494"/>
      <c r="M9" s="1494"/>
      <c r="N9" s="1494"/>
      <c r="O9" s="1495"/>
      <c r="P9" s="712">
        <f>1/12</f>
        <v>8.3333333333333329E-2</v>
      </c>
    </row>
    <row r="10" spans="1:16" x14ac:dyDescent="0.25">
      <c r="A10" s="711">
        <v>1.4</v>
      </c>
      <c r="B10" s="1493" t="s">
        <v>3372</v>
      </c>
      <c r="C10" s="1494"/>
      <c r="D10" s="1494"/>
      <c r="E10" s="1494"/>
      <c r="F10" s="1495"/>
      <c r="G10" s="712">
        <v>0.01</v>
      </c>
      <c r="J10" s="711">
        <v>1.4</v>
      </c>
      <c r="K10" s="1493" t="s">
        <v>3372</v>
      </c>
      <c r="L10" s="1494"/>
      <c r="M10" s="1494"/>
      <c r="N10" s="1494"/>
      <c r="O10" s="1495"/>
      <c r="P10" s="712">
        <v>0.01</v>
      </c>
    </row>
    <row r="11" spans="1:16" x14ac:dyDescent="0.25">
      <c r="A11" s="711">
        <v>1.5</v>
      </c>
      <c r="B11" s="1493" t="s">
        <v>3373</v>
      </c>
      <c r="C11" s="1494"/>
      <c r="D11" s="1494"/>
      <c r="E11" s="1494"/>
      <c r="F11" s="1495"/>
      <c r="G11" s="712">
        <f>+G9/2</f>
        <v>4.1666666666666664E-2</v>
      </c>
      <c r="J11" s="711">
        <v>1.5</v>
      </c>
      <c r="K11" s="1493" t="s">
        <v>3373</v>
      </c>
      <c r="L11" s="1494"/>
      <c r="M11" s="1494"/>
      <c r="N11" s="1494"/>
      <c r="O11" s="1495"/>
      <c r="P11" s="712">
        <f>+P9/2</f>
        <v>4.1666666666666664E-2</v>
      </c>
    </row>
    <row r="12" spans="1:16" x14ac:dyDescent="0.25">
      <c r="A12" s="711">
        <v>1.6</v>
      </c>
      <c r="B12" s="1493" t="s">
        <v>3374</v>
      </c>
      <c r="C12" s="1494"/>
      <c r="D12" s="1494"/>
      <c r="E12" s="1494"/>
      <c r="F12" s="1495"/>
      <c r="G12" s="712">
        <v>8.5000000000000006E-2</v>
      </c>
      <c r="J12" s="711">
        <v>1.6</v>
      </c>
      <c r="K12" s="1493" t="s">
        <v>3374</v>
      </c>
      <c r="L12" s="1494"/>
      <c r="M12" s="1494"/>
      <c r="N12" s="1494"/>
      <c r="O12" s="1495"/>
      <c r="P12" s="712">
        <v>8.5000000000000006E-2</v>
      </c>
    </row>
    <row r="13" spans="1:16" x14ac:dyDescent="0.25">
      <c r="A13" s="711">
        <v>1.7</v>
      </c>
      <c r="B13" s="1493" t="s">
        <v>3375</v>
      </c>
      <c r="C13" s="1494"/>
      <c r="D13" s="1494"/>
      <c r="E13" s="1494"/>
      <c r="F13" s="1495"/>
      <c r="G13" s="712">
        <v>0.12</v>
      </c>
      <c r="J13" s="711">
        <v>1.7</v>
      </c>
      <c r="K13" s="1493" t="s">
        <v>3375</v>
      </c>
      <c r="L13" s="1494"/>
      <c r="M13" s="1494"/>
      <c r="N13" s="1494"/>
      <c r="O13" s="1495"/>
      <c r="P13" s="712">
        <v>0.12</v>
      </c>
    </row>
    <row r="14" spans="1:16" x14ac:dyDescent="0.25">
      <c r="A14" s="711">
        <v>1.8</v>
      </c>
      <c r="B14" s="1493" t="s">
        <v>3376</v>
      </c>
      <c r="C14" s="1494"/>
      <c r="D14" s="1494"/>
      <c r="E14" s="1494"/>
      <c r="F14" s="1495"/>
      <c r="G14" s="712">
        <v>0.04</v>
      </c>
      <c r="J14" s="711">
        <v>1.8</v>
      </c>
      <c r="K14" s="1493" t="s">
        <v>3376</v>
      </c>
      <c r="L14" s="1494"/>
      <c r="M14" s="1494"/>
      <c r="N14" s="1494"/>
      <c r="O14" s="1495"/>
      <c r="P14" s="712">
        <v>0.04</v>
      </c>
    </row>
    <row r="15" spans="1:16" x14ac:dyDescent="0.25">
      <c r="A15" s="711">
        <v>1.9</v>
      </c>
      <c r="B15" s="1493" t="s">
        <v>2989</v>
      </c>
      <c r="C15" s="1494"/>
      <c r="D15" s="1494"/>
      <c r="E15" s="1494"/>
      <c r="F15" s="1495"/>
      <c r="G15" s="712">
        <v>6.9599999999999995E-2</v>
      </c>
      <c r="J15" s="711">
        <v>1.9</v>
      </c>
      <c r="K15" s="1493" t="s">
        <v>2989</v>
      </c>
      <c r="L15" s="1494"/>
      <c r="M15" s="1494"/>
      <c r="N15" s="1494"/>
      <c r="O15" s="1495"/>
      <c r="P15" s="712">
        <v>6.9599999999999995E-2</v>
      </c>
    </row>
    <row r="16" spans="1:16" x14ac:dyDescent="0.25">
      <c r="A16" s="714">
        <v>1.1000000000000001</v>
      </c>
      <c r="B16" s="1493" t="s">
        <v>3377</v>
      </c>
      <c r="C16" s="1494"/>
      <c r="D16" s="1494"/>
      <c r="E16" s="1494"/>
      <c r="F16" s="1495"/>
      <c r="G16" s="712">
        <v>0</v>
      </c>
      <c r="J16" s="714">
        <v>1.1000000000000001</v>
      </c>
      <c r="K16" s="1493" t="s">
        <v>3377</v>
      </c>
      <c r="L16" s="1494"/>
      <c r="M16" s="1494"/>
      <c r="N16" s="1494"/>
      <c r="O16" s="1495"/>
      <c r="P16" s="712">
        <v>0.1172</v>
      </c>
    </row>
    <row r="17" spans="1:17" ht="31.5" customHeight="1" x14ac:dyDescent="0.25">
      <c r="A17" s="711">
        <v>1.1100000000000001</v>
      </c>
      <c r="B17" s="1498" t="s">
        <v>3378</v>
      </c>
      <c r="C17" s="1494"/>
      <c r="D17" s="1494"/>
      <c r="E17" s="1494"/>
      <c r="F17" s="1495"/>
      <c r="G17" s="712">
        <v>0.04</v>
      </c>
      <c r="J17" s="714">
        <v>1.1100000000000001</v>
      </c>
      <c r="K17" s="1498" t="s">
        <v>3378</v>
      </c>
      <c r="L17" s="1494"/>
      <c r="M17" s="1494"/>
      <c r="N17" s="1494"/>
      <c r="O17" s="1495"/>
      <c r="P17" s="712">
        <v>0.04</v>
      </c>
    </row>
    <row r="18" spans="1:17" x14ac:dyDescent="0.25">
      <c r="A18" s="700"/>
      <c r="B18" s="715"/>
      <c r="C18" s="716"/>
      <c r="D18" s="1499" t="s">
        <v>3379</v>
      </c>
      <c r="E18" s="1499"/>
      <c r="F18" s="1500"/>
      <c r="G18" s="717">
        <f>SUM(G7:G17)</f>
        <v>1.5729333333333333</v>
      </c>
      <c r="J18" s="700"/>
      <c r="K18" s="715"/>
      <c r="L18" s="716"/>
      <c r="M18" s="1499" t="s">
        <v>3379</v>
      </c>
      <c r="N18" s="1499"/>
      <c r="O18" s="1500"/>
      <c r="P18" s="717">
        <f>SUM(P7:P17)/100</f>
        <v>1.6901333333333334E-2</v>
      </c>
      <c r="Q18" s="713"/>
    </row>
    <row r="19" spans="1:17" x14ac:dyDescent="0.25">
      <c r="A19" s="715"/>
      <c r="B19" s="716"/>
      <c r="C19" s="716"/>
      <c r="D19" s="716"/>
      <c r="E19" s="716"/>
      <c r="F19" s="718"/>
      <c r="G19" s="719"/>
      <c r="J19" s="715"/>
      <c r="K19" s="716"/>
      <c r="L19" s="716"/>
      <c r="M19" s="716"/>
      <c r="N19" s="716"/>
      <c r="O19" s="718"/>
      <c r="P19" s="719"/>
    </row>
    <row r="20" spans="1:17" x14ac:dyDescent="0.25">
      <c r="A20" s="706" t="s">
        <v>3380</v>
      </c>
      <c r="B20" s="1497" t="s">
        <v>3381</v>
      </c>
      <c r="C20" s="1494"/>
      <c r="D20" s="1494"/>
      <c r="E20" s="1494"/>
      <c r="F20" s="1494"/>
      <c r="G20" s="1494"/>
      <c r="J20" s="706" t="s">
        <v>3380</v>
      </c>
      <c r="K20" s="1497" t="s">
        <v>3381</v>
      </c>
      <c r="L20" s="1494"/>
      <c r="M20" s="1494"/>
      <c r="N20" s="1494"/>
      <c r="O20" s="1494"/>
      <c r="P20" s="1494"/>
    </row>
    <row r="21" spans="1:17" x14ac:dyDescent="0.25">
      <c r="A21" s="711">
        <v>2.1</v>
      </c>
      <c r="B21" s="1493" t="s">
        <v>3382</v>
      </c>
      <c r="C21" s="1494"/>
      <c r="D21" s="1494"/>
      <c r="E21" s="1494"/>
      <c r="F21" s="1495"/>
      <c r="G21" s="712">
        <v>0.06</v>
      </c>
      <c r="J21" s="711">
        <v>2.1</v>
      </c>
      <c r="K21" s="1493" t="s">
        <v>3383</v>
      </c>
      <c r="L21" s="1494"/>
      <c r="M21" s="1494"/>
      <c r="N21" s="1494"/>
      <c r="O21" s="1495"/>
      <c r="P21" s="712">
        <v>0.06</v>
      </c>
    </row>
    <row r="22" spans="1:17" x14ac:dyDescent="0.25">
      <c r="A22" s="711">
        <v>2.2000000000000002</v>
      </c>
      <c r="B22" s="1493" t="s">
        <v>3295</v>
      </c>
      <c r="C22" s="1494"/>
      <c r="D22" s="1494"/>
      <c r="E22" s="1494"/>
      <c r="F22" s="1495"/>
      <c r="G22" s="712">
        <v>0.02</v>
      </c>
      <c r="J22" s="711">
        <v>2.2000000000000002</v>
      </c>
      <c r="K22" s="1493" t="s">
        <v>3295</v>
      </c>
      <c r="L22" s="1494"/>
      <c r="M22" s="1494"/>
      <c r="N22" s="1494"/>
      <c r="O22" s="1495"/>
      <c r="P22" s="712">
        <v>0.02</v>
      </c>
      <c r="Q22" t="s">
        <v>3384</v>
      </c>
    </row>
    <row r="23" spans="1:17" x14ac:dyDescent="0.25">
      <c r="A23" s="711">
        <v>2.2999999999999998</v>
      </c>
      <c r="B23" s="1493" t="s">
        <v>3296</v>
      </c>
      <c r="C23" s="1494"/>
      <c r="D23" s="1494"/>
      <c r="E23" s="1494"/>
      <c r="F23" s="1495"/>
      <c r="G23" s="712">
        <v>0.02</v>
      </c>
      <c r="J23" s="711">
        <v>2.2999999999999998</v>
      </c>
      <c r="K23" s="1493" t="s">
        <v>3296</v>
      </c>
      <c r="L23" s="1494"/>
      <c r="M23" s="1494"/>
      <c r="N23" s="1494"/>
      <c r="O23" s="1495"/>
      <c r="P23" s="712">
        <v>0.02</v>
      </c>
      <c r="Q23" t="s">
        <v>3385</v>
      </c>
    </row>
    <row r="24" spans="1:17" x14ac:dyDescent="0.25">
      <c r="A24" s="700"/>
      <c r="B24" s="715"/>
      <c r="C24" s="716"/>
      <c r="D24" s="716"/>
      <c r="E24" s="716"/>
      <c r="F24" s="720"/>
      <c r="G24" s="717">
        <f>SUM(G21:G23)</f>
        <v>0.1</v>
      </c>
      <c r="J24" s="700"/>
      <c r="K24" s="715"/>
      <c r="L24" s="716"/>
      <c r="M24" s="716"/>
      <c r="N24" s="716"/>
      <c r="O24" s="720"/>
      <c r="P24" s="717">
        <f>SUM(P21:P23)</f>
        <v>0.1</v>
      </c>
    </row>
    <row r="30" spans="1:17" ht="15.75" x14ac:dyDescent="0.25">
      <c r="A30" s="1496" t="s">
        <v>3386</v>
      </c>
      <c r="B30" s="1496"/>
      <c r="C30" s="1496"/>
      <c r="D30" s="1496"/>
      <c r="E30" s="1496"/>
      <c r="F30" s="1496"/>
    </row>
    <row r="31" spans="1:17" ht="32.25" customHeight="1" x14ac:dyDescent="0.25">
      <c r="A31" s="1492" t="s">
        <v>3387</v>
      </c>
      <c r="B31" s="1492"/>
      <c r="C31" s="1492"/>
      <c r="D31" s="1492"/>
      <c r="E31" s="1492"/>
      <c r="F31" s="1492"/>
    </row>
    <row r="32" spans="1:17" x14ac:dyDescent="0.25">
      <c r="A32" s="1492" t="s">
        <v>3388</v>
      </c>
      <c r="B32" s="1492"/>
      <c r="C32" s="1492"/>
      <c r="D32" s="1492"/>
      <c r="E32" s="1492"/>
      <c r="F32" s="1492"/>
    </row>
    <row r="33" spans="1:6" x14ac:dyDescent="0.25">
      <c r="A33" s="1492" t="s">
        <v>3389</v>
      </c>
      <c r="B33" s="1492"/>
      <c r="C33" s="1492"/>
      <c r="D33" s="1492"/>
      <c r="E33" s="1492"/>
      <c r="F33" s="1492"/>
    </row>
    <row r="34" spans="1:6" x14ac:dyDescent="0.25">
      <c r="A34" s="1492" t="s">
        <v>3390</v>
      </c>
      <c r="B34" s="1492"/>
      <c r="C34" s="1492"/>
      <c r="D34" s="1492"/>
      <c r="E34" s="1492"/>
      <c r="F34" s="1492"/>
    </row>
  </sheetData>
  <mergeCells count="43">
    <mergeCell ref="A2:G2"/>
    <mergeCell ref="J2:P2"/>
    <mergeCell ref="A3:F3"/>
    <mergeCell ref="J3:P3"/>
    <mergeCell ref="B5:G5"/>
    <mergeCell ref="K5:P5"/>
    <mergeCell ref="B7:F7"/>
    <mergeCell ref="K7:O7"/>
    <mergeCell ref="B8:F8"/>
    <mergeCell ref="K8:O8"/>
    <mergeCell ref="B9:F9"/>
    <mergeCell ref="K9:O9"/>
    <mergeCell ref="B10:F10"/>
    <mergeCell ref="K10:O10"/>
    <mergeCell ref="B11:F11"/>
    <mergeCell ref="K11:O11"/>
    <mergeCell ref="B12:F12"/>
    <mergeCell ref="K12:O12"/>
    <mergeCell ref="B13:F13"/>
    <mergeCell ref="K13:O13"/>
    <mergeCell ref="B14:F14"/>
    <mergeCell ref="K14:O14"/>
    <mergeCell ref="B15:F15"/>
    <mergeCell ref="K15:O15"/>
    <mergeCell ref="B16:F16"/>
    <mergeCell ref="K16:O16"/>
    <mergeCell ref="B17:F17"/>
    <mergeCell ref="K17:O17"/>
    <mergeCell ref="D18:F18"/>
    <mergeCell ref="M18:O18"/>
    <mergeCell ref="B20:G20"/>
    <mergeCell ref="K20:P20"/>
    <mergeCell ref="B21:F21"/>
    <mergeCell ref="K21:O21"/>
    <mergeCell ref="B22:F22"/>
    <mergeCell ref="K22:O22"/>
    <mergeCell ref="A34:F34"/>
    <mergeCell ref="B23:F23"/>
    <mergeCell ref="K23:O23"/>
    <mergeCell ref="A30:F30"/>
    <mergeCell ref="A31:F31"/>
    <mergeCell ref="A32:F32"/>
    <mergeCell ref="A33:F33"/>
  </mergeCells>
  <pageMargins left="0.70866141732283472" right="0.70866141732283472" top="0.74803149606299213" bottom="0.74803149606299213" header="0.31496062992125984" footer="0.31496062992125984"/>
  <pageSetup scale="75" orientation="portrait" horizontalDpi="4294967292" r:id="rId1"/>
  <colBreaks count="1" manualBreakCount="1">
    <brk id="9" max="36"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16">
    <tabColor theme="5"/>
  </sheetPr>
  <dimension ref="A1:T60"/>
  <sheetViews>
    <sheetView topLeftCell="A37" workbookViewId="0">
      <selection activeCell="I55" sqref="I55"/>
    </sheetView>
  </sheetViews>
  <sheetFormatPr baseColWidth="10" defaultColWidth="11.42578125" defaultRowHeight="16.5" x14ac:dyDescent="0.3"/>
  <cols>
    <col min="1" max="1" width="48.28515625" style="452" customWidth="1"/>
    <col min="2" max="3" width="11.42578125" style="452"/>
    <col min="4" max="4" width="12.28515625" style="515" bestFit="1" customWidth="1"/>
    <col min="5" max="5" width="11.42578125" style="452"/>
    <col min="6" max="6" width="17" style="455" bestFit="1" customWidth="1"/>
    <col min="7" max="8" width="17" style="452" bestFit="1" customWidth="1"/>
    <col min="9" max="9" width="17" style="452" customWidth="1"/>
    <col min="10" max="10" width="16.85546875" style="520" bestFit="1" customWidth="1"/>
    <col min="11" max="11" width="16" style="515" bestFit="1" customWidth="1"/>
    <col min="12" max="12" width="15.7109375" style="515" customWidth="1"/>
    <col min="13" max="13" width="15.7109375" style="515" bestFit="1" customWidth="1"/>
    <col min="14" max="14" width="11.42578125" style="452"/>
    <col min="15" max="15" width="17.140625" style="452" bestFit="1" customWidth="1"/>
    <col min="16" max="16" width="19.140625" style="452" customWidth="1"/>
    <col min="17" max="18" width="11.42578125" style="452"/>
    <col min="19" max="19" width="17.5703125" style="452" bestFit="1" customWidth="1"/>
    <col min="20" max="16384" width="11.42578125" style="452"/>
  </cols>
  <sheetData>
    <row r="1" spans="1:20" x14ac:dyDescent="0.3">
      <c r="A1" s="1543" t="s">
        <v>3277</v>
      </c>
      <c r="B1" s="1544"/>
      <c r="C1" s="1544"/>
      <c r="D1" s="1544"/>
      <c r="E1" s="1544"/>
      <c r="F1" s="1544"/>
      <c r="G1" s="1544"/>
      <c r="H1" s="1544"/>
      <c r="I1" s="1544"/>
      <c r="J1" s="1544"/>
      <c r="K1" s="1544"/>
      <c r="L1" s="1544"/>
      <c r="M1" s="1544"/>
    </row>
    <row r="2" spans="1:20" x14ac:dyDescent="0.3">
      <c r="A2" s="1545"/>
      <c r="B2" s="1546"/>
      <c r="C2" s="1546"/>
      <c r="D2" s="1546"/>
      <c r="E2" s="1546"/>
      <c r="F2" s="1546"/>
      <c r="G2" s="1546"/>
      <c r="H2" s="1546"/>
      <c r="I2" s="1546"/>
      <c r="J2" s="1546"/>
      <c r="K2" s="1546"/>
      <c r="L2" s="1546"/>
      <c r="M2" s="1546"/>
    </row>
    <row r="3" spans="1:20" s="455" customFormat="1" ht="33" x14ac:dyDescent="0.25">
      <c r="A3" s="453" t="s">
        <v>3278</v>
      </c>
      <c r="B3" s="453" t="s">
        <v>264</v>
      </c>
      <c r="C3" s="453" t="s">
        <v>3267</v>
      </c>
      <c r="D3" s="454" t="s">
        <v>3279</v>
      </c>
      <c r="E3" s="453" t="s">
        <v>3280</v>
      </c>
      <c r="F3" s="453" t="s">
        <v>3427</v>
      </c>
      <c r="G3" s="453" t="s">
        <v>3428</v>
      </c>
      <c r="H3" s="453" t="s">
        <v>3429</v>
      </c>
      <c r="I3" s="453" t="s">
        <v>3430</v>
      </c>
      <c r="J3" s="454" t="s">
        <v>3431</v>
      </c>
      <c r="K3" s="454" t="s">
        <v>3432</v>
      </c>
      <c r="L3" s="454" t="s">
        <v>3433</v>
      </c>
      <c r="M3" s="454" t="s">
        <v>3434</v>
      </c>
    </row>
    <row r="4" spans="1:20" x14ac:dyDescent="0.3">
      <c r="A4" s="456" t="s">
        <v>3281</v>
      </c>
      <c r="B4" s="457">
        <v>1</v>
      </c>
      <c r="C4" s="458">
        <v>0.7</v>
      </c>
      <c r="D4" s="459">
        <f>+PERSONAL!F32</f>
        <v>8744430</v>
      </c>
      <c r="E4" s="690">
        <v>1.57</v>
      </c>
      <c r="F4" s="473">
        <v>2</v>
      </c>
      <c r="G4" s="460">
        <v>12</v>
      </c>
      <c r="H4" s="460">
        <v>12</v>
      </c>
      <c r="I4" s="460">
        <v>8</v>
      </c>
      <c r="J4" s="461">
        <f>+ROUND((B4*C4*D4*E4*F4),0)</f>
        <v>19220257</v>
      </c>
      <c r="K4" s="461">
        <f>+ROUND(((((J4/2)*12))*1.0573),0)</f>
        <v>121929466</v>
      </c>
      <c r="L4" s="461">
        <f>+ROUND((K4*1.0323),0)</f>
        <v>125867788</v>
      </c>
      <c r="M4" s="461">
        <f>+ROUND(((((L4/12)*8))*1.03),0)</f>
        <v>86429214</v>
      </c>
      <c r="O4" s="1085"/>
    </row>
    <row r="5" spans="1:20" x14ac:dyDescent="0.3">
      <c r="A5" s="456" t="s">
        <v>3268</v>
      </c>
      <c r="B5" s="457">
        <v>1</v>
      </c>
      <c r="C5" s="458">
        <v>0.5</v>
      </c>
      <c r="D5" s="459">
        <f>+PERSONAL!F15</f>
        <v>7254810</v>
      </c>
      <c r="E5" s="690">
        <v>1.57</v>
      </c>
      <c r="F5" s="473">
        <v>2</v>
      </c>
      <c r="G5" s="460">
        <v>12</v>
      </c>
      <c r="H5" s="460">
        <v>12</v>
      </c>
      <c r="I5" s="460">
        <v>8</v>
      </c>
      <c r="J5" s="461">
        <f t="shared" ref="J5:J13" si="0">+ROUND((B5*C5*D5*E5*F5),0)</f>
        <v>11390052</v>
      </c>
      <c r="K5" s="461">
        <f t="shared" ref="K5:K13" si="1">+ROUND(((((J5/2)*12))*1.0573),0)</f>
        <v>72256212</v>
      </c>
      <c r="L5" s="461">
        <f t="shared" ref="L5:L13" si="2">+ROUND((K5*1.0323),0)</f>
        <v>74590088</v>
      </c>
      <c r="M5" s="461">
        <f t="shared" ref="M5:M13" si="3">+ROUND(((((L5/12)*8))*1.03),0)</f>
        <v>51218527</v>
      </c>
      <c r="O5" s="1085"/>
    </row>
    <row r="6" spans="1:20" x14ac:dyDescent="0.3">
      <c r="A6" s="1022" t="s">
        <v>3282</v>
      </c>
      <c r="B6" s="457">
        <v>1</v>
      </c>
      <c r="C6" s="458">
        <v>1</v>
      </c>
      <c r="D6" s="459">
        <f>PERSONAL!F16</f>
        <v>5734230</v>
      </c>
      <c r="E6" s="690">
        <v>1.57</v>
      </c>
      <c r="F6" s="473">
        <v>2</v>
      </c>
      <c r="G6" s="460">
        <v>12</v>
      </c>
      <c r="H6" s="460">
        <v>12</v>
      </c>
      <c r="I6" s="460">
        <v>8</v>
      </c>
      <c r="J6" s="461">
        <f t="shared" si="0"/>
        <v>18005482</v>
      </c>
      <c r="K6" s="461">
        <f t="shared" si="1"/>
        <v>114223177</v>
      </c>
      <c r="L6" s="461">
        <f t="shared" si="2"/>
        <v>117912586</v>
      </c>
      <c r="M6" s="461">
        <f t="shared" si="3"/>
        <v>80966642</v>
      </c>
      <c r="O6" s="1085"/>
    </row>
    <row r="7" spans="1:20" x14ac:dyDescent="0.3">
      <c r="A7" s="1022" t="s">
        <v>3283</v>
      </c>
      <c r="B7" s="1000">
        <v>1</v>
      </c>
      <c r="C7" s="1001">
        <v>1</v>
      </c>
      <c r="D7" s="459">
        <f>PERSONAL!F17</f>
        <v>6807150</v>
      </c>
      <c r="E7" s="690">
        <v>1.57</v>
      </c>
      <c r="F7" s="473">
        <v>2</v>
      </c>
      <c r="G7" s="460">
        <v>12</v>
      </c>
      <c r="H7" s="460">
        <v>12</v>
      </c>
      <c r="I7" s="460">
        <v>8</v>
      </c>
      <c r="J7" s="461">
        <f t="shared" si="0"/>
        <v>21374451</v>
      </c>
      <c r="K7" s="461">
        <f t="shared" si="1"/>
        <v>135595242</v>
      </c>
      <c r="L7" s="461">
        <f t="shared" si="2"/>
        <v>139974968</v>
      </c>
      <c r="M7" s="461">
        <f t="shared" si="3"/>
        <v>96116145</v>
      </c>
    </row>
    <row r="8" spans="1:20" x14ac:dyDescent="0.3">
      <c r="A8" s="456" t="s">
        <v>3270</v>
      </c>
      <c r="B8" s="457">
        <v>1</v>
      </c>
      <c r="C8" s="458">
        <v>0.5</v>
      </c>
      <c r="D8" s="459">
        <f>+PERSONAL!F36</f>
        <v>4392540</v>
      </c>
      <c r="E8" s="690">
        <v>1.57</v>
      </c>
      <c r="F8" s="473">
        <v>2</v>
      </c>
      <c r="G8" s="460">
        <v>12</v>
      </c>
      <c r="H8" s="460">
        <v>12</v>
      </c>
      <c r="I8" s="460">
        <v>8</v>
      </c>
      <c r="J8" s="461">
        <f t="shared" si="0"/>
        <v>6896288</v>
      </c>
      <c r="K8" s="461">
        <f t="shared" si="1"/>
        <v>43748672</v>
      </c>
      <c r="L8" s="461">
        <f t="shared" si="2"/>
        <v>45161754</v>
      </c>
      <c r="M8" s="461">
        <f t="shared" si="3"/>
        <v>31011071</v>
      </c>
      <c r="Q8" s="452" t="s">
        <v>6873</v>
      </c>
      <c r="R8" s="452">
        <v>2024</v>
      </c>
      <c r="S8" s="1110">
        <f>ROUND(O16*5,0)</f>
        <v>17927761136</v>
      </c>
      <c r="T8" s="1111">
        <f>S8/$S$12</f>
        <v>0.13643621298453967</v>
      </c>
    </row>
    <row r="9" spans="1:20" x14ac:dyDescent="0.3">
      <c r="A9" s="456" t="s">
        <v>3284</v>
      </c>
      <c r="B9" s="457">
        <v>1</v>
      </c>
      <c r="C9" s="458">
        <v>0.5</v>
      </c>
      <c r="D9" s="459">
        <f>+PERSONAL!F35</f>
        <v>4599150</v>
      </c>
      <c r="E9" s="690">
        <v>1.57</v>
      </c>
      <c r="F9" s="473">
        <v>2</v>
      </c>
      <c r="G9" s="460">
        <v>12</v>
      </c>
      <c r="H9" s="460">
        <v>12</v>
      </c>
      <c r="I9" s="460">
        <v>8</v>
      </c>
      <c r="J9" s="461">
        <f t="shared" si="0"/>
        <v>7220666</v>
      </c>
      <c r="K9" s="461">
        <f t="shared" si="1"/>
        <v>45806461</v>
      </c>
      <c r="L9" s="461">
        <f t="shared" si="2"/>
        <v>47286010</v>
      </c>
      <c r="M9" s="461">
        <f t="shared" si="3"/>
        <v>32469727</v>
      </c>
      <c r="R9" s="452">
        <v>2025</v>
      </c>
      <c r="S9" s="1110">
        <f>ROUND(O16*12*1.03,0)</f>
        <v>44317425529</v>
      </c>
      <c r="T9" s="1111">
        <f>S9/$S$12</f>
        <v>0.33727031850393124</v>
      </c>
    </row>
    <row r="10" spans="1:20" x14ac:dyDescent="0.3">
      <c r="A10" s="456" t="s">
        <v>3269</v>
      </c>
      <c r="B10" s="457">
        <v>1</v>
      </c>
      <c r="C10" s="458">
        <v>1</v>
      </c>
      <c r="D10" s="459">
        <f>+PERSONAL!F50</f>
        <v>4204290</v>
      </c>
      <c r="E10" s="690">
        <v>1.57</v>
      </c>
      <c r="F10" s="473">
        <v>2</v>
      </c>
      <c r="G10" s="460">
        <v>12</v>
      </c>
      <c r="H10" s="460">
        <v>12</v>
      </c>
      <c r="I10" s="460">
        <v>8</v>
      </c>
      <c r="J10" s="461">
        <f t="shared" si="0"/>
        <v>13201471</v>
      </c>
      <c r="K10" s="461">
        <f t="shared" si="1"/>
        <v>83747492</v>
      </c>
      <c r="L10" s="461">
        <f t="shared" si="2"/>
        <v>86452536</v>
      </c>
      <c r="M10" s="461">
        <f t="shared" si="3"/>
        <v>59364075</v>
      </c>
      <c r="O10" s="1109">
        <f>131400313333</f>
        <v>131400313333</v>
      </c>
      <c r="R10" s="452">
        <v>2026</v>
      </c>
      <c r="S10" s="1110">
        <f>ROUND(S9*1.03,0)</f>
        <v>45646948295</v>
      </c>
      <c r="T10" s="1111">
        <f>S10/$S$12</f>
        <v>0.3473884280600385</v>
      </c>
    </row>
    <row r="11" spans="1:20" x14ac:dyDescent="0.3">
      <c r="A11" s="456" t="s">
        <v>3285</v>
      </c>
      <c r="B11" s="462">
        <v>1</v>
      </c>
      <c r="C11" s="463">
        <v>1</v>
      </c>
      <c r="D11" s="461">
        <f>+PERSONAL!F8</f>
        <v>1562640</v>
      </c>
      <c r="E11" s="691">
        <v>1.69</v>
      </c>
      <c r="F11" s="473">
        <v>2</v>
      </c>
      <c r="G11" s="460">
        <v>12</v>
      </c>
      <c r="H11" s="460">
        <v>12</v>
      </c>
      <c r="I11" s="460">
        <v>8</v>
      </c>
      <c r="J11" s="461">
        <f t="shared" si="0"/>
        <v>5281723</v>
      </c>
      <c r="K11" s="461">
        <f t="shared" si="1"/>
        <v>33506194</v>
      </c>
      <c r="L11" s="461">
        <f t="shared" si="2"/>
        <v>34588444</v>
      </c>
      <c r="M11" s="461">
        <f>+ROUND(((((L11/12)*8))*1.03),0)</f>
        <v>23750732</v>
      </c>
      <c r="O11" s="1110">
        <f>O10/35</f>
        <v>3754294666.6571426</v>
      </c>
      <c r="R11" s="452">
        <v>2027</v>
      </c>
      <c r="S11" s="1110">
        <f>ROUND(O16*6*1.03^3,0)</f>
        <v>23508178372</v>
      </c>
      <c r="T11" s="1111">
        <f>S11/$S$12</f>
        <v>0.17890504045149061</v>
      </c>
    </row>
    <row r="12" spans="1:20" x14ac:dyDescent="0.3">
      <c r="A12" s="456" t="s">
        <v>3286</v>
      </c>
      <c r="B12" s="462">
        <v>1</v>
      </c>
      <c r="C12" s="463">
        <v>1</v>
      </c>
      <c r="D12" s="461">
        <f>+PERSONAL!F47</f>
        <v>2118180</v>
      </c>
      <c r="E12" s="691">
        <v>1.69</v>
      </c>
      <c r="F12" s="473">
        <v>2</v>
      </c>
      <c r="G12" s="460">
        <v>12</v>
      </c>
      <c r="H12" s="460">
        <v>12</v>
      </c>
      <c r="I12" s="460">
        <v>8</v>
      </c>
      <c r="J12" s="461">
        <f t="shared" si="0"/>
        <v>7159448</v>
      </c>
      <c r="K12" s="461">
        <f t="shared" si="1"/>
        <v>45418106</v>
      </c>
      <c r="L12" s="461">
        <f t="shared" si="2"/>
        <v>46885111</v>
      </c>
      <c r="M12" s="461">
        <f>+ROUND(((((L12/12)*8))*1.03),0)</f>
        <v>32194443</v>
      </c>
      <c r="O12" s="1110">
        <f>O11*5</f>
        <v>18771473333.285713</v>
      </c>
      <c r="S12" s="1110">
        <f>S8+S9+S10+S11</f>
        <v>131400313332</v>
      </c>
    </row>
    <row r="13" spans="1:20" x14ac:dyDescent="0.3">
      <c r="A13" s="456" t="s">
        <v>3271</v>
      </c>
      <c r="B13" s="462">
        <v>1</v>
      </c>
      <c r="C13" s="463">
        <v>1</v>
      </c>
      <c r="D13" s="461">
        <f>+PERSONAL!F38</f>
        <v>1645950</v>
      </c>
      <c r="E13" s="691">
        <v>1.69</v>
      </c>
      <c r="F13" s="473">
        <v>2</v>
      </c>
      <c r="G13" s="460">
        <v>12</v>
      </c>
      <c r="H13" s="460">
        <v>12</v>
      </c>
      <c r="I13" s="460">
        <v>8</v>
      </c>
      <c r="J13" s="461">
        <f t="shared" si="0"/>
        <v>5563311</v>
      </c>
      <c r="K13" s="461">
        <f t="shared" si="1"/>
        <v>35292532</v>
      </c>
      <c r="L13" s="461">
        <f t="shared" si="2"/>
        <v>36432481</v>
      </c>
      <c r="M13" s="461">
        <f t="shared" si="3"/>
        <v>25016970</v>
      </c>
    </row>
    <row r="14" spans="1:20" x14ac:dyDescent="0.3">
      <c r="A14" s="456"/>
      <c r="B14" s="462"/>
      <c r="C14" s="463"/>
      <c r="D14" s="461"/>
      <c r="E14" s="464"/>
      <c r="F14" s="473"/>
      <c r="G14" s="1547" t="s">
        <v>3287</v>
      </c>
      <c r="H14" s="1548"/>
      <c r="I14" s="771"/>
      <c r="J14" s="465">
        <f>SUM(J4:J13)</f>
        <v>115313149</v>
      </c>
      <c r="K14" s="465">
        <f>SUM(K4:K13)</f>
        <v>731523554</v>
      </c>
      <c r="L14" s="465">
        <f>SUM(L4:L13)</f>
        <v>755151766</v>
      </c>
      <c r="M14" s="465">
        <f>SUM(M4:M13)</f>
        <v>518537546</v>
      </c>
    </row>
    <row r="15" spans="1:20" x14ac:dyDescent="0.3">
      <c r="A15" s="1540"/>
      <c r="B15" s="1541"/>
      <c r="C15" s="1541"/>
      <c r="D15" s="1541"/>
      <c r="E15" s="1541"/>
      <c r="F15" s="1541"/>
      <c r="G15" s="1541"/>
      <c r="H15" s="1541"/>
      <c r="I15" s="1541"/>
      <c r="J15" s="1541"/>
      <c r="K15" s="1541"/>
      <c r="L15" s="1541"/>
      <c r="M15" s="1542"/>
    </row>
    <row r="16" spans="1:20" x14ac:dyDescent="0.3">
      <c r="A16" s="466" t="s">
        <v>3288</v>
      </c>
      <c r="B16" s="467"/>
      <c r="C16" s="467"/>
      <c r="D16" s="468"/>
      <c r="E16" s="467"/>
      <c r="F16" s="480"/>
      <c r="G16" s="467"/>
      <c r="H16" s="467"/>
      <c r="I16" s="467"/>
      <c r="J16" s="469"/>
      <c r="K16" s="461"/>
      <c r="L16" s="461"/>
      <c r="M16" s="461"/>
      <c r="O16" s="1109">
        <v>3585552227.2911611</v>
      </c>
      <c r="P16" s="1109">
        <f>5*O16+12*O16*1.03+12*O16*1.03^2+6*O16*1.03^3</f>
        <v>131400313333</v>
      </c>
    </row>
    <row r="17" spans="1:13" x14ac:dyDescent="0.3">
      <c r="A17" s="456" t="s">
        <v>3289</v>
      </c>
      <c r="B17" s="457">
        <v>1</v>
      </c>
      <c r="C17" s="470" t="s">
        <v>3290</v>
      </c>
      <c r="D17" s="781">
        <f>50*48579</f>
        <v>2428950</v>
      </c>
      <c r="E17" s="467"/>
      <c r="F17" s="473">
        <v>2</v>
      </c>
      <c r="G17" s="460">
        <v>12</v>
      </c>
      <c r="H17" s="460">
        <v>12</v>
      </c>
      <c r="I17" s="460">
        <v>8</v>
      </c>
      <c r="J17" s="461">
        <f>+ROUND((B17*D17*F17),0)</f>
        <v>4857900</v>
      </c>
      <c r="K17" s="461">
        <f>+ROUND(((((J17/2)*12))*1.0573),0)</f>
        <v>30817546</v>
      </c>
      <c r="L17" s="461">
        <f>+ROUND((K17*1.0323),0)</f>
        <v>31812953</v>
      </c>
      <c r="M17" s="461">
        <f>+ROUND(((((L17/12)*8))*1.03),0)</f>
        <v>21844894</v>
      </c>
    </row>
    <row r="18" spans="1:13" x14ac:dyDescent="0.3">
      <c r="A18" s="456" t="s">
        <v>3291</v>
      </c>
      <c r="B18" s="457">
        <v>1</v>
      </c>
      <c r="C18" s="470" t="s">
        <v>3290</v>
      </c>
      <c r="D18" s="459">
        <f>117810</f>
        <v>117810</v>
      </c>
      <c r="E18" s="467"/>
      <c r="F18" s="473">
        <v>2</v>
      </c>
      <c r="G18" s="460">
        <v>12</v>
      </c>
      <c r="H18" s="460">
        <v>12</v>
      </c>
      <c r="I18" s="460">
        <v>8</v>
      </c>
      <c r="J18" s="461">
        <f>+ROUND((B18*D18*F18),0)</f>
        <v>235620</v>
      </c>
      <c r="K18" s="461">
        <f t="shared" ref="K18:K20" si="4">+ROUND(((((J18/2)*12))*1.0573),0)</f>
        <v>1494726</v>
      </c>
      <c r="L18" s="461">
        <f t="shared" ref="L18:L20" si="5">+ROUND((K18*1.0323),0)</f>
        <v>1543006</v>
      </c>
      <c r="M18" s="461">
        <f t="shared" ref="M18:M20" si="6">+ROUND(((((L18/12)*8))*1.03),0)</f>
        <v>1059531</v>
      </c>
    </row>
    <row r="19" spans="1:13" x14ac:dyDescent="0.3">
      <c r="A19" s="456" t="s">
        <v>3292</v>
      </c>
      <c r="B19" s="457">
        <v>1</v>
      </c>
      <c r="C19" s="470" t="s">
        <v>3290</v>
      </c>
      <c r="D19" s="459">
        <f>92463</f>
        <v>92463</v>
      </c>
      <c r="E19" s="467"/>
      <c r="F19" s="473">
        <v>2</v>
      </c>
      <c r="G19" s="460">
        <v>12</v>
      </c>
      <c r="H19" s="460">
        <v>12</v>
      </c>
      <c r="I19" s="460">
        <v>8</v>
      </c>
      <c r="J19" s="461">
        <f>+ROUND((B19*D19*F19),0)</f>
        <v>184926</v>
      </c>
      <c r="K19" s="461">
        <f t="shared" si="4"/>
        <v>1173134</v>
      </c>
      <c r="L19" s="461">
        <f t="shared" si="5"/>
        <v>1211026</v>
      </c>
      <c r="M19" s="461">
        <f t="shared" si="6"/>
        <v>831571</v>
      </c>
    </row>
    <row r="20" spans="1:13" x14ac:dyDescent="0.3">
      <c r="A20" s="456" t="s">
        <v>3293</v>
      </c>
      <c r="B20" s="457">
        <v>1</v>
      </c>
      <c r="C20" s="470" t="s">
        <v>3290</v>
      </c>
      <c r="D20" s="781">
        <f>20000000/35</f>
        <v>571428.57142857148</v>
      </c>
      <c r="E20" s="467"/>
      <c r="F20" s="473">
        <v>2</v>
      </c>
      <c r="G20" s="460">
        <v>12</v>
      </c>
      <c r="H20" s="460">
        <v>12</v>
      </c>
      <c r="I20" s="460">
        <v>8</v>
      </c>
      <c r="J20" s="461">
        <f>+ROUND((B20*D20*F20),0)</f>
        <v>1142857</v>
      </c>
      <c r="K20" s="461">
        <f t="shared" si="4"/>
        <v>7250056</v>
      </c>
      <c r="L20" s="461">
        <f t="shared" si="5"/>
        <v>7484233</v>
      </c>
      <c r="M20" s="461">
        <f t="shared" si="6"/>
        <v>5139173</v>
      </c>
    </row>
    <row r="21" spans="1:13" ht="33" x14ac:dyDescent="0.3">
      <c r="A21" s="456" t="s">
        <v>3294</v>
      </c>
      <c r="B21" s="1124">
        <v>6.3E-3</v>
      </c>
      <c r="C21" s="471" t="s">
        <v>3290</v>
      </c>
      <c r="D21" s="461"/>
      <c r="E21" s="472"/>
      <c r="F21" s="473">
        <v>2</v>
      </c>
      <c r="G21" s="473">
        <v>12</v>
      </c>
      <c r="H21" s="473">
        <v>12</v>
      </c>
      <c r="I21" s="473">
        <v>8</v>
      </c>
      <c r="J21" s="461">
        <f t="shared" ref="J21:M22" si="7">+ROUND(($B21*F$58),0)</f>
        <v>17739042</v>
      </c>
      <c r="K21" s="461">
        <f t="shared" si="7"/>
        <v>39119773</v>
      </c>
      <c r="L21" s="461">
        <f t="shared" si="7"/>
        <v>40470539</v>
      </c>
      <c r="M21" s="461">
        <f t="shared" si="7"/>
        <v>20930927</v>
      </c>
    </row>
    <row r="22" spans="1:13" x14ac:dyDescent="0.3">
      <c r="A22" s="474" t="s">
        <v>3295</v>
      </c>
      <c r="B22" s="464">
        <v>1.2500000000000001E-2</v>
      </c>
      <c r="C22" s="471" t="s">
        <v>3290</v>
      </c>
      <c r="D22" s="461"/>
      <c r="E22" s="472"/>
      <c r="F22" s="473">
        <v>2</v>
      </c>
      <c r="G22" s="473">
        <v>12</v>
      </c>
      <c r="H22" s="473">
        <v>12</v>
      </c>
      <c r="I22" s="460">
        <v>8</v>
      </c>
      <c r="J22" s="461">
        <f t="shared" si="7"/>
        <v>35196513</v>
      </c>
      <c r="K22" s="461">
        <f t="shared" si="7"/>
        <v>77618598</v>
      </c>
      <c r="L22" s="461">
        <f t="shared" si="7"/>
        <v>80298689</v>
      </c>
      <c r="M22" s="461">
        <f t="shared" si="7"/>
        <v>41529618</v>
      </c>
    </row>
    <row r="23" spans="1:13" x14ac:dyDescent="0.3">
      <c r="A23" s="474" t="s">
        <v>3296</v>
      </c>
      <c r="B23" s="464">
        <f>B22</f>
        <v>1.2500000000000001E-2</v>
      </c>
      <c r="C23" s="471" t="s">
        <v>3290</v>
      </c>
      <c r="D23" s="461"/>
      <c r="E23" s="472"/>
      <c r="F23" s="473">
        <v>2</v>
      </c>
      <c r="G23" s="473">
        <v>12</v>
      </c>
      <c r="H23" s="473">
        <v>12</v>
      </c>
      <c r="I23" s="473">
        <v>8</v>
      </c>
      <c r="J23" s="461">
        <f t="shared" ref="J23:M23" si="8">+ROUND(($B23*F$58),0)</f>
        <v>35196513</v>
      </c>
      <c r="K23" s="461">
        <f t="shared" si="8"/>
        <v>77618598</v>
      </c>
      <c r="L23" s="461">
        <f t="shared" si="8"/>
        <v>80298689</v>
      </c>
      <c r="M23" s="461">
        <f t="shared" si="8"/>
        <v>41529618</v>
      </c>
    </row>
    <row r="24" spans="1:13" ht="82.5" x14ac:dyDescent="0.3">
      <c r="A24" s="1022" t="s">
        <v>3532</v>
      </c>
      <c r="B24" s="462">
        <v>1</v>
      </c>
      <c r="C24" s="471" t="s">
        <v>3290</v>
      </c>
      <c r="D24" s="1023">
        <v>6328000</v>
      </c>
      <c r="E24" s="474"/>
      <c r="F24" s="473">
        <v>2</v>
      </c>
      <c r="G24" s="473">
        <v>12</v>
      </c>
      <c r="H24" s="473">
        <v>12</v>
      </c>
      <c r="I24" s="473">
        <v>8</v>
      </c>
      <c r="J24" s="461">
        <f>+ROUND((B24*D24*F24),0)</f>
        <v>12656000</v>
      </c>
      <c r="K24" s="461">
        <f>+ROUND(((((J24/2)*12))*1.0573),0)</f>
        <v>80287133</v>
      </c>
      <c r="L24" s="461">
        <f>+ROUND((K24*1.0323),0)</f>
        <v>82880407</v>
      </c>
      <c r="M24" s="461">
        <f>+ROUND(((((L24/12)*8))*1.03),0)</f>
        <v>56911213</v>
      </c>
    </row>
    <row r="25" spans="1:13" ht="49.5" x14ac:dyDescent="0.3">
      <c r="A25" s="456" t="s">
        <v>3297</v>
      </c>
      <c r="B25" s="462">
        <v>1</v>
      </c>
      <c r="C25" s="471" t="s">
        <v>3290</v>
      </c>
      <c r="D25" s="461">
        <f>1140473*0.2</f>
        <v>228094.6</v>
      </c>
      <c r="E25" s="472"/>
      <c r="F25" s="473">
        <v>2</v>
      </c>
      <c r="G25" s="473">
        <v>12</v>
      </c>
      <c r="H25" s="473">
        <v>12</v>
      </c>
      <c r="I25" s="473">
        <v>8</v>
      </c>
      <c r="J25" s="461">
        <f t="shared" ref="J25:J32" si="9">+ROUND((B25*D25*F25),0)</f>
        <v>456189</v>
      </c>
      <c r="K25" s="461">
        <f t="shared" ref="K25:K32" si="10">+ROUND(((((J25/2)*12))*1.0573),0)</f>
        <v>2893972</v>
      </c>
      <c r="L25" s="461">
        <f t="shared" ref="L25:L32" si="11">+ROUND((K25*1.0323),0)</f>
        <v>2987447</v>
      </c>
      <c r="M25" s="461">
        <f t="shared" ref="M25:M32" si="12">+ROUND(((((L25/12)*8))*1.03),0)</f>
        <v>2051380</v>
      </c>
    </row>
    <row r="26" spans="1:13" ht="33" x14ac:dyDescent="0.3">
      <c r="A26" s="456" t="s">
        <v>3298</v>
      </c>
      <c r="B26" s="462">
        <v>1</v>
      </c>
      <c r="C26" s="470" t="s">
        <v>3290</v>
      </c>
      <c r="D26" s="461"/>
      <c r="E26" s="467"/>
      <c r="F26" s="473">
        <v>2</v>
      </c>
      <c r="G26" s="473">
        <v>12</v>
      </c>
      <c r="H26" s="473">
        <v>12</v>
      </c>
      <c r="I26" s="473">
        <v>8</v>
      </c>
      <c r="J26" s="461">
        <f t="shared" si="9"/>
        <v>0</v>
      </c>
      <c r="K26" s="461">
        <f t="shared" si="10"/>
        <v>0</v>
      </c>
      <c r="L26" s="461">
        <f t="shared" si="11"/>
        <v>0</v>
      </c>
      <c r="M26" s="461">
        <f t="shared" si="12"/>
        <v>0</v>
      </c>
    </row>
    <row r="27" spans="1:13" x14ac:dyDescent="0.3">
      <c r="A27" s="456" t="s">
        <v>3299</v>
      </c>
      <c r="B27" s="1000">
        <v>3</v>
      </c>
      <c r="C27" s="470" t="s">
        <v>3290</v>
      </c>
      <c r="D27" s="461">
        <f>541646/41</f>
        <v>13210.878048780487</v>
      </c>
      <c r="E27" s="467"/>
      <c r="F27" s="473">
        <v>2</v>
      </c>
      <c r="G27" s="473">
        <v>12</v>
      </c>
      <c r="H27" s="473">
        <v>12</v>
      </c>
      <c r="I27" s="473">
        <v>8</v>
      </c>
      <c r="J27" s="461">
        <f t="shared" si="9"/>
        <v>79265</v>
      </c>
      <c r="K27" s="461">
        <f t="shared" si="10"/>
        <v>502841</v>
      </c>
      <c r="L27" s="461">
        <f t="shared" si="11"/>
        <v>519083</v>
      </c>
      <c r="M27" s="461">
        <f t="shared" si="12"/>
        <v>356437</v>
      </c>
    </row>
    <row r="28" spans="1:13" x14ac:dyDescent="0.3">
      <c r="A28" s="456" t="s">
        <v>3300</v>
      </c>
      <c r="B28" s="457">
        <v>1</v>
      </c>
      <c r="C28" s="470" t="s">
        <v>3290</v>
      </c>
      <c r="D28" s="461">
        <f>199702+180511</f>
        <v>380213</v>
      </c>
      <c r="E28" s="467"/>
      <c r="F28" s="473">
        <v>2</v>
      </c>
      <c r="G28" s="473">
        <v>12</v>
      </c>
      <c r="H28" s="473">
        <v>12</v>
      </c>
      <c r="I28" s="473">
        <v>8</v>
      </c>
      <c r="J28" s="461">
        <f>+ROUND((B28*D28*F28),0)</f>
        <v>760426</v>
      </c>
      <c r="K28" s="461">
        <f t="shared" si="10"/>
        <v>4823990</v>
      </c>
      <c r="L28" s="461">
        <f t="shared" si="11"/>
        <v>4979805</v>
      </c>
      <c r="M28" s="461">
        <f t="shared" si="12"/>
        <v>3419466</v>
      </c>
    </row>
    <row r="29" spans="1:13" x14ac:dyDescent="0.3">
      <c r="A29" s="456" t="s">
        <v>3301</v>
      </c>
      <c r="B29" s="457">
        <v>10</v>
      </c>
      <c r="C29" s="470" t="s">
        <v>3290</v>
      </c>
      <c r="D29" s="1023">
        <f>149691/4</f>
        <v>37422.75</v>
      </c>
      <c r="E29" s="467"/>
      <c r="F29" s="473">
        <v>2</v>
      </c>
      <c r="G29" s="473">
        <v>12</v>
      </c>
      <c r="H29" s="473">
        <v>12</v>
      </c>
      <c r="I29" s="473">
        <v>8</v>
      </c>
      <c r="J29" s="461">
        <f>+ROUND((B29*D29*F29),0)</f>
        <v>748455</v>
      </c>
      <c r="K29" s="461">
        <f t="shared" si="10"/>
        <v>4748049</v>
      </c>
      <c r="L29" s="461">
        <f t="shared" si="11"/>
        <v>4901411</v>
      </c>
      <c r="M29" s="461">
        <f t="shared" si="12"/>
        <v>3365636</v>
      </c>
    </row>
    <row r="30" spans="1:13" x14ac:dyDescent="0.3">
      <c r="A30" s="456" t="s">
        <v>3302</v>
      </c>
      <c r="B30" s="457">
        <v>36</v>
      </c>
      <c r="C30" s="470" t="s">
        <v>3290</v>
      </c>
      <c r="D30" s="1023">
        <f>348540/4</f>
        <v>87135</v>
      </c>
      <c r="E30" s="467"/>
      <c r="F30" s="473">
        <v>2</v>
      </c>
      <c r="G30" s="473">
        <v>12</v>
      </c>
      <c r="H30" s="473">
        <v>12</v>
      </c>
      <c r="I30" s="473">
        <v>8</v>
      </c>
      <c r="J30" s="461">
        <f>+ROUND((B30*D30*F30),0)</f>
        <v>6273720</v>
      </c>
      <c r="K30" s="461">
        <f t="shared" si="10"/>
        <v>39799225</v>
      </c>
      <c r="L30" s="461">
        <f t="shared" si="11"/>
        <v>41084740</v>
      </c>
      <c r="M30" s="461">
        <f t="shared" si="12"/>
        <v>28211521</v>
      </c>
    </row>
    <row r="31" spans="1:13" x14ac:dyDescent="0.3">
      <c r="A31" s="456" t="s">
        <v>3303</v>
      </c>
      <c r="B31" s="457">
        <v>46</v>
      </c>
      <c r="C31" s="470" t="s">
        <v>3290</v>
      </c>
      <c r="D31" s="461"/>
      <c r="E31" s="467"/>
      <c r="F31" s="473">
        <v>2</v>
      </c>
      <c r="G31" s="473">
        <v>12</v>
      </c>
      <c r="H31" s="473">
        <v>12</v>
      </c>
      <c r="I31" s="473">
        <v>8</v>
      </c>
      <c r="J31" s="461">
        <f t="shared" si="9"/>
        <v>0</v>
      </c>
      <c r="K31" s="461">
        <f t="shared" si="10"/>
        <v>0</v>
      </c>
      <c r="L31" s="461">
        <f t="shared" si="11"/>
        <v>0</v>
      </c>
      <c r="M31" s="461">
        <f t="shared" si="12"/>
        <v>0</v>
      </c>
    </row>
    <row r="32" spans="1:13" x14ac:dyDescent="0.3">
      <c r="A32" s="456" t="s">
        <v>3304</v>
      </c>
      <c r="B32" s="457">
        <v>2</v>
      </c>
      <c r="C32" s="470" t="s">
        <v>3290</v>
      </c>
      <c r="D32" s="461">
        <f>110000/41</f>
        <v>2682.9268292682927</v>
      </c>
      <c r="E32" s="467"/>
      <c r="F32" s="473">
        <v>2</v>
      </c>
      <c r="G32" s="473">
        <v>12</v>
      </c>
      <c r="H32" s="473">
        <v>12</v>
      </c>
      <c r="I32" s="473">
        <v>8</v>
      </c>
      <c r="J32" s="461">
        <f t="shared" si="9"/>
        <v>10732</v>
      </c>
      <c r="K32" s="461">
        <f t="shared" si="10"/>
        <v>68082</v>
      </c>
      <c r="L32" s="461">
        <f t="shared" si="11"/>
        <v>70281</v>
      </c>
      <c r="M32" s="461">
        <f t="shared" si="12"/>
        <v>48260</v>
      </c>
    </row>
    <row r="33" spans="1:13" x14ac:dyDescent="0.3">
      <c r="A33" s="456"/>
      <c r="B33" s="457"/>
      <c r="C33" s="470"/>
      <c r="D33" s="461"/>
      <c r="E33" s="467"/>
      <c r="F33" s="1549" t="s">
        <v>3305</v>
      </c>
      <c r="G33" s="1550"/>
      <c r="H33" s="1551"/>
      <c r="I33" s="772"/>
      <c r="J33" s="465">
        <f>SUM(J17:J32)</f>
        <v>115538158</v>
      </c>
      <c r="K33" s="465">
        <f>SUM(K17:K32)</f>
        <v>368215723</v>
      </c>
      <c r="L33" s="465">
        <f>SUM(L17:L32)</f>
        <v>380542309</v>
      </c>
      <c r="M33" s="465">
        <f>SUM(M17:M32)</f>
        <v>227229245</v>
      </c>
    </row>
    <row r="34" spans="1:13" x14ac:dyDescent="0.3">
      <c r="A34" s="1540"/>
      <c r="B34" s="1541"/>
      <c r="C34" s="1541"/>
      <c r="D34" s="1541"/>
      <c r="E34" s="1541"/>
      <c r="F34" s="1541"/>
      <c r="G34" s="1541"/>
      <c r="H34" s="1541"/>
      <c r="I34" s="1541"/>
      <c r="J34" s="1541"/>
      <c r="K34" s="1541"/>
      <c r="L34" s="1541"/>
      <c r="M34" s="1542"/>
    </row>
    <row r="35" spans="1:13" x14ac:dyDescent="0.3">
      <c r="A35" s="466" t="s">
        <v>3306</v>
      </c>
      <c r="B35" s="467"/>
      <c r="C35" s="467"/>
      <c r="D35" s="468"/>
      <c r="E35" s="467"/>
      <c r="F35" s="480"/>
      <c r="G35" s="467"/>
      <c r="H35" s="467"/>
      <c r="I35" s="467"/>
      <c r="J35" s="469"/>
      <c r="K35" s="461"/>
      <c r="L35" s="461"/>
      <c r="M35" s="461"/>
    </row>
    <row r="36" spans="1:13" x14ac:dyDescent="0.3">
      <c r="A36" s="456" t="s">
        <v>3272</v>
      </c>
      <c r="B36" s="475">
        <f>[19]GARANTIAS!F13</f>
        <v>5.0000000000000001E-3</v>
      </c>
      <c r="C36" s="476" t="s">
        <v>3307</v>
      </c>
      <c r="D36" s="468"/>
      <c r="E36" s="477"/>
      <c r="F36" s="480"/>
      <c r="G36" s="467"/>
      <c r="H36" s="467"/>
      <c r="I36" s="467"/>
      <c r="J36" s="478">
        <f>+ROUND((B36*$F$58),0)</f>
        <v>14078605</v>
      </c>
      <c r="K36" s="461">
        <f>+ROUND((B36*$G$58),0)</f>
        <v>31047439</v>
      </c>
      <c r="L36" s="461">
        <f>+ROUND((B36*$H$58),0)</f>
        <v>32119476</v>
      </c>
      <c r="M36" s="461">
        <f>+ROUND((B36*$I$58),0)</f>
        <v>16611847</v>
      </c>
    </row>
    <row r="37" spans="1:13" x14ac:dyDescent="0.3">
      <c r="A37" s="456" t="s">
        <v>3273</v>
      </c>
      <c r="B37" s="475">
        <f>[19]GARANTIAS!F14</f>
        <v>0.02</v>
      </c>
      <c r="C37" s="476" t="s">
        <v>3307</v>
      </c>
      <c r="D37" s="468"/>
      <c r="E37" s="477"/>
      <c r="F37" s="480"/>
      <c r="G37" s="467"/>
      <c r="H37" s="467"/>
      <c r="I37" s="467"/>
      <c r="J37" s="478">
        <f t="shared" ref="J37:J42" si="13">+ROUND((B37*$F$58),0)</f>
        <v>56314420</v>
      </c>
      <c r="K37" s="461">
        <f t="shared" ref="K37:K42" si="14">+ROUND((B37*$G$58),0)</f>
        <v>124189757</v>
      </c>
      <c r="L37" s="461">
        <f t="shared" ref="L37:L42" si="15">+ROUND((B37*$H$58),0)</f>
        <v>128477903</v>
      </c>
      <c r="M37" s="461">
        <f t="shared" ref="M37:M41" si="16">+ROUND((B37*$I$58),0)</f>
        <v>66447389</v>
      </c>
    </row>
    <row r="38" spans="1:13" x14ac:dyDescent="0.3">
      <c r="A38" s="456" t="s">
        <v>3274</v>
      </c>
      <c r="B38" s="475">
        <f>[19]GARANTIAS!F15</f>
        <v>5.0000000000000001E-3</v>
      </c>
      <c r="C38" s="476" t="s">
        <v>3307</v>
      </c>
      <c r="D38" s="468"/>
      <c r="E38" s="477"/>
      <c r="F38" s="480"/>
      <c r="G38" s="467"/>
      <c r="H38" s="467"/>
      <c r="I38" s="467"/>
      <c r="J38" s="478">
        <f t="shared" si="13"/>
        <v>14078605</v>
      </c>
      <c r="K38" s="461">
        <f t="shared" si="14"/>
        <v>31047439</v>
      </c>
      <c r="L38" s="461">
        <f t="shared" si="15"/>
        <v>32119476</v>
      </c>
      <c r="M38" s="461">
        <f t="shared" si="16"/>
        <v>16611847</v>
      </c>
    </row>
    <row r="39" spans="1:13" x14ac:dyDescent="0.3">
      <c r="A39" s="456" t="s">
        <v>3275</v>
      </c>
      <c r="B39" s="475">
        <f>[19]GARANTIAS!F16</f>
        <v>1.0999999999999999E-2</v>
      </c>
      <c r="C39" s="476" t="s">
        <v>3307</v>
      </c>
      <c r="D39" s="468"/>
      <c r="E39" s="477"/>
      <c r="F39" s="480"/>
      <c r="G39" s="467"/>
      <c r="H39" s="467"/>
      <c r="I39" s="467"/>
      <c r="J39" s="478">
        <f t="shared" si="13"/>
        <v>30972931</v>
      </c>
      <c r="K39" s="461">
        <f t="shared" si="14"/>
        <v>68304366</v>
      </c>
      <c r="L39" s="461">
        <f t="shared" si="15"/>
        <v>70662847</v>
      </c>
      <c r="M39" s="461">
        <f t="shared" si="16"/>
        <v>36546064</v>
      </c>
    </row>
    <row r="40" spans="1:13" x14ac:dyDescent="0.3">
      <c r="A40" s="456" t="s">
        <v>3308</v>
      </c>
      <c r="B40" s="479">
        <v>0.05</v>
      </c>
      <c r="C40" s="480" t="s">
        <v>3307</v>
      </c>
      <c r="D40" s="468"/>
      <c r="E40" s="467"/>
      <c r="F40" s="480"/>
      <c r="G40" s="467"/>
      <c r="H40" s="467"/>
      <c r="I40" s="467"/>
      <c r="J40" s="478">
        <f t="shared" si="13"/>
        <v>140786050</v>
      </c>
      <c r="K40" s="461">
        <f t="shared" si="14"/>
        <v>310474393</v>
      </c>
      <c r="L40" s="461">
        <f t="shared" si="15"/>
        <v>321194757</v>
      </c>
      <c r="M40" s="461">
        <f t="shared" si="16"/>
        <v>166118471</v>
      </c>
    </row>
    <row r="41" spans="1:13" x14ac:dyDescent="0.3">
      <c r="A41" s="456" t="s">
        <v>3309</v>
      </c>
      <c r="B41" s="479">
        <f>[19]GARANTIAS!F18</f>
        <v>0.02</v>
      </c>
      <c r="C41" s="480" t="s">
        <v>3307</v>
      </c>
      <c r="D41" s="468"/>
      <c r="E41" s="467"/>
      <c r="F41" s="480"/>
      <c r="G41" s="467"/>
      <c r="H41" s="467"/>
      <c r="I41" s="467"/>
      <c r="J41" s="478">
        <f t="shared" si="13"/>
        <v>56314420</v>
      </c>
      <c r="K41" s="461">
        <f t="shared" si="14"/>
        <v>124189757</v>
      </c>
      <c r="L41" s="461">
        <f t="shared" si="15"/>
        <v>128477903</v>
      </c>
      <c r="M41" s="461">
        <f t="shared" si="16"/>
        <v>66447389</v>
      </c>
    </row>
    <row r="42" spans="1:13" x14ac:dyDescent="0.3">
      <c r="A42" s="456" t="s">
        <v>3310</v>
      </c>
      <c r="B42" s="481">
        <v>7.6E-3</v>
      </c>
      <c r="C42" s="482" t="s">
        <v>3307</v>
      </c>
      <c r="D42" s="483"/>
      <c r="E42" s="484"/>
      <c r="F42" s="482"/>
      <c r="G42" s="484"/>
      <c r="H42" s="484"/>
      <c r="I42" s="484"/>
      <c r="J42" s="478">
        <f t="shared" si="13"/>
        <v>21399480</v>
      </c>
      <c r="K42" s="461">
        <f t="shared" si="14"/>
        <v>47192108</v>
      </c>
      <c r="L42" s="461">
        <f t="shared" si="15"/>
        <v>48821603</v>
      </c>
      <c r="M42" s="461">
        <f>+ROUND((B42*$I$58),0)</f>
        <v>25250008</v>
      </c>
    </row>
    <row r="43" spans="1:13" ht="16.5" customHeight="1" x14ac:dyDescent="0.3">
      <c r="A43" s="485"/>
      <c r="B43" s="486"/>
      <c r="C43" s="487"/>
      <c r="D43" s="488"/>
      <c r="E43" s="489"/>
      <c r="F43" s="1533" t="s">
        <v>3311</v>
      </c>
      <c r="G43" s="1534"/>
      <c r="H43" s="1535"/>
      <c r="I43" s="769"/>
      <c r="J43" s="490">
        <f>SUM(J36:J42)</f>
        <v>333944511</v>
      </c>
      <c r="K43" s="490">
        <f>SUM(K36:K42)</f>
        <v>736445259</v>
      </c>
      <c r="L43" s="490">
        <f>SUM(L36:L42)</f>
        <v>761873965</v>
      </c>
      <c r="M43" s="490">
        <f>SUM(M36:M42)</f>
        <v>394033015</v>
      </c>
    </row>
    <row r="44" spans="1:13" x14ac:dyDescent="0.3">
      <c r="A44" s="1536"/>
      <c r="B44" s="1536"/>
      <c r="C44" s="1536"/>
      <c r="D44" s="1536"/>
      <c r="E44" s="1536"/>
      <c r="F44" s="1536"/>
      <c r="G44" s="1536"/>
      <c r="H44" s="1536"/>
      <c r="I44" s="1536"/>
      <c r="J44" s="1536"/>
      <c r="K44" s="1536"/>
      <c r="L44" s="1536"/>
      <c r="M44" s="1536"/>
    </row>
    <row r="45" spans="1:13" x14ac:dyDescent="0.3">
      <c r="A45" s="491" t="s">
        <v>3312</v>
      </c>
      <c r="B45" s="492"/>
      <c r="C45" s="492"/>
      <c r="D45" s="493"/>
      <c r="E45" s="492"/>
      <c r="F45" s="693"/>
      <c r="G45" s="492"/>
      <c r="H45" s="492"/>
      <c r="I45" s="492"/>
      <c r="J45" s="494"/>
      <c r="K45" s="495"/>
      <c r="L45" s="495"/>
      <c r="M45" s="495"/>
    </row>
    <row r="46" spans="1:13" x14ac:dyDescent="0.3">
      <c r="A46" s="456" t="s">
        <v>3313</v>
      </c>
      <c r="B46" s="496">
        <f>[19]GARANTIAS!B31</f>
        <v>9.1058247400592363E-3</v>
      </c>
      <c r="C46" s="467"/>
      <c r="D46" s="468"/>
      <c r="E46" s="467"/>
      <c r="F46" s="480"/>
      <c r="G46" s="467"/>
      <c r="H46" s="467"/>
      <c r="I46" s="467"/>
      <c r="J46" s="461">
        <f>+ROUND((B46*J58),0)</f>
        <v>170929747</v>
      </c>
      <c r="K46" s="461"/>
      <c r="L46" s="461"/>
      <c r="M46" s="461"/>
    </row>
    <row r="47" spans="1:13" x14ac:dyDescent="0.3">
      <c r="A47" s="456"/>
      <c r="B47" s="496"/>
      <c r="C47" s="467"/>
      <c r="D47" s="468"/>
      <c r="E47" s="467"/>
      <c r="F47" s="1537" t="s">
        <v>3314</v>
      </c>
      <c r="G47" s="1538"/>
      <c r="H47" s="1539"/>
      <c r="I47" s="770"/>
      <c r="J47" s="465">
        <f>SUM(J46)</f>
        <v>170929747</v>
      </c>
      <c r="K47" s="461"/>
      <c r="L47" s="461"/>
      <c r="M47" s="461"/>
    </row>
    <row r="48" spans="1:13" x14ac:dyDescent="0.3">
      <c r="A48" s="1540"/>
      <c r="B48" s="1541"/>
      <c r="C48" s="1541"/>
      <c r="D48" s="1541"/>
      <c r="E48" s="1541"/>
      <c r="F48" s="1541"/>
      <c r="G48" s="1541"/>
      <c r="H48" s="1541"/>
      <c r="I48" s="1541"/>
      <c r="J48" s="1541"/>
      <c r="K48" s="1541"/>
      <c r="L48" s="1541"/>
      <c r="M48" s="1542"/>
    </row>
    <row r="49" spans="1:13" x14ac:dyDescent="0.3">
      <c r="A49" s="497" t="s">
        <v>3315</v>
      </c>
      <c r="B49" s="467"/>
      <c r="C49" s="467"/>
      <c r="D49" s="468"/>
      <c r="E49" s="467"/>
      <c r="F49" s="480"/>
      <c r="G49" s="484"/>
      <c r="H49" s="484"/>
      <c r="I49" s="484"/>
      <c r="J49" s="465">
        <f>+J14+J33+J43+J47</f>
        <v>735725565</v>
      </c>
      <c r="K49" s="465">
        <f>+K14+K33+K43+K47</f>
        <v>1836184536</v>
      </c>
      <c r="L49" s="465">
        <f>+L14+L33+L43+L47</f>
        <v>1897568040</v>
      </c>
      <c r="M49" s="465">
        <f>+M14+M33+M43+M47</f>
        <v>1139799806</v>
      </c>
    </row>
    <row r="50" spans="1:13" x14ac:dyDescent="0.3">
      <c r="A50" s="498"/>
      <c r="B50" s="467"/>
      <c r="C50" s="467"/>
      <c r="D50" s="468"/>
      <c r="E50" s="467"/>
      <c r="F50" s="722"/>
      <c r="G50" s="489"/>
      <c r="H50" s="489"/>
      <c r="I50" s="511"/>
      <c r="J50" s="725"/>
      <c r="K50" s="461"/>
      <c r="L50" s="461"/>
      <c r="M50" s="461"/>
    </row>
    <row r="51" spans="1:13" x14ac:dyDescent="0.3">
      <c r="A51" s="456" t="s">
        <v>3316</v>
      </c>
      <c r="B51" s="467"/>
      <c r="C51" s="467"/>
      <c r="D51" s="467"/>
      <c r="E51" s="499">
        <f>+J51/F58</f>
        <v>0.26129206870993255</v>
      </c>
      <c r="F51" s="723">
        <f>+K51/G58</f>
        <v>0.29570627695648943</v>
      </c>
      <c r="G51" s="507">
        <f>+L51/H58</f>
        <v>0.29539212545642884</v>
      </c>
      <c r="H51" s="507">
        <f>+M51/I58</f>
        <v>0.34306835248184209</v>
      </c>
      <c r="I51" s="726">
        <f>ROUND(MIN(E51:H51),4)</f>
        <v>0.26129999999999998</v>
      </c>
      <c r="J51" s="509">
        <f>+J49</f>
        <v>735725565</v>
      </c>
      <c r="K51" s="501">
        <f>+K49</f>
        <v>1836184536</v>
      </c>
      <c r="L51" s="501">
        <f>+L49</f>
        <v>1897568040</v>
      </c>
      <c r="M51" s="465">
        <f>+M49</f>
        <v>1139799806</v>
      </c>
    </row>
    <row r="52" spans="1:13" x14ac:dyDescent="0.3">
      <c r="A52" s="456" t="s">
        <v>3276</v>
      </c>
      <c r="B52" s="467"/>
      <c r="C52" s="467"/>
      <c r="D52" s="467"/>
      <c r="E52" s="499">
        <v>0.02</v>
      </c>
      <c r="F52" s="723">
        <v>0.02</v>
      </c>
      <c r="G52" s="507">
        <v>0.02</v>
      </c>
      <c r="H52" s="499">
        <v>0.02</v>
      </c>
      <c r="I52" s="726">
        <f>+MIN(E52:G52)</f>
        <v>0.02</v>
      </c>
      <c r="J52" s="509">
        <f>+$E$52*$F$58</f>
        <v>56314420</v>
      </c>
      <c r="K52" s="501">
        <f>+$F$52*$G$58</f>
        <v>124189757.14</v>
      </c>
      <c r="L52" s="509">
        <f>+$G$52*$H$58</f>
        <v>128477902.86</v>
      </c>
      <c r="M52" s="501">
        <f>+$I$52*$I$58</f>
        <v>66447388.560000002</v>
      </c>
    </row>
    <row r="53" spans="1:13" x14ac:dyDescent="0.3">
      <c r="A53" s="502" t="s">
        <v>3317</v>
      </c>
      <c r="B53" s="484"/>
      <c r="C53" s="484"/>
      <c r="D53" s="484"/>
      <c r="E53" s="503">
        <v>0.04</v>
      </c>
      <c r="F53" s="724">
        <v>0.04</v>
      </c>
      <c r="G53" s="507">
        <v>0.04</v>
      </c>
      <c r="H53" s="507">
        <v>0.04</v>
      </c>
      <c r="I53" s="726">
        <f>+MIN(E53:H53)</f>
        <v>0.04</v>
      </c>
      <c r="J53" s="509">
        <f>+$E$53*$F$58</f>
        <v>112628840</v>
      </c>
      <c r="K53" s="504">
        <f>+$F$53*$G$58</f>
        <v>248379514.28</v>
      </c>
      <c r="L53" s="504">
        <f>+$G$53*$H$58</f>
        <v>256955805.72</v>
      </c>
      <c r="M53" s="505">
        <f>+$I$53*$I$58</f>
        <v>132894777.12</v>
      </c>
    </row>
    <row r="54" spans="1:13" x14ac:dyDescent="0.3">
      <c r="A54" s="506"/>
      <c r="B54" s="489"/>
      <c r="C54" s="489"/>
      <c r="D54" s="489"/>
      <c r="E54" s="507"/>
      <c r="F54" s="486"/>
      <c r="G54" s="508"/>
      <c r="H54" s="508"/>
      <c r="I54" s="508"/>
      <c r="J54" s="500"/>
      <c r="K54" s="509"/>
      <c r="L54" s="509"/>
      <c r="M54" s="500"/>
    </row>
    <row r="55" spans="1:13" x14ac:dyDescent="0.3">
      <c r="A55" s="510"/>
      <c r="B55" s="511"/>
      <c r="C55" s="511"/>
      <c r="D55" s="512" t="s">
        <v>3318</v>
      </c>
      <c r="E55" s="513">
        <f>SUM(E51:E54)</f>
        <v>0.32129206870993254</v>
      </c>
      <c r="F55" s="694">
        <f>SUM(F51:F54)</f>
        <v>0.35570627695648943</v>
      </c>
      <c r="G55" s="513">
        <f>SUM(G51:G54)</f>
        <v>0.35539212545642884</v>
      </c>
      <c r="H55" s="513">
        <f>SUM(H51:H54)</f>
        <v>0.40306835248184208</v>
      </c>
      <c r="I55" s="1024">
        <f>ROUND(MIN(E55:H55),4)</f>
        <v>0.32129999999999997</v>
      </c>
      <c r="J55" s="514"/>
      <c r="K55" s="514"/>
      <c r="L55" s="514"/>
      <c r="M55" s="514"/>
    </row>
    <row r="57" spans="1:13" x14ac:dyDescent="0.3">
      <c r="F57" s="695">
        <v>2024</v>
      </c>
      <c r="G57" s="516">
        <v>2025</v>
      </c>
      <c r="H57" s="516">
        <v>2026</v>
      </c>
      <c r="I57" s="516">
        <v>2027</v>
      </c>
      <c r="J57" s="517" t="s">
        <v>3262</v>
      </c>
    </row>
    <row r="58" spans="1:13" x14ac:dyDescent="0.3">
      <c r="A58" s="518" t="s">
        <v>3319</v>
      </c>
      <c r="F58" s="692">
        <f>19710047000/7</f>
        <v>2815721000</v>
      </c>
      <c r="G58" s="461">
        <f>43466414999/7</f>
        <v>6209487857</v>
      </c>
      <c r="H58" s="519">
        <f>44967266001/7</f>
        <v>6423895143</v>
      </c>
      <c r="I58" s="519">
        <f>23256585996/7</f>
        <v>3322369428</v>
      </c>
      <c r="J58" s="377">
        <f>SUM(F58:I58)</f>
        <v>18771473428</v>
      </c>
    </row>
    <row r="59" spans="1:13" x14ac:dyDescent="0.3">
      <c r="F59" s="1025">
        <f>+'POR AÑOS_SUMINISTRO'!Z23</f>
        <v>2815721000</v>
      </c>
      <c r="G59" s="1026">
        <f>+'POR AÑOS_SUMINISTRO'!AD23</f>
        <v>6209487857</v>
      </c>
      <c r="H59" s="1026">
        <f>+'POR AÑOS_SUMINISTRO'!AH23</f>
        <v>6423895143</v>
      </c>
      <c r="I59" s="1027">
        <f>'POR AÑOS_SUMINISTRO'!AL23</f>
        <v>3322369428</v>
      </c>
      <c r="J59" s="1028">
        <f>SUM(F59:I59)</f>
        <v>18771473428</v>
      </c>
    </row>
    <row r="60" spans="1:13" x14ac:dyDescent="0.3">
      <c r="F60" s="1029">
        <f>F58*7</f>
        <v>19710047000</v>
      </c>
      <c r="G60" s="1029">
        <f t="shared" ref="G60:I60" si="17">G58*7</f>
        <v>43466414999</v>
      </c>
      <c r="H60" s="1029">
        <f t="shared" si="17"/>
        <v>44967266001</v>
      </c>
      <c r="I60" s="1029">
        <f t="shared" si="17"/>
        <v>23256585996</v>
      </c>
      <c r="J60" s="1029">
        <f>J58*7</f>
        <v>131400313996</v>
      </c>
    </row>
  </sheetData>
  <mergeCells count="10">
    <mergeCell ref="F43:H43"/>
    <mergeCell ref="A44:M44"/>
    <mergeCell ref="F47:H47"/>
    <mergeCell ref="A48:M48"/>
    <mergeCell ref="A1:M1"/>
    <mergeCell ref="A2:M2"/>
    <mergeCell ref="G14:H14"/>
    <mergeCell ref="A15:M15"/>
    <mergeCell ref="F33:H33"/>
    <mergeCell ref="A34:M34"/>
  </mergeCells>
  <pageMargins left="0.7" right="0.7" top="0.75" bottom="0.75" header="0.3" footer="0.3"/>
  <pageSetup orientation="portrait" horizontalDpi="4294967294" r:id="rId1"/>
  <ignoredErrors>
    <ignoredError sqref="I52" formulaRange="1"/>
  </ignoredError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20">
    <tabColor rgb="FFFF0000"/>
  </sheetPr>
  <dimension ref="A1:I76"/>
  <sheetViews>
    <sheetView workbookViewId="0"/>
  </sheetViews>
  <sheetFormatPr baseColWidth="10" defaultColWidth="38.28515625" defaultRowHeight="15.75" x14ac:dyDescent="0.3"/>
  <cols>
    <col min="1" max="1" width="38.28515625" style="95" customWidth="1"/>
    <col min="2" max="2" width="20.140625" style="95" customWidth="1"/>
    <col min="3" max="3" width="31.85546875" style="95" customWidth="1"/>
    <col min="4" max="16384" width="38.28515625" style="95"/>
  </cols>
  <sheetData>
    <row r="1" spans="1:6" s="94" customFormat="1" x14ac:dyDescent="0.3">
      <c r="A1" s="94" t="s">
        <v>2940</v>
      </c>
    </row>
    <row r="2" spans="1:6" x14ac:dyDescent="0.3">
      <c r="A2" s="95" t="s">
        <v>2952</v>
      </c>
      <c r="B2" s="1552" t="s">
        <v>2941</v>
      </c>
      <c r="C2" s="1552"/>
      <c r="D2" s="95" t="s">
        <v>2942</v>
      </c>
    </row>
    <row r="3" spans="1:6" ht="31.5" x14ac:dyDescent="0.3">
      <c r="A3" s="96">
        <v>877803</v>
      </c>
      <c r="B3" s="98" t="s">
        <v>2953</v>
      </c>
      <c r="C3" s="97" t="s">
        <v>2954</v>
      </c>
      <c r="D3" s="97" t="s">
        <v>2957</v>
      </c>
      <c r="E3" s="97" t="s">
        <v>2958</v>
      </c>
    </row>
    <row r="4" spans="1:6" x14ac:dyDescent="0.3">
      <c r="B4" s="325"/>
      <c r="C4" s="325"/>
      <c r="D4" s="325" t="s">
        <v>2959</v>
      </c>
      <c r="E4" s="325" t="s">
        <v>2960</v>
      </c>
    </row>
    <row r="5" spans="1:6" x14ac:dyDescent="0.3">
      <c r="B5" s="325"/>
      <c r="C5" s="325"/>
      <c r="D5" s="325" t="s">
        <v>2943</v>
      </c>
      <c r="E5" s="325"/>
    </row>
    <row r="6" spans="1:6" x14ac:dyDescent="0.3">
      <c r="A6" s="95" t="s">
        <v>2944</v>
      </c>
      <c r="B6" s="325" t="s">
        <v>2955</v>
      </c>
      <c r="C6" s="100">
        <f>+A3/30</f>
        <v>29260.1</v>
      </c>
      <c r="D6" s="100">
        <f>+C6*1.1</f>
        <v>32186.11</v>
      </c>
      <c r="E6" s="100">
        <f>+C6*1.15</f>
        <v>33649.114999999998</v>
      </c>
    </row>
    <row r="7" spans="1:6" x14ac:dyDescent="0.3">
      <c r="A7" s="95" t="s">
        <v>2945</v>
      </c>
      <c r="B7" s="99">
        <v>2.1650999999999998</v>
      </c>
      <c r="C7" s="100">
        <f>+C6*B7</f>
        <v>63351.042509999992</v>
      </c>
      <c r="D7" s="100">
        <f t="shared" ref="D7:D12" si="0">+C7*1.1</f>
        <v>69686.146760999996</v>
      </c>
      <c r="E7" s="100">
        <f t="shared" ref="E7:E12" si="1">+C7*1.15</f>
        <v>72853.698886499988</v>
      </c>
    </row>
    <row r="8" spans="1:6" x14ac:dyDescent="0.3">
      <c r="A8" s="95" t="s">
        <v>2946</v>
      </c>
      <c r="B8" s="325"/>
      <c r="C8" s="123">
        <f>+ROUND(C7/8,0)</f>
        <v>7919</v>
      </c>
      <c r="D8" s="100">
        <f t="shared" si="0"/>
        <v>8710.9000000000015</v>
      </c>
      <c r="E8" s="100">
        <f t="shared" si="1"/>
        <v>9106.8499999999985</v>
      </c>
    </row>
    <row r="9" spans="1:6" x14ac:dyDescent="0.3">
      <c r="A9" s="95" t="s">
        <v>2947</v>
      </c>
      <c r="B9" s="325" t="s">
        <v>2956</v>
      </c>
      <c r="C9" s="100">
        <f>2.1*C6</f>
        <v>61446.21</v>
      </c>
      <c r="D9" s="100">
        <f t="shared" si="0"/>
        <v>67590.831000000006</v>
      </c>
      <c r="E9" s="100">
        <f t="shared" si="1"/>
        <v>70663.141499999998</v>
      </c>
    </row>
    <row r="10" spans="1:6" x14ac:dyDescent="0.3">
      <c r="A10" s="95" t="s">
        <v>2945</v>
      </c>
      <c r="B10" s="99">
        <v>2.1232000000000002</v>
      </c>
      <c r="C10" s="100">
        <f>+B10*C9</f>
        <v>130462.593072</v>
      </c>
      <c r="D10" s="100">
        <f t="shared" si="0"/>
        <v>143508.85237920002</v>
      </c>
      <c r="E10" s="100">
        <f t="shared" si="1"/>
        <v>150031.98203280001</v>
      </c>
    </row>
    <row r="11" spans="1:6" x14ac:dyDescent="0.3">
      <c r="A11" s="95" t="s">
        <v>2948</v>
      </c>
      <c r="B11" s="325"/>
      <c r="C11" s="123">
        <f>+ROUND(C10/8,0)</f>
        <v>16308</v>
      </c>
      <c r="D11" s="100">
        <f t="shared" si="0"/>
        <v>17938.800000000003</v>
      </c>
      <c r="E11" s="100">
        <f t="shared" si="1"/>
        <v>18754.199999999997</v>
      </c>
    </row>
    <row r="12" spans="1:6" x14ac:dyDescent="0.3">
      <c r="A12" s="95" t="s">
        <v>2949</v>
      </c>
      <c r="B12" s="325"/>
      <c r="C12" s="100">
        <f>+C7+C10</f>
        <v>193813.63558199999</v>
      </c>
      <c r="D12" s="100">
        <f t="shared" si="0"/>
        <v>213194.9991402</v>
      </c>
      <c r="E12" s="100">
        <f t="shared" si="1"/>
        <v>222885.68091929998</v>
      </c>
    </row>
    <row r="13" spans="1:6" x14ac:dyDescent="0.3">
      <c r="A13" s="95" t="s">
        <v>2950</v>
      </c>
      <c r="B13" s="325"/>
      <c r="C13" s="100">
        <f>+C8+C11</f>
        <v>24227</v>
      </c>
      <c r="D13" s="100">
        <f>+ROUND((D8+D11),0)</f>
        <v>26650</v>
      </c>
      <c r="E13" s="123">
        <f>+ROUND((E8+E11),0)</f>
        <v>27861</v>
      </c>
      <c r="F13" s="95">
        <f>+E13/35</f>
        <v>796.02857142857147</v>
      </c>
    </row>
    <row r="14" spans="1:6" x14ac:dyDescent="0.3">
      <c r="A14" s="95" t="s">
        <v>2951</v>
      </c>
    </row>
    <row r="19" spans="4:5" x14ac:dyDescent="0.3">
      <c r="D19" s="95">
        <f>60*0.33</f>
        <v>19.8</v>
      </c>
      <c r="E19" s="95">
        <f>+E13/35</f>
        <v>796.02857142857147</v>
      </c>
    </row>
    <row r="57" spans="2:9" x14ac:dyDescent="0.3">
      <c r="B57" s="95" t="s">
        <v>2913</v>
      </c>
      <c r="D57" s="95" t="s">
        <v>2914</v>
      </c>
      <c r="E57" s="95" t="s">
        <v>2915</v>
      </c>
      <c r="F57" s="95" t="s">
        <v>2919</v>
      </c>
      <c r="G57" s="95" t="s">
        <v>177</v>
      </c>
    </row>
    <row r="58" spans="2:9" x14ac:dyDescent="0.3">
      <c r="B58" s="95" t="s">
        <v>2927</v>
      </c>
      <c r="D58" s="95" t="s">
        <v>2916</v>
      </c>
      <c r="E58" s="95">
        <f>+ROUND(39900,0)</f>
        <v>39900</v>
      </c>
      <c r="G58" s="95">
        <f>+IFERROR(E58/F58,0)</f>
        <v>0</v>
      </c>
      <c r="I58" s="95" t="s">
        <v>2916</v>
      </c>
    </row>
    <row r="59" spans="2:9" x14ac:dyDescent="0.3">
      <c r="B59" s="95" t="s">
        <v>2920</v>
      </c>
      <c r="D59" s="95" t="s">
        <v>2916</v>
      </c>
      <c r="E59" s="95">
        <v>11900</v>
      </c>
      <c r="F59" s="95">
        <v>129121</v>
      </c>
      <c r="G59" s="95">
        <f t="shared" ref="G59:G68" si="2">+IFERROR(E59/F59,0)</f>
        <v>9.2161615848700057E-2</v>
      </c>
      <c r="I59" s="95" t="s">
        <v>2917</v>
      </c>
    </row>
    <row r="60" spans="2:9" x14ac:dyDescent="0.3">
      <c r="B60" s="95" t="s">
        <v>2921</v>
      </c>
      <c r="D60" s="95" t="s">
        <v>2916</v>
      </c>
      <c r="E60" s="95">
        <v>48900</v>
      </c>
      <c r="G60" s="95">
        <f t="shared" si="2"/>
        <v>0</v>
      </c>
      <c r="I60" s="95" t="s">
        <v>2918</v>
      </c>
    </row>
    <row r="61" spans="2:9" x14ac:dyDescent="0.3">
      <c r="B61" s="95" t="s">
        <v>2928</v>
      </c>
      <c r="D61" s="95" t="s">
        <v>2916</v>
      </c>
      <c r="E61" s="95">
        <v>66900</v>
      </c>
      <c r="F61" s="95">
        <v>1450000</v>
      </c>
      <c r="G61" s="95">
        <f t="shared" si="2"/>
        <v>4.6137931034482757E-2</v>
      </c>
    </row>
    <row r="62" spans="2:9" x14ac:dyDescent="0.3">
      <c r="B62" s="95" t="s">
        <v>2922</v>
      </c>
      <c r="D62" s="95" t="s">
        <v>2916</v>
      </c>
      <c r="E62" s="95">
        <v>51900</v>
      </c>
      <c r="G62" s="95">
        <f t="shared" si="2"/>
        <v>0</v>
      </c>
    </row>
    <row r="63" spans="2:9" x14ac:dyDescent="0.3">
      <c r="B63" s="95" t="s">
        <v>2923</v>
      </c>
      <c r="D63" s="95" t="s">
        <v>2916</v>
      </c>
      <c r="E63" s="95">
        <v>48900</v>
      </c>
      <c r="G63" s="95">
        <f t="shared" si="2"/>
        <v>0</v>
      </c>
    </row>
    <row r="64" spans="2:9" x14ac:dyDescent="0.3">
      <c r="B64" s="95" t="s">
        <v>2924</v>
      </c>
      <c r="D64" s="95" t="s">
        <v>2916</v>
      </c>
      <c r="E64" s="95">
        <v>16900</v>
      </c>
      <c r="G64" s="95">
        <f t="shared" si="2"/>
        <v>0</v>
      </c>
    </row>
    <row r="65" spans="2:7" x14ac:dyDescent="0.3">
      <c r="B65" s="95" t="s">
        <v>2925</v>
      </c>
      <c r="D65" s="95" t="s">
        <v>2916</v>
      </c>
      <c r="E65" s="95">
        <v>28900</v>
      </c>
      <c r="G65" s="95">
        <f t="shared" si="2"/>
        <v>0</v>
      </c>
    </row>
    <row r="66" spans="2:7" x14ac:dyDescent="0.3">
      <c r="B66" s="95" t="s">
        <v>2926</v>
      </c>
      <c r="D66" s="95" t="s">
        <v>2916</v>
      </c>
      <c r="E66" s="95">
        <v>18900</v>
      </c>
      <c r="F66" s="95">
        <v>400000</v>
      </c>
      <c r="G66" s="95">
        <f t="shared" si="2"/>
        <v>4.725E-2</v>
      </c>
    </row>
    <row r="67" spans="2:7" x14ac:dyDescent="0.3">
      <c r="B67" s="95" t="s">
        <v>2929</v>
      </c>
      <c r="D67" s="95" t="s">
        <v>2916</v>
      </c>
      <c r="F67" s="95">
        <v>400000</v>
      </c>
      <c r="G67" s="95">
        <f t="shared" si="2"/>
        <v>0</v>
      </c>
    </row>
    <row r="68" spans="2:7" x14ac:dyDescent="0.3">
      <c r="F68" s="95" t="s">
        <v>2937</v>
      </c>
      <c r="G68" s="95">
        <f t="shared" si="2"/>
        <v>0</v>
      </c>
    </row>
    <row r="69" spans="2:7" x14ac:dyDescent="0.3">
      <c r="F69" s="95" t="s">
        <v>2938</v>
      </c>
      <c r="G69" s="95">
        <f t="shared" ref="G69:G76" si="3">+IFERROR(E69/F69,0)</f>
        <v>0</v>
      </c>
    </row>
    <row r="70" spans="2:7" x14ac:dyDescent="0.3">
      <c r="F70" s="95" t="s">
        <v>2939</v>
      </c>
      <c r="G70" s="95">
        <f t="shared" si="3"/>
        <v>0</v>
      </c>
    </row>
    <row r="71" spans="2:7" x14ac:dyDescent="0.3">
      <c r="G71" s="95">
        <f t="shared" si="3"/>
        <v>0</v>
      </c>
    </row>
    <row r="72" spans="2:7" x14ac:dyDescent="0.3">
      <c r="G72" s="95">
        <f t="shared" si="3"/>
        <v>0</v>
      </c>
    </row>
    <row r="73" spans="2:7" x14ac:dyDescent="0.3">
      <c r="G73" s="95">
        <f t="shared" si="3"/>
        <v>0</v>
      </c>
    </row>
    <row r="74" spans="2:7" x14ac:dyDescent="0.3">
      <c r="G74" s="95">
        <f t="shared" si="3"/>
        <v>0</v>
      </c>
    </row>
    <row r="75" spans="2:7" x14ac:dyDescent="0.3">
      <c r="G75" s="95">
        <f t="shared" si="3"/>
        <v>0</v>
      </c>
    </row>
    <row r="76" spans="2:7" x14ac:dyDescent="0.3">
      <c r="G76" s="95">
        <f t="shared" si="3"/>
        <v>0</v>
      </c>
    </row>
  </sheetData>
  <mergeCells count="1">
    <mergeCell ref="B2:C2"/>
  </mergeCells>
  <dataValidations disablePrompts="1" count="1">
    <dataValidation type="list" allowBlank="1" showInputMessage="1" showErrorMessage="1" sqref="D58:D76" xr:uid="{00000000-0002-0000-0700-000000000000}">
      <formula1>$I$58:$I$60</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1"/>
  <dimension ref="B2:M32"/>
  <sheetViews>
    <sheetView workbookViewId="0"/>
  </sheetViews>
  <sheetFormatPr baseColWidth="10" defaultColWidth="11.5703125" defaultRowHeight="15" x14ac:dyDescent="0.25"/>
  <cols>
    <col min="2" max="2" width="47" bestFit="1" customWidth="1"/>
    <col min="6" max="6" width="14" bestFit="1" customWidth="1"/>
    <col min="8" max="9" width="11.42578125" style="267"/>
    <col min="10" max="10" width="16.140625" customWidth="1"/>
    <col min="13" max="13" width="144.28515625" bestFit="1" customWidth="1"/>
  </cols>
  <sheetData>
    <row r="2" spans="2:13" x14ac:dyDescent="0.25">
      <c r="B2" s="260"/>
      <c r="C2" s="260"/>
      <c r="D2" s="260"/>
      <c r="E2" s="260"/>
      <c r="F2" s="1553" t="s">
        <v>3091</v>
      </c>
      <c r="G2" s="1553"/>
      <c r="H2" s="1554" t="s">
        <v>3102</v>
      </c>
      <c r="I2" s="1554"/>
    </row>
    <row r="3" spans="2:13" x14ac:dyDescent="0.25">
      <c r="B3" s="260" t="s">
        <v>3099</v>
      </c>
      <c r="C3" s="260" t="s">
        <v>2914</v>
      </c>
      <c r="D3" s="1555" t="s">
        <v>3109</v>
      </c>
      <c r="E3" s="1556"/>
      <c r="F3" s="260" t="s">
        <v>3100</v>
      </c>
      <c r="G3" s="260" t="s">
        <v>3101</v>
      </c>
      <c r="H3" s="269" t="s">
        <v>3103</v>
      </c>
      <c r="I3" s="269" t="s">
        <v>3104</v>
      </c>
      <c r="M3" t="s">
        <v>3024</v>
      </c>
    </row>
    <row r="4" spans="2:13" x14ac:dyDescent="0.25">
      <c r="B4" s="265" t="s">
        <v>3106</v>
      </c>
      <c r="C4" s="88" t="s">
        <v>3105</v>
      </c>
      <c r="D4" s="267">
        <v>7.05</v>
      </c>
      <c r="E4" s="267">
        <v>7.45</v>
      </c>
      <c r="F4" s="88">
        <v>3</v>
      </c>
      <c r="G4" s="88">
        <f>F4/0.12</f>
        <v>25</v>
      </c>
      <c r="H4" s="268">
        <f>2.4/7.25</f>
        <v>0.33103448275862069</v>
      </c>
      <c r="I4" s="268">
        <f>+H4*0.12</f>
        <v>3.9724137931034478E-2</v>
      </c>
      <c r="M4" s="261" t="s">
        <v>52</v>
      </c>
    </row>
    <row r="5" spans="2:13" ht="20.25" customHeight="1" x14ac:dyDescent="0.25">
      <c r="B5" s="265" t="s">
        <v>3108</v>
      </c>
      <c r="C5" s="88" t="s">
        <v>3105</v>
      </c>
      <c r="D5" s="267">
        <v>7.05</v>
      </c>
      <c r="E5" s="267">
        <v>7.45</v>
      </c>
      <c r="F5" s="88">
        <f>ROUND(7.25/1.2,0)</f>
        <v>6</v>
      </c>
      <c r="G5" s="88">
        <f>F5/0.12</f>
        <v>50</v>
      </c>
      <c r="H5" s="268">
        <f>1.2/7.25</f>
        <v>0.16551724137931034</v>
      </c>
      <c r="I5" s="268">
        <f>+H5*0.12</f>
        <v>1.9862068965517239E-2</v>
      </c>
      <c r="M5" s="261" t="s">
        <v>49</v>
      </c>
    </row>
    <row r="6" spans="2:13" x14ac:dyDescent="0.25">
      <c r="B6" s="265" t="s">
        <v>3110</v>
      </c>
      <c r="C6" s="88" t="s">
        <v>3105</v>
      </c>
      <c r="D6" s="267">
        <v>7.05</v>
      </c>
      <c r="E6" s="267">
        <v>7.45</v>
      </c>
      <c r="F6" s="88">
        <f>ROUND(7.25/2.45,0)</f>
        <v>3</v>
      </c>
      <c r="G6" s="88">
        <f>F6/0.12</f>
        <v>25</v>
      </c>
      <c r="H6" s="268">
        <f>2.4/7.25</f>
        <v>0.33103448275862069</v>
      </c>
      <c r="I6" s="268">
        <f>+H6*0.12</f>
        <v>3.9724137931034478E-2</v>
      </c>
      <c r="K6">
        <f>0.13*6.7</f>
        <v>0.87100000000000011</v>
      </c>
      <c r="M6" s="261" t="s">
        <v>50</v>
      </c>
    </row>
    <row r="7" spans="2:13" x14ac:dyDescent="0.25">
      <c r="B7" s="265" t="s">
        <v>3111</v>
      </c>
      <c r="C7" s="88" t="s">
        <v>3105</v>
      </c>
      <c r="D7" s="267">
        <v>7.05</v>
      </c>
      <c r="E7" s="267">
        <v>7.45</v>
      </c>
      <c r="F7" s="88">
        <f>ROUND(7.25/1.2,0)</f>
        <v>6</v>
      </c>
      <c r="G7" s="88">
        <f>F7/0.12</f>
        <v>50</v>
      </c>
      <c r="H7" s="268">
        <f>1.2/7.25</f>
        <v>0.16551724137931034</v>
      </c>
      <c r="I7" s="268">
        <f>+H7*0.12</f>
        <v>1.9862068965517239E-2</v>
      </c>
      <c r="M7" s="262" t="s">
        <v>51</v>
      </c>
    </row>
    <row r="8" spans="2:13" x14ac:dyDescent="0.25">
      <c r="B8" s="265" t="s">
        <v>3112</v>
      </c>
      <c r="C8" s="88" t="s">
        <v>115</v>
      </c>
      <c r="D8" s="88"/>
      <c r="E8" s="88"/>
      <c r="F8" s="88"/>
      <c r="G8" s="88"/>
      <c r="H8" s="268">
        <f>+I8/0.12</f>
        <v>5.2083333333333339</v>
      </c>
      <c r="I8" s="268">
        <v>0.625</v>
      </c>
      <c r="J8">
        <f>5.21*0.15</f>
        <v>0.78149999999999997</v>
      </c>
      <c r="M8" s="262" t="s">
        <v>53</v>
      </c>
    </row>
    <row r="9" spans="2:13" ht="20.25" customHeight="1" x14ac:dyDescent="0.25">
      <c r="B9" s="265" t="s">
        <v>3113</v>
      </c>
      <c r="C9" s="88" t="s">
        <v>115</v>
      </c>
      <c r="D9" s="88"/>
      <c r="E9" s="88"/>
      <c r="F9" s="88"/>
      <c r="G9" s="88"/>
      <c r="H9" s="268">
        <f>+I9/0.12</f>
        <v>6.916666666666667</v>
      </c>
      <c r="I9" s="268">
        <v>0.83</v>
      </c>
    </row>
    <row r="10" spans="2:13" x14ac:dyDescent="0.25">
      <c r="B10" s="265" t="s">
        <v>3107</v>
      </c>
      <c r="C10" s="88" t="s">
        <v>3105</v>
      </c>
      <c r="D10" s="88">
        <v>5.6</v>
      </c>
      <c r="E10" s="88">
        <v>5.8</v>
      </c>
      <c r="F10" s="88">
        <v>16</v>
      </c>
      <c r="G10" s="88"/>
      <c r="H10" s="268">
        <v>6.25E-2</v>
      </c>
      <c r="I10" s="268">
        <f>+H10*0.12</f>
        <v>7.4999999999999997E-3</v>
      </c>
    </row>
    <row r="11" spans="2:13" ht="40.5" customHeight="1" x14ac:dyDescent="0.25">
      <c r="B11" s="266" t="s">
        <v>49</v>
      </c>
      <c r="C11" s="88" t="s">
        <v>3105</v>
      </c>
      <c r="D11" s="267">
        <v>6.7</v>
      </c>
      <c r="E11" s="267">
        <v>6.8</v>
      </c>
      <c r="F11" s="267">
        <v>7.5</v>
      </c>
      <c r="G11" s="267">
        <v>84</v>
      </c>
      <c r="H11" s="268">
        <f>1/F11</f>
        <v>0.13333333333333333</v>
      </c>
      <c r="I11" s="268">
        <f>1/G11</f>
        <v>1.1904761904761904E-2</v>
      </c>
      <c r="J11" s="1557" t="s">
        <v>3115</v>
      </c>
    </row>
    <row r="12" spans="2:13" ht="30" x14ac:dyDescent="0.25">
      <c r="B12" s="266" t="s">
        <v>49</v>
      </c>
      <c r="C12" s="88" t="s">
        <v>3105</v>
      </c>
      <c r="D12" s="267">
        <v>6.7</v>
      </c>
      <c r="E12" s="267">
        <v>6.8</v>
      </c>
      <c r="H12" s="268">
        <f>0.813/6.7</f>
        <v>0.12134328358208954</v>
      </c>
      <c r="I12" s="268">
        <f>+H12*0.12</f>
        <v>1.4561194029850745E-2</v>
      </c>
      <c r="J12" s="1557"/>
      <c r="K12" s="259"/>
      <c r="M12" s="263" t="s">
        <v>54</v>
      </c>
    </row>
    <row r="13" spans="2:13" ht="30" x14ac:dyDescent="0.25">
      <c r="B13" s="266" t="s">
        <v>51</v>
      </c>
      <c r="C13" s="88" t="s">
        <v>3105</v>
      </c>
      <c r="D13" s="88"/>
      <c r="E13" s="88"/>
      <c r="F13" s="88">
        <f>1/7.5</f>
        <v>0.13333333333333333</v>
      </c>
      <c r="G13" s="88"/>
      <c r="H13" s="268"/>
      <c r="I13" s="268"/>
      <c r="M13" s="264" t="s">
        <v>55</v>
      </c>
    </row>
    <row r="14" spans="2:13" x14ac:dyDescent="0.25">
      <c r="B14" s="265" t="s">
        <v>334</v>
      </c>
      <c r="C14" s="88" t="s">
        <v>115</v>
      </c>
      <c r="D14" s="88"/>
      <c r="E14" s="88"/>
      <c r="F14" s="88"/>
      <c r="G14" s="88"/>
      <c r="H14" s="268">
        <f>1/8</f>
        <v>0.125</v>
      </c>
      <c r="I14" s="268"/>
      <c r="J14">
        <f>0.09*0.12</f>
        <v>1.0799999999999999E-2</v>
      </c>
      <c r="M14" s="264" t="s">
        <v>56</v>
      </c>
    </row>
    <row r="15" spans="2:13" x14ac:dyDescent="0.25">
      <c r="B15" s="265" t="s">
        <v>3025</v>
      </c>
      <c r="C15" s="88" t="s">
        <v>3105</v>
      </c>
      <c r="D15" s="88"/>
      <c r="E15" s="88"/>
      <c r="F15" s="88"/>
      <c r="G15" s="88"/>
      <c r="H15" s="268"/>
      <c r="I15" s="268"/>
      <c r="M15" s="264" t="s">
        <v>58</v>
      </c>
    </row>
    <row r="16" spans="2:13" x14ac:dyDescent="0.25">
      <c r="B16" s="265" t="s">
        <v>2933</v>
      </c>
      <c r="C16" s="88" t="s">
        <v>3105</v>
      </c>
      <c r="J16">
        <f>0.61*3.78/6.7</f>
        <v>0.3441492537313432</v>
      </c>
      <c r="M16" s="264" t="s">
        <v>57</v>
      </c>
    </row>
    <row r="17" spans="2:8" x14ac:dyDescent="0.25">
      <c r="B17" s="265" t="s">
        <v>3024</v>
      </c>
      <c r="C17" s="88" t="s">
        <v>3105</v>
      </c>
      <c r="D17" s="88"/>
      <c r="E17" s="88"/>
      <c r="F17" s="88"/>
      <c r="G17" s="88"/>
    </row>
    <row r="27" spans="2:8" x14ac:dyDescent="0.25">
      <c r="H27" s="267">
        <f>2.45/3.78</f>
        <v>0.64814814814814825</v>
      </c>
    </row>
    <row r="32" spans="2:8" x14ac:dyDescent="0.25">
      <c r="C32">
        <f>0.6/3.78</f>
        <v>0.15873015873015872</v>
      </c>
      <c r="F32">
        <v>0.61</v>
      </c>
    </row>
  </sheetData>
  <sortState xmlns:xlrd2="http://schemas.microsoft.com/office/spreadsheetml/2017/richdata2" ref="M3:M17">
    <sortCondition ref="M3"/>
  </sortState>
  <mergeCells count="4">
    <mergeCell ref="F2:G2"/>
    <mergeCell ref="H2:I2"/>
    <mergeCell ref="D3:E3"/>
    <mergeCell ref="J11:J12"/>
  </mergeCells>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E206"/>
  <sheetViews>
    <sheetView topLeftCell="A114" zoomScale="55" zoomScaleNormal="55" workbookViewId="0">
      <selection activeCell="B122" sqref="B122"/>
    </sheetView>
  </sheetViews>
  <sheetFormatPr baseColWidth="10" defaultColWidth="11.5703125" defaultRowHeight="15" x14ac:dyDescent="0.25"/>
  <cols>
    <col min="2" max="2" width="87" bestFit="1" customWidth="1"/>
    <col min="6" max="6" width="16.7109375" bestFit="1" customWidth="1"/>
    <col min="7" max="7" width="13.42578125" bestFit="1" customWidth="1"/>
    <col min="8" max="8" width="25.28515625" customWidth="1"/>
    <col min="10" max="10" width="30.28515625" customWidth="1"/>
    <col min="15" max="15" width="16.140625" bestFit="1" customWidth="1"/>
    <col min="18" max="18" width="18.7109375" customWidth="1"/>
    <col min="24" max="25" width="14.7109375" customWidth="1"/>
    <col min="26" max="26" width="13.85546875" bestFit="1" customWidth="1"/>
    <col min="28" max="28" width="14.28515625" bestFit="1" customWidth="1"/>
  </cols>
  <sheetData>
    <row r="1" spans="1:31" ht="55.9" customHeight="1" thickBot="1" x14ac:dyDescent="0.3">
      <c r="A1" s="543" t="s">
        <v>0</v>
      </c>
      <c r="B1" s="544" t="s">
        <v>1</v>
      </c>
      <c r="C1" s="544" t="s">
        <v>2</v>
      </c>
      <c r="D1" s="545" t="s">
        <v>3149</v>
      </c>
      <c r="E1" s="739" t="s">
        <v>3391</v>
      </c>
      <c r="F1" s="1050"/>
      <c r="G1" s="784" t="s">
        <v>3161</v>
      </c>
      <c r="H1" s="774" t="s">
        <v>3420</v>
      </c>
      <c r="I1" s="766" t="s">
        <v>3453</v>
      </c>
      <c r="J1" s="782" t="s">
        <v>3451</v>
      </c>
      <c r="K1" s="782" t="s">
        <v>3442</v>
      </c>
      <c r="L1" s="782" t="s">
        <v>3476</v>
      </c>
      <c r="M1" s="791" t="s">
        <v>3480</v>
      </c>
      <c r="N1" s="791" t="s">
        <v>3484</v>
      </c>
      <c r="O1" s="775" t="s">
        <v>3204</v>
      </c>
      <c r="P1" s="782" t="s">
        <v>3497</v>
      </c>
      <c r="Q1" s="791" t="s">
        <v>3482</v>
      </c>
      <c r="R1" s="775" t="s">
        <v>3479</v>
      </c>
      <c r="S1" s="775" t="s">
        <v>3226</v>
      </c>
      <c r="T1" s="782" t="s">
        <v>3223</v>
      </c>
      <c r="U1" s="546" t="s">
        <v>3230</v>
      </c>
      <c r="V1" s="782" t="s">
        <v>3455</v>
      </c>
      <c r="W1" s="782" t="s">
        <v>3470</v>
      </c>
      <c r="X1" s="782" t="s">
        <v>3464</v>
      </c>
      <c r="Y1" s="782" t="s">
        <v>3468</v>
      </c>
      <c r="Z1" s="962" t="s">
        <v>3495</v>
      </c>
      <c r="AA1" s="782" t="s">
        <v>3259</v>
      </c>
      <c r="AB1" s="775" t="s">
        <v>3481</v>
      </c>
      <c r="AC1" s="767" t="s">
        <v>3417</v>
      </c>
      <c r="AD1" s="768" t="s">
        <v>3418</v>
      </c>
      <c r="AE1" s="768" t="s">
        <v>3419</v>
      </c>
    </row>
    <row r="2" spans="1:31" x14ac:dyDescent="0.25">
      <c r="A2" s="537">
        <v>1</v>
      </c>
      <c r="B2" s="563" t="s">
        <v>116</v>
      </c>
      <c r="C2" s="538" t="s">
        <v>6</v>
      </c>
      <c r="D2" s="539"/>
      <c r="E2" s="540"/>
      <c r="F2" s="1051"/>
      <c r="G2" s="541"/>
      <c r="H2" s="541"/>
      <c r="I2" s="541"/>
      <c r="J2" s="542"/>
      <c r="K2" s="542"/>
      <c r="L2" s="542"/>
      <c r="M2" s="792"/>
      <c r="N2" s="792"/>
      <c r="O2" s="765"/>
      <c r="P2" s="542"/>
      <c r="Q2" s="792"/>
      <c r="R2" s="765"/>
      <c r="S2" s="985"/>
      <c r="T2" s="542"/>
      <c r="U2" s="542"/>
      <c r="V2" s="542"/>
      <c r="W2" s="542"/>
      <c r="X2" s="542"/>
      <c r="Y2" s="542"/>
      <c r="Z2" s="542"/>
      <c r="AA2" s="1069"/>
      <c r="AB2" s="1070"/>
      <c r="AC2" s="1070"/>
      <c r="AD2" s="1070"/>
      <c r="AE2" s="674"/>
    </row>
    <row r="3" spans="1:31" x14ac:dyDescent="0.25">
      <c r="A3" s="525">
        <f t="shared" ref="A3:A66" si="0">+A2+1</f>
        <v>2</v>
      </c>
      <c r="B3" s="564" t="s">
        <v>117</v>
      </c>
      <c r="C3" s="3" t="s">
        <v>6</v>
      </c>
      <c r="D3" s="339"/>
      <c r="E3" s="333"/>
      <c r="F3" s="1052"/>
      <c r="G3" s="65"/>
      <c r="H3" s="65"/>
      <c r="I3" s="65"/>
      <c r="J3" s="327"/>
      <c r="K3" s="327"/>
      <c r="L3" s="327"/>
      <c r="M3" s="664"/>
      <c r="N3" s="664"/>
      <c r="O3" s="765"/>
      <c r="P3" s="327"/>
      <c r="Q3" s="664"/>
      <c r="R3" s="765"/>
      <c r="S3" s="985"/>
      <c r="T3" s="327"/>
      <c r="U3" s="327"/>
      <c r="V3" s="327"/>
      <c r="W3" s="327"/>
      <c r="X3" s="327"/>
      <c r="Y3" s="327"/>
      <c r="Z3" s="327"/>
      <c r="AA3" s="1041"/>
      <c r="AB3" s="1071"/>
      <c r="AC3" s="1071"/>
      <c r="AD3" s="1071"/>
      <c r="AE3" s="675"/>
    </row>
    <row r="4" spans="1:31" x14ac:dyDescent="0.25">
      <c r="A4" s="525">
        <f t="shared" si="0"/>
        <v>3</v>
      </c>
      <c r="B4" s="66" t="s">
        <v>82</v>
      </c>
      <c r="C4" s="300" t="s">
        <v>93</v>
      </c>
      <c r="D4" s="339"/>
      <c r="E4" s="330"/>
      <c r="F4" s="1043"/>
      <c r="G4" s="63"/>
      <c r="H4" s="63"/>
      <c r="I4" s="63"/>
      <c r="J4" s="328"/>
      <c r="K4" s="328"/>
      <c r="L4" s="328"/>
      <c r="M4" s="332"/>
      <c r="N4" s="332"/>
      <c r="O4" s="1037"/>
      <c r="P4" s="328"/>
      <c r="Q4" s="332"/>
      <c r="R4" s="765"/>
      <c r="S4" s="783"/>
      <c r="T4" s="328"/>
      <c r="U4" s="328"/>
      <c r="V4" s="328"/>
      <c r="W4" s="328"/>
      <c r="X4" s="328"/>
      <c r="Y4" s="328"/>
      <c r="Z4" s="328"/>
      <c r="AA4" s="783"/>
      <c r="AB4" s="1071"/>
      <c r="AC4" s="1071"/>
      <c r="AD4" s="1071"/>
      <c r="AE4" s="676"/>
    </row>
    <row r="5" spans="1:31" ht="180" x14ac:dyDescent="0.25">
      <c r="A5" s="525">
        <f t="shared" si="0"/>
        <v>4</v>
      </c>
      <c r="B5" s="66" t="s">
        <v>35</v>
      </c>
      <c r="C5" s="3" t="s">
        <v>115</v>
      </c>
      <c r="D5" s="339"/>
      <c r="E5" s="333"/>
      <c r="F5" s="1052"/>
      <c r="G5" s="65"/>
      <c r="H5" s="65"/>
      <c r="I5" s="65"/>
      <c r="J5" s="327"/>
      <c r="K5" s="787" t="s">
        <v>3443</v>
      </c>
      <c r="L5" s="327"/>
      <c r="M5" s="664"/>
      <c r="N5" s="805" t="s">
        <v>3487</v>
      </c>
      <c r="O5" s="765"/>
      <c r="P5" s="327"/>
      <c r="Q5" s="664"/>
      <c r="R5" s="765"/>
      <c r="S5" s="788" t="s">
        <v>3399</v>
      </c>
      <c r="T5" s="327"/>
      <c r="U5" s="327"/>
      <c r="V5" s="327"/>
      <c r="W5" s="327"/>
      <c r="X5" s="327"/>
      <c r="Y5" s="327"/>
      <c r="Z5" s="327"/>
      <c r="AA5" s="1041"/>
      <c r="AB5" s="1071"/>
      <c r="AC5" s="1071"/>
      <c r="AD5" s="1071"/>
      <c r="AE5" s="675"/>
    </row>
    <row r="6" spans="1:31" ht="105" x14ac:dyDescent="0.25">
      <c r="A6" s="525">
        <f t="shared" si="0"/>
        <v>5</v>
      </c>
      <c r="B6" s="564" t="s">
        <v>155</v>
      </c>
      <c r="C6" s="3" t="s">
        <v>13</v>
      </c>
      <c r="D6" s="339"/>
      <c r="E6" s="333"/>
      <c r="F6" s="1052"/>
      <c r="G6" s="65"/>
      <c r="H6" s="65"/>
      <c r="I6" s="65"/>
      <c r="J6" s="327"/>
      <c r="K6" s="327"/>
      <c r="L6" s="327"/>
      <c r="M6" s="664"/>
      <c r="N6" s="664"/>
      <c r="O6" s="1037"/>
      <c r="P6" s="327"/>
      <c r="Q6" s="664"/>
      <c r="R6" s="785"/>
      <c r="S6" s="327"/>
      <c r="T6" s="327"/>
      <c r="U6" s="327"/>
      <c r="V6" s="793"/>
      <c r="W6" s="794" t="s">
        <v>3472</v>
      </c>
      <c r="X6" s="793"/>
      <c r="Y6" s="793"/>
      <c r="Z6" s="793"/>
      <c r="AA6" s="1044"/>
      <c r="AB6" s="1071"/>
      <c r="AC6" s="1071"/>
      <c r="AD6" s="1071"/>
      <c r="AE6" s="675"/>
    </row>
    <row r="7" spans="1:31" ht="120" x14ac:dyDescent="0.25">
      <c r="A7" s="525">
        <f t="shared" si="0"/>
        <v>6</v>
      </c>
      <c r="B7" s="564" t="s">
        <v>156</v>
      </c>
      <c r="C7" s="3" t="s">
        <v>13</v>
      </c>
      <c r="D7" s="339"/>
      <c r="E7" s="333"/>
      <c r="F7" s="1052"/>
      <c r="G7" s="65"/>
      <c r="H7" s="65"/>
      <c r="I7" s="65"/>
      <c r="J7" s="327"/>
      <c r="K7" s="327"/>
      <c r="L7" s="327"/>
      <c r="M7" s="664"/>
      <c r="N7" s="664"/>
      <c r="O7" s="1037"/>
      <c r="P7" s="327"/>
      <c r="Q7" s="664"/>
      <c r="R7" s="785"/>
      <c r="S7" s="327"/>
      <c r="T7" s="327"/>
      <c r="U7" s="327"/>
      <c r="V7" s="787" t="s">
        <v>3457</v>
      </c>
      <c r="W7" s="787" t="s">
        <v>3471</v>
      </c>
      <c r="X7" s="787"/>
      <c r="Y7" s="787"/>
      <c r="Z7" s="793"/>
      <c r="AA7" s="1044"/>
      <c r="AB7" s="1071"/>
      <c r="AC7" s="1071"/>
      <c r="AD7" s="1071"/>
      <c r="AE7" s="675"/>
    </row>
    <row r="8" spans="1:31" ht="105" x14ac:dyDescent="0.25">
      <c r="A8" s="525">
        <f t="shared" si="0"/>
        <v>7</v>
      </c>
      <c r="B8" s="66" t="s">
        <v>59</v>
      </c>
      <c r="C8" s="3" t="s">
        <v>115</v>
      </c>
      <c r="D8" s="339"/>
      <c r="E8" s="330"/>
      <c r="F8" s="1043"/>
      <c r="G8" s="63"/>
      <c r="H8" s="63"/>
      <c r="I8" s="63"/>
      <c r="J8" s="328"/>
      <c r="K8" s="328"/>
      <c r="L8" s="328"/>
      <c r="M8" s="332"/>
      <c r="N8" s="332"/>
      <c r="O8" s="1037"/>
      <c r="P8" s="330"/>
      <c r="Q8" s="350"/>
      <c r="R8" s="785"/>
      <c r="S8" s="786"/>
      <c r="T8" s="328"/>
      <c r="U8" s="328"/>
      <c r="V8" s="787" t="s">
        <v>3456</v>
      </c>
      <c r="W8" s="787"/>
      <c r="X8" s="787"/>
      <c r="Y8" s="787"/>
      <c r="Z8" s="742"/>
      <c r="AA8" s="1072"/>
      <c r="AB8" s="1071"/>
      <c r="AC8" s="1071"/>
      <c r="AD8" s="1071"/>
      <c r="AE8" s="676"/>
    </row>
    <row r="9" spans="1:31" ht="15.75" x14ac:dyDescent="0.25">
      <c r="A9" s="525">
        <f t="shared" si="0"/>
        <v>8</v>
      </c>
      <c r="B9" s="564" t="s">
        <v>5</v>
      </c>
      <c r="C9" s="3" t="s">
        <v>4</v>
      </c>
      <c r="D9" s="339"/>
      <c r="E9" s="333"/>
      <c r="F9" s="1052"/>
      <c r="G9" s="65"/>
      <c r="H9" s="65"/>
      <c r="I9" s="65"/>
      <c r="J9" s="327"/>
      <c r="K9" s="327"/>
      <c r="L9" s="327"/>
      <c r="M9" s="664"/>
      <c r="N9" s="664"/>
      <c r="O9" s="765"/>
      <c r="P9" s="370"/>
      <c r="Q9" s="800"/>
      <c r="R9" s="765"/>
      <c r="S9" s="327"/>
      <c r="T9" s="327"/>
      <c r="U9" s="327"/>
      <c r="V9" s="793"/>
      <c r="W9" s="793"/>
      <c r="X9" s="793"/>
      <c r="Y9" s="793"/>
      <c r="Z9" s="793"/>
      <c r="AA9" s="1044"/>
      <c r="AB9" s="1071"/>
      <c r="AC9" s="1071"/>
      <c r="AD9" s="1071"/>
      <c r="AE9" s="675"/>
    </row>
    <row r="10" spans="1:31" ht="25.5" x14ac:dyDescent="0.25">
      <c r="A10" s="525">
        <f t="shared" si="0"/>
        <v>9</v>
      </c>
      <c r="B10" s="66" t="s">
        <v>3134</v>
      </c>
      <c r="C10" s="300" t="s">
        <v>10</v>
      </c>
      <c r="D10" s="339"/>
      <c r="E10" s="330"/>
      <c r="F10" s="1043"/>
      <c r="G10" s="63"/>
      <c r="H10" s="63"/>
      <c r="I10" s="63"/>
      <c r="J10" s="328"/>
      <c r="K10" s="328"/>
      <c r="L10" s="328"/>
      <c r="M10" s="328"/>
      <c r="N10" s="328"/>
      <c r="O10" s="783"/>
      <c r="P10" s="328"/>
      <c r="Q10" s="332"/>
      <c r="R10" s="785"/>
      <c r="S10" s="328"/>
      <c r="T10" s="328"/>
      <c r="U10" s="328"/>
      <c r="V10" s="328"/>
      <c r="W10" s="328"/>
      <c r="X10" s="328"/>
      <c r="Y10" s="328"/>
      <c r="Z10" s="328"/>
      <c r="AA10" s="783"/>
      <c r="AB10" s="1071"/>
      <c r="AC10" s="1071"/>
      <c r="AD10" s="1071"/>
      <c r="AE10" s="676"/>
    </row>
    <row r="11" spans="1:31" ht="38.25" x14ac:dyDescent="0.25">
      <c r="A11" s="525">
        <f t="shared" si="0"/>
        <v>10</v>
      </c>
      <c r="B11" s="66" t="s">
        <v>79</v>
      </c>
      <c r="C11" s="3" t="s">
        <v>13</v>
      </c>
      <c r="D11" s="339"/>
      <c r="E11" s="364"/>
      <c r="F11" s="1053"/>
      <c r="G11" s="63"/>
      <c r="H11" s="63"/>
      <c r="I11" s="63"/>
      <c r="J11" s="328"/>
      <c r="K11" s="328"/>
      <c r="L11" s="328"/>
      <c r="M11" s="328"/>
      <c r="N11" s="328"/>
      <c r="O11" s="783"/>
      <c r="P11" s="328"/>
      <c r="Q11" s="332"/>
      <c r="R11" s="785"/>
      <c r="S11" s="328"/>
      <c r="T11" s="328"/>
      <c r="U11" s="328"/>
      <c r="V11" s="328"/>
      <c r="W11" s="328"/>
      <c r="X11" s="328"/>
      <c r="Y11" s="328"/>
      <c r="Z11" s="328"/>
      <c r="AA11" s="783"/>
      <c r="AB11" s="1073"/>
      <c r="AC11" s="1073"/>
      <c r="AD11" s="1073"/>
      <c r="AE11" s="676"/>
    </row>
    <row r="12" spans="1:31" ht="75" x14ac:dyDescent="0.25">
      <c r="A12" s="525">
        <f t="shared" si="0"/>
        <v>11</v>
      </c>
      <c r="B12" s="566" t="s">
        <v>3158</v>
      </c>
      <c r="C12" s="300" t="s">
        <v>10</v>
      </c>
      <c r="D12" s="339"/>
      <c r="E12" s="330"/>
      <c r="F12" s="1053"/>
      <c r="G12" s="303"/>
      <c r="H12" s="303"/>
      <c r="I12" s="303"/>
      <c r="J12" s="389"/>
      <c r="K12" s="389"/>
      <c r="L12" s="389"/>
      <c r="M12" s="665"/>
      <c r="N12" s="665"/>
      <c r="O12" s="1038"/>
      <c r="P12" s="389"/>
      <c r="Q12" s="665"/>
      <c r="R12" s="1067"/>
      <c r="S12" s="389"/>
      <c r="T12" s="389"/>
      <c r="U12" s="389"/>
      <c r="V12" s="389"/>
      <c r="W12" s="389"/>
      <c r="X12" s="389"/>
      <c r="Y12" s="389"/>
      <c r="Z12" s="1123" t="s">
        <v>6878</v>
      </c>
      <c r="AA12" s="1039"/>
      <c r="AB12" s="1043"/>
      <c r="AC12" s="1043"/>
      <c r="AD12" s="1043"/>
      <c r="AE12" s="671"/>
    </row>
    <row r="13" spans="1:31" ht="25.5" x14ac:dyDescent="0.25">
      <c r="A13" s="525">
        <f t="shared" si="0"/>
        <v>12</v>
      </c>
      <c r="B13" s="66" t="s">
        <v>65</v>
      </c>
      <c r="C13" s="300" t="s">
        <v>10</v>
      </c>
      <c r="D13" s="339"/>
      <c r="E13" s="330"/>
      <c r="F13" s="1043"/>
      <c r="G13" s="303"/>
      <c r="H13" s="303"/>
      <c r="I13" s="303"/>
      <c r="J13" s="389"/>
      <c r="K13" s="389"/>
      <c r="L13" s="389"/>
      <c r="M13" s="389"/>
      <c r="N13" s="389"/>
      <c r="O13" s="1039"/>
      <c r="P13" s="330"/>
      <c r="Q13" s="350"/>
      <c r="R13" s="1067"/>
      <c r="S13" s="389"/>
      <c r="T13" s="389"/>
      <c r="U13" s="389"/>
      <c r="V13" s="389"/>
      <c r="W13" s="389"/>
      <c r="X13" s="389"/>
      <c r="Y13" s="389"/>
      <c r="Z13" s="389"/>
      <c r="AA13" s="1039"/>
      <c r="AB13" s="1074"/>
      <c r="AC13" s="1074"/>
      <c r="AD13" s="1074"/>
      <c r="AE13" s="671"/>
    </row>
    <row r="14" spans="1:31" ht="51" x14ac:dyDescent="0.25">
      <c r="A14" s="525">
        <f t="shared" si="0"/>
        <v>13</v>
      </c>
      <c r="B14" s="66" t="s">
        <v>81</v>
      </c>
      <c r="C14" s="300" t="s">
        <v>10</v>
      </c>
      <c r="D14" s="339"/>
      <c r="E14" s="300"/>
      <c r="F14" s="1043"/>
      <c r="G14" s="63"/>
      <c r="H14" s="63"/>
      <c r="I14" s="63"/>
      <c r="J14" s="328"/>
      <c r="K14" s="328"/>
      <c r="L14" s="328"/>
      <c r="M14" s="328"/>
      <c r="N14" s="328"/>
      <c r="O14" s="783"/>
      <c r="P14" s="330"/>
      <c r="Q14" s="350"/>
      <c r="R14" s="785"/>
      <c r="S14" s="328"/>
      <c r="T14" s="328"/>
      <c r="U14" s="328"/>
      <c r="V14" s="328"/>
      <c r="W14" s="328"/>
      <c r="X14" s="328"/>
      <c r="Y14" s="328"/>
      <c r="Z14" s="328"/>
      <c r="AA14" s="783"/>
      <c r="AB14" s="1071"/>
      <c r="AC14" s="1071"/>
      <c r="AD14" s="1071"/>
      <c r="AE14" s="676"/>
    </row>
    <row r="15" spans="1:31" ht="38.25" x14ac:dyDescent="0.25">
      <c r="A15" s="525">
        <f t="shared" si="0"/>
        <v>14</v>
      </c>
      <c r="B15" s="66" t="s">
        <v>80</v>
      </c>
      <c r="C15" s="300" t="s">
        <v>10</v>
      </c>
      <c r="D15" s="339"/>
      <c r="E15" s="330"/>
      <c r="F15" s="1053"/>
      <c r="G15" s="63"/>
      <c r="H15" s="63"/>
      <c r="I15" s="63"/>
      <c r="J15" s="328"/>
      <c r="K15" s="328"/>
      <c r="L15" s="328"/>
      <c r="M15" s="328"/>
      <c r="N15" s="328"/>
      <c r="O15" s="783"/>
      <c r="P15" s="330"/>
      <c r="Q15" s="350"/>
      <c r="R15" s="785"/>
      <c r="S15" s="328"/>
      <c r="T15" s="328"/>
      <c r="U15" s="328"/>
      <c r="V15" s="328"/>
      <c r="W15" s="328"/>
      <c r="X15" s="328"/>
      <c r="Y15" s="328"/>
      <c r="Z15" s="328"/>
      <c r="AA15" s="783"/>
      <c r="AB15" s="1075"/>
      <c r="AC15" s="1075"/>
      <c r="AD15" s="1075"/>
      <c r="AE15" s="676"/>
    </row>
    <row r="16" spans="1:31" ht="38.25" x14ac:dyDescent="0.25">
      <c r="A16" s="525">
        <f t="shared" si="0"/>
        <v>15</v>
      </c>
      <c r="B16" s="66" t="s">
        <v>328</v>
      </c>
      <c r="C16" s="300" t="s">
        <v>10</v>
      </c>
      <c r="D16" s="339"/>
      <c r="E16" s="330"/>
      <c r="F16" s="1043"/>
      <c r="G16" s="63"/>
      <c r="H16" s="63"/>
      <c r="I16" s="63"/>
      <c r="J16" s="328"/>
      <c r="K16" s="328"/>
      <c r="L16" s="328"/>
      <c r="M16" s="328"/>
      <c r="N16" s="328"/>
      <c r="O16" s="783"/>
      <c r="P16" s="330"/>
      <c r="Q16" s="350"/>
      <c r="R16" s="785"/>
      <c r="S16" s="328"/>
      <c r="T16" s="328"/>
      <c r="U16" s="328"/>
      <c r="V16" s="328"/>
      <c r="W16" s="328"/>
      <c r="X16" s="328"/>
      <c r="Y16" s="328"/>
      <c r="Z16" s="328"/>
      <c r="AA16" s="783"/>
      <c r="AB16" s="1071"/>
      <c r="AC16" s="1071"/>
      <c r="AD16" s="1071"/>
      <c r="AE16" s="676"/>
    </row>
    <row r="17" spans="1:20" ht="25.5" x14ac:dyDescent="0.25">
      <c r="A17" s="525">
        <f t="shared" si="0"/>
        <v>16</v>
      </c>
      <c r="B17" s="66" t="s">
        <v>61</v>
      </c>
      <c r="C17" s="300" t="s">
        <v>10</v>
      </c>
      <c r="D17" s="339"/>
      <c r="E17" s="330"/>
      <c r="F17" s="1053"/>
      <c r="G17" s="63"/>
      <c r="H17" s="63"/>
      <c r="I17" s="63"/>
      <c r="J17" s="328"/>
      <c r="K17" s="328"/>
      <c r="L17" s="328"/>
      <c r="M17" s="328"/>
      <c r="N17" s="328"/>
      <c r="O17" s="1040"/>
      <c r="P17" s="330"/>
      <c r="Q17" s="350"/>
      <c r="R17" s="785"/>
      <c r="S17" s="328"/>
      <c r="T17" s="328"/>
    </row>
    <row r="18" spans="1:20" ht="25.5" x14ac:dyDescent="0.25">
      <c r="A18" s="525">
        <f t="shared" si="0"/>
        <v>17</v>
      </c>
      <c r="B18" s="66" t="s">
        <v>62</v>
      </c>
      <c r="C18" s="300" t="s">
        <v>10</v>
      </c>
      <c r="D18" s="339"/>
      <c r="E18" s="330"/>
      <c r="F18" s="1053"/>
      <c r="G18" s="63"/>
      <c r="H18" s="63"/>
      <c r="I18" s="63"/>
      <c r="J18" s="328"/>
      <c r="K18" s="328"/>
      <c r="L18" s="328"/>
      <c r="M18" s="328"/>
      <c r="N18" s="328"/>
      <c r="O18" s="1040"/>
      <c r="P18" s="330"/>
      <c r="Q18" s="350"/>
      <c r="R18" s="785"/>
      <c r="S18" s="328"/>
      <c r="T18" s="328"/>
    </row>
    <row r="19" spans="1:20" ht="195" x14ac:dyDescent="0.25">
      <c r="A19" s="525">
        <f t="shared" si="0"/>
        <v>18</v>
      </c>
      <c r="B19" s="66" t="s">
        <v>85</v>
      </c>
      <c r="C19" s="300" t="s">
        <v>10</v>
      </c>
      <c r="D19" s="339"/>
      <c r="E19" s="333"/>
      <c r="F19" s="1052"/>
      <c r="G19" s="65"/>
      <c r="H19" s="65"/>
      <c r="I19" s="65"/>
      <c r="J19" s="327"/>
      <c r="K19" s="328"/>
      <c r="L19" s="787" t="s">
        <v>3478</v>
      </c>
      <c r="M19" s="787"/>
      <c r="N19" s="787"/>
      <c r="O19" s="1041"/>
      <c r="P19" s="327"/>
      <c r="Q19" s="664"/>
      <c r="R19" s="785"/>
      <c r="S19" s="788" t="s">
        <v>3400</v>
      </c>
      <c r="T19" s="327"/>
    </row>
    <row r="20" spans="1:20" ht="165" x14ac:dyDescent="0.25">
      <c r="A20" s="525">
        <f t="shared" si="0"/>
        <v>19</v>
      </c>
      <c r="B20" s="66" t="s">
        <v>26</v>
      </c>
      <c r="C20" s="300" t="s">
        <v>10</v>
      </c>
      <c r="D20" s="339"/>
      <c r="E20" s="333"/>
      <c r="F20" s="1052"/>
      <c r="G20" s="65"/>
      <c r="H20" s="65"/>
      <c r="I20" s="65"/>
      <c r="J20" s="327"/>
      <c r="K20" s="787" t="s">
        <v>3444</v>
      </c>
      <c r="L20" s="787"/>
      <c r="M20" s="787"/>
      <c r="N20" s="787"/>
      <c r="O20" s="1041"/>
      <c r="P20" s="327"/>
      <c r="Q20" s="664"/>
      <c r="R20" s="785"/>
      <c r="S20" s="788" t="s">
        <v>3416</v>
      </c>
      <c r="T20" s="327"/>
    </row>
    <row r="21" spans="1:20" ht="195" x14ac:dyDescent="0.25">
      <c r="A21" s="525">
        <f t="shared" si="0"/>
        <v>20</v>
      </c>
      <c r="B21" s="66" t="s">
        <v>25</v>
      </c>
      <c r="C21" s="300" t="s">
        <v>10</v>
      </c>
      <c r="D21" s="339"/>
      <c r="E21" s="333"/>
      <c r="F21" s="1052"/>
      <c r="G21" s="65"/>
      <c r="H21" s="65"/>
      <c r="I21" s="65"/>
      <c r="J21" s="327"/>
      <c r="K21" s="327"/>
      <c r="L21" s="787" t="s">
        <v>3477</v>
      </c>
      <c r="M21" s="787"/>
      <c r="N21" s="787"/>
      <c r="O21" s="1041"/>
      <c r="P21" s="327"/>
      <c r="Q21" s="664"/>
      <c r="R21" s="785"/>
      <c r="S21" s="788" t="s">
        <v>3401</v>
      </c>
      <c r="T21" s="327"/>
    </row>
    <row r="22" spans="1:20" x14ac:dyDescent="0.25">
      <c r="A22" s="525">
        <f t="shared" si="0"/>
        <v>21</v>
      </c>
      <c r="B22" s="564" t="s">
        <v>322</v>
      </c>
      <c r="C22" s="300" t="s">
        <v>10</v>
      </c>
      <c r="D22" s="339"/>
      <c r="E22" s="330"/>
      <c r="F22" s="1053"/>
      <c r="G22" s="63"/>
      <c r="H22" s="63"/>
      <c r="I22" s="63"/>
      <c r="J22" s="328"/>
      <c r="K22" s="328"/>
      <c r="L22" s="328"/>
      <c r="M22" s="328"/>
      <c r="N22" s="328"/>
      <c r="O22" s="783"/>
      <c r="P22" s="328"/>
      <c r="Q22" s="332"/>
      <c r="R22" s="785"/>
      <c r="S22" s="328"/>
      <c r="T22" s="328"/>
    </row>
    <row r="23" spans="1:20" ht="165" x14ac:dyDescent="0.25">
      <c r="A23" s="525">
        <f t="shared" si="0"/>
        <v>22</v>
      </c>
      <c r="B23" s="564" t="s">
        <v>8</v>
      </c>
      <c r="C23" s="3" t="s">
        <v>6</v>
      </c>
      <c r="D23" s="339"/>
      <c r="E23" s="333"/>
      <c r="F23" s="1052"/>
      <c r="G23" s="65"/>
      <c r="H23" s="65"/>
      <c r="I23" s="65"/>
      <c r="J23" s="327"/>
      <c r="K23" s="327"/>
      <c r="L23" s="327"/>
      <c r="M23" s="327"/>
      <c r="N23" s="327"/>
      <c r="O23" s="1041"/>
      <c r="P23" s="327"/>
      <c r="Q23" s="664"/>
      <c r="R23" s="785"/>
      <c r="S23" s="788" t="s">
        <v>3402</v>
      </c>
      <c r="T23" s="787" t="s">
        <v>3435</v>
      </c>
    </row>
    <row r="24" spans="1:20" ht="75" x14ac:dyDescent="0.25">
      <c r="A24" s="525">
        <f t="shared" si="0"/>
        <v>23</v>
      </c>
      <c r="B24" s="66" t="s">
        <v>27</v>
      </c>
      <c r="C24" s="300" t="s">
        <v>10</v>
      </c>
      <c r="D24" s="339"/>
      <c r="E24" s="333"/>
      <c r="F24" s="1052"/>
      <c r="G24" s="65"/>
      <c r="H24" s="65"/>
      <c r="I24" s="65"/>
      <c r="J24" s="327"/>
      <c r="K24" s="327"/>
      <c r="L24" s="327"/>
      <c r="M24" s="1349" t="s">
        <v>6893</v>
      </c>
      <c r="N24" s="327"/>
      <c r="O24" s="1041"/>
      <c r="P24" s="327"/>
      <c r="Q24" s="664"/>
      <c r="R24" s="785"/>
      <c r="S24" s="787"/>
      <c r="T24" s="327"/>
    </row>
    <row r="25" spans="1:20" ht="180" x14ac:dyDescent="0.25">
      <c r="A25" s="525">
        <f t="shared" si="0"/>
        <v>24</v>
      </c>
      <c r="B25" s="66" t="s">
        <v>63</v>
      </c>
      <c r="C25" s="3" t="s">
        <v>13</v>
      </c>
      <c r="D25" s="339"/>
      <c r="E25" s="330"/>
      <c r="F25" s="1053"/>
      <c r="G25" s="63"/>
      <c r="H25" s="63"/>
      <c r="I25" s="63"/>
      <c r="J25" s="783"/>
      <c r="K25" s="789"/>
      <c r="L25" s="328"/>
      <c r="M25" s="328"/>
      <c r="N25" s="328"/>
      <c r="O25" s="783"/>
      <c r="P25" s="330"/>
      <c r="Q25" s="350"/>
      <c r="R25" s="795"/>
      <c r="S25" s="796" t="s">
        <v>3403</v>
      </c>
      <c r="T25" s="328"/>
    </row>
    <row r="26" spans="1:20" x14ac:dyDescent="0.25">
      <c r="A26" s="525">
        <f t="shared" si="0"/>
        <v>25</v>
      </c>
      <c r="B26" s="565" t="s">
        <v>97</v>
      </c>
      <c r="C26" s="3" t="s">
        <v>4</v>
      </c>
      <c r="D26" s="358"/>
      <c r="E26" s="357"/>
      <c r="F26" s="1054"/>
      <c r="G26" s="64"/>
      <c r="H26" s="64"/>
      <c r="I26" s="64"/>
      <c r="J26" s="329"/>
      <c r="K26" s="329"/>
      <c r="L26" s="329"/>
      <c r="M26" s="329"/>
      <c r="N26" s="329"/>
      <c r="O26" s="1042"/>
      <c r="P26" s="329"/>
      <c r="Q26" s="663"/>
      <c r="R26" s="765"/>
      <c r="S26" s="329"/>
      <c r="T26" s="329"/>
    </row>
    <row r="27" spans="1:20" x14ac:dyDescent="0.25">
      <c r="A27" s="525">
        <f t="shared" si="0"/>
        <v>26</v>
      </c>
      <c r="B27" s="565" t="s">
        <v>98</v>
      </c>
      <c r="C27" s="3" t="s">
        <v>4</v>
      </c>
      <c r="D27" s="358"/>
      <c r="E27" s="357"/>
      <c r="F27" s="1054"/>
      <c r="G27" s="64"/>
      <c r="H27" s="64"/>
      <c r="I27" s="64"/>
      <c r="J27" s="329"/>
      <c r="K27" s="329"/>
      <c r="L27" s="329"/>
      <c r="M27" s="329"/>
      <c r="N27" s="329"/>
      <c r="O27" s="1042"/>
      <c r="P27" s="329"/>
      <c r="Q27" s="663"/>
      <c r="R27" s="785"/>
      <c r="S27" s="329"/>
      <c r="T27" s="329"/>
    </row>
    <row r="28" spans="1:20" x14ac:dyDescent="0.25">
      <c r="A28" s="525">
        <f t="shared" si="0"/>
        <v>27</v>
      </c>
      <c r="B28" s="565" t="s">
        <v>99</v>
      </c>
      <c r="C28" s="3" t="s">
        <v>4</v>
      </c>
      <c r="D28" s="358"/>
      <c r="E28" s="357"/>
      <c r="F28" s="1054"/>
      <c r="G28" s="64"/>
      <c r="H28" s="64"/>
      <c r="I28" s="64"/>
      <c r="J28" s="329"/>
      <c r="K28" s="329"/>
      <c r="L28" s="329"/>
      <c r="M28" s="329"/>
      <c r="N28" s="329"/>
      <c r="O28" s="1042"/>
      <c r="P28" s="329"/>
      <c r="Q28" s="663"/>
      <c r="R28" s="765"/>
      <c r="S28" s="329"/>
      <c r="T28" s="329"/>
    </row>
    <row r="29" spans="1:20" x14ac:dyDescent="0.25">
      <c r="A29" s="525">
        <f t="shared" si="0"/>
        <v>28</v>
      </c>
      <c r="B29" s="565" t="s">
        <v>100</v>
      </c>
      <c r="C29" s="3" t="s">
        <v>4</v>
      </c>
      <c r="D29" s="358"/>
      <c r="E29" s="357"/>
      <c r="F29" s="1054"/>
      <c r="G29" s="64"/>
      <c r="H29" s="64"/>
      <c r="I29" s="64"/>
      <c r="J29" s="329"/>
      <c r="K29" s="329"/>
      <c r="L29" s="329"/>
      <c r="M29" s="329"/>
      <c r="N29" s="329"/>
      <c r="O29" s="1042"/>
      <c r="P29" s="329"/>
      <c r="Q29" s="663"/>
      <c r="R29" s="785"/>
      <c r="S29" s="329"/>
      <c r="T29" s="329"/>
    </row>
    <row r="30" spans="1:20" x14ac:dyDescent="0.25">
      <c r="A30" s="525">
        <f t="shared" si="0"/>
        <v>29</v>
      </c>
      <c r="B30" s="565" t="s">
        <v>101</v>
      </c>
      <c r="C30" s="3" t="s">
        <v>4</v>
      </c>
      <c r="D30" s="358"/>
      <c r="E30" s="357"/>
      <c r="F30" s="1054"/>
      <c r="G30" s="64"/>
      <c r="H30" s="64"/>
      <c r="I30" s="64"/>
      <c r="J30" s="329"/>
      <c r="K30" s="329"/>
      <c r="L30" s="329"/>
      <c r="M30" s="329"/>
      <c r="N30" s="329"/>
      <c r="O30" s="1042"/>
      <c r="P30" s="329"/>
      <c r="Q30" s="663"/>
      <c r="R30" s="765"/>
      <c r="S30" s="329"/>
      <c r="T30" s="329"/>
    </row>
    <row r="31" spans="1:20" x14ac:dyDescent="0.25">
      <c r="A31" s="525">
        <f t="shared" si="0"/>
        <v>30</v>
      </c>
      <c r="B31" s="565" t="s">
        <v>102</v>
      </c>
      <c r="C31" s="3" t="s">
        <v>4</v>
      </c>
      <c r="D31" s="358"/>
      <c r="E31" s="357"/>
      <c r="F31" s="1054"/>
      <c r="G31" s="64"/>
      <c r="H31" s="64"/>
      <c r="I31" s="64"/>
      <c r="J31" s="329"/>
      <c r="K31" s="329"/>
      <c r="L31" s="329"/>
      <c r="M31" s="329"/>
      <c r="N31" s="329"/>
      <c r="O31" s="1042"/>
      <c r="P31" s="329"/>
      <c r="Q31" s="663"/>
      <c r="R31" s="765"/>
      <c r="S31" s="329"/>
      <c r="T31" s="329"/>
    </row>
    <row r="32" spans="1:20" x14ac:dyDescent="0.25">
      <c r="A32" s="525">
        <f t="shared" si="0"/>
        <v>31</v>
      </c>
      <c r="B32" s="565" t="s">
        <v>22</v>
      </c>
      <c r="C32" s="3" t="s">
        <v>4</v>
      </c>
      <c r="D32" s="358"/>
      <c r="E32" s="357"/>
      <c r="F32" s="1054"/>
      <c r="G32" s="64"/>
      <c r="H32" s="64"/>
      <c r="I32" s="64"/>
      <c r="J32" s="329"/>
      <c r="K32" s="329"/>
      <c r="L32" s="329"/>
      <c r="M32" s="329"/>
      <c r="N32" s="329"/>
      <c r="O32" s="1042"/>
      <c r="P32" s="329"/>
      <c r="Q32" s="663"/>
      <c r="R32" s="785"/>
      <c r="S32" s="329"/>
      <c r="T32" s="329"/>
    </row>
    <row r="33" spans="1:27" x14ac:dyDescent="0.25">
      <c r="A33" s="525">
        <f t="shared" si="0"/>
        <v>32</v>
      </c>
      <c r="B33" s="564" t="s">
        <v>3213</v>
      </c>
      <c r="C33" s="300" t="s">
        <v>10</v>
      </c>
      <c r="D33" s="339"/>
      <c r="E33" s="330"/>
      <c r="F33" s="1053"/>
      <c r="G33" s="63"/>
      <c r="H33" s="63"/>
      <c r="I33" s="63"/>
      <c r="J33" s="328"/>
      <c r="K33" s="328"/>
      <c r="L33" s="328"/>
      <c r="M33" s="328"/>
      <c r="N33" s="328"/>
      <c r="O33" s="1043"/>
      <c r="P33" s="330"/>
      <c r="Q33" s="350"/>
      <c r="R33" s="785"/>
      <c r="S33" s="328"/>
      <c r="T33" s="328"/>
      <c r="U33" s="328"/>
      <c r="V33" s="328"/>
      <c r="W33" s="328"/>
      <c r="X33" s="328"/>
      <c r="Y33" s="328"/>
      <c r="Z33" s="328"/>
      <c r="AA33" s="783"/>
    </row>
    <row r="34" spans="1:27" ht="25.5" x14ac:dyDescent="0.25">
      <c r="A34" s="525">
        <f t="shared" si="0"/>
        <v>33</v>
      </c>
      <c r="B34" s="66" t="s">
        <v>64</v>
      </c>
      <c r="C34" s="300" t="s">
        <v>10</v>
      </c>
      <c r="D34" s="339"/>
      <c r="E34" s="330"/>
      <c r="F34" s="1053"/>
      <c r="G34" s="63"/>
      <c r="H34" s="328"/>
      <c r="I34" s="328"/>
      <c r="J34" s="328"/>
      <c r="K34" s="328"/>
      <c r="L34" s="328"/>
      <c r="M34" s="328"/>
      <c r="N34" s="328"/>
      <c r="O34" s="1043"/>
      <c r="P34" s="330"/>
      <c r="Q34" s="350"/>
      <c r="R34" s="785"/>
      <c r="S34" s="328"/>
      <c r="T34" s="328"/>
      <c r="U34" s="328"/>
      <c r="V34" s="328"/>
      <c r="W34" s="328"/>
      <c r="X34" s="328"/>
      <c r="Y34" s="328"/>
      <c r="Z34" s="328"/>
      <c r="AA34" s="783"/>
    </row>
    <row r="35" spans="1:27" ht="60" x14ac:dyDescent="0.25">
      <c r="A35" s="525">
        <f t="shared" si="0"/>
        <v>34</v>
      </c>
      <c r="B35" s="66" t="s">
        <v>76</v>
      </c>
      <c r="C35" s="300" t="s">
        <v>10</v>
      </c>
      <c r="D35" s="339"/>
      <c r="E35" s="330"/>
      <c r="F35" s="1043"/>
      <c r="G35" s="63"/>
      <c r="H35" s="63"/>
      <c r="I35" s="63"/>
      <c r="J35" s="328"/>
      <c r="K35" s="328"/>
      <c r="L35" s="328"/>
      <c r="M35" s="328"/>
      <c r="N35" s="328"/>
      <c r="O35" s="783"/>
      <c r="P35" s="330"/>
      <c r="Q35" s="350"/>
      <c r="R35" s="765"/>
      <c r="S35" s="328"/>
      <c r="T35" s="328"/>
      <c r="U35" s="328"/>
      <c r="V35" s="328"/>
      <c r="W35" s="328"/>
      <c r="X35" s="328"/>
      <c r="Y35" s="328"/>
      <c r="Z35" s="787" t="s">
        <v>6874</v>
      </c>
      <c r="AA35" s="783"/>
    </row>
    <row r="36" spans="1:27" ht="90" x14ac:dyDescent="0.25">
      <c r="A36" s="525">
        <f t="shared" si="0"/>
        <v>35</v>
      </c>
      <c r="B36" s="66" t="s">
        <v>70</v>
      </c>
      <c r="C36" s="300" t="s">
        <v>10</v>
      </c>
      <c r="D36" s="339"/>
      <c r="E36" s="365"/>
      <c r="F36" s="1053"/>
      <c r="G36" s="63"/>
      <c r="H36" s="787" t="s">
        <v>3423</v>
      </c>
      <c r="I36" s="328"/>
      <c r="J36" s="328"/>
      <c r="K36" s="328"/>
      <c r="L36" s="328"/>
      <c r="M36" s="328"/>
      <c r="N36" s="328"/>
      <c r="O36" s="783"/>
      <c r="P36" s="330"/>
      <c r="Q36" s="350"/>
      <c r="R36" s="785"/>
      <c r="S36" s="328"/>
      <c r="T36" s="328"/>
      <c r="U36" s="328"/>
      <c r="V36" s="328"/>
      <c r="W36" s="328"/>
      <c r="X36" s="328"/>
      <c r="Y36" s="328"/>
      <c r="Z36" s="328"/>
      <c r="AA36" s="783"/>
    </row>
    <row r="37" spans="1:27" ht="75" x14ac:dyDescent="0.25">
      <c r="A37" s="525">
        <f t="shared" si="0"/>
        <v>36</v>
      </c>
      <c r="B37" s="66" t="s">
        <v>66</v>
      </c>
      <c r="C37" s="300" t="s">
        <v>10</v>
      </c>
      <c r="D37" s="339"/>
      <c r="E37" s="330"/>
      <c r="F37" s="1053"/>
      <c r="G37" s="63"/>
      <c r="H37" s="790" t="s">
        <v>3422</v>
      </c>
      <c r="I37" s="63"/>
      <c r="J37" s="328"/>
      <c r="K37" s="328"/>
      <c r="L37" s="328"/>
      <c r="M37" s="328"/>
      <c r="N37" s="328"/>
      <c r="O37" s="783"/>
      <c r="P37" s="328"/>
      <c r="Q37" s="332"/>
      <c r="R37" s="785"/>
      <c r="S37" s="328"/>
      <c r="T37" s="328"/>
      <c r="U37" s="328"/>
      <c r="V37" s="328"/>
      <c r="W37" s="328"/>
      <c r="X37" s="328"/>
      <c r="Y37" s="328"/>
      <c r="Z37" s="328"/>
      <c r="AA37" s="783"/>
    </row>
    <row r="38" spans="1:27" ht="135" x14ac:dyDescent="0.25">
      <c r="A38" s="525">
        <f t="shared" si="0"/>
        <v>37</v>
      </c>
      <c r="B38" s="66" t="s">
        <v>331</v>
      </c>
      <c r="C38" s="300" t="s">
        <v>10</v>
      </c>
      <c r="D38" s="339"/>
      <c r="E38" s="333"/>
      <c r="F38" s="1052"/>
      <c r="G38" s="65"/>
      <c r="H38" s="65"/>
      <c r="I38" s="65"/>
      <c r="J38" s="327"/>
      <c r="K38" s="787"/>
      <c r="L38" s="327"/>
      <c r="M38" s="327"/>
      <c r="N38" s="327"/>
      <c r="O38" s="1041"/>
      <c r="P38" s="327"/>
      <c r="Q38" s="664"/>
      <c r="R38" s="785"/>
      <c r="S38" s="788"/>
      <c r="T38" s="787"/>
      <c r="U38" s="327"/>
      <c r="V38" s="787"/>
      <c r="W38" s="773"/>
      <c r="X38" s="773"/>
      <c r="Y38" s="773"/>
      <c r="Z38" s="787" t="s">
        <v>3502</v>
      </c>
      <c r="AA38" s="1041"/>
    </row>
    <row r="39" spans="1:27" ht="180" x14ac:dyDescent="0.25">
      <c r="A39" s="525">
        <f t="shared" si="0"/>
        <v>38</v>
      </c>
      <c r="B39" s="66" t="s">
        <v>47</v>
      </c>
      <c r="C39" s="3" t="s">
        <v>15</v>
      </c>
      <c r="D39" s="339"/>
      <c r="E39" s="330"/>
      <c r="F39" s="1043"/>
      <c r="G39" s="63"/>
      <c r="H39" s="63"/>
      <c r="I39" s="63"/>
      <c r="J39" s="328"/>
      <c r="K39" s="328"/>
      <c r="L39" s="328"/>
      <c r="M39" s="328"/>
      <c r="N39" s="328"/>
      <c r="O39" s="783"/>
      <c r="P39" s="330"/>
      <c r="Q39" s="350"/>
      <c r="R39" s="765"/>
      <c r="S39" s="788" t="s">
        <v>3404</v>
      </c>
      <c r="T39" s="328"/>
      <c r="U39" s="328"/>
      <c r="V39" s="787" t="s">
        <v>3459</v>
      </c>
      <c r="W39" s="773"/>
      <c r="X39" s="773"/>
      <c r="Y39" s="773"/>
      <c r="Z39" s="328"/>
      <c r="AA39" s="783"/>
    </row>
    <row r="40" spans="1:27" ht="25.5" x14ac:dyDescent="0.25">
      <c r="A40" s="525">
        <f t="shared" si="0"/>
        <v>39</v>
      </c>
      <c r="B40" s="66" t="s">
        <v>69</v>
      </c>
      <c r="C40" s="300" t="s">
        <v>10</v>
      </c>
      <c r="D40" s="339"/>
      <c r="E40" s="364"/>
      <c r="F40" s="1053"/>
      <c r="G40" s="63"/>
      <c r="I40" s="63"/>
      <c r="J40" s="328"/>
      <c r="K40" s="328"/>
      <c r="L40" s="328"/>
      <c r="M40" s="328"/>
      <c r="N40" s="328"/>
      <c r="O40" s="783"/>
      <c r="P40" s="330"/>
      <c r="Q40" s="350"/>
      <c r="R40" s="785"/>
      <c r="S40" s="328"/>
      <c r="T40" s="328"/>
      <c r="U40" s="328"/>
      <c r="V40" s="328"/>
      <c r="W40" s="328"/>
      <c r="X40" s="328"/>
      <c r="Y40" s="328"/>
      <c r="Z40" s="328"/>
      <c r="AA40" s="783"/>
    </row>
    <row r="41" spans="1:27" ht="25.5" x14ac:dyDescent="0.25">
      <c r="A41" s="525">
        <f t="shared" si="0"/>
        <v>40</v>
      </c>
      <c r="B41" s="66" t="s">
        <v>68</v>
      </c>
      <c r="C41" s="300" t="s">
        <v>10</v>
      </c>
      <c r="D41" s="339"/>
      <c r="E41" s="364"/>
      <c r="F41" s="1053"/>
      <c r="G41" s="63"/>
      <c r="H41" s="790"/>
      <c r="I41" s="63"/>
      <c r="J41" s="328"/>
      <c r="K41" s="328"/>
      <c r="L41" s="328"/>
      <c r="M41" s="328"/>
      <c r="N41" s="328"/>
      <c r="O41" s="783"/>
      <c r="P41" s="330"/>
      <c r="Q41" s="350"/>
      <c r="R41" s="785"/>
      <c r="S41" s="328"/>
      <c r="T41" s="328"/>
      <c r="U41" s="328"/>
      <c r="V41" s="328"/>
      <c r="W41" s="328"/>
      <c r="X41" s="328"/>
      <c r="Y41" s="328"/>
      <c r="Z41" s="328"/>
      <c r="AA41" s="783"/>
    </row>
    <row r="42" spans="1:27" ht="75" x14ac:dyDescent="0.25">
      <c r="A42" s="525">
        <f t="shared" si="0"/>
        <v>41</v>
      </c>
      <c r="B42" s="66" t="s">
        <v>67</v>
      </c>
      <c r="C42" s="300" t="s">
        <v>10</v>
      </c>
      <c r="D42" s="339"/>
      <c r="E42" s="330"/>
      <c r="F42" s="1053"/>
      <c r="G42" s="63"/>
      <c r="H42" s="790"/>
      <c r="I42" s="63"/>
      <c r="J42" s="328"/>
      <c r="K42" s="328"/>
      <c r="L42" s="328"/>
      <c r="M42" s="328"/>
      <c r="N42" s="328"/>
      <c r="O42" s="783"/>
      <c r="P42" s="330"/>
      <c r="Q42" s="350"/>
      <c r="R42" s="765"/>
      <c r="S42" s="328"/>
      <c r="T42" s="328"/>
      <c r="U42" s="328"/>
      <c r="V42" s="328"/>
      <c r="W42" s="328"/>
      <c r="X42" s="328"/>
      <c r="Y42" s="328"/>
      <c r="Z42" s="787" t="s">
        <v>6875</v>
      </c>
      <c r="AA42" s="783"/>
    </row>
    <row r="43" spans="1:27" ht="105" x14ac:dyDescent="0.25">
      <c r="A43" s="525">
        <f t="shared" si="0"/>
        <v>42</v>
      </c>
      <c r="B43" s="66" t="s">
        <v>44</v>
      </c>
      <c r="C43" s="3" t="s">
        <v>157</v>
      </c>
      <c r="D43" s="339"/>
      <c r="E43" s="333"/>
      <c r="F43" s="1052"/>
      <c r="G43" s="65"/>
      <c r="H43" s="65"/>
      <c r="I43" s="65"/>
      <c r="J43" s="327"/>
      <c r="K43" s="327"/>
      <c r="L43" s="327"/>
      <c r="M43" s="327"/>
      <c r="N43" s="327"/>
      <c r="O43" s="1041"/>
      <c r="P43" s="327"/>
      <c r="Q43" s="664"/>
      <c r="R43" s="785"/>
      <c r="S43" s="327"/>
      <c r="T43" s="327"/>
      <c r="U43" s="327"/>
      <c r="V43" s="327"/>
      <c r="W43" s="327"/>
      <c r="X43" s="327"/>
      <c r="Y43" s="327"/>
      <c r="Z43" s="327"/>
      <c r="AA43" s="789" t="s">
        <v>3474</v>
      </c>
    </row>
    <row r="44" spans="1:27" ht="150" x14ac:dyDescent="0.25">
      <c r="A44" s="525">
        <f t="shared" si="0"/>
        <v>43</v>
      </c>
      <c r="B44" s="564" t="s">
        <v>111</v>
      </c>
      <c r="C44" s="300" t="s">
        <v>115</v>
      </c>
      <c r="D44" s="339"/>
      <c r="E44" s="330"/>
      <c r="F44" s="1043"/>
      <c r="G44" s="63"/>
      <c r="H44" s="63"/>
      <c r="I44" s="63"/>
      <c r="J44" s="328"/>
      <c r="K44" s="328"/>
      <c r="L44" s="328"/>
      <c r="M44" s="328"/>
      <c r="N44" s="328"/>
      <c r="O44" s="783"/>
      <c r="P44" s="328"/>
      <c r="Q44" s="332"/>
      <c r="R44" s="785"/>
      <c r="S44" s="788" t="s">
        <v>3407</v>
      </c>
      <c r="T44" s="328"/>
      <c r="U44" s="328"/>
      <c r="V44" s="328"/>
      <c r="W44" s="328"/>
      <c r="X44" s="328"/>
      <c r="Y44" s="328"/>
      <c r="Z44" s="798" t="s">
        <v>3494</v>
      </c>
      <c r="AA44" s="783"/>
    </row>
    <row r="45" spans="1:27" ht="90" x14ac:dyDescent="0.25">
      <c r="A45" s="525">
        <f t="shared" si="0"/>
        <v>44</v>
      </c>
      <c r="B45" s="564" t="s">
        <v>112</v>
      </c>
      <c r="C45" s="300" t="s">
        <v>115</v>
      </c>
      <c r="D45" s="339"/>
      <c r="E45" s="330"/>
      <c r="F45" s="1043"/>
      <c r="G45" s="63"/>
      <c r="H45" s="63"/>
      <c r="I45" s="63"/>
      <c r="J45" s="328"/>
      <c r="K45" s="328"/>
      <c r="L45" s="328"/>
      <c r="M45" s="328"/>
      <c r="N45" s="328"/>
      <c r="O45" s="783"/>
      <c r="P45" s="328"/>
      <c r="Q45" s="332"/>
      <c r="R45" s="785"/>
      <c r="S45" s="328"/>
      <c r="T45" s="328"/>
      <c r="U45" s="328"/>
      <c r="V45" s="328"/>
      <c r="W45" s="328"/>
      <c r="X45" s="328"/>
      <c r="Y45" s="328"/>
      <c r="Z45" s="787" t="s">
        <v>3493</v>
      </c>
      <c r="AA45" s="783"/>
    </row>
    <row r="46" spans="1:27" ht="135" x14ac:dyDescent="0.25">
      <c r="A46" s="525">
        <f t="shared" si="0"/>
        <v>45</v>
      </c>
      <c r="B46" s="564" t="s">
        <v>24</v>
      </c>
      <c r="C46" s="3" t="s">
        <v>4</v>
      </c>
      <c r="D46" s="339"/>
      <c r="E46" s="333"/>
      <c r="F46" s="1052"/>
      <c r="G46" s="65"/>
      <c r="H46" s="65"/>
      <c r="I46" s="65"/>
      <c r="J46" s="327"/>
      <c r="K46" s="327"/>
      <c r="L46" s="327"/>
      <c r="M46" s="327"/>
      <c r="N46" s="787" t="s">
        <v>3485</v>
      </c>
      <c r="O46" s="1041"/>
      <c r="P46" s="327"/>
      <c r="Q46" s="664"/>
      <c r="R46" s="765"/>
      <c r="S46" s="327"/>
      <c r="T46" s="327"/>
      <c r="U46" s="327"/>
      <c r="V46" s="327"/>
      <c r="W46" s="327"/>
      <c r="X46" s="327"/>
      <c r="Y46" s="327"/>
      <c r="Z46" s="327"/>
      <c r="AA46" s="1041"/>
    </row>
    <row r="47" spans="1:27" ht="38.25" x14ac:dyDescent="0.25">
      <c r="A47" s="525">
        <f t="shared" si="0"/>
        <v>46</v>
      </c>
      <c r="B47" s="66" t="s">
        <v>75</v>
      </c>
      <c r="C47" s="300" t="s">
        <v>10</v>
      </c>
      <c r="D47" s="339"/>
      <c r="E47" s="330"/>
      <c r="F47" s="1043"/>
      <c r="G47" s="63"/>
      <c r="H47" s="63"/>
      <c r="I47" s="63"/>
      <c r="J47" s="328"/>
      <c r="K47" s="328"/>
      <c r="L47" s="328"/>
      <c r="M47" s="328"/>
      <c r="N47" s="328"/>
      <c r="O47" s="783"/>
      <c r="P47" s="330"/>
      <c r="Q47" s="350"/>
      <c r="R47" s="785"/>
      <c r="S47" s="328"/>
      <c r="T47" s="328"/>
      <c r="U47" s="328"/>
      <c r="V47" s="328"/>
      <c r="W47" s="328"/>
      <c r="X47" s="328"/>
      <c r="Y47" s="328"/>
      <c r="Z47" s="328"/>
      <c r="AA47" s="783"/>
    </row>
    <row r="48" spans="1:27" x14ac:dyDescent="0.25">
      <c r="A48" s="525">
        <f t="shared" si="0"/>
        <v>47</v>
      </c>
      <c r="B48" s="66" t="s">
        <v>3066</v>
      </c>
      <c r="C48" s="3" t="s">
        <v>15</v>
      </c>
      <c r="D48" s="339"/>
      <c r="E48" s="330"/>
      <c r="F48" s="1043"/>
      <c r="G48" s="63"/>
      <c r="H48" s="63"/>
      <c r="I48" s="328"/>
      <c r="K48" s="328"/>
      <c r="L48" s="328"/>
      <c r="M48" s="328"/>
      <c r="N48" s="328"/>
      <c r="O48" s="783"/>
      <c r="P48" s="330"/>
      <c r="Q48" s="350"/>
      <c r="R48" s="765"/>
      <c r="S48" s="765"/>
      <c r="T48" s="328"/>
      <c r="U48" s="328"/>
      <c r="V48" s="328"/>
      <c r="W48" s="328"/>
      <c r="X48" s="328"/>
      <c r="Y48" s="328"/>
      <c r="Z48" s="328"/>
      <c r="AA48" s="783"/>
    </row>
    <row r="49" spans="1:26" x14ac:dyDescent="0.25">
      <c r="A49" s="525">
        <f t="shared" si="0"/>
        <v>48</v>
      </c>
      <c r="B49" s="66" t="s">
        <v>3231</v>
      </c>
      <c r="C49" s="3" t="s">
        <v>15</v>
      </c>
      <c r="D49" s="339"/>
      <c r="E49" s="330"/>
      <c r="F49" s="1053"/>
      <c r="G49" s="63"/>
      <c r="H49" s="63"/>
      <c r="I49" s="328"/>
      <c r="J49" s="328"/>
      <c r="K49" s="328"/>
      <c r="L49" s="328"/>
      <c r="M49" s="328"/>
      <c r="N49" s="328"/>
      <c r="O49" s="783"/>
      <c r="P49" s="330"/>
      <c r="Q49" s="350"/>
      <c r="R49" s="765"/>
      <c r="S49" s="328"/>
      <c r="T49" s="328"/>
      <c r="U49" s="328"/>
      <c r="V49" s="328"/>
      <c r="W49" s="328"/>
      <c r="X49" s="328"/>
      <c r="Y49" s="328"/>
      <c r="Z49" s="328"/>
    </row>
    <row r="50" spans="1:26" x14ac:dyDescent="0.25">
      <c r="A50" s="525">
        <f t="shared" si="0"/>
        <v>49</v>
      </c>
      <c r="B50" s="66" t="s">
        <v>107</v>
      </c>
      <c r="C50" s="3" t="s">
        <v>7</v>
      </c>
      <c r="D50" s="339"/>
      <c r="E50" s="333"/>
      <c r="F50" s="1052"/>
      <c r="G50" s="65"/>
      <c r="H50" s="65"/>
      <c r="I50" s="65"/>
      <c r="J50" s="327"/>
      <c r="K50" s="327"/>
      <c r="L50" s="327"/>
      <c r="M50" s="327"/>
      <c r="N50" s="327"/>
      <c r="O50" s="1041"/>
      <c r="P50" s="327"/>
      <c r="Q50" s="664"/>
      <c r="R50" s="785"/>
      <c r="S50" s="327"/>
      <c r="T50" s="327"/>
      <c r="U50" s="327"/>
      <c r="V50" s="327"/>
      <c r="W50" s="327"/>
      <c r="X50" s="327"/>
      <c r="Y50" s="327"/>
      <c r="Z50" s="327"/>
    </row>
    <row r="51" spans="1:26" x14ac:dyDescent="0.25">
      <c r="A51" s="525">
        <f t="shared" si="0"/>
        <v>50</v>
      </c>
      <c r="B51" s="66" t="s">
        <v>105</v>
      </c>
      <c r="C51" s="3" t="s">
        <v>7</v>
      </c>
      <c r="D51" s="339"/>
      <c r="E51" s="333"/>
      <c r="F51" s="1052"/>
      <c r="G51" s="65"/>
      <c r="H51" s="65"/>
      <c r="I51" s="65"/>
      <c r="J51" s="327"/>
      <c r="K51" s="327"/>
      <c r="L51" s="327"/>
      <c r="M51" s="327"/>
      <c r="N51" s="327"/>
      <c r="O51" s="1041"/>
      <c r="P51" s="327"/>
      <c r="Q51" s="664"/>
      <c r="R51" s="785"/>
      <c r="S51" s="327"/>
      <c r="T51" s="327"/>
      <c r="U51" s="327"/>
      <c r="V51" s="327"/>
      <c r="W51" s="327"/>
      <c r="X51" s="327"/>
      <c r="Y51" s="327"/>
      <c r="Z51" s="327"/>
    </row>
    <row r="52" spans="1:26" ht="225" x14ac:dyDescent="0.25">
      <c r="A52" s="525">
        <f t="shared" si="0"/>
        <v>51</v>
      </c>
      <c r="B52" s="66" t="s">
        <v>106</v>
      </c>
      <c r="C52" s="3" t="s">
        <v>7</v>
      </c>
      <c r="D52" s="339"/>
      <c r="E52" s="333"/>
      <c r="F52" s="1052"/>
      <c r="G52" s="65"/>
      <c r="H52" s="65"/>
      <c r="I52" s="65"/>
      <c r="J52" s="327"/>
      <c r="K52" s="327"/>
      <c r="L52" s="327"/>
      <c r="M52" s="327"/>
      <c r="N52" s="327"/>
      <c r="O52" s="1041"/>
      <c r="P52" s="787" t="s">
        <v>3498</v>
      </c>
      <c r="Q52" s="664"/>
      <c r="R52" s="785"/>
      <c r="S52" s="327"/>
      <c r="T52" s="327"/>
      <c r="U52" s="327"/>
      <c r="V52" s="327"/>
      <c r="W52" s="327"/>
      <c r="X52" s="327"/>
      <c r="Y52" s="327"/>
      <c r="Z52" s="327"/>
    </row>
    <row r="53" spans="1:26" x14ac:dyDescent="0.25">
      <c r="A53" s="525">
        <f t="shared" si="0"/>
        <v>52</v>
      </c>
      <c r="B53" s="564" t="s">
        <v>109</v>
      </c>
      <c r="C53" s="3" t="s">
        <v>7</v>
      </c>
      <c r="D53" s="339"/>
      <c r="E53" s="333"/>
      <c r="F53" s="1052"/>
      <c r="G53" s="65"/>
      <c r="H53" s="65"/>
      <c r="I53" s="65"/>
      <c r="J53" s="327"/>
      <c r="K53" s="327"/>
      <c r="L53" s="327"/>
      <c r="M53" s="327"/>
      <c r="N53" s="327"/>
      <c r="O53" s="1041"/>
      <c r="P53" s="327"/>
      <c r="Q53" s="664"/>
      <c r="R53" s="785"/>
      <c r="S53" s="327"/>
      <c r="T53" s="327"/>
      <c r="U53" s="327"/>
      <c r="V53" s="327"/>
      <c r="W53" s="327"/>
      <c r="X53" s="327"/>
      <c r="Y53" s="327"/>
      <c r="Z53" s="327"/>
    </row>
    <row r="54" spans="1:26" x14ac:dyDescent="0.25">
      <c r="A54" s="525">
        <f t="shared" si="0"/>
        <v>53</v>
      </c>
      <c r="B54" s="564" t="s">
        <v>108</v>
      </c>
      <c r="C54" s="3" t="s">
        <v>7</v>
      </c>
      <c r="D54" s="339"/>
      <c r="E54" s="333"/>
      <c r="F54" s="1052"/>
      <c r="G54" s="65"/>
      <c r="H54" s="65"/>
      <c r="I54" s="65"/>
      <c r="J54" s="327"/>
      <c r="K54" s="327"/>
      <c r="L54" s="327"/>
      <c r="M54" s="327"/>
      <c r="N54" s="327"/>
      <c r="O54" s="1041"/>
      <c r="P54" s="327"/>
      <c r="Q54" s="664"/>
      <c r="R54" s="785"/>
      <c r="S54" s="327"/>
      <c r="T54" s="327"/>
      <c r="U54" s="327"/>
      <c r="V54" s="327"/>
      <c r="W54" s="327"/>
      <c r="X54" s="327"/>
      <c r="Y54" s="327"/>
      <c r="Z54" s="327"/>
    </row>
    <row r="55" spans="1:26" ht="105" x14ac:dyDescent="0.25">
      <c r="A55" s="525">
        <f t="shared" si="0"/>
        <v>54</v>
      </c>
      <c r="B55" s="564" t="s">
        <v>110</v>
      </c>
      <c r="C55" s="3" t="s">
        <v>7</v>
      </c>
      <c r="D55" s="339"/>
      <c r="E55" s="333"/>
      <c r="F55" s="1052"/>
      <c r="G55" s="65"/>
      <c r="H55" s="65"/>
      <c r="I55" s="65"/>
      <c r="J55" s="327"/>
      <c r="K55" s="327"/>
      <c r="L55" s="327"/>
      <c r="M55" s="327"/>
      <c r="N55" s="327"/>
      <c r="O55" s="1041"/>
      <c r="P55" s="327"/>
      <c r="Q55" s="664"/>
      <c r="R55" s="785"/>
      <c r="S55" s="327"/>
      <c r="T55" s="327"/>
      <c r="U55" s="327"/>
      <c r="V55" s="327"/>
      <c r="W55" s="327"/>
      <c r="X55" s="327"/>
      <c r="Y55" s="327"/>
      <c r="Z55" s="787" t="s">
        <v>3519</v>
      </c>
    </row>
    <row r="56" spans="1:26" x14ac:dyDescent="0.25">
      <c r="A56" s="525">
        <f t="shared" si="0"/>
        <v>55</v>
      </c>
      <c r="B56" s="66" t="s">
        <v>86</v>
      </c>
      <c r="C56" s="300" t="s">
        <v>10</v>
      </c>
      <c r="D56" s="339"/>
      <c r="E56" s="333"/>
      <c r="F56" s="1052"/>
      <c r="G56" s="65"/>
      <c r="H56" s="65"/>
      <c r="I56" s="65"/>
      <c r="J56" s="327"/>
      <c r="K56" s="327"/>
      <c r="L56" s="327"/>
      <c r="M56" s="327"/>
      <c r="N56" s="327"/>
      <c r="O56" s="1041"/>
      <c r="P56" s="327"/>
      <c r="Q56" s="664"/>
      <c r="R56" s="785"/>
      <c r="S56" s="327"/>
      <c r="T56" s="327"/>
      <c r="U56" s="327"/>
      <c r="V56" s="327"/>
      <c r="W56" s="327"/>
      <c r="X56" s="327"/>
      <c r="Y56" s="327"/>
      <c r="Z56" s="327"/>
    </row>
    <row r="57" spans="1:26" x14ac:dyDescent="0.25">
      <c r="A57" s="525">
        <f t="shared" si="0"/>
        <v>56</v>
      </c>
      <c r="B57" s="66" t="s">
        <v>28</v>
      </c>
      <c r="C57" s="3" t="s">
        <v>13</v>
      </c>
      <c r="D57" s="339"/>
      <c r="E57" s="333"/>
      <c r="F57" s="1052"/>
      <c r="G57" s="65"/>
      <c r="H57" s="65"/>
      <c r="I57" s="65"/>
      <c r="J57" s="327"/>
      <c r="K57" s="327"/>
      <c r="L57" s="327"/>
      <c r="M57" s="327"/>
      <c r="N57" s="327"/>
      <c r="O57" s="1041"/>
      <c r="P57" s="327"/>
      <c r="Q57" s="664"/>
      <c r="R57" s="785"/>
      <c r="S57" s="327"/>
      <c r="T57" s="328"/>
      <c r="U57" s="327"/>
      <c r="V57" s="327"/>
      <c r="W57" s="327"/>
      <c r="X57" s="327"/>
      <c r="Y57" s="327"/>
      <c r="Z57" s="327"/>
    </row>
    <row r="58" spans="1:26" x14ac:dyDescent="0.25">
      <c r="A58" s="525">
        <f t="shared" si="0"/>
        <v>57</v>
      </c>
      <c r="B58" s="66" t="s">
        <v>40</v>
      </c>
      <c r="C58" s="3" t="s">
        <v>13</v>
      </c>
      <c r="D58" s="339"/>
      <c r="E58" s="333"/>
      <c r="F58" s="1052"/>
      <c r="G58" s="65"/>
      <c r="H58" s="65"/>
      <c r="I58" s="65"/>
      <c r="J58" s="327"/>
      <c r="K58" s="327"/>
      <c r="L58" s="327"/>
      <c r="M58" s="327"/>
      <c r="N58" s="327"/>
      <c r="O58" s="1041"/>
      <c r="P58" s="327"/>
      <c r="Q58" s="664"/>
      <c r="R58" s="785"/>
      <c r="S58" s="327"/>
      <c r="T58" s="327"/>
      <c r="U58" s="327"/>
      <c r="V58" s="327"/>
      <c r="W58" s="327"/>
      <c r="X58" s="327"/>
      <c r="Y58" s="327"/>
      <c r="Z58" s="327"/>
    </row>
    <row r="59" spans="1:26" x14ac:dyDescent="0.25">
      <c r="A59" s="525">
        <f t="shared" si="0"/>
        <v>58</v>
      </c>
      <c r="B59" s="66" t="s">
        <v>39</v>
      </c>
      <c r="C59" s="3" t="s">
        <v>13</v>
      </c>
      <c r="D59" s="339"/>
      <c r="E59" s="333"/>
      <c r="F59" s="1052"/>
      <c r="G59" s="65"/>
      <c r="H59" s="65"/>
      <c r="I59" s="65"/>
      <c r="J59" s="327"/>
      <c r="K59" s="327"/>
      <c r="L59" s="327"/>
      <c r="M59" s="327"/>
      <c r="N59" s="327"/>
      <c r="O59" s="1041"/>
      <c r="P59" s="327"/>
      <c r="Q59" s="664"/>
      <c r="R59" s="785"/>
      <c r="S59" s="787"/>
      <c r="T59" s="327"/>
      <c r="U59" s="327"/>
      <c r="V59" s="327"/>
      <c r="W59" s="327"/>
      <c r="X59" s="327"/>
      <c r="Y59" s="327"/>
      <c r="Z59" s="327"/>
    </row>
    <row r="60" spans="1:26" ht="240" x14ac:dyDescent="0.25">
      <c r="A60" s="525">
        <f t="shared" si="0"/>
        <v>59</v>
      </c>
      <c r="B60" s="564" t="s">
        <v>113</v>
      </c>
      <c r="C60" s="300" t="s">
        <v>114</v>
      </c>
      <c r="D60" s="339"/>
      <c r="E60" s="330"/>
      <c r="F60" s="1043"/>
      <c r="G60" s="63"/>
      <c r="H60" s="63"/>
      <c r="I60" s="63"/>
      <c r="J60" s="328"/>
      <c r="K60" s="328"/>
      <c r="L60" s="328"/>
      <c r="M60" s="328"/>
      <c r="N60" s="328"/>
      <c r="O60" s="783"/>
      <c r="P60" s="328"/>
      <c r="Q60" s="332"/>
      <c r="R60" s="785"/>
      <c r="S60" s="328"/>
      <c r="T60" s="328"/>
      <c r="U60" s="328"/>
      <c r="V60" s="328"/>
      <c r="W60" s="328"/>
      <c r="X60" s="328"/>
      <c r="Y60" s="328"/>
      <c r="Z60" s="787" t="s">
        <v>3518</v>
      </c>
    </row>
    <row r="61" spans="1:26" x14ac:dyDescent="0.25">
      <c r="A61" s="525">
        <f t="shared" si="0"/>
        <v>60</v>
      </c>
      <c r="B61" s="66" t="s">
        <v>38</v>
      </c>
      <c r="C61" s="3" t="s">
        <v>13</v>
      </c>
      <c r="D61" s="339"/>
      <c r="E61" s="333"/>
      <c r="F61" s="1052"/>
      <c r="G61" s="65"/>
      <c r="H61" s="65"/>
      <c r="I61" s="65"/>
      <c r="J61" s="327"/>
      <c r="K61" s="327"/>
      <c r="L61" s="327"/>
      <c r="M61" s="327"/>
      <c r="N61" s="327"/>
      <c r="O61" s="1041"/>
      <c r="P61" s="327"/>
      <c r="Q61" s="664"/>
      <c r="R61" s="785"/>
      <c r="S61" s="327"/>
      <c r="T61" s="327"/>
      <c r="U61" s="327"/>
      <c r="V61" s="327"/>
      <c r="W61" s="327"/>
      <c r="X61" s="327"/>
      <c r="Y61" s="327"/>
      <c r="Z61" s="327"/>
    </row>
    <row r="62" spans="1:26" ht="90" x14ac:dyDescent="0.25">
      <c r="A62" s="525">
        <f t="shared" si="0"/>
        <v>61</v>
      </c>
      <c r="B62" s="66" t="s">
        <v>60</v>
      </c>
      <c r="C62" s="300" t="s">
        <v>10</v>
      </c>
      <c r="D62" s="339"/>
      <c r="E62" s="330"/>
      <c r="F62" s="1053"/>
      <c r="G62" s="63"/>
      <c r="H62" s="790" t="s">
        <v>3421</v>
      </c>
      <c r="I62" s="63"/>
      <c r="J62" s="328"/>
      <c r="K62" s="328"/>
      <c r="L62" s="328"/>
      <c r="M62" s="328"/>
      <c r="N62" s="328"/>
      <c r="O62" s="783"/>
      <c r="P62" s="330"/>
      <c r="Q62" s="350"/>
      <c r="R62" s="785"/>
      <c r="S62" s="787"/>
      <c r="T62" s="328"/>
      <c r="U62" s="328"/>
      <c r="V62" s="328"/>
      <c r="W62" s="328"/>
      <c r="X62" s="328"/>
      <c r="Y62" s="328"/>
      <c r="Z62" s="328"/>
    </row>
    <row r="63" spans="1:26" ht="120" x14ac:dyDescent="0.25">
      <c r="A63" s="525">
        <f t="shared" si="0"/>
        <v>62</v>
      </c>
      <c r="B63" s="66" t="s">
        <v>32</v>
      </c>
      <c r="C63" s="3" t="s">
        <v>13</v>
      </c>
      <c r="D63" s="339"/>
      <c r="E63" s="333"/>
      <c r="F63" s="1052"/>
      <c r="G63" s="65"/>
      <c r="H63" s="65"/>
      <c r="I63" s="797"/>
      <c r="J63" s="798" t="s">
        <v>3450</v>
      </c>
      <c r="K63" s="798" t="s">
        <v>3445</v>
      </c>
      <c r="L63" s="793"/>
      <c r="M63" s="793"/>
      <c r="N63" s="793"/>
      <c r="O63" s="1044"/>
      <c r="P63" s="793"/>
      <c r="Q63" s="803"/>
      <c r="R63" s="795"/>
      <c r="S63" s="793"/>
      <c r="T63" s="787" t="s">
        <v>3436</v>
      </c>
      <c r="U63" s="793"/>
      <c r="V63" s="787" t="s">
        <v>3461</v>
      </c>
      <c r="W63" s="787"/>
      <c r="X63" s="787"/>
      <c r="Y63" s="787"/>
      <c r="Z63" s="793"/>
    </row>
    <row r="64" spans="1:26" ht="16.5" x14ac:dyDescent="0.25">
      <c r="A64" s="525">
        <f t="shared" si="0"/>
        <v>63</v>
      </c>
      <c r="B64" s="66" t="s">
        <v>91</v>
      </c>
      <c r="C64" s="3" t="s">
        <v>115</v>
      </c>
      <c r="D64" s="339"/>
      <c r="E64" s="330"/>
      <c r="F64" s="1043"/>
      <c r="G64" s="63"/>
      <c r="H64" s="63"/>
      <c r="I64" s="741"/>
      <c r="J64" s="742"/>
      <c r="K64" s="742"/>
      <c r="L64" s="742"/>
      <c r="M64" s="742"/>
      <c r="N64" s="742"/>
      <c r="O64" s="1045"/>
      <c r="P64" s="740"/>
      <c r="Q64" s="804"/>
      <c r="R64" s="799"/>
      <c r="S64" s="742"/>
      <c r="T64" s="742"/>
      <c r="U64" s="742"/>
      <c r="V64" s="742"/>
      <c r="W64" s="742"/>
      <c r="X64" s="742"/>
      <c r="Y64" s="742"/>
      <c r="Z64" s="742"/>
    </row>
    <row r="65" spans="1:22" x14ac:dyDescent="0.25">
      <c r="A65" s="525">
        <f t="shared" si="0"/>
        <v>64</v>
      </c>
      <c r="B65" s="565" t="s">
        <v>23</v>
      </c>
      <c r="C65" s="3" t="s">
        <v>4</v>
      </c>
      <c r="D65" s="358"/>
      <c r="E65" s="357"/>
      <c r="F65" s="1054"/>
      <c r="G65" s="64"/>
      <c r="H65" s="64"/>
      <c r="I65" s="64"/>
      <c r="J65" s="329"/>
      <c r="K65" s="329"/>
      <c r="L65" s="329"/>
      <c r="M65" s="329"/>
      <c r="N65" s="329"/>
      <c r="O65" s="1042"/>
      <c r="P65" s="329"/>
      <c r="Q65" s="663"/>
      <c r="R65" s="785"/>
      <c r="S65" s="329"/>
      <c r="T65" s="329"/>
      <c r="U65" s="329"/>
      <c r="V65" s="329"/>
    </row>
    <row r="66" spans="1:22" x14ac:dyDescent="0.25">
      <c r="A66" s="525">
        <f t="shared" si="0"/>
        <v>65</v>
      </c>
      <c r="B66" s="564" t="s">
        <v>154</v>
      </c>
      <c r="C66" s="300" t="s">
        <v>157</v>
      </c>
      <c r="D66" s="339"/>
      <c r="E66" s="330"/>
      <c r="F66" s="1043"/>
      <c r="G66" s="63"/>
      <c r="H66" s="63"/>
      <c r="I66" s="63"/>
      <c r="J66" s="328"/>
      <c r="K66" s="328"/>
      <c r="L66" s="328"/>
      <c r="M66" s="328"/>
      <c r="N66" s="328"/>
      <c r="O66" s="783"/>
      <c r="P66" s="328"/>
      <c r="Q66" s="332"/>
      <c r="R66" s="785"/>
      <c r="S66" s="328"/>
      <c r="T66" s="328"/>
      <c r="U66" s="328"/>
      <c r="V66" s="328"/>
    </row>
    <row r="67" spans="1:22" x14ac:dyDescent="0.25">
      <c r="A67" s="525">
        <f t="shared" ref="A67:A130" si="1">+A66+1</f>
        <v>66</v>
      </c>
      <c r="B67" s="66" t="s">
        <v>88</v>
      </c>
      <c r="C67" s="3" t="s">
        <v>7</v>
      </c>
      <c r="D67" s="339"/>
      <c r="E67" s="330"/>
      <c r="F67" s="1043"/>
      <c r="G67" s="63"/>
      <c r="H67" s="328"/>
      <c r="I67" s="328"/>
      <c r="J67" s="328"/>
      <c r="K67" s="328"/>
      <c r="L67" s="328"/>
      <c r="M67" s="328"/>
      <c r="N67" s="328"/>
      <c r="O67" s="783"/>
      <c r="P67" s="328"/>
      <c r="Q67" s="332"/>
      <c r="R67" s="785"/>
      <c r="S67" s="328"/>
      <c r="T67" s="328"/>
      <c r="U67" s="328"/>
      <c r="V67" s="328"/>
    </row>
    <row r="68" spans="1:22" x14ac:dyDescent="0.25">
      <c r="A68" s="525">
        <f t="shared" si="1"/>
        <v>67</v>
      </c>
      <c r="B68" s="564" t="s">
        <v>103</v>
      </c>
      <c r="C68" s="3" t="s">
        <v>7</v>
      </c>
      <c r="D68" s="339"/>
      <c r="E68" s="330"/>
      <c r="F68" s="1053"/>
      <c r="G68" s="765"/>
      <c r="H68" s="765"/>
      <c r="I68" s="327"/>
      <c r="J68" s="327"/>
      <c r="K68" s="327"/>
      <c r="L68" s="327"/>
      <c r="M68" s="327"/>
      <c r="N68" s="327"/>
      <c r="O68" s="1041"/>
      <c r="P68" s="327"/>
      <c r="Q68" s="664"/>
      <c r="R68" s="785"/>
      <c r="S68" s="327"/>
      <c r="T68" s="327"/>
      <c r="U68" s="327"/>
      <c r="V68" s="327"/>
    </row>
    <row r="69" spans="1:22" x14ac:dyDescent="0.25">
      <c r="A69" s="525">
        <f t="shared" si="1"/>
        <v>68</v>
      </c>
      <c r="B69" s="564" t="s">
        <v>90</v>
      </c>
      <c r="C69" s="3" t="s">
        <v>7</v>
      </c>
      <c r="D69" s="339"/>
      <c r="E69" s="333"/>
      <c r="F69" s="1053"/>
      <c r="G69" s="765"/>
      <c r="H69" s="1346"/>
      <c r="I69" s="327"/>
      <c r="J69" s="327"/>
      <c r="K69" s="327"/>
      <c r="L69" s="327"/>
      <c r="M69" s="327"/>
      <c r="N69" s="327"/>
      <c r="O69" s="1041"/>
      <c r="P69" s="327"/>
      <c r="Q69" s="664"/>
      <c r="R69" s="785"/>
      <c r="S69" s="327"/>
      <c r="T69" s="327"/>
      <c r="U69" s="327"/>
      <c r="V69" s="327"/>
    </row>
    <row r="70" spans="1:22" x14ac:dyDescent="0.25">
      <c r="A70" s="525">
        <f t="shared" si="1"/>
        <v>69</v>
      </c>
      <c r="B70" s="265" t="s">
        <v>3398</v>
      </c>
      <c r="C70" s="3" t="s">
        <v>7</v>
      </c>
      <c r="D70" s="339"/>
      <c r="E70" s="330"/>
      <c r="F70" s="1053"/>
      <c r="G70" s="765"/>
      <c r="H70" s="1346"/>
      <c r="I70" s="328"/>
      <c r="J70" s="328"/>
      <c r="K70" s="328"/>
      <c r="L70" s="328"/>
      <c r="M70" s="328"/>
      <c r="N70" s="328"/>
      <c r="O70" s="783"/>
      <c r="P70" s="328"/>
      <c r="Q70" s="332"/>
      <c r="R70" s="785"/>
      <c r="S70" s="328"/>
      <c r="T70" s="328"/>
      <c r="U70" s="328"/>
      <c r="V70" s="328"/>
    </row>
    <row r="71" spans="1:22" x14ac:dyDescent="0.25">
      <c r="A71" s="525">
        <f t="shared" si="1"/>
        <v>70</v>
      </c>
      <c r="B71" s="66" t="s">
        <v>46</v>
      </c>
      <c r="C71" s="3" t="s">
        <v>114</v>
      </c>
      <c r="D71" s="339"/>
      <c r="E71" s="330"/>
      <c r="F71" s="1043"/>
      <c r="G71" s="1076"/>
      <c r="H71" s="783"/>
      <c r="I71" s="328"/>
      <c r="J71" s="328"/>
      <c r="K71" s="328"/>
      <c r="L71" s="328"/>
      <c r="M71" s="328"/>
      <c r="N71" s="328"/>
      <c r="O71" s="783"/>
      <c r="P71" s="328"/>
      <c r="Q71" s="332"/>
      <c r="R71" s="785"/>
      <c r="S71" s="328"/>
      <c r="T71" s="328"/>
      <c r="U71" s="328"/>
      <c r="V71" s="328"/>
    </row>
    <row r="72" spans="1:22" x14ac:dyDescent="0.25">
      <c r="A72" s="525">
        <f t="shared" si="1"/>
        <v>71</v>
      </c>
      <c r="B72" s="66" t="s">
        <v>48</v>
      </c>
      <c r="C72" s="3" t="s">
        <v>115</v>
      </c>
      <c r="D72" s="339"/>
      <c r="E72" s="330"/>
      <c r="F72" s="1053"/>
      <c r="G72" s="63"/>
      <c r="H72" s="63"/>
      <c r="I72" s="63"/>
      <c r="J72" s="328"/>
      <c r="K72" s="328"/>
      <c r="L72" s="328"/>
      <c r="M72" s="328"/>
      <c r="N72" s="328"/>
      <c r="O72" s="783"/>
      <c r="P72" s="328"/>
      <c r="Q72" s="332"/>
      <c r="R72" s="785"/>
      <c r="S72" s="328"/>
      <c r="T72" s="328"/>
      <c r="U72" s="328"/>
      <c r="V72" s="328"/>
    </row>
    <row r="73" spans="1:22" ht="60" x14ac:dyDescent="0.25">
      <c r="A73" s="525">
        <f t="shared" si="1"/>
        <v>72</v>
      </c>
      <c r="B73" s="66" t="s">
        <v>71</v>
      </c>
      <c r="C73" s="3" t="s">
        <v>3205</v>
      </c>
      <c r="D73" s="339"/>
      <c r="E73" s="330"/>
      <c r="F73" s="1053"/>
      <c r="G73" s="63"/>
      <c r="H73" s="790" t="s">
        <v>3473</v>
      </c>
      <c r="I73" s="63"/>
      <c r="J73" s="328"/>
      <c r="K73" s="328"/>
      <c r="L73" s="328"/>
      <c r="M73" s="328"/>
      <c r="N73" s="328"/>
      <c r="O73" s="1043"/>
      <c r="P73" s="330"/>
      <c r="Q73" s="350"/>
      <c r="R73" s="785"/>
      <c r="S73" s="328"/>
      <c r="T73" s="328"/>
      <c r="U73" s="328"/>
      <c r="V73" s="328"/>
    </row>
    <row r="74" spans="1:22" x14ac:dyDescent="0.25">
      <c r="A74" s="525">
        <f t="shared" si="1"/>
        <v>73</v>
      </c>
      <c r="B74" s="66" t="s">
        <v>89</v>
      </c>
      <c r="C74" s="3" t="s">
        <v>7</v>
      </c>
      <c r="D74" s="339"/>
      <c r="E74" s="330"/>
      <c r="F74" s="1043"/>
      <c r="G74" s="765"/>
      <c r="H74" s="63"/>
      <c r="I74" s="63"/>
      <c r="J74" s="328"/>
      <c r="K74" s="328"/>
      <c r="L74" s="328"/>
      <c r="M74" s="328"/>
      <c r="N74" s="328"/>
      <c r="O74" s="783"/>
      <c r="P74" s="328"/>
      <c r="Q74" s="332"/>
      <c r="R74" s="785"/>
      <c r="S74" s="328"/>
      <c r="T74" s="328"/>
      <c r="U74" s="328"/>
      <c r="V74" s="328"/>
    </row>
    <row r="75" spans="1:22" x14ac:dyDescent="0.25">
      <c r="A75" s="525">
        <f t="shared" si="1"/>
        <v>74</v>
      </c>
      <c r="B75" s="66" t="s">
        <v>52</v>
      </c>
      <c r="C75" s="3" t="s">
        <v>15</v>
      </c>
      <c r="D75" s="339"/>
      <c r="E75" s="330"/>
      <c r="F75" s="1043"/>
      <c r="G75" s="63"/>
      <c r="H75" s="63"/>
      <c r="I75" s="328"/>
      <c r="J75" s="328"/>
      <c r="K75" s="328"/>
      <c r="L75" s="328"/>
      <c r="M75" s="328"/>
      <c r="N75" s="328"/>
      <c r="O75" s="783"/>
      <c r="P75" s="330"/>
      <c r="Q75" s="350"/>
      <c r="R75" s="785"/>
      <c r="S75" s="328"/>
      <c r="T75" s="328"/>
      <c r="U75" s="328"/>
      <c r="V75" s="328"/>
    </row>
    <row r="76" spans="1:22" x14ac:dyDescent="0.25">
      <c r="A76" s="525">
        <f t="shared" si="1"/>
        <v>75</v>
      </c>
      <c r="B76" s="66" t="s">
        <v>49</v>
      </c>
      <c r="C76" s="3" t="s">
        <v>15</v>
      </c>
      <c r="D76" s="339"/>
      <c r="E76" s="330"/>
      <c r="F76" s="1043"/>
      <c r="G76" s="63"/>
      <c r="H76" s="63"/>
      <c r="I76" s="328"/>
      <c r="J76" s="328"/>
      <c r="K76" s="328"/>
      <c r="L76" s="328"/>
      <c r="M76" s="328"/>
      <c r="N76" s="328"/>
      <c r="O76" s="783"/>
      <c r="P76" s="330"/>
      <c r="Q76" s="350"/>
      <c r="R76" s="785"/>
      <c r="S76" s="328"/>
      <c r="T76" s="328"/>
      <c r="U76" s="328"/>
      <c r="V76" s="328"/>
    </row>
    <row r="77" spans="1:22" x14ac:dyDescent="0.25">
      <c r="A77" s="525">
        <f t="shared" si="1"/>
        <v>76</v>
      </c>
      <c r="B77" s="66" t="s">
        <v>50</v>
      </c>
      <c r="C77" s="3" t="s">
        <v>15</v>
      </c>
      <c r="D77" s="339" t="e">
        <f>+#REF!</f>
        <v>#REF!</v>
      </c>
      <c r="E77" s="330"/>
      <c r="F77" s="1043"/>
      <c r="G77" s="63"/>
      <c r="H77" s="63"/>
      <c r="I77" s="328"/>
      <c r="J77" s="328"/>
      <c r="K77" s="328"/>
      <c r="L77" s="328"/>
      <c r="M77" s="328"/>
      <c r="N77" s="328"/>
      <c r="O77" s="783"/>
      <c r="P77" s="328"/>
      <c r="Q77" s="332"/>
      <c r="R77" s="785"/>
      <c r="S77" s="328"/>
      <c r="T77" s="328"/>
      <c r="U77" s="328"/>
      <c r="V77" s="328"/>
    </row>
    <row r="78" spans="1:22" ht="285" x14ac:dyDescent="0.25">
      <c r="A78" s="525">
        <f t="shared" si="1"/>
        <v>77</v>
      </c>
      <c r="B78" s="66" t="s">
        <v>51</v>
      </c>
      <c r="C78" s="3" t="s">
        <v>15</v>
      </c>
      <c r="D78" s="339"/>
      <c r="E78" s="330"/>
      <c r="F78" s="1043"/>
      <c r="G78" s="63"/>
      <c r="H78" s="63"/>
      <c r="I78" s="328"/>
      <c r="J78" s="328"/>
      <c r="K78" s="328"/>
      <c r="L78" s="328"/>
      <c r="M78" s="328"/>
      <c r="N78" s="328"/>
      <c r="O78" s="1040"/>
      <c r="P78" s="526"/>
      <c r="Q78" s="801"/>
      <c r="R78" s="785"/>
      <c r="T78" s="787" t="s">
        <v>3530</v>
      </c>
      <c r="U78" s="328"/>
      <c r="V78" s="787" t="s">
        <v>3458</v>
      </c>
    </row>
    <row r="79" spans="1:22" x14ac:dyDescent="0.25">
      <c r="A79" s="525">
        <f t="shared" si="1"/>
        <v>78</v>
      </c>
      <c r="B79" s="66" t="s">
        <v>53</v>
      </c>
      <c r="C79" s="3" t="s">
        <v>15</v>
      </c>
      <c r="D79" s="339"/>
      <c r="E79" s="330"/>
      <c r="F79" s="1043"/>
      <c r="G79" s="63"/>
      <c r="H79" s="63"/>
      <c r="I79" s="328"/>
      <c r="J79" s="328"/>
      <c r="K79" s="328"/>
      <c r="L79" s="328"/>
      <c r="M79" s="328"/>
      <c r="N79" s="328"/>
      <c r="O79" s="783"/>
      <c r="P79" s="330"/>
      <c r="Q79" s="350"/>
      <c r="R79" s="785"/>
      <c r="S79" s="328"/>
      <c r="T79" s="328"/>
      <c r="U79" s="328"/>
      <c r="V79" s="328"/>
    </row>
    <row r="80" spans="1:22" x14ac:dyDescent="0.25">
      <c r="A80" s="525">
        <f t="shared" si="1"/>
        <v>79</v>
      </c>
      <c r="B80" s="66" t="s">
        <v>334</v>
      </c>
      <c r="C80" s="3" t="s">
        <v>115</v>
      </c>
      <c r="D80" s="339"/>
      <c r="E80" s="333"/>
      <c r="F80" s="1052"/>
      <c r="G80" s="327"/>
      <c r="H80" s="327"/>
      <c r="I80" s="327"/>
      <c r="J80" s="327"/>
      <c r="K80" s="327"/>
      <c r="L80" s="327"/>
      <c r="M80" s="327"/>
      <c r="N80" s="327"/>
      <c r="O80" s="1041"/>
      <c r="P80" s="327"/>
      <c r="Q80" s="664"/>
      <c r="R80" s="785"/>
      <c r="S80" s="327"/>
      <c r="T80" s="327"/>
      <c r="U80" s="327"/>
      <c r="V80" s="327"/>
    </row>
    <row r="81" spans="1:26" x14ac:dyDescent="0.25">
      <c r="A81" s="525">
        <f t="shared" si="1"/>
        <v>80</v>
      </c>
      <c r="B81" s="66" t="s">
        <v>54</v>
      </c>
      <c r="C81" s="3" t="s">
        <v>115</v>
      </c>
      <c r="D81" s="339"/>
      <c r="E81" s="330"/>
      <c r="F81" s="1043"/>
      <c r="G81" s="63"/>
      <c r="H81" s="63"/>
      <c r="I81" s="328"/>
      <c r="J81" s="328"/>
      <c r="K81" s="328"/>
      <c r="L81" s="328"/>
      <c r="M81" s="328"/>
      <c r="N81" s="328"/>
      <c r="O81" s="783"/>
      <c r="P81" s="328"/>
      <c r="Q81" s="332"/>
      <c r="R81" s="765"/>
      <c r="S81" s="328"/>
      <c r="T81" s="328"/>
      <c r="U81" s="328"/>
      <c r="V81" s="328"/>
      <c r="W81" s="328"/>
      <c r="X81" s="328"/>
      <c r="Y81" s="328"/>
      <c r="Z81" s="328"/>
    </row>
    <row r="82" spans="1:26" x14ac:dyDescent="0.25">
      <c r="A82" s="525">
        <f t="shared" si="1"/>
        <v>81</v>
      </c>
      <c r="B82" s="66" t="s">
        <v>55</v>
      </c>
      <c r="C82" s="3" t="s">
        <v>15</v>
      </c>
      <c r="D82" s="339"/>
      <c r="E82" s="330"/>
      <c r="F82" s="1043"/>
      <c r="G82" s="63"/>
      <c r="H82" s="63"/>
      <c r="I82" s="328"/>
      <c r="J82" s="328"/>
      <c r="K82" s="328"/>
      <c r="L82" s="328"/>
      <c r="M82" s="328"/>
      <c r="N82" s="328"/>
      <c r="O82" s="783"/>
      <c r="P82" s="328"/>
      <c r="Q82" s="332"/>
      <c r="R82" s="785"/>
      <c r="S82" s="328"/>
      <c r="T82" s="328"/>
      <c r="U82" s="328"/>
      <c r="V82" s="328"/>
      <c r="W82" s="328"/>
      <c r="X82" s="328"/>
      <c r="Y82" s="328"/>
      <c r="Z82" s="328"/>
    </row>
    <row r="83" spans="1:26" ht="25.5" x14ac:dyDescent="0.25">
      <c r="A83" s="525">
        <f t="shared" si="1"/>
        <v>82</v>
      </c>
      <c r="B83" s="66" t="s">
        <v>56</v>
      </c>
      <c r="C83" s="3" t="s">
        <v>15</v>
      </c>
      <c r="D83" s="339"/>
      <c r="E83" s="330"/>
      <c r="F83" s="1043"/>
      <c r="G83" s="63"/>
      <c r="H83" s="63"/>
      <c r="I83" s="328"/>
      <c r="J83" s="328"/>
      <c r="K83" s="328"/>
      <c r="L83" s="328"/>
      <c r="M83" s="328"/>
      <c r="N83" s="328"/>
      <c r="O83" s="783"/>
      <c r="P83" s="333"/>
      <c r="Q83" s="680"/>
      <c r="R83" s="785"/>
      <c r="S83" s="328"/>
      <c r="T83" s="328"/>
      <c r="U83" s="328"/>
      <c r="V83" s="328"/>
      <c r="W83" s="328"/>
      <c r="X83" s="328"/>
      <c r="Y83" s="328"/>
      <c r="Z83" s="328"/>
    </row>
    <row r="84" spans="1:26" x14ac:dyDescent="0.25">
      <c r="A84" s="525">
        <f t="shared" si="1"/>
        <v>83</v>
      </c>
      <c r="B84" s="66" t="s">
        <v>58</v>
      </c>
      <c r="C84" s="3" t="s">
        <v>15</v>
      </c>
      <c r="D84" s="339"/>
      <c r="E84" s="330"/>
      <c r="F84" s="1043"/>
      <c r="G84" s="63"/>
      <c r="H84" s="63"/>
      <c r="I84" s="328"/>
      <c r="J84" s="328"/>
      <c r="K84" s="328"/>
      <c r="L84" s="328"/>
      <c r="M84" s="328"/>
      <c r="N84" s="328"/>
      <c r="O84" s="783"/>
      <c r="P84" s="330"/>
      <c r="Q84" s="350"/>
      <c r="R84" s="785"/>
      <c r="S84" s="328"/>
      <c r="T84" s="328"/>
      <c r="U84" s="328"/>
      <c r="V84" s="328"/>
      <c r="W84" s="328"/>
      <c r="X84" s="328"/>
      <c r="Y84" s="328"/>
      <c r="Z84" s="328"/>
    </row>
    <row r="85" spans="1:26" ht="25.5" x14ac:dyDescent="0.25">
      <c r="A85" s="525">
        <f t="shared" si="1"/>
        <v>84</v>
      </c>
      <c r="B85" s="66" t="s">
        <v>57</v>
      </c>
      <c r="C85" s="3" t="s">
        <v>15</v>
      </c>
      <c r="D85" s="339"/>
      <c r="E85" s="330"/>
      <c r="F85" s="1043"/>
      <c r="G85" s="63"/>
      <c r="H85" s="63"/>
      <c r="I85" s="328"/>
      <c r="J85" s="328"/>
      <c r="K85" s="328"/>
      <c r="L85" s="328"/>
      <c r="M85" s="328"/>
      <c r="N85" s="328"/>
      <c r="O85" s="783"/>
      <c r="P85" s="330"/>
      <c r="Q85" s="350"/>
      <c r="R85" s="785"/>
      <c r="S85" s="328"/>
      <c r="T85" s="328"/>
      <c r="U85" s="328"/>
      <c r="V85" s="328"/>
      <c r="W85" s="328"/>
      <c r="X85" s="328"/>
      <c r="Y85" s="328"/>
      <c r="Z85" s="328"/>
    </row>
    <row r="86" spans="1:26" ht="60" x14ac:dyDescent="0.25">
      <c r="A86" s="525">
        <f t="shared" si="1"/>
        <v>85</v>
      </c>
      <c r="B86" s="66" t="s">
        <v>332</v>
      </c>
      <c r="C86" s="3" t="s">
        <v>7</v>
      </c>
      <c r="D86" s="339"/>
      <c r="E86" s="333"/>
      <c r="F86" s="1052"/>
      <c r="G86" s="65"/>
      <c r="H86" s="65"/>
      <c r="I86" s="65"/>
      <c r="J86" s="327"/>
      <c r="K86" s="327"/>
      <c r="L86" s="327"/>
      <c r="M86" s="327"/>
      <c r="N86" s="327"/>
      <c r="O86" s="1041"/>
      <c r="P86" s="327"/>
      <c r="Q86" s="664"/>
      <c r="R86" s="785"/>
      <c r="S86" s="327"/>
      <c r="T86" s="327"/>
      <c r="U86" s="327"/>
      <c r="V86" s="327"/>
      <c r="W86" s="327"/>
      <c r="X86" s="327"/>
      <c r="Y86" s="327"/>
      <c r="Z86" s="794" t="s">
        <v>6894</v>
      </c>
    </row>
    <row r="87" spans="1:26" x14ac:dyDescent="0.25">
      <c r="A87" s="525">
        <f t="shared" si="1"/>
        <v>86</v>
      </c>
      <c r="B87" s="66" t="s">
        <v>307</v>
      </c>
      <c r="C87" s="3" t="s">
        <v>7</v>
      </c>
      <c r="D87" s="339"/>
      <c r="E87" s="333"/>
      <c r="F87" s="1052"/>
      <c r="G87" s="65"/>
      <c r="H87" s="65"/>
      <c r="I87" s="65"/>
      <c r="J87" s="327"/>
      <c r="K87" s="327"/>
      <c r="L87" s="327"/>
      <c r="M87" s="327"/>
      <c r="N87" s="327"/>
      <c r="O87" s="1041"/>
      <c r="P87" s="327"/>
      <c r="Q87" s="664"/>
      <c r="R87" s="785"/>
      <c r="S87" s="327"/>
      <c r="T87" s="327"/>
      <c r="U87" s="327"/>
      <c r="V87" s="327"/>
      <c r="W87" s="327"/>
      <c r="X87" s="327"/>
      <c r="Y87" s="327"/>
      <c r="Z87" s="327"/>
    </row>
    <row r="88" spans="1:26" ht="195" x14ac:dyDescent="0.25">
      <c r="A88" s="525">
        <f t="shared" si="1"/>
        <v>87</v>
      </c>
      <c r="B88" s="66" t="s">
        <v>41</v>
      </c>
      <c r="C88" s="3" t="s">
        <v>7</v>
      </c>
      <c r="D88" s="339"/>
      <c r="E88" s="333"/>
      <c r="F88" s="1052"/>
      <c r="G88" s="65"/>
      <c r="H88" s="65"/>
      <c r="I88" s="65"/>
      <c r="J88" s="327"/>
      <c r="K88" s="327"/>
      <c r="L88" s="327"/>
      <c r="M88" s="327"/>
      <c r="N88" s="327"/>
      <c r="O88" s="1041"/>
      <c r="P88" s="327"/>
      <c r="Q88" s="664"/>
      <c r="R88" s="785"/>
      <c r="S88" s="787" t="s">
        <v>3415</v>
      </c>
      <c r="T88" s="787" t="s">
        <v>3437</v>
      </c>
      <c r="U88" s="327"/>
      <c r="V88" s="787" t="s">
        <v>3460</v>
      </c>
      <c r="W88" s="773"/>
      <c r="X88" s="773"/>
      <c r="Y88" s="773"/>
      <c r="Z88" s="327"/>
    </row>
    <row r="89" spans="1:26" x14ac:dyDescent="0.25">
      <c r="A89" s="525">
        <f t="shared" si="1"/>
        <v>88</v>
      </c>
      <c r="B89" s="564" t="s">
        <v>84</v>
      </c>
      <c r="C89" s="300" t="s">
        <v>13</v>
      </c>
      <c r="D89" s="339"/>
      <c r="E89" s="330"/>
      <c r="F89" s="1043"/>
      <c r="G89" s="63"/>
      <c r="H89" s="63"/>
      <c r="I89" s="63"/>
      <c r="J89" s="328"/>
      <c r="K89" s="328"/>
      <c r="L89" s="328"/>
      <c r="M89" s="328"/>
      <c r="N89" s="328"/>
      <c r="O89" s="783"/>
      <c r="P89" s="328"/>
      <c r="Q89" s="332"/>
      <c r="R89" s="785"/>
      <c r="S89" s="328"/>
      <c r="T89" s="328"/>
      <c r="U89" s="328"/>
      <c r="V89" s="328"/>
      <c r="W89" s="328"/>
      <c r="X89" s="328"/>
      <c r="Y89" s="328"/>
      <c r="Z89" s="328"/>
    </row>
    <row r="90" spans="1:26" x14ac:dyDescent="0.25">
      <c r="A90" s="525">
        <f t="shared" si="1"/>
        <v>89</v>
      </c>
      <c r="B90" s="564" t="s">
        <v>83</v>
      </c>
      <c r="C90" s="300" t="s">
        <v>13</v>
      </c>
      <c r="D90" s="339"/>
      <c r="E90" s="330"/>
      <c r="F90" s="1043"/>
      <c r="G90" s="63"/>
      <c r="H90" s="63"/>
      <c r="I90" s="63"/>
      <c r="J90" s="328"/>
      <c r="K90" s="328"/>
      <c r="L90" s="328"/>
      <c r="M90" s="328"/>
      <c r="N90" s="328"/>
      <c r="O90" s="783"/>
      <c r="P90" s="328"/>
      <c r="Q90" s="332"/>
      <c r="R90" s="785"/>
      <c r="S90" s="328"/>
      <c r="T90" s="328"/>
      <c r="U90" s="328"/>
      <c r="V90" s="328"/>
      <c r="W90" s="328"/>
      <c r="X90" s="328"/>
      <c r="Y90" s="328"/>
      <c r="Z90" s="328"/>
    </row>
    <row r="91" spans="1:26" ht="105" x14ac:dyDescent="0.25">
      <c r="A91" s="525">
        <f t="shared" si="1"/>
        <v>90</v>
      </c>
      <c r="B91" s="66" t="s">
        <v>36</v>
      </c>
      <c r="C91" s="300" t="s">
        <v>10</v>
      </c>
      <c r="D91" s="339"/>
      <c r="E91" s="333"/>
      <c r="F91" s="1052"/>
      <c r="G91" s="65"/>
      <c r="H91" s="65"/>
      <c r="I91" s="65"/>
      <c r="J91" s="327"/>
      <c r="K91" s="327"/>
      <c r="L91" s="327"/>
      <c r="M91" s="327"/>
      <c r="N91" s="327"/>
      <c r="O91" s="1041"/>
      <c r="P91" s="327"/>
      <c r="Q91" s="664"/>
      <c r="R91" s="785"/>
      <c r="S91" s="327"/>
      <c r="T91" s="327"/>
      <c r="U91" s="327"/>
      <c r="V91" s="787" t="s">
        <v>3463</v>
      </c>
      <c r="W91" s="773"/>
      <c r="X91" s="773"/>
      <c r="Y91" s="773"/>
      <c r="Z91" s="787" t="s">
        <v>3491</v>
      </c>
    </row>
    <row r="92" spans="1:26" ht="180" x14ac:dyDescent="0.25">
      <c r="A92" s="525">
        <f t="shared" si="1"/>
        <v>91</v>
      </c>
      <c r="B92" s="66" t="s">
        <v>326</v>
      </c>
      <c r="C92" s="3" t="s">
        <v>157</v>
      </c>
      <c r="D92" s="339"/>
      <c r="E92" s="333"/>
      <c r="F92" s="1052"/>
      <c r="G92" s="65"/>
      <c r="H92" s="65"/>
      <c r="I92" s="65"/>
      <c r="J92" s="327"/>
      <c r="K92" s="327"/>
      <c r="L92" s="327"/>
      <c r="M92" s="327"/>
      <c r="N92" s="327"/>
      <c r="O92" s="1041"/>
      <c r="P92" s="327"/>
      <c r="Q92" s="664"/>
      <c r="R92" s="785"/>
      <c r="S92" s="787" t="s">
        <v>3414</v>
      </c>
      <c r="T92" s="327"/>
      <c r="U92" s="327"/>
      <c r="V92" s="327"/>
      <c r="W92" s="327"/>
      <c r="X92" s="787" t="s">
        <v>3465</v>
      </c>
      <c r="Y92" s="773"/>
      <c r="Z92" s="327"/>
    </row>
    <row r="93" spans="1:26" x14ac:dyDescent="0.25">
      <c r="A93" s="525">
        <f t="shared" si="1"/>
        <v>92</v>
      </c>
      <c r="B93" s="66" t="s">
        <v>2897</v>
      </c>
      <c r="C93" s="3" t="s">
        <v>7</v>
      </c>
      <c r="D93" s="339"/>
      <c r="E93" s="330"/>
      <c r="F93" s="1052"/>
      <c r="G93" s="666"/>
      <c r="H93" s="65"/>
      <c r="I93" s="65"/>
      <c r="J93" s="327"/>
      <c r="K93" s="327"/>
      <c r="L93" s="327"/>
      <c r="M93" s="327"/>
      <c r="N93" s="327"/>
      <c r="O93" s="1041"/>
      <c r="P93" s="327"/>
      <c r="Q93" s="664"/>
      <c r="R93" s="785"/>
      <c r="S93" s="327"/>
      <c r="T93" s="327"/>
      <c r="U93" s="327"/>
      <c r="V93" s="327"/>
      <c r="W93" s="327"/>
      <c r="X93" s="327"/>
      <c r="Y93" s="327"/>
      <c r="Z93" s="327"/>
    </row>
    <row r="94" spans="1:26" ht="165" x14ac:dyDescent="0.25">
      <c r="A94" s="525">
        <f t="shared" si="1"/>
        <v>93</v>
      </c>
      <c r="B94" s="66" t="s">
        <v>327</v>
      </c>
      <c r="C94" s="3" t="s">
        <v>157</v>
      </c>
      <c r="D94" s="339"/>
      <c r="E94" s="333"/>
      <c r="F94" s="1052"/>
      <c r="G94" s="65"/>
      <c r="H94" s="65"/>
      <c r="I94" s="65"/>
      <c r="J94" s="1348" t="s">
        <v>6892</v>
      </c>
      <c r="K94" s="787"/>
      <c r="L94" s="327"/>
      <c r="M94" s="327"/>
      <c r="N94" s="327"/>
      <c r="O94" s="1041"/>
      <c r="P94" s="327"/>
      <c r="Q94" s="664"/>
      <c r="R94" s="765"/>
      <c r="S94" s="787" t="s">
        <v>3452</v>
      </c>
      <c r="T94" s="327"/>
      <c r="U94" s="327"/>
      <c r="V94" s="787" t="s">
        <v>3462</v>
      </c>
      <c r="W94" s="773"/>
      <c r="X94" s="773"/>
      <c r="Y94" s="773"/>
      <c r="Z94" s="327"/>
    </row>
    <row r="95" spans="1:26" ht="135" x14ac:dyDescent="0.25">
      <c r="A95" s="525">
        <f t="shared" si="1"/>
        <v>94</v>
      </c>
      <c r="B95" s="66" t="s">
        <v>37</v>
      </c>
      <c r="C95" s="3" t="s">
        <v>4</v>
      </c>
      <c r="D95" s="339"/>
      <c r="E95" s="333"/>
      <c r="F95" s="1052"/>
      <c r="G95" s="65"/>
      <c r="H95" s="65"/>
      <c r="I95" s="65"/>
      <c r="J95" s="327"/>
      <c r="K95" s="327"/>
      <c r="L95" s="327"/>
      <c r="M95" s="327"/>
      <c r="N95" s="787" t="s">
        <v>3486</v>
      </c>
      <c r="O95" s="1041"/>
      <c r="P95" s="327"/>
      <c r="Q95" s="664"/>
      <c r="R95" s="785"/>
      <c r="S95" s="327"/>
      <c r="T95" s="327"/>
      <c r="U95" s="327"/>
      <c r="V95" s="327"/>
      <c r="W95" s="327"/>
      <c r="X95" s="327"/>
      <c r="Y95" s="327"/>
      <c r="Z95" s="327"/>
    </row>
    <row r="96" spans="1:26" ht="120" x14ac:dyDescent="0.25">
      <c r="A96" s="525">
        <f t="shared" si="1"/>
        <v>95</v>
      </c>
      <c r="B96" s="66" t="s">
        <v>43</v>
      </c>
      <c r="C96" s="300" t="s">
        <v>10</v>
      </c>
      <c r="D96" s="339"/>
      <c r="E96" s="333"/>
      <c r="F96" s="1052"/>
      <c r="G96" s="65"/>
      <c r="H96" s="65"/>
      <c r="I96" s="65"/>
      <c r="J96" s="327"/>
      <c r="K96" s="327"/>
      <c r="L96" s="327"/>
      <c r="M96" s="327"/>
      <c r="N96" s="327"/>
      <c r="O96" s="1041"/>
      <c r="P96" s="327"/>
      <c r="Q96" s="664"/>
      <c r="R96" s="785"/>
      <c r="S96" s="787"/>
      <c r="T96" s="787" t="s">
        <v>3446</v>
      </c>
      <c r="U96" s="327"/>
      <c r="V96" s="327"/>
      <c r="W96" s="327"/>
      <c r="X96" s="327"/>
      <c r="Y96" s="327"/>
      <c r="Z96" s="327"/>
    </row>
    <row r="97" spans="1:26" ht="180" x14ac:dyDescent="0.25">
      <c r="A97" s="525">
        <f t="shared" si="1"/>
        <v>96</v>
      </c>
      <c r="B97" s="66" t="s">
        <v>104</v>
      </c>
      <c r="C97" s="300" t="s">
        <v>10</v>
      </c>
      <c r="D97" s="339"/>
      <c r="E97" s="333"/>
      <c r="F97" s="1052"/>
      <c r="G97" s="65"/>
      <c r="H97" s="65"/>
      <c r="I97" s="65"/>
      <c r="J97" s="327"/>
      <c r="K97" s="327"/>
      <c r="L97" s="327"/>
      <c r="M97" s="327"/>
      <c r="N97" s="327"/>
      <c r="O97" s="1041"/>
      <c r="P97" s="327"/>
      <c r="Q97" s="664"/>
      <c r="R97" s="785"/>
      <c r="S97" s="787" t="s">
        <v>3501</v>
      </c>
      <c r="T97" s="327"/>
      <c r="U97" s="327"/>
      <c r="V97" s="327"/>
      <c r="W97" s="327"/>
      <c r="X97" s="327"/>
      <c r="Y97" s="327"/>
      <c r="Z97" s="327"/>
    </row>
    <row r="98" spans="1:26" ht="25.5" x14ac:dyDescent="0.25">
      <c r="A98" s="525">
        <f t="shared" si="1"/>
        <v>97</v>
      </c>
      <c r="B98" s="66" t="s">
        <v>72</v>
      </c>
      <c r="C98" s="3" t="s">
        <v>13</v>
      </c>
      <c r="D98" s="339"/>
      <c r="E98" s="330"/>
      <c r="F98" s="1053"/>
      <c r="G98" s="63"/>
      <c r="H98" s="63"/>
      <c r="I98" s="63"/>
      <c r="J98" s="328"/>
      <c r="K98" s="328"/>
      <c r="L98" s="328"/>
      <c r="M98" s="332"/>
      <c r="N98" s="332"/>
      <c r="O98" s="765"/>
      <c r="P98" s="328"/>
      <c r="Q98" s="332"/>
      <c r="R98" s="785"/>
      <c r="S98" s="328"/>
      <c r="T98" s="328"/>
      <c r="U98" s="328"/>
      <c r="V98" s="328"/>
      <c r="W98" s="328"/>
      <c r="X98" s="328"/>
      <c r="Y98" s="328"/>
      <c r="Z98" s="328"/>
    </row>
    <row r="99" spans="1:26" ht="25.5" x14ac:dyDescent="0.25">
      <c r="A99" s="525">
        <f t="shared" si="1"/>
        <v>98</v>
      </c>
      <c r="B99" s="66" t="s">
        <v>3160</v>
      </c>
      <c r="C99" s="3"/>
      <c r="D99" s="339"/>
      <c r="E99" s="330"/>
      <c r="F99" s="1053"/>
      <c r="G99" s="63"/>
      <c r="H99" s="63"/>
      <c r="I99" s="63"/>
      <c r="J99" s="328"/>
      <c r="K99" s="328"/>
      <c r="L99" s="328"/>
      <c r="M99" s="328"/>
      <c r="N99" s="328"/>
      <c r="O99" s="783"/>
      <c r="P99" s="328"/>
      <c r="Q99" s="332"/>
      <c r="R99" s="785"/>
      <c r="S99" s="328"/>
      <c r="T99" s="328"/>
      <c r="U99" s="328"/>
      <c r="V99" s="328"/>
      <c r="W99" s="328"/>
      <c r="X99" s="328"/>
      <c r="Y99" s="328"/>
      <c r="Z99" s="328"/>
    </row>
    <row r="100" spans="1:26" x14ac:dyDescent="0.25">
      <c r="A100" s="525">
        <f t="shared" si="1"/>
        <v>99</v>
      </c>
      <c r="B100" s="66" t="s">
        <v>78</v>
      </c>
      <c r="C100" s="300" t="s">
        <v>10</v>
      </c>
      <c r="D100" s="339"/>
      <c r="E100" s="330"/>
      <c r="F100" s="1043"/>
      <c r="G100" s="63"/>
      <c r="H100" s="63"/>
      <c r="I100" s="63"/>
      <c r="J100" s="328"/>
      <c r="K100" s="328"/>
      <c r="L100" s="328"/>
      <c r="M100" s="328"/>
      <c r="N100" s="328"/>
      <c r="O100" s="783"/>
      <c r="P100" s="328"/>
      <c r="Q100" s="332"/>
      <c r="R100" s="785"/>
      <c r="S100" s="328"/>
      <c r="T100" s="328"/>
      <c r="U100" s="328"/>
      <c r="V100" s="328"/>
      <c r="W100" s="328"/>
      <c r="X100" s="328"/>
      <c r="Y100" s="328"/>
      <c r="Z100" s="328"/>
    </row>
    <row r="101" spans="1:26" ht="165" x14ac:dyDescent="0.25">
      <c r="A101" s="525">
        <f t="shared" si="1"/>
        <v>100</v>
      </c>
      <c r="B101" s="66" t="s">
        <v>87</v>
      </c>
      <c r="C101" s="3" t="s">
        <v>115</v>
      </c>
      <c r="D101" s="339"/>
      <c r="E101" s="333"/>
      <c r="F101" s="1052"/>
      <c r="G101" s="65"/>
      <c r="H101" s="65"/>
      <c r="I101" s="65"/>
      <c r="J101" s="327"/>
      <c r="K101" s="787" t="s">
        <v>3447</v>
      </c>
      <c r="L101" s="327"/>
      <c r="M101" s="327"/>
      <c r="N101" s="327"/>
      <c r="O101" s="1041"/>
      <c r="P101" s="327"/>
      <c r="Q101" s="664"/>
      <c r="R101" s="765"/>
      <c r="S101" s="787" t="s">
        <v>3413</v>
      </c>
      <c r="T101" s="327"/>
      <c r="U101" s="327"/>
      <c r="V101" s="327"/>
      <c r="W101" s="327"/>
      <c r="X101" s="787" t="s">
        <v>3466</v>
      </c>
      <c r="Y101" s="773"/>
      <c r="Z101" s="327"/>
    </row>
    <row r="102" spans="1:26" x14ac:dyDescent="0.25">
      <c r="A102" s="525">
        <f t="shared" si="1"/>
        <v>101</v>
      </c>
      <c r="B102" s="567" t="s">
        <v>92</v>
      </c>
      <c r="C102" s="300" t="s">
        <v>10</v>
      </c>
      <c r="D102" s="339"/>
      <c r="E102" s="330"/>
      <c r="F102" s="1043"/>
      <c r="G102" s="300"/>
      <c r="H102" s="330"/>
      <c r="I102" s="330"/>
      <c r="J102" s="330"/>
      <c r="K102" s="330"/>
      <c r="L102" s="330"/>
      <c r="M102" s="330"/>
      <c r="N102" s="330"/>
      <c r="O102" s="1043"/>
      <c r="P102" s="330"/>
      <c r="Q102" s="350"/>
      <c r="R102" s="1068"/>
      <c r="S102" s="330"/>
      <c r="T102" s="330"/>
      <c r="U102" s="330"/>
      <c r="V102" s="330"/>
      <c r="W102" s="330"/>
      <c r="X102" s="330"/>
      <c r="Y102" s="330"/>
      <c r="Z102" s="330"/>
    </row>
    <row r="103" spans="1:26" ht="90" x14ac:dyDescent="0.25">
      <c r="A103" s="525">
        <f t="shared" si="1"/>
        <v>102</v>
      </c>
      <c r="B103" s="66" t="s">
        <v>73</v>
      </c>
      <c r="C103" s="300" t="s">
        <v>10</v>
      </c>
      <c r="D103" s="339"/>
      <c r="E103" s="330"/>
      <c r="F103" s="1053"/>
      <c r="G103" s="63"/>
      <c r="H103" s="790" t="s">
        <v>3424</v>
      </c>
      <c r="I103" s="63"/>
      <c r="J103" s="328"/>
      <c r="K103" s="328"/>
      <c r="L103" s="328"/>
      <c r="M103" s="328"/>
      <c r="N103" s="328"/>
      <c r="O103" s="1043"/>
      <c r="P103" s="330"/>
      <c r="Q103" s="350"/>
      <c r="R103" s="765"/>
      <c r="S103" s="328"/>
      <c r="T103" s="328"/>
      <c r="U103" s="328"/>
      <c r="V103" s="328"/>
      <c r="W103" s="328"/>
      <c r="X103" s="328"/>
      <c r="Y103" s="328"/>
      <c r="Z103" s="328"/>
    </row>
    <row r="104" spans="1:26" ht="180" x14ac:dyDescent="0.25">
      <c r="A104" s="525">
        <f t="shared" si="1"/>
        <v>103</v>
      </c>
      <c r="B104" s="66" t="s">
        <v>74</v>
      </c>
      <c r="C104" s="300" t="s">
        <v>10</v>
      </c>
      <c r="D104" s="339"/>
      <c r="E104" s="330"/>
      <c r="F104" s="1053"/>
      <c r="G104" s="63"/>
      <c r="H104" s="63"/>
      <c r="I104" s="63"/>
      <c r="J104" s="328"/>
      <c r="K104" s="328"/>
      <c r="L104" s="328"/>
      <c r="M104" s="328"/>
      <c r="N104" s="328"/>
      <c r="O104" s="1043"/>
      <c r="P104" s="330"/>
      <c r="Q104" s="350"/>
      <c r="R104" s="785"/>
      <c r="S104" s="787" t="s">
        <v>6876</v>
      </c>
      <c r="T104" s="328"/>
      <c r="U104" s="328"/>
      <c r="V104" s="328"/>
      <c r="W104" s="328"/>
      <c r="X104" s="328"/>
      <c r="Y104" s="328"/>
      <c r="Z104" s="328"/>
    </row>
    <row r="105" spans="1:26" ht="25.5" x14ac:dyDescent="0.25">
      <c r="A105" s="525">
        <f t="shared" si="1"/>
        <v>104</v>
      </c>
      <c r="B105" s="66" t="s">
        <v>77</v>
      </c>
      <c r="C105" s="3" t="s">
        <v>13</v>
      </c>
      <c r="D105" s="339"/>
      <c r="E105" s="330"/>
      <c r="F105" s="1053"/>
      <c r="G105" s="63"/>
      <c r="H105" s="63"/>
      <c r="I105" s="63"/>
      <c r="J105" s="328"/>
      <c r="K105" s="328"/>
      <c r="L105" s="328"/>
      <c r="M105" s="328"/>
      <c r="N105" s="328"/>
      <c r="O105" s="783"/>
      <c r="P105" s="330"/>
      <c r="Q105" s="350"/>
      <c r="R105" s="785"/>
      <c r="S105" s="328"/>
      <c r="T105" s="328"/>
      <c r="U105" s="328"/>
      <c r="V105" s="328"/>
      <c r="W105" s="328"/>
      <c r="X105" s="328"/>
      <c r="Y105" s="328"/>
      <c r="Z105" s="328"/>
    </row>
    <row r="106" spans="1:26" x14ac:dyDescent="0.25">
      <c r="A106" s="525">
        <f t="shared" si="1"/>
        <v>105</v>
      </c>
      <c r="B106" s="66" t="s">
        <v>308</v>
      </c>
      <c r="C106" s="300" t="s">
        <v>10</v>
      </c>
      <c r="D106" s="339"/>
      <c r="E106" s="333"/>
      <c r="F106" s="1052"/>
      <c r="G106" s="65"/>
      <c r="H106" s="65"/>
      <c r="I106" s="65"/>
      <c r="J106" s="327"/>
      <c r="K106" s="327"/>
      <c r="L106" s="327"/>
      <c r="M106" s="327"/>
      <c r="N106" s="327"/>
      <c r="O106" s="1041"/>
      <c r="P106" s="327"/>
      <c r="Q106" s="664"/>
      <c r="R106" s="785"/>
      <c r="S106" s="327"/>
      <c r="T106" s="327"/>
      <c r="U106" s="327"/>
      <c r="V106" s="327"/>
      <c r="W106" s="327"/>
      <c r="X106" s="327"/>
      <c r="Y106" s="327"/>
      <c r="Z106" s="327"/>
    </row>
    <row r="107" spans="1:26" ht="60" x14ac:dyDescent="0.25">
      <c r="A107" s="525">
        <f t="shared" si="1"/>
        <v>106</v>
      </c>
      <c r="B107" s="66" t="s">
        <v>329</v>
      </c>
      <c r="C107" s="3" t="s">
        <v>7</v>
      </c>
      <c r="D107" s="339"/>
      <c r="E107" s="330"/>
      <c r="F107" s="1043"/>
      <c r="G107" s="63"/>
      <c r="H107" s="63"/>
      <c r="I107" s="63"/>
      <c r="J107" s="328"/>
      <c r="K107" s="328"/>
      <c r="L107" s="328"/>
      <c r="M107" s="328"/>
      <c r="N107" s="328"/>
      <c r="O107" s="783"/>
      <c r="P107" s="328"/>
      <c r="Q107" s="332"/>
      <c r="R107" s="785"/>
      <c r="S107" s="328"/>
      <c r="T107" s="328"/>
      <c r="U107" s="328"/>
      <c r="V107" s="328"/>
      <c r="W107" s="328"/>
      <c r="X107" s="328"/>
      <c r="Y107" s="787" t="s">
        <v>3469</v>
      </c>
      <c r="Z107" s="328"/>
    </row>
    <row r="108" spans="1:26" ht="75" x14ac:dyDescent="0.25">
      <c r="A108" s="525">
        <f t="shared" si="1"/>
        <v>107</v>
      </c>
      <c r="B108" s="66" t="s">
        <v>3020</v>
      </c>
      <c r="C108" s="3" t="s">
        <v>15</v>
      </c>
      <c r="D108" s="339"/>
      <c r="E108" s="333"/>
      <c r="F108" s="1052"/>
      <c r="G108" s="65"/>
      <c r="H108" s="65"/>
      <c r="I108" s="65"/>
      <c r="J108" s="327"/>
      <c r="K108" s="327"/>
      <c r="L108" s="327"/>
      <c r="M108" s="327"/>
      <c r="N108" s="327"/>
      <c r="O108" s="1041"/>
      <c r="P108" s="333"/>
      <c r="Q108" s="680"/>
      <c r="R108" s="765"/>
      <c r="S108" s="327"/>
      <c r="T108" s="787" t="s">
        <v>3438</v>
      </c>
      <c r="U108" s="327"/>
      <c r="V108" s="327"/>
      <c r="W108" s="327"/>
      <c r="X108" s="327"/>
      <c r="Y108" s="327"/>
      <c r="Z108" s="327"/>
    </row>
    <row r="109" spans="1:26" x14ac:dyDescent="0.25">
      <c r="A109" s="525">
        <f t="shared" si="1"/>
        <v>108</v>
      </c>
      <c r="B109" s="66" t="s">
        <v>45</v>
      </c>
      <c r="C109" s="3" t="s">
        <v>93</v>
      </c>
      <c r="D109" s="339"/>
      <c r="E109" s="330"/>
      <c r="F109" s="1043"/>
      <c r="G109" s="666"/>
      <c r="H109" s="63"/>
      <c r="I109" s="63"/>
      <c r="J109" s="328"/>
      <c r="K109" s="328"/>
      <c r="L109" s="328"/>
      <c r="M109" s="328"/>
      <c r="N109" s="328"/>
      <c r="O109" s="783"/>
      <c r="P109" s="328"/>
      <c r="Q109" s="332"/>
      <c r="R109" s="785"/>
      <c r="S109" s="328"/>
      <c r="T109" s="328"/>
      <c r="U109" s="328"/>
      <c r="V109" s="328"/>
      <c r="W109" s="328"/>
      <c r="X109" s="328"/>
      <c r="Y109" s="328"/>
      <c r="Z109" s="328"/>
    </row>
    <row r="110" spans="1:26" ht="25.5" x14ac:dyDescent="0.25">
      <c r="A110" s="525">
        <f t="shared" si="1"/>
        <v>109</v>
      </c>
      <c r="B110" s="66" t="s">
        <v>34</v>
      </c>
      <c r="C110" s="300" t="s">
        <v>10</v>
      </c>
      <c r="D110" s="339"/>
      <c r="E110" s="333"/>
      <c r="F110" s="1052"/>
      <c r="G110" s="65"/>
      <c r="H110" s="65"/>
      <c r="I110" s="65"/>
      <c r="J110" s="327"/>
      <c r="K110" s="327"/>
      <c r="L110" s="327"/>
      <c r="M110" s="327"/>
      <c r="N110" s="327"/>
      <c r="O110" s="1041"/>
      <c r="P110" s="327"/>
      <c r="Q110" s="664"/>
      <c r="R110" s="785"/>
      <c r="S110" s="327"/>
      <c r="T110" s="327"/>
      <c r="U110" s="327"/>
      <c r="V110" s="327"/>
      <c r="W110" s="327"/>
      <c r="X110" s="327"/>
      <c r="Y110" s="327"/>
      <c r="Z110" s="327"/>
    </row>
    <row r="111" spans="1:26" ht="180" x14ac:dyDescent="0.25">
      <c r="A111" s="525">
        <f t="shared" si="1"/>
        <v>110</v>
      </c>
      <c r="B111" s="66" t="s">
        <v>42</v>
      </c>
      <c r="C111" s="300" t="s">
        <v>10</v>
      </c>
      <c r="D111" s="339"/>
      <c r="E111" s="333"/>
      <c r="F111" s="1052"/>
      <c r="G111" s="65"/>
      <c r="H111" s="65"/>
      <c r="I111" s="65"/>
      <c r="J111" s="327"/>
      <c r="K111" s="327"/>
      <c r="L111" s="327"/>
      <c r="M111" s="327"/>
      <c r="N111" s="327"/>
      <c r="O111" s="1041"/>
      <c r="P111" s="327"/>
      <c r="Q111" s="664"/>
      <c r="R111" s="785"/>
      <c r="S111" s="788" t="s">
        <v>3500</v>
      </c>
      <c r="T111" s="788"/>
      <c r="U111" s="327"/>
      <c r="V111" s="327"/>
      <c r="W111" s="327"/>
      <c r="X111" s="327"/>
      <c r="Y111" s="327"/>
      <c r="Z111" s="787" t="s">
        <v>3496</v>
      </c>
    </row>
    <row r="112" spans="1:26" ht="180" x14ac:dyDescent="0.25">
      <c r="A112" s="525">
        <f t="shared" si="1"/>
        <v>111</v>
      </c>
      <c r="B112" s="66" t="s">
        <v>33</v>
      </c>
      <c r="C112" s="300" t="s">
        <v>10</v>
      </c>
      <c r="D112" s="339"/>
      <c r="E112" s="333"/>
      <c r="F112" s="1052"/>
      <c r="G112" s="65"/>
      <c r="H112" s="65"/>
      <c r="I112" s="65"/>
      <c r="J112" s="327"/>
      <c r="K112" s="327"/>
      <c r="L112" s="327"/>
      <c r="M112" s="327"/>
      <c r="N112" s="327"/>
      <c r="O112" s="1041"/>
      <c r="P112" s="327"/>
      <c r="Q112" s="664"/>
      <c r="R112" s="785"/>
      <c r="S112" s="787" t="s">
        <v>3499</v>
      </c>
      <c r="T112" s="787"/>
      <c r="U112" s="327"/>
      <c r="V112" s="327"/>
      <c r="W112" s="327"/>
      <c r="X112" s="327"/>
      <c r="Y112" s="327"/>
      <c r="Z112" s="327"/>
    </row>
    <row r="113" spans="1:20" ht="195" x14ac:dyDescent="0.25">
      <c r="A113" s="525">
        <f t="shared" si="1"/>
        <v>112</v>
      </c>
      <c r="B113" s="66" t="s">
        <v>31</v>
      </c>
      <c r="C113" s="3" t="s">
        <v>13</v>
      </c>
      <c r="D113" s="339"/>
      <c r="E113" s="333"/>
      <c r="F113" s="1052"/>
      <c r="G113" s="65"/>
      <c r="H113" s="65"/>
      <c r="I113" s="65"/>
      <c r="J113" s="327"/>
      <c r="K113" s="327"/>
      <c r="L113" s="327"/>
      <c r="M113" s="327"/>
      <c r="N113" s="327"/>
      <c r="O113" s="1041"/>
      <c r="P113" s="327"/>
      <c r="Q113" s="664"/>
      <c r="R113" s="785"/>
      <c r="S113" s="788" t="s">
        <v>3412</v>
      </c>
      <c r="T113" s="327"/>
    </row>
    <row r="114" spans="1:20" x14ac:dyDescent="0.25">
      <c r="A114" s="525">
        <f t="shared" si="1"/>
        <v>113</v>
      </c>
      <c r="B114" s="66" t="s">
        <v>30</v>
      </c>
      <c r="C114" s="3" t="s">
        <v>13</v>
      </c>
      <c r="D114" s="339"/>
      <c r="E114" s="333"/>
      <c r="F114" s="1052"/>
      <c r="G114" s="65"/>
      <c r="H114" s="65"/>
      <c r="I114" s="65"/>
      <c r="J114" s="327"/>
      <c r="K114" s="327"/>
      <c r="L114" s="327"/>
      <c r="M114" s="327"/>
      <c r="N114" s="327"/>
      <c r="O114" s="1041"/>
      <c r="P114" s="327"/>
      <c r="Q114" s="664"/>
      <c r="R114" s="785"/>
      <c r="S114" s="765"/>
      <c r="T114" s="327"/>
    </row>
    <row r="115" spans="1:20" x14ac:dyDescent="0.25">
      <c r="A115" s="525">
        <f t="shared" si="1"/>
        <v>114</v>
      </c>
      <c r="B115" s="66" t="s">
        <v>29</v>
      </c>
      <c r="C115" s="3" t="s">
        <v>13</v>
      </c>
      <c r="D115" s="339"/>
      <c r="E115" s="333"/>
      <c r="F115" s="1052"/>
      <c r="G115" s="65"/>
      <c r="H115" s="65"/>
      <c r="I115" s="65"/>
      <c r="J115" s="327"/>
      <c r="K115" s="327"/>
      <c r="L115" s="327"/>
      <c r="M115" s="327"/>
      <c r="N115" s="327"/>
      <c r="O115" s="1041"/>
      <c r="P115" s="327"/>
      <c r="Q115" s="664"/>
      <c r="R115" s="785"/>
      <c r="S115" s="765"/>
      <c r="T115" s="327"/>
    </row>
    <row r="116" spans="1:20" ht="195" x14ac:dyDescent="0.25">
      <c r="A116" s="525">
        <f t="shared" si="1"/>
        <v>115</v>
      </c>
      <c r="B116" s="66" t="s">
        <v>309</v>
      </c>
      <c r="C116" s="3" t="s">
        <v>13</v>
      </c>
      <c r="D116" s="339"/>
      <c r="E116" s="333"/>
      <c r="F116" s="1052"/>
      <c r="G116" s="65"/>
      <c r="H116" s="65"/>
      <c r="I116" s="65"/>
      <c r="J116" s="327"/>
      <c r="K116" s="327"/>
      <c r="L116" s="327"/>
      <c r="M116" s="327"/>
      <c r="N116" s="327"/>
      <c r="O116" s="1041"/>
      <c r="P116" s="327"/>
      <c r="Q116" s="664"/>
      <c r="R116" s="785"/>
      <c r="S116" s="788" t="s">
        <v>3411</v>
      </c>
      <c r="T116" s="327"/>
    </row>
    <row r="117" spans="1:20" x14ac:dyDescent="0.25">
      <c r="A117" s="525">
        <f t="shared" si="1"/>
        <v>116</v>
      </c>
      <c r="B117" s="66" t="s">
        <v>3024</v>
      </c>
      <c r="C117" s="3" t="s">
        <v>114</v>
      </c>
      <c r="D117" s="339"/>
      <c r="E117" s="333"/>
      <c r="F117" s="1052"/>
      <c r="G117" s="65"/>
      <c r="H117" s="65"/>
      <c r="I117" s="327"/>
      <c r="J117" s="328"/>
      <c r="K117" s="328"/>
      <c r="L117" s="327"/>
      <c r="M117" s="327"/>
      <c r="N117" s="327"/>
      <c r="O117" s="1041"/>
      <c r="P117" s="327"/>
      <c r="Q117" s="664"/>
      <c r="R117" s="765"/>
      <c r="S117" s="765"/>
      <c r="T117" s="327"/>
    </row>
    <row r="118" spans="1:20" x14ac:dyDescent="0.25">
      <c r="A118" s="525">
        <f t="shared" si="1"/>
        <v>117</v>
      </c>
      <c r="B118" s="564" t="s">
        <v>96</v>
      </c>
      <c r="C118" s="302" t="s">
        <v>10</v>
      </c>
      <c r="D118" s="339"/>
      <c r="E118" s="356"/>
      <c r="F118" s="1055"/>
      <c r="G118" s="301"/>
      <c r="H118" s="301"/>
      <c r="I118" s="301"/>
      <c r="J118" s="331"/>
      <c r="K118" s="331"/>
      <c r="L118" s="331"/>
      <c r="M118" s="331"/>
      <c r="N118" s="331"/>
      <c r="O118" s="1046"/>
      <c r="P118" s="331"/>
      <c r="Q118" s="802"/>
      <c r="R118" s="785"/>
      <c r="S118" s="765"/>
      <c r="T118" s="331"/>
    </row>
    <row r="119" spans="1:20" x14ac:dyDescent="0.25">
      <c r="A119" s="525">
        <f t="shared" si="1"/>
        <v>118</v>
      </c>
      <c r="B119" s="564" t="s">
        <v>2910</v>
      </c>
      <c r="C119" s="300" t="s">
        <v>2911</v>
      </c>
      <c r="D119" s="339"/>
      <c r="E119" s="330"/>
      <c r="F119" s="1043"/>
      <c r="G119" s="63"/>
      <c r="H119" s="63"/>
      <c r="I119" s="327"/>
      <c r="J119" s="328"/>
      <c r="K119" s="328"/>
      <c r="L119" s="328"/>
      <c r="M119" s="328"/>
      <c r="N119" s="328"/>
      <c r="O119" s="783"/>
      <c r="P119" s="330"/>
      <c r="Q119" s="350"/>
      <c r="R119" s="765"/>
      <c r="S119" s="765"/>
      <c r="T119" s="328"/>
    </row>
    <row r="120" spans="1:20" ht="195" x14ac:dyDescent="0.25">
      <c r="A120" s="525">
        <f t="shared" si="1"/>
        <v>119</v>
      </c>
      <c r="B120" s="564" t="s">
        <v>2930</v>
      </c>
      <c r="C120" s="300" t="s">
        <v>2911</v>
      </c>
      <c r="D120" s="339"/>
      <c r="E120" s="330"/>
      <c r="F120" s="1043"/>
      <c r="G120" s="63"/>
      <c r="H120" s="63"/>
      <c r="I120" s="328"/>
      <c r="J120" s="328"/>
      <c r="K120" s="328"/>
      <c r="L120" s="328"/>
      <c r="M120" s="328"/>
      <c r="N120" s="328"/>
      <c r="O120" s="783"/>
      <c r="P120" s="330"/>
      <c r="Q120" s="350"/>
      <c r="R120" s="785"/>
      <c r="S120" s="788" t="s">
        <v>3439</v>
      </c>
      <c r="T120" s="787"/>
    </row>
    <row r="121" spans="1:20" ht="165" x14ac:dyDescent="0.25">
      <c r="A121" s="525">
        <f t="shared" si="1"/>
        <v>120</v>
      </c>
      <c r="B121" s="564" t="s">
        <v>2933</v>
      </c>
      <c r="C121" s="300" t="s">
        <v>2911</v>
      </c>
      <c r="D121" s="339"/>
      <c r="E121" s="330"/>
      <c r="F121" s="1043"/>
      <c r="G121" s="63"/>
      <c r="H121" s="63"/>
      <c r="I121" s="328"/>
      <c r="J121" s="328"/>
      <c r="K121" s="328"/>
      <c r="L121" s="328"/>
      <c r="M121" s="328"/>
      <c r="N121" s="328"/>
      <c r="O121" s="783"/>
      <c r="P121" s="330"/>
      <c r="Q121" s="350"/>
      <c r="R121" s="785"/>
      <c r="S121" s="788" t="s">
        <v>3410</v>
      </c>
      <c r="T121" s="787"/>
    </row>
    <row r="122" spans="1:20" ht="300" x14ac:dyDescent="0.25">
      <c r="A122" s="525">
        <f t="shared" si="1"/>
        <v>121</v>
      </c>
      <c r="B122" s="564" t="s">
        <v>3022</v>
      </c>
      <c r="C122" s="300" t="s">
        <v>3023</v>
      </c>
      <c r="D122" s="339"/>
      <c r="E122" s="330"/>
      <c r="F122" s="1043"/>
      <c r="G122" s="63"/>
      <c r="H122" s="63"/>
      <c r="I122" s="63"/>
      <c r="J122" s="328"/>
      <c r="K122" s="328"/>
      <c r="L122" s="328"/>
      <c r="M122" s="328"/>
      <c r="N122" s="328"/>
      <c r="O122" s="783"/>
      <c r="P122" s="328"/>
      <c r="Q122" s="332"/>
      <c r="R122" s="785"/>
      <c r="S122" s="783"/>
      <c r="T122" s="787" t="s">
        <v>3440</v>
      </c>
    </row>
    <row r="123" spans="1:20" x14ac:dyDescent="0.25">
      <c r="A123" s="525">
        <f t="shared" si="1"/>
        <v>122</v>
      </c>
      <c r="B123" s="564" t="s">
        <v>3025</v>
      </c>
      <c r="C123" s="3" t="s">
        <v>115</v>
      </c>
      <c r="D123" s="339"/>
      <c r="E123" s="330"/>
      <c r="F123" s="1043"/>
      <c r="G123" s="63"/>
      <c r="H123" s="63"/>
      <c r="I123" s="328"/>
      <c r="J123" s="328"/>
      <c r="K123" s="328"/>
      <c r="L123" s="328"/>
      <c r="M123" s="328"/>
      <c r="N123" s="328"/>
      <c r="O123" s="783"/>
      <c r="P123" s="328"/>
      <c r="Q123" s="332"/>
      <c r="R123" s="785"/>
      <c r="S123" s="328"/>
      <c r="T123" s="328"/>
    </row>
    <row r="124" spans="1:20" ht="16.5" x14ac:dyDescent="0.25">
      <c r="A124" s="525">
        <f t="shared" si="1"/>
        <v>123</v>
      </c>
      <c r="B124" s="564" t="s">
        <v>3174</v>
      </c>
      <c r="C124" s="300" t="s">
        <v>10</v>
      </c>
      <c r="D124" s="339"/>
      <c r="E124" s="365"/>
      <c r="F124" s="1053"/>
      <c r="G124" s="63"/>
      <c r="H124" s="63"/>
      <c r="I124" s="63"/>
      <c r="J124" s="328"/>
      <c r="K124" s="328"/>
      <c r="L124" s="328"/>
      <c r="M124" s="328"/>
      <c r="N124" s="328"/>
      <c r="O124" s="783"/>
      <c r="P124" s="330"/>
      <c r="Q124" s="350"/>
      <c r="R124" s="785"/>
      <c r="S124" s="328"/>
      <c r="T124" s="328"/>
    </row>
    <row r="125" spans="1:20" x14ac:dyDescent="0.25">
      <c r="A125" s="525">
        <f t="shared" si="1"/>
        <v>124</v>
      </c>
      <c r="B125" s="568" t="s">
        <v>3060</v>
      </c>
      <c r="C125" s="300" t="s">
        <v>10</v>
      </c>
      <c r="D125" s="339"/>
      <c r="E125" s="330"/>
      <c r="F125" s="1053"/>
      <c r="G125" s="63"/>
      <c r="H125" s="63"/>
      <c r="I125" s="63"/>
      <c r="J125" s="328"/>
      <c r="K125" s="328"/>
      <c r="L125" s="328"/>
      <c r="M125" s="328"/>
      <c r="N125" s="328"/>
      <c r="O125" s="783"/>
      <c r="P125" s="328"/>
      <c r="Q125" s="332"/>
      <c r="R125" s="785"/>
      <c r="S125" s="328"/>
      <c r="T125" s="328"/>
    </row>
    <row r="126" spans="1:20" x14ac:dyDescent="0.25">
      <c r="A126" s="525">
        <f t="shared" si="1"/>
        <v>125</v>
      </c>
      <c r="B126" s="564" t="s">
        <v>3234</v>
      </c>
      <c r="C126" s="300" t="s">
        <v>10</v>
      </c>
      <c r="D126" s="339"/>
      <c r="E126" s="330"/>
      <c r="F126" s="1053"/>
      <c r="G126" s="63"/>
      <c r="H126" s="63"/>
      <c r="I126" s="63"/>
      <c r="J126" s="328"/>
      <c r="K126" s="328"/>
      <c r="L126" s="328"/>
      <c r="M126" s="328"/>
      <c r="N126" s="328"/>
      <c r="O126" s="783"/>
      <c r="P126" s="328"/>
      <c r="Q126" s="332"/>
      <c r="R126" s="785"/>
      <c r="S126" s="328"/>
      <c r="T126" s="328"/>
    </row>
    <row r="127" spans="1:20" x14ac:dyDescent="0.25">
      <c r="A127" s="525">
        <f t="shared" si="1"/>
        <v>126</v>
      </c>
      <c r="B127" s="564" t="s">
        <v>1519</v>
      </c>
      <c r="C127" s="300" t="s">
        <v>114</v>
      </c>
      <c r="D127" s="339"/>
      <c r="E127" s="330"/>
      <c r="F127" s="1043"/>
      <c r="G127" s="63"/>
      <c r="H127" s="63"/>
      <c r="I127" s="63"/>
      <c r="J127" s="328"/>
      <c r="K127" s="328"/>
      <c r="L127" s="328"/>
      <c r="M127" s="328"/>
      <c r="N127" s="328"/>
      <c r="O127" s="783"/>
      <c r="P127" s="328"/>
      <c r="Q127" s="332"/>
      <c r="R127" s="785"/>
      <c r="S127" s="328"/>
      <c r="T127" s="328"/>
    </row>
    <row r="128" spans="1:20" ht="45" x14ac:dyDescent="0.25">
      <c r="A128" s="525">
        <f t="shared" si="1"/>
        <v>127</v>
      </c>
      <c r="B128" s="569" t="s">
        <v>3128</v>
      </c>
      <c r="C128" s="300" t="s">
        <v>10</v>
      </c>
      <c r="D128" s="339"/>
      <c r="E128" s="330"/>
      <c r="F128" s="1043"/>
      <c r="G128" s="63"/>
      <c r="H128" s="63"/>
      <c r="I128" s="63"/>
      <c r="J128" s="787" t="s">
        <v>3449</v>
      </c>
      <c r="K128" s="328"/>
      <c r="L128" s="328"/>
      <c r="M128" s="328"/>
      <c r="N128" s="328"/>
      <c r="O128" s="783"/>
      <c r="P128" s="328"/>
      <c r="Q128" s="332"/>
      <c r="R128" s="785"/>
      <c r="S128" s="787"/>
      <c r="T128" s="328"/>
    </row>
    <row r="129" spans="1:26" ht="16.5" x14ac:dyDescent="0.25">
      <c r="A129" s="525">
        <f t="shared" si="1"/>
        <v>128</v>
      </c>
      <c r="B129" s="569" t="s">
        <v>3129</v>
      </c>
      <c r="C129" s="300" t="s">
        <v>3</v>
      </c>
      <c r="D129" s="339"/>
      <c r="E129" s="330"/>
      <c r="F129" s="1043"/>
      <c r="G129" s="63"/>
      <c r="H129" s="63"/>
      <c r="I129" s="63"/>
      <c r="J129" s="328"/>
      <c r="K129" s="328"/>
      <c r="L129" s="328"/>
      <c r="M129" s="328"/>
      <c r="N129" s="328"/>
      <c r="O129" s="783"/>
      <c r="P129" s="328"/>
      <c r="Q129" s="332"/>
      <c r="R129" s="785"/>
      <c r="S129" s="328"/>
      <c r="T129" s="328"/>
      <c r="U129" s="328"/>
      <c r="V129" s="328"/>
      <c r="W129" s="328"/>
      <c r="X129" s="328"/>
      <c r="Y129" s="328"/>
      <c r="Z129" s="328"/>
    </row>
    <row r="130" spans="1:26" ht="255" x14ac:dyDescent="0.25">
      <c r="A130" s="525">
        <f t="shared" si="1"/>
        <v>129</v>
      </c>
      <c r="B130" s="569" t="s">
        <v>3137</v>
      </c>
      <c r="C130" s="300" t="s">
        <v>93</v>
      </c>
      <c r="D130" s="339"/>
      <c r="E130" s="330"/>
      <c r="F130" s="1043"/>
      <c r="G130" s="63"/>
      <c r="H130" s="63"/>
      <c r="I130" s="63"/>
      <c r="J130" s="328"/>
      <c r="K130" s="328"/>
      <c r="L130" s="328"/>
      <c r="M130" s="328"/>
      <c r="N130" s="328"/>
      <c r="O130" s="783"/>
      <c r="P130" s="328"/>
      <c r="Q130" s="332"/>
      <c r="R130" s="785"/>
      <c r="S130" s="328"/>
      <c r="T130" s="328"/>
      <c r="U130" s="328"/>
      <c r="V130" s="328"/>
      <c r="W130" s="328"/>
      <c r="X130" s="328"/>
      <c r="Y130" s="787"/>
      <c r="Z130" s="787" t="s">
        <v>3531</v>
      </c>
    </row>
    <row r="131" spans="1:26" ht="16.5" x14ac:dyDescent="0.25">
      <c r="A131" s="525">
        <f t="shared" ref="A131:A194" si="2">+A130+1</f>
        <v>130</v>
      </c>
      <c r="B131" s="569" t="s">
        <v>3148</v>
      </c>
      <c r="C131" s="300" t="s">
        <v>93</v>
      </c>
      <c r="D131" s="339"/>
      <c r="E131" s="330"/>
      <c r="F131" s="1043"/>
      <c r="G131" s="63"/>
      <c r="H131" s="63"/>
      <c r="I131" s="63"/>
      <c r="J131" s="328"/>
      <c r="K131" s="328"/>
      <c r="L131" s="328"/>
      <c r="M131" s="328"/>
      <c r="N131" s="328"/>
      <c r="O131" s="783"/>
      <c r="P131" s="328"/>
      <c r="Q131" s="332"/>
      <c r="R131" s="785"/>
      <c r="S131" s="328"/>
      <c r="T131" s="328"/>
      <c r="U131" s="328"/>
      <c r="V131" s="328"/>
      <c r="W131" s="328"/>
      <c r="X131" s="328"/>
      <c r="Y131" s="328"/>
      <c r="Z131" s="328"/>
    </row>
    <row r="132" spans="1:26" ht="16.5" x14ac:dyDescent="0.25">
      <c r="A132" s="525">
        <f t="shared" si="2"/>
        <v>131</v>
      </c>
      <c r="B132" s="569" t="s">
        <v>3156</v>
      </c>
      <c r="C132" s="353" t="s">
        <v>115</v>
      </c>
      <c r="D132" s="359"/>
      <c r="E132" s="330"/>
      <c r="F132" s="1053"/>
      <c r="G132" s="63"/>
      <c r="H132" s="63"/>
      <c r="I132" s="63"/>
      <c r="J132" s="328"/>
      <c r="K132" s="328"/>
      <c r="L132" s="328"/>
      <c r="M132" s="328"/>
      <c r="N132" s="328"/>
      <c r="O132" s="783"/>
      <c r="P132" s="330"/>
      <c r="Q132" s="350"/>
      <c r="R132" s="785"/>
      <c r="S132" s="328"/>
      <c r="T132" s="328"/>
      <c r="U132" s="328"/>
      <c r="V132" s="328"/>
      <c r="W132" s="328"/>
      <c r="X132" s="328"/>
      <c r="Y132" s="328"/>
      <c r="Z132" s="328"/>
    </row>
    <row r="133" spans="1:26" ht="180" x14ac:dyDescent="0.25">
      <c r="A133" s="525">
        <f t="shared" si="2"/>
        <v>132</v>
      </c>
      <c r="B133" s="355" t="s">
        <v>3168</v>
      </c>
      <c r="C133" s="300" t="s">
        <v>114</v>
      </c>
      <c r="D133" s="360"/>
      <c r="E133" s="330"/>
      <c r="F133" s="1043"/>
      <c r="G133" s="63"/>
      <c r="H133" s="63"/>
      <c r="I133" s="328"/>
      <c r="J133" s="328"/>
      <c r="K133" s="328"/>
      <c r="L133" s="328"/>
      <c r="M133" s="328"/>
      <c r="N133" s="328"/>
      <c r="O133" s="783"/>
      <c r="P133" s="330"/>
      <c r="Q133" s="350"/>
      <c r="R133" s="785"/>
      <c r="S133" s="787" t="s">
        <v>3409</v>
      </c>
      <c r="T133" s="328"/>
      <c r="U133" s="328"/>
      <c r="V133" s="328"/>
      <c r="W133" s="328"/>
      <c r="X133" s="328"/>
      <c r="Y133" s="328"/>
      <c r="Z133" s="328"/>
    </row>
    <row r="134" spans="1:26" ht="90" x14ac:dyDescent="0.25">
      <c r="A134" s="525">
        <f t="shared" si="2"/>
        <v>133</v>
      </c>
      <c r="B134" s="355" t="s">
        <v>3157</v>
      </c>
      <c r="C134" s="353" t="s">
        <v>12</v>
      </c>
      <c r="D134" s="360"/>
      <c r="E134" s="330"/>
      <c r="F134" s="1043"/>
      <c r="G134" s="1076"/>
      <c r="H134" s="1076"/>
      <c r="I134" s="1076"/>
      <c r="J134" s="328"/>
      <c r="K134" s="328"/>
      <c r="L134" s="328"/>
      <c r="M134" s="328"/>
      <c r="N134" s="328"/>
      <c r="O134" s="783"/>
      <c r="P134" s="328"/>
      <c r="Q134" s="332"/>
      <c r="R134" s="785"/>
      <c r="S134" s="328"/>
      <c r="T134" s="328"/>
      <c r="U134" s="328"/>
      <c r="V134" s="328"/>
      <c r="W134" s="328"/>
      <c r="X134" s="328"/>
      <c r="Y134" s="328"/>
      <c r="Z134" s="787" t="s">
        <v>6889</v>
      </c>
    </row>
    <row r="135" spans="1:26" ht="16.5" x14ac:dyDescent="0.25">
      <c r="A135" s="525">
        <f t="shared" si="2"/>
        <v>134</v>
      </c>
      <c r="B135" s="355" t="s">
        <v>3159</v>
      </c>
      <c r="C135" s="300" t="s">
        <v>10</v>
      </c>
      <c r="D135" s="360"/>
      <c r="E135" s="330"/>
      <c r="F135" s="1053"/>
      <c r="G135" s="1076"/>
      <c r="H135" s="783"/>
      <c r="I135" s="783"/>
      <c r="J135" s="328"/>
      <c r="K135" s="328"/>
      <c r="L135" s="328"/>
      <c r="M135" s="328"/>
      <c r="N135" s="328"/>
      <c r="O135" s="783"/>
      <c r="P135" s="330"/>
      <c r="Q135" s="350"/>
      <c r="R135" s="785"/>
      <c r="S135" s="328"/>
      <c r="T135" s="328"/>
      <c r="U135" s="328"/>
      <c r="V135" s="328"/>
      <c r="W135" s="328"/>
      <c r="X135" s="328"/>
      <c r="Y135" s="328"/>
      <c r="Z135" s="328"/>
    </row>
    <row r="136" spans="1:26" ht="16.5" x14ac:dyDescent="0.25">
      <c r="A136" s="525">
        <f t="shared" si="2"/>
        <v>135</v>
      </c>
      <c r="B136" s="355" t="s">
        <v>3162</v>
      </c>
      <c r="C136" s="683"/>
      <c r="D136" s="360"/>
      <c r="E136" s="330"/>
      <c r="F136" s="1043"/>
      <c r="G136" s="765"/>
      <c r="H136" s="1076"/>
      <c r="I136" s="1076"/>
      <c r="J136" s="328"/>
      <c r="K136" s="328"/>
      <c r="L136" s="328"/>
      <c r="M136" s="328"/>
      <c r="N136" s="328"/>
      <c r="O136" s="783"/>
      <c r="P136" s="328"/>
      <c r="Q136" s="332"/>
      <c r="R136" s="785"/>
      <c r="S136" s="328"/>
      <c r="T136" s="328"/>
      <c r="U136" s="328"/>
      <c r="V136" s="328"/>
      <c r="W136" s="328"/>
      <c r="X136" s="328"/>
      <c r="Y136" s="328"/>
      <c r="Z136" s="328"/>
    </row>
    <row r="137" spans="1:26" ht="16.5" x14ac:dyDescent="0.25">
      <c r="A137" s="525">
        <f t="shared" si="2"/>
        <v>136</v>
      </c>
      <c r="B137" s="355" t="s">
        <v>3163</v>
      </c>
      <c r="C137" s="353"/>
      <c r="D137" s="360"/>
      <c r="E137" s="330"/>
      <c r="F137" s="1053"/>
      <c r="G137" s="765"/>
      <c r="H137" s="1346"/>
      <c r="I137" s="1076"/>
      <c r="J137" s="328"/>
      <c r="K137" s="328"/>
      <c r="L137" s="328"/>
      <c r="M137" s="328"/>
      <c r="N137" s="328"/>
      <c r="O137" s="783"/>
      <c r="P137" s="328"/>
      <c r="Q137" s="332"/>
      <c r="R137" s="785"/>
      <c r="S137" s="328"/>
      <c r="T137" s="328"/>
      <c r="U137" s="328"/>
      <c r="V137" s="328"/>
      <c r="W137" s="328"/>
      <c r="X137" s="328"/>
      <c r="Y137" s="328"/>
      <c r="Z137" s="328"/>
    </row>
    <row r="138" spans="1:26" ht="33" x14ac:dyDescent="0.25">
      <c r="A138" s="525">
        <f t="shared" si="2"/>
        <v>137</v>
      </c>
      <c r="B138" s="355" t="s">
        <v>3164</v>
      </c>
      <c r="C138" s="353" t="s">
        <v>12</v>
      </c>
      <c r="D138" s="360"/>
      <c r="E138" s="330"/>
      <c r="F138" s="1053"/>
      <c r="G138" s="1076"/>
      <c r="H138" s="1346"/>
      <c r="I138" s="783"/>
      <c r="J138" s="328"/>
      <c r="K138" s="328"/>
      <c r="L138" s="328"/>
      <c r="M138" s="328"/>
      <c r="N138" s="328"/>
      <c r="O138" s="783"/>
      <c r="P138" s="328"/>
      <c r="Q138" s="332"/>
      <c r="R138" s="785"/>
      <c r="S138" s="328"/>
      <c r="T138" s="328"/>
      <c r="U138" s="328"/>
      <c r="V138" s="328"/>
      <c r="W138" s="328"/>
      <c r="X138" s="328"/>
      <c r="Y138" s="328"/>
      <c r="Z138" s="328"/>
    </row>
    <row r="139" spans="1:26" ht="33" x14ac:dyDescent="0.25">
      <c r="A139" s="525">
        <f t="shared" si="2"/>
        <v>138</v>
      </c>
      <c r="B139" s="355" t="s">
        <v>3165</v>
      </c>
      <c r="C139" s="354"/>
      <c r="D139" s="360"/>
      <c r="E139" s="330"/>
      <c r="F139" s="1053"/>
      <c r="G139" s="1076"/>
      <c r="H139" s="1346"/>
      <c r="I139" s="783"/>
      <c r="J139" s="328"/>
      <c r="K139" s="328"/>
      <c r="L139" s="328"/>
      <c r="M139" s="328"/>
      <c r="N139" s="328"/>
      <c r="O139" s="783"/>
      <c r="P139" s="328"/>
      <c r="Q139" s="332"/>
      <c r="R139" s="785"/>
      <c r="S139" s="328"/>
      <c r="T139" s="328"/>
      <c r="U139" s="328"/>
      <c r="V139" s="328"/>
      <c r="W139" s="328"/>
      <c r="X139" s="328"/>
      <c r="Y139" s="328"/>
      <c r="Z139" s="328"/>
    </row>
    <row r="140" spans="1:26" ht="33" x14ac:dyDescent="0.25">
      <c r="A140" s="525">
        <f t="shared" si="2"/>
        <v>139</v>
      </c>
      <c r="B140" s="355" t="s">
        <v>3166</v>
      </c>
      <c r="C140" s="354"/>
      <c r="D140" s="360"/>
      <c r="E140" s="330"/>
      <c r="F140" s="1053"/>
      <c r="G140" s="1076"/>
      <c r="H140" s="1346"/>
      <c r="I140" s="783"/>
      <c r="J140" s="328"/>
      <c r="K140" s="328"/>
      <c r="L140" s="328"/>
      <c r="M140" s="328"/>
      <c r="N140" s="328"/>
      <c r="O140" s="783"/>
      <c r="P140" s="328"/>
      <c r="Q140" s="332"/>
      <c r="R140" s="785"/>
      <c r="S140" s="328"/>
      <c r="T140" s="328"/>
      <c r="U140" s="328"/>
      <c r="V140" s="328"/>
      <c r="W140" s="328"/>
      <c r="X140" s="328"/>
      <c r="Y140" s="328"/>
      <c r="Z140" s="328"/>
    </row>
    <row r="141" spans="1:26" ht="16.5" x14ac:dyDescent="0.25">
      <c r="A141" s="525">
        <f t="shared" si="2"/>
        <v>140</v>
      </c>
      <c r="B141" s="355" t="s">
        <v>3167</v>
      </c>
      <c r="C141" s="353" t="s">
        <v>114</v>
      </c>
      <c r="D141" s="360"/>
      <c r="E141" s="330"/>
      <c r="F141" s="1043"/>
      <c r="G141" s="1076"/>
      <c r="H141" s="783"/>
      <c r="I141" s="783"/>
      <c r="J141" s="328"/>
      <c r="K141" s="328"/>
      <c r="L141" s="328"/>
      <c r="M141" s="328"/>
      <c r="N141" s="328"/>
      <c r="O141" s="783"/>
      <c r="P141" s="330"/>
      <c r="Q141" s="350"/>
      <c r="R141" s="785"/>
      <c r="S141" s="328"/>
      <c r="T141" s="328"/>
      <c r="U141" s="328"/>
      <c r="V141" s="328"/>
      <c r="W141" s="328"/>
      <c r="X141" s="328"/>
      <c r="Y141" s="328"/>
      <c r="Z141" s="328"/>
    </row>
    <row r="142" spans="1:26" ht="16.5" x14ac:dyDescent="0.25">
      <c r="A142" s="525">
        <f t="shared" si="2"/>
        <v>141</v>
      </c>
      <c r="B142" s="355" t="s">
        <v>3173</v>
      </c>
      <c r="C142" s="355" t="s">
        <v>10</v>
      </c>
      <c r="D142" s="361"/>
      <c r="E142" s="330"/>
      <c r="F142" s="1053"/>
      <c r="G142" s="1076"/>
      <c r="H142" s="783"/>
      <c r="I142" s="783"/>
      <c r="J142" s="328"/>
      <c r="K142" s="328"/>
      <c r="L142" s="328"/>
      <c r="M142" s="328"/>
      <c r="N142" s="328"/>
      <c r="O142" s="1043"/>
      <c r="P142" s="330"/>
      <c r="Q142" s="350"/>
      <c r="R142" s="785"/>
      <c r="S142" s="328"/>
      <c r="T142" s="328"/>
      <c r="U142" s="328"/>
      <c r="V142" s="328"/>
      <c r="W142" s="328"/>
      <c r="X142" s="328"/>
      <c r="Y142" s="328"/>
      <c r="Z142" s="328"/>
    </row>
    <row r="143" spans="1:26" ht="16.5" x14ac:dyDescent="0.25">
      <c r="A143" s="525">
        <f t="shared" si="2"/>
        <v>142</v>
      </c>
      <c r="B143" s="569" t="s">
        <v>3197</v>
      </c>
      <c r="C143" s="371" t="s">
        <v>12</v>
      </c>
      <c r="D143" s="372"/>
      <c r="E143" s="373"/>
      <c r="F143" s="1056"/>
      <c r="G143" s="1076"/>
      <c r="H143" s="783"/>
      <c r="I143" s="783"/>
      <c r="J143" s="328"/>
      <c r="K143" s="328"/>
      <c r="L143" s="328"/>
      <c r="M143" s="328"/>
      <c r="N143" s="328"/>
      <c r="O143" s="783"/>
      <c r="P143" s="328"/>
      <c r="Q143" s="332"/>
      <c r="R143" s="785"/>
      <c r="S143" s="328"/>
      <c r="T143" s="328"/>
      <c r="U143" s="328"/>
      <c r="V143" s="328"/>
      <c r="W143" s="328"/>
      <c r="X143" s="328"/>
      <c r="Y143" s="328"/>
      <c r="Z143" s="328"/>
    </row>
    <row r="144" spans="1:26" ht="16.5" x14ac:dyDescent="0.25">
      <c r="A144" s="525">
        <f t="shared" si="2"/>
        <v>143</v>
      </c>
      <c r="B144" s="569" t="s">
        <v>3198</v>
      </c>
      <c r="C144" s="371" t="s">
        <v>3199</v>
      </c>
      <c r="D144" s="372"/>
      <c r="E144" s="373"/>
      <c r="F144" s="1057"/>
      <c r="G144" s="783"/>
      <c r="H144" s="783"/>
      <c r="I144" s="783"/>
      <c r="J144" s="328"/>
      <c r="K144" s="328"/>
      <c r="L144" s="328"/>
      <c r="M144" s="328"/>
      <c r="N144" s="328"/>
      <c r="O144" s="783"/>
      <c r="P144" s="328"/>
      <c r="Q144" s="332"/>
      <c r="R144" s="785"/>
      <c r="S144" s="328"/>
      <c r="T144" s="328"/>
      <c r="U144" s="328"/>
      <c r="V144" s="328"/>
      <c r="W144" s="328"/>
      <c r="X144" s="328"/>
      <c r="Y144" s="328"/>
      <c r="Z144" s="328"/>
    </row>
    <row r="145" spans="1:5" ht="16.5" x14ac:dyDescent="0.25">
      <c r="A145" s="525">
        <f t="shared" si="2"/>
        <v>144</v>
      </c>
      <c r="B145" s="569" t="s">
        <v>3200</v>
      </c>
      <c r="C145" s="371" t="s">
        <v>12</v>
      </c>
      <c r="D145" s="372"/>
      <c r="E145" s="373"/>
    </row>
    <row r="146" spans="1:5" ht="33.75" x14ac:dyDescent="0.25">
      <c r="A146" s="525">
        <f t="shared" si="2"/>
        <v>145</v>
      </c>
      <c r="B146" s="570" t="s">
        <v>3214</v>
      </c>
      <c r="C146" s="353" t="s">
        <v>10</v>
      </c>
      <c r="D146" s="360"/>
      <c r="E146" s="330"/>
    </row>
    <row r="147" spans="1:5" ht="31.5" x14ac:dyDescent="0.25">
      <c r="A147" s="525">
        <f t="shared" si="2"/>
        <v>146</v>
      </c>
      <c r="B147" s="571" t="s">
        <v>3201</v>
      </c>
      <c r="C147" s="374" t="s">
        <v>3175</v>
      </c>
      <c r="D147" s="375"/>
      <c r="E147" s="376"/>
    </row>
    <row r="148" spans="1:5" ht="31.5" x14ac:dyDescent="0.25">
      <c r="A148" s="525">
        <f t="shared" si="2"/>
        <v>147</v>
      </c>
      <c r="B148" s="571" t="s">
        <v>3188</v>
      </c>
      <c r="C148" s="374" t="s">
        <v>3175</v>
      </c>
      <c r="D148" s="375"/>
      <c r="E148" s="376"/>
    </row>
    <row r="149" spans="1:5" ht="31.5" x14ac:dyDescent="0.25">
      <c r="A149" s="525">
        <f t="shared" si="2"/>
        <v>148</v>
      </c>
      <c r="B149" s="571" t="s">
        <v>3189</v>
      </c>
      <c r="C149" s="374" t="s">
        <v>3175</v>
      </c>
      <c r="D149" s="375"/>
      <c r="E149" s="376"/>
    </row>
    <row r="150" spans="1:5" ht="31.5" x14ac:dyDescent="0.25">
      <c r="A150" s="525">
        <f t="shared" si="2"/>
        <v>149</v>
      </c>
      <c r="B150" s="571" t="s">
        <v>3190</v>
      </c>
      <c r="C150" s="374" t="s">
        <v>3175</v>
      </c>
      <c r="D150" s="375"/>
      <c r="E150" s="376"/>
    </row>
    <row r="151" spans="1:5" ht="31.5" x14ac:dyDescent="0.25">
      <c r="A151" s="525">
        <f t="shared" si="2"/>
        <v>150</v>
      </c>
      <c r="B151" s="571" t="s">
        <v>3191</v>
      </c>
      <c r="C151" s="374" t="s">
        <v>3175</v>
      </c>
      <c r="D151" s="375"/>
      <c r="E151" s="376"/>
    </row>
    <row r="152" spans="1:5" ht="31.5" x14ac:dyDescent="0.25">
      <c r="A152" s="525">
        <f t="shared" si="2"/>
        <v>151</v>
      </c>
      <c r="B152" s="571" t="s">
        <v>3192</v>
      </c>
      <c r="C152" s="374" t="s">
        <v>3175</v>
      </c>
      <c r="D152" s="375"/>
      <c r="E152" s="376"/>
    </row>
    <row r="153" spans="1:5" ht="31.5" x14ac:dyDescent="0.25">
      <c r="A153" s="525">
        <f t="shared" si="2"/>
        <v>152</v>
      </c>
      <c r="B153" s="571" t="s">
        <v>3193</v>
      </c>
      <c r="C153" s="374" t="s">
        <v>3175</v>
      </c>
      <c r="D153" s="375"/>
      <c r="E153" s="376"/>
    </row>
    <row r="154" spans="1:5" ht="31.5" x14ac:dyDescent="0.25">
      <c r="A154" s="525">
        <f t="shared" si="2"/>
        <v>153</v>
      </c>
      <c r="B154" s="571" t="s">
        <v>3194</v>
      </c>
      <c r="C154" s="374" t="s">
        <v>3175</v>
      </c>
      <c r="D154" s="375"/>
      <c r="E154" s="376"/>
    </row>
    <row r="155" spans="1:5" ht="31.5" x14ac:dyDescent="0.25">
      <c r="A155" s="525">
        <f t="shared" si="2"/>
        <v>154</v>
      </c>
      <c r="B155" s="571" t="s">
        <v>3195</v>
      </c>
      <c r="C155" s="374" t="s">
        <v>3175</v>
      </c>
      <c r="D155" s="375"/>
      <c r="E155" s="376"/>
    </row>
    <row r="156" spans="1:5" ht="31.5" x14ac:dyDescent="0.25">
      <c r="A156" s="525">
        <f t="shared" si="2"/>
        <v>155</v>
      </c>
      <c r="B156" s="571" t="s">
        <v>3196</v>
      </c>
      <c r="C156" s="374" t="s">
        <v>3175</v>
      </c>
      <c r="D156" s="375"/>
      <c r="E156" s="376"/>
    </row>
    <row r="157" spans="1:5" ht="31.5" x14ac:dyDescent="0.25">
      <c r="A157" s="525">
        <f t="shared" si="2"/>
        <v>156</v>
      </c>
      <c r="B157" s="571" t="s">
        <v>3176</v>
      </c>
      <c r="C157" s="374" t="s">
        <v>12</v>
      </c>
      <c r="D157" s="375"/>
      <c r="E157" s="330"/>
    </row>
    <row r="158" spans="1:5" ht="31.5" x14ac:dyDescent="0.25">
      <c r="A158" s="525">
        <f t="shared" si="2"/>
        <v>157</v>
      </c>
      <c r="B158" s="571" t="s">
        <v>3177</v>
      </c>
      <c r="C158" s="374" t="s">
        <v>12</v>
      </c>
      <c r="D158" s="375"/>
      <c r="E158" s="376"/>
    </row>
    <row r="159" spans="1:5" ht="31.5" x14ac:dyDescent="0.25">
      <c r="A159" s="525">
        <f t="shared" si="2"/>
        <v>158</v>
      </c>
      <c r="B159" s="571" t="s">
        <v>3178</v>
      </c>
      <c r="C159" s="374" t="s">
        <v>12</v>
      </c>
      <c r="D159" s="375"/>
      <c r="E159" s="376"/>
    </row>
    <row r="160" spans="1:5" ht="47.25" x14ac:dyDescent="0.25">
      <c r="A160" s="525">
        <f t="shared" si="2"/>
        <v>159</v>
      </c>
      <c r="B160" s="571" t="s">
        <v>3179</v>
      </c>
      <c r="C160" s="374" t="s">
        <v>12</v>
      </c>
      <c r="D160" s="375"/>
      <c r="E160" s="376"/>
    </row>
    <row r="161" spans="1:26" ht="47.25" x14ac:dyDescent="0.25">
      <c r="A161" s="525">
        <f t="shared" si="2"/>
        <v>160</v>
      </c>
      <c r="B161" s="571" t="s">
        <v>3180</v>
      </c>
      <c r="C161" s="374" t="s">
        <v>3086</v>
      </c>
      <c r="D161" s="375"/>
      <c r="E161" s="376"/>
      <c r="F161" s="1058"/>
      <c r="G161" s="63"/>
      <c r="H161" s="328"/>
      <c r="I161" s="328"/>
      <c r="J161" s="328"/>
      <c r="K161" s="328"/>
      <c r="L161" s="328"/>
      <c r="M161" s="328"/>
      <c r="N161" s="328"/>
      <c r="O161" s="783"/>
      <c r="P161" s="328"/>
      <c r="Q161" s="332"/>
      <c r="R161" s="785"/>
      <c r="S161" s="328"/>
      <c r="T161" s="328"/>
      <c r="U161" s="328"/>
      <c r="V161" s="328"/>
      <c r="W161" s="328"/>
      <c r="X161" s="328"/>
      <c r="Y161" s="328"/>
      <c r="Z161" s="328"/>
    </row>
    <row r="162" spans="1:26" ht="47.25" x14ac:dyDescent="0.25">
      <c r="A162" s="525">
        <f t="shared" si="2"/>
        <v>161</v>
      </c>
      <c r="B162" s="571" t="s">
        <v>3181</v>
      </c>
      <c r="C162" s="374" t="s">
        <v>3086</v>
      </c>
      <c r="D162" s="375"/>
      <c r="E162" s="376"/>
      <c r="F162" s="1058"/>
      <c r="G162" s="63"/>
      <c r="H162" s="328"/>
      <c r="I162" s="328"/>
      <c r="J162" s="328"/>
      <c r="K162" s="328"/>
      <c r="L162" s="328"/>
      <c r="M162" s="328"/>
      <c r="N162" s="328"/>
      <c r="O162" s="783"/>
      <c r="P162" s="328"/>
      <c r="Q162" s="332"/>
      <c r="R162" s="785"/>
      <c r="S162" s="328"/>
      <c r="T162" s="328"/>
      <c r="U162" s="328"/>
      <c r="V162" s="328"/>
      <c r="W162" s="328"/>
      <c r="X162" s="328"/>
      <c r="Y162" s="328"/>
      <c r="Z162" s="328"/>
    </row>
    <row r="163" spans="1:26" ht="31.5" x14ac:dyDescent="0.25">
      <c r="A163" s="525">
        <f t="shared" si="2"/>
        <v>162</v>
      </c>
      <c r="B163" s="571" t="s">
        <v>3182</v>
      </c>
      <c r="C163" s="374" t="s">
        <v>12</v>
      </c>
      <c r="D163" s="375"/>
      <c r="E163" s="376"/>
      <c r="F163" s="1059"/>
      <c r="G163" s="63"/>
      <c r="H163" s="328"/>
      <c r="I163" s="328"/>
      <c r="J163" s="328"/>
      <c r="K163" s="328"/>
      <c r="L163" s="328"/>
      <c r="M163" s="328"/>
      <c r="N163" s="328"/>
      <c r="O163" s="783"/>
      <c r="P163" s="328"/>
      <c r="Q163" s="332"/>
      <c r="R163" s="785"/>
      <c r="S163" s="328"/>
      <c r="T163" s="328"/>
      <c r="U163" s="328"/>
      <c r="V163" s="328"/>
      <c r="W163" s="328"/>
      <c r="X163" s="328"/>
      <c r="Y163" s="328"/>
      <c r="Z163" s="328"/>
    </row>
    <row r="164" spans="1:26" ht="31.5" x14ac:dyDescent="0.25">
      <c r="A164" s="525">
        <f t="shared" si="2"/>
        <v>163</v>
      </c>
      <c r="B164" s="571" t="s">
        <v>3183</v>
      </c>
      <c r="C164" s="374" t="s">
        <v>12</v>
      </c>
      <c r="D164" s="375"/>
      <c r="E164" s="376"/>
      <c r="F164" s="1059"/>
      <c r="G164" s="63"/>
      <c r="H164" s="328"/>
      <c r="I164" s="328"/>
      <c r="J164" s="328"/>
      <c r="K164" s="328"/>
      <c r="L164" s="328"/>
      <c r="M164" s="328"/>
      <c r="N164" s="328"/>
      <c r="O164" s="783"/>
      <c r="P164" s="328"/>
      <c r="Q164" s="332"/>
      <c r="R164" s="785"/>
      <c r="S164" s="328"/>
      <c r="T164" s="328"/>
      <c r="U164" s="328"/>
      <c r="V164" s="328"/>
      <c r="W164" s="328"/>
      <c r="X164" s="328"/>
      <c r="Y164" s="328"/>
      <c r="Z164" s="328"/>
    </row>
    <row r="165" spans="1:26" ht="31.5" x14ac:dyDescent="0.25">
      <c r="A165" s="525">
        <f t="shared" si="2"/>
        <v>164</v>
      </c>
      <c r="B165" s="571" t="s">
        <v>3184</v>
      </c>
      <c r="C165" s="374" t="s">
        <v>12</v>
      </c>
      <c r="D165" s="375"/>
      <c r="E165" s="376"/>
      <c r="F165" s="1059"/>
      <c r="G165" s="63"/>
      <c r="H165" s="328"/>
      <c r="I165" s="328"/>
      <c r="J165" s="328"/>
      <c r="K165" s="328"/>
      <c r="L165" s="328"/>
      <c r="M165" s="328"/>
      <c r="N165" s="328"/>
      <c r="O165" s="783"/>
      <c r="P165" s="328"/>
      <c r="Q165" s="332"/>
      <c r="R165" s="785"/>
      <c r="S165" s="328"/>
      <c r="T165" s="328"/>
      <c r="U165" s="328"/>
      <c r="V165" s="328"/>
      <c r="W165" s="328"/>
      <c r="X165" s="328"/>
      <c r="Y165" s="328"/>
      <c r="Z165" s="328"/>
    </row>
    <row r="166" spans="1:26" ht="47.25" x14ac:dyDescent="0.25">
      <c r="A166" s="525">
        <f t="shared" si="2"/>
        <v>165</v>
      </c>
      <c r="B166" s="571" t="s">
        <v>3185</v>
      </c>
      <c r="C166" s="374" t="s">
        <v>12</v>
      </c>
      <c r="D166" s="375"/>
      <c r="E166" s="376"/>
      <c r="F166" s="1058"/>
      <c r="G166" s="63"/>
      <c r="H166" s="328"/>
      <c r="I166" s="328"/>
      <c r="J166" s="328"/>
      <c r="K166" s="328"/>
      <c r="L166" s="328"/>
      <c r="M166" s="328"/>
      <c r="N166" s="328"/>
      <c r="O166" s="783"/>
      <c r="P166" s="328"/>
      <c r="Q166" s="332"/>
      <c r="R166" s="785"/>
      <c r="S166" s="328"/>
      <c r="T166" s="328"/>
      <c r="U166" s="328"/>
      <c r="V166" s="328"/>
      <c r="W166" s="328"/>
      <c r="X166" s="328"/>
      <c r="Y166" s="328"/>
      <c r="Z166" s="328"/>
    </row>
    <row r="167" spans="1:26" ht="47.25" x14ac:dyDescent="0.25">
      <c r="A167" s="525">
        <f t="shared" si="2"/>
        <v>166</v>
      </c>
      <c r="B167" s="571" t="s">
        <v>3186</v>
      </c>
      <c r="C167" s="374" t="s">
        <v>3086</v>
      </c>
      <c r="D167" s="375"/>
      <c r="E167" s="376"/>
      <c r="F167" s="1058"/>
      <c r="G167" s="63"/>
      <c r="H167" s="328"/>
      <c r="I167" s="328"/>
      <c r="J167" s="328"/>
      <c r="K167" s="328"/>
      <c r="L167" s="328"/>
      <c r="M167" s="328"/>
      <c r="N167" s="328"/>
      <c r="O167" s="783"/>
      <c r="P167" s="328"/>
      <c r="Q167" s="332"/>
      <c r="R167" s="785"/>
      <c r="S167" s="328"/>
      <c r="T167" s="328"/>
      <c r="U167" s="328"/>
      <c r="V167" s="328"/>
      <c r="W167" s="328"/>
      <c r="X167" s="328"/>
      <c r="Y167" s="328"/>
      <c r="Z167" s="328"/>
    </row>
    <row r="168" spans="1:26" ht="47.25" x14ac:dyDescent="0.25">
      <c r="A168" s="525">
        <f t="shared" si="2"/>
        <v>167</v>
      </c>
      <c r="B168" s="571" t="s">
        <v>3187</v>
      </c>
      <c r="C168" s="374" t="s">
        <v>3086</v>
      </c>
      <c r="D168" s="375"/>
      <c r="E168" s="376"/>
      <c r="F168" s="1058"/>
      <c r="G168" s="63"/>
      <c r="H168" s="328"/>
      <c r="I168" s="328"/>
      <c r="J168" s="328"/>
      <c r="K168" s="328"/>
      <c r="L168" s="328"/>
      <c r="M168" s="328"/>
      <c r="N168" s="328"/>
      <c r="O168" s="783"/>
      <c r="P168" s="328"/>
      <c r="Q168" s="332"/>
      <c r="R168" s="785"/>
      <c r="S168" s="328"/>
      <c r="T168" s="328"/>
      <c r="U168" s="328"/>
      <c r="V168" s="328"/>
      <c r="W168" s="328"/>
      <c r="X168" s="328"/>
      <c r="Y168" s="328"/>
      <c r="Z168" s="765"/>
    </row>
    <row r="169" spans="1:26" ht="63" x14ac:dyDescent="0.25">
      <c r="A169" s="525">
        <f t="shared" si="2"/>
        <v>168</v>
      </c>
      <c r="B169" s="571" t="s">
        <v>3215</v>
      </c>
      <c r="C169" s="374" t="s">
        <v>12</v>
      </c>
      <c r="D169" s="375"/>
      <c r="E169" s="330"/>
      <c r="F169" s="1058"/>
      <c r="G169" s="63"/>
      <c r="H169" s="328"/>
      <c r="I169" s="328"/>
      <c r="J169" s="328"/>
      <c r="K169" s="328"/>
      <c r="L169" s="328"/>
      <c r="M169" s="328"/>
      <c r="N169" s="328"/>
      <c r="O169" s="783"/>
      <c r="P169" s="328"/>
      <c r="Q169" s="332"/>
      <c r="R169" s="785"/>
      <c r="S169" s="328"/>
      <c r="T169" s="328"/>
      <c r="U169" s="328"/>
      <c r="V169" s="328"/>
      <c r="W169" s="328"/>
      <c r="X169" s="328"/>
      <c r="Y169" s="328"/>
      <c r="Z169" s="328"/>
    </row>
    <row r="170" spans="1:26" ht="99" x14ac:dyDescent="0.25">
      <c r="A170" s="525">
        <f t="shared" si="2"/>
        <v>169</v>
      </c>
      <c r="B170" s="355" t="s">
        <v>3202</v>
      </c>
      <c r="C170" s="374" t="s">
        <v>10</v>
      </c>
      <c r="D170" s="360"/>
      <c r="E170" s="330"/>
      <c r="F170" s="1043"/>
      <c r="G170" s="63"/>
      <c r="H170" s="328"/>
      <c r="I170" s="328"/>
      <c r="J170" s="328"/>
      <c r="K170" s="328"/>
      <c r="L170" s="328"/>
      <c r="M170" s="328"/>
      <c r="N170" s="328"/>
      <c r="O170" s="1043"/>
      <c r="P170" s="330"/>
      <c r="Q170" s="350"/>
      <c r="R170" s="785"/>
      <c r="S170" s="328"/>
      <c r="T170" s="328"/>
      <c r="U170" s="328"/>
      <c r="V170" s="328"/>
      <c r="W170" s="328"/>
      <c r="X170" s="328"/>
      <c r="Y170" s="328"/>
      <c r="Z170" s="328"/>
    </row>
    <row r="171" spans="1:26" ht="49.5" x14ac:dyDescent="0.25">
      <c r="A171" s="525">
        <f t="shared" si="2"/>
        <v>170</v>
      </c>
      <c r="B171" s="355" t="s">
        <v>2438</v>
      </c>
      <c r="C171" s="374" t="s">
        <v>10</v>
      </c>
      <c r="D171" s="360"/>
      <c r="E171" s="330"/>
      <c r="F171" s="1043"/>
      <c r="G171" s="63"/>
      <c r="H171" s="328"/>
      <c r="I171" s="328"/>
      <c r="J171" s="328"/>
      <c r="K171" s="328"/>
      <c r="L171" s="328"/>
      <c r="M171" s="328"/>
      <c r="N171" s="328"/>
      <c r="O171" s="1043"/>
      <c r="P171" s="328"/>
      <c r="Q171" s="332"/>
      <c r="R171" s="785"/>
      <c r="S171" s="328"/>
      <c r="T171" s="328"/>
      <c r="U171" s="328"/>
      <c r="V171" s="328"/>
      <c r="W171" s="328"/>
      <c r="X171" s="328"/>
      <c r="Y171" s="328"/>
      <c r="Z171" s="328"/>
    </row>
    <row r="172" spans="1:26" ht="16.5" x14ac:dyDescent="0.25">
      <c r="A172" s="525">
        <f t="shared" si="2"/>
        <v>171</v>
      </c>
      <c r="B172" s="569"/>
      <c r="C172" s="353"/>
      <c r="D172" s="330"/>
      <c r="E172" s="330"/>
      <c r="F172" s="1043"/>
      <c r="G172" s="63"/>
      <c r="H172" s="328"/>
      <c r="I172" s="328"/>
      <c r="J172" s="328"/>
      <c r="K172" s="328"/>
      <c r="L172" s="328"/>
      <c r="M172" s="328"/>
      <c r="N172" s="328"/>
      <c r="O172" s="783"/>
      <c r="P172" s="328"/>
      <c r="Q172" s="332"/>
      <c r="R172" s="785"/>
      <c r="S172" s="328"/>
      <c r="T172" s="328"/>
      <c r="U172" s="328"/>
      <c r="V172" s="328"/>
      <c r="W172" s="328"/>
      <c r="X172" s="328"/>
      <c r="Y172" s="328"/>
      <c r="Z172" s="328"/>
    </row>
    <row r="173" spans="1:26" ht="16.5" x14ac:dyDescent="0.25">
      <c r="A173" s="525">
        <f t="shared" si="2"/>
        <v>172</v>
      </c>
      <c r="B173" s="569" t="s">
        <v>3198</v>
      </c>
      <c r="C173" s="684" t="s">
        <v>115</v>
      </c>
      <c r="D173" s="330"/>
      <c r="E173" s="330"/>
      <c r="F173" s="1057"/>
      <c r="G173" s="63"/>
      <c r="H173" s="328"/>
      <c r="I173" s="328"/>
      <c r="J173" s="328"/>
      <c r="K173" s="328"/>
      <c r="L173" s="328"/>
      <c r="M173" s="328"/>
      <c r="N173" s="328"/>
      <c r="O173" s="1043"/>
      <c r="P173" s="328"/>
      <c r="Q173" s="332"/>
      <c r="R173" s="785"/>
      <c r="S173" s="328"/>
      <c r="T173" s="328"/>
      <c r="U173" s="328"/>
      <c r="V173" s="328"/>
      <c r="W173" s="328"/>
      <c r="X173" s="328"/>
      <c r="Y173" s="328"/>
      <c r="Z173" s="328"/>
    </row>
    <row r="174" spans="1:26" ht="75" x14ac:dyDescent="0.25">
      <c r="A174" s="525">
        <f t="shared" si="2"/>
        <v>173</v>
      </c>
      <c r="B174" s="566" t="s">
        <v>3246</v>
      </c>
      <c r="C174" s="300" t="s">
        <v>10</v>
      </c>
      <c r="D174" s="339"/>
      <c r="E174" s="330"/>
      <c r="F174" s="1053"/>
      <c r="G174" s="63"/>
      <c r="H174" s="328"/>
      <c r="I174" s="328"/>
      <c r="J174" s="328"/>
      <c r="K174" s="328"/>
      <c r="L174" s="328"/>
      <c r="M174" s="328"/>
      <c r="N174" s="328"/>
      <c r="O174" s="783"/>
      <c r="P174" s="328"/>
      <c r="Q174" s="332"/>
      <c r="R174" s="785"/>
      <c r="S174" s="328"/>
      <c r="T174" s="328"/>
      <c r="U174" s="328"/>
      <c r="V174" s="328"/>
      <c r="W174" s="328"/>
      <c r="X174" s="328"/>
      <c r="Y174" s="328"/>
      <c r="Z174" s="787" t="s">
        <v>6877</v>
      </c>
    </row>
    <row r="175" spans="1:26" x14ac:dyDescent="0.25">
      <c r="A175" s="525">
        <f t="shared" si="2"/>
        <v>174</v>
      </c>
      <c r="B175" s="572"/>
      <c r="C175" s="300"/>
      <c r="D175" s="330"/>
      <c r="E175" s="330"/>
      <c r="F175" s="1043"/>
      <c r="G175" s="63"/>
      <c r="H175" s="328"/>
      <c r="I175" s="328"/>
      <c r="J175" s="328"/>
      <c r="K175" s="328"/>
      <c r="L175" s="328"/>
      <c r="M175" s="328"/>
      <c r="N175" s="328"/>
      <c r="O175" s="783"/>
      <c r="P175" s="328"/>
      <c r="Q175" s="332"/>
      <c r="R175" s="785"/>
      <c r="S175" s="328"/>
      <c r="T175" s="328"/>
      <c r="U175" s="328"/>
      <c r="V175" s="328"/>
      <c r="W175" s="328"/>
      <c r="X175" s="328"/>
      <c r="Y175" s="328"/>
      <c r="Z175" s="328"/>
    </row>
    <row r="176" spans="1:26" ht="25.5" x14ac:dyDescent="0.25">
      <c r="A176" s="525">
        <f t="shared" si="2"/>
        <v>175</v>
      </c>
      <c r="B176" s="572" t="s">
        <v>3238</v>
      </c>
      <c r="C176" s="300" t="s">
        <v>10</v>
      </c>
      <c r="D176" s="300"/>
      <c r="E176" s="300"/>
      <c r="F176" s="1060"/>
      <c r="G176" s="63"/>
      <c r="H176" s="328"/>
      <c r="I176" s="328"/>
      <c r="J176" s="328"/>
      <c r="K176" s="328"/>
      <c r="L176" s="328"/>
      <c r="M176" s="328"/>
      <c r="N176" s="328"/>
      <c r="O176" s="1043"/>
      <c r="P176" s="328"/>
      <c r="Q176" s="332"/>
      <c r="R176" s="785"/>
      <c r="S176" s="328"/>
      <c r="T176" s="328"/>
      <c r="U176" s="328"/>
      <c r="V176" s="328"/>
      <c r="W176" s="328"/>
      <c r="X176" s="328"/>
      <c r="Y176" s="328"/>
      <c r="Z176" s="328"/>
    </row>
    <row r="177" spans="1:26" ht="38.25" x14ac:dyDescent="0.25">
      <c r="A177" s="525">
        <f t="shared" si="2"/>
        <v>176</v>
      </c>
      <c r="B177" s="566" t="s">
        <v>3216</v>
      </c>
      <c r="C177" s="300" t="s">
        <v>12</v>
      </c>
      <c r="D177" s="330"/>
      <c r="E177" s="330"/>
      <c r="F177" s="1043"/>
      <c r="G177" s="63"/>
      <c r="H177" s="328"/>
      <c r="I177" s="328"/>
      <c r="J177" s="328"/>
      <c r="K177" s="328"/>
      <c r="L177" s="328"/>
      <c r="M177" s="328"/>
      <c r="N177" s="328"/>
      <c r="O177" s="1043"/>
      <c r="P177" s="328"/>
      <c r="Q177" s="332"/>
      <c r="R177" s="785"/>
      <c r="S177" s="328"/>
      <c r="T177" s="328"/>
      <c r="U177" s="328"/>
      <c r="V177" s="328"/>
      <c r="W177" s="328"/>
      <c r="X177" s="328"/>
      <c r="Y177" s="328"/>
      <c r="Z177" s="328"/>
    </row>
    <row r="178" spans="1:26" ht="90" x14ac:dyDescent="0.25">
      <c r="A178" s="525">
        <f t="shared" si="2"/>
        <v>177</v>
      </c>
      <c r="B178" s="355" t="s">
        <v>3217</v>
      </c>
      <c r="C178" s="300" t="s">
        <v>12</v>
      </c>
      <c r="D178" s="330"/>
      <c r="E178" s="330"/>
      <c r="F178" s="1043"/>
      <c r="G178" s="63"/>
      <c r="H178" s="328"/>
      <c r="I178" s="328"/>
      <c r="J178" s="328"/>
      <c r="K178" s="328"/>
      <c r="L178" s="328"/>
      <c r="M178" s="328"/>
      <c r="N178" s="328"/>
      <c r="O178" s="1043"/>
      <c r="P178" s="328"/>
      <c r="Q178" s="332"/>
      <c r="R178" s="785"/>
      <c r="S178" s="328"/>
      <c r="T178" s="328"/>
      <c r="U178" s="328"/>
      <c r="V178" s="328"/>
      <c r="W178" s="328"/>
      <c r="X178" s="328"/>
      <c r="Y178" s="328"/>
      <c r="Z178" s="787" t="s">
        <v>6889</v>
      </c>
    </row>
    <row r="179" spans="1:26" ht="38.25" x14ac:dyDescent="0.25">
      <c r="A179" s="525">
        <f t="shared" si="2"/>
        <v>178</v>
      </c>
      <c r="B179" s="566" t="s">
        <v>3219</v>
      </c>
      <c r="C179" s="300" t="s">
        <v>10</v>
      </c>
      <c r="D179" s="330"/>
      <c r="E179" s="330"/>
      <c r="F179" s="1043"/>
      <c r="G179" s="63"/>
      <c r="H179" s="328"/>
      <c r="I179" s="328"/>
      <c r="J179" s="328"/>
      <c r="K179" s="328"/>
      <c r="L179" s="328"/>
      <c r="M179" s="328"/>
      <c r="N179" s="328"/>
      <c r="O179" s="1043"/>
      <c r="P179" s="328"/>
      <c r="Q179" s="332"/>
      <c r="R179" s="785"/>
      <c r="S179" s="328"/>
      <c r="T179" s="328"/>
      <c r="U179" s="328"/>
      <c r="V179" s="328"/>
      <c r="W179" s="328"/>
      <c r="X179" s="328"/>
      <c r="Y179" s="328"/>
      <c r="Z179" s="328"/>
    </row>
    <row r="180" spans="1:26" ht="38.25" x14ac:dyDescent="0.25">
      <c r="A180" s="525">
        <f t="shared" si="2"/>
        <v>179</v>
      </c>
      <c r="B180" s="410" t="s">
        <v>3221</v>
      </c>
      <c r="C180" s="300" t="s">
        <v>10</v>
      </c>
      <c r="D180" s="330"/>
      <c r="E180" s="330"/>
      <c r="F180" s="1043"/>
      <c r="G180" s="63"/>
      <c r="H180" s="328"/>
      <c r="I180" s="328"/>
      <c r="J180" s="328"/>
      <c r="K180" s="328"/>
      <c r="L180" s="328"/>
      <c r="M180" s="328"/>
      <c r="N180" s="328"/>
      <c r="O180" s="1043"/>
      <c r="P180" s="328"/>
      <c r="Q180" s="332"/>
      <c r="R180" s="785"/>
      <c r="S180" s="328"/>
      <c r="T180" s="328"/>
      <c r="U180" s="328"/>
      <c r="V180" s="328"/>
      <c r="W180" s="328"/>
      <c r="X180" s="328"/>
      <c r="Y180" s="328"/>
      <c r="Z180" s="328"/>
    </row>
    <row r="181" spans="1:26" ht="38.25" x14ac:dyDescent="0.25">
      <c r="A181" s="525">
        <f t="shared" si="2"/>
        <v>180</v>
      </c>
      <c r="B181" s="566" t="s">
        <v>3220</v>
      </c>
      <c r="C181" s="300" t="s">
        <v>10</v>
      </c>
      <c r="D181" s="330"/>
      <c r="E181" s="330"/>
      <c r="F181" s="1043"/>
      <c r="G181" s="63"/>
      <c r="H181" s="328"/>
      <c r="I181" s="328"/>
      <c r="J181" s="328"/>
      <c r="K181" s="328"/>
      <c r="L181" s="328"/>
      <c r="M181" s="328"/>
      <c r="N181" s="328"/>
      <c r="O181" s="1043"/>
      <c r="P181" s="328"/>
      <c r="Q181" s="332"/>
      <c r="R181" s="785"/>
      <c r="S181" s="328"/>
      <c r="T181" s="328"/>
      <c r="U181" s="328"/>
      <c r="V181" s="328"/>
      <c r="W181" s="328"/>
      <c r="X181" s="328"/>
      <c r="Y181" s="328"/>
      <c r="Z181" s="328"/>
    </row>
    <row r="182" spans="1:26" ht="38.25" x14ac:dyDescent="0.25">
      <c r="A182" s="525">
        <f t="shared" si="2"/>
        <v>181</v>
      </c>
      <c r="B182" s="566" t="s">
        <v>3218</v>
      </c>
      <c r="C182" s="300" t="s">
        <v>10</v>
      </c>
      <c r="D182" s="330"/>
      <c r="E182" s="330"/>
      <c r="F182" s="1043"/>
      <c r="G182" s="63"/>
      <c r="H182" s="328"/>
      <c r="I182" s="328"/>
      <c r="J182" s="328"/>
      <c r="K182" s="328"/>
      <c r="L182" s="328"/>
      <c r="M182" s="328"/>
      <c r="N182" s="328"/>
      <c r="O182" s="1043"/>
      <c r="P182" s="328"/>
      <c r="Q182" s="332"/>
      <c r="R182" s="785"/>
      <c r="S182" s="328"/>
      <c r="T182" s="328"/>
      <c r="U182" s="328"/>
      <c r="V182" s="328"/>
      <c r="W182" s="328"/>
      <c r="X182" s="328"/>
      <c r="Y182" s="328"/>
      <c r="Z182" s="328"/>
    </row>
    <row r="183" spans="1:26" ht="25.5" x14ac:dyDescent="0.25">
      <c r="A183" s="525">
        <f t="shared" si="2"/>
        <v>182</v>
      </c>
      <c r="B183" s="566" t="s">
        <v>3227</v>
      </c>
      <c r="C183" s="378" t="s">
        <v>12</v>
      </c>
      <c r="D183" s="330"/>
      <c r="E183" s="330"/>
      <c r="F183" s="1043"/>
      <c r="G183" s="63"/>
      <c r="H183" s="765"/>
      <c r="I183" s="328"/>
      <c r="J183" s="328"/>
      <c r="K183" s="328"/>
      <c r="L183" s="328"/>
      <c r="M183" s="328"/>
      <c r="N183" s="328"/>
      <c r="O183" s="1043"/>
      <c r="P183" s="330"/>
      <c r="Q183" s="350"/>
      <c r="R183" s="785"/>
      <c r="S183" s="328"/>
      <c r="T183" s="328"/>
      <c r="U183" s="328"/>
      <c r="V183" s="328"/>
      <c r="W183" s="328"/>
      <c r="X183" s="328"/>
      <c r="Y183" s="328"/>
      <c r="Z183" s="328"/>
    </row>
    <row r="184" spans="1:26" x14ac:dyDescent="0.25">
      <c r="A184" s="525">
        <f t="shared" si="2"/>
        <v>183</v>
      </c>
      <c r="B184" s="566" t="s">
        <v>3236</v>
      </c>
      <c r="C184" s="378" t="s">
        <v>10</v>
      </c>
      <c r="D184" s="330"/>
      <c r="E184" s="330"/>
      <c r="F184" s="1053"/>
      <c r="G184" s="63"/>
      <c r="H184" s="783"/>
      <c r="I184" s="328"/>
      <c r="J184" s="328"/>
      <c r="K184" s="328"/>
      <c r="L184" s="328"/>
      <c r="M184" s="328"/>
      <c r="N184" s="328"/>
      <c r="O184" s="1043"/>
      <c r="P184" s="330"/>
      <c r="Q184" s="350"/>
      <c r="R184" s="785"/>
      <c r="S184" s="328"/>
      <c r="T184" s="328"/>
      <c r="U184" s="328"/>
      <c r="V184" s="328"/>
      <c r="W184" s="328"/>
      <c r="X184" s="328"/>
      <c r="Y184" s="328"/>
      <c r="Z184" s="328"/>
    </row>
    <row r="185" spans="1:26" x14ac:dyDescent="0.25">
      <c r="A185" s="525">
        <f t="shared" si="2"/>
        <v>184</v>
      </c>
      <c r="B185" s="566" t="s">
        <v>3247</v>
      </c>
      <c r="C185" s="379" t="s">
        <v>10</v>
      </c>
      <c r="D185" s="330"/>
      <c r="E185" s="330"/>
      <c r="F185" s="1053"/>
      <c r="G185" s="63"/>
      <c r="H185" s="789"/>
      <c r="I185" s="328"/>
      <c r="J185" s="328"/>
      <c r="K185" s="328"/>
      <c r="L185" s="328"/>
      <c r="M185" s="328"/>
      <c r="N185" s="328"/>
      <c r="O185" s="1043"/>
      <c r="P185" s="330"/>
      <c r="Q185" s="350"/>
      <c r="R185" s="785"/>
      <c r="S185" s="328"/>
      <c r="T185" s="328"/>
      <c r="U185" s="328"/>
      <c r="V185" s="328"/>
      <c r="W185" s="328"/>
      <c r="X185" s="328"/>
      <c r="Y185" s="328"/>
      <c r="Z185" s="328"/>
    </row>
    <row r="186" spans="1:26" x14ac:dyDescent="0.25">
      <c r="A186" s="525">
        <f t="shared" si="2"/>
        <v>185</v>
      </c>
      <c r="B186" s="570" t="s">
        <v>3237</v>
      </c>
      <c r="C186" s="379" t="s">
        <v>10</v>
      </c>
      <c r="D186" s="330"/>
      <c r="E186" s="528"/>
      <c r="F186" s="1061"/>
      <c r="G186" s="528"/>
      <c r="H186" s="328"/>
      <c r="I186" s="328"/>
      <c r="J186" s="328"/>
      <c r="K186" s="328"/>
      <c r="L186" s="328"/>
      <c r="M186" s="328"/>
      <c r="N186" s="328"/>
      <c r="O186" s="1043"/>
      <c r="P186" s="330"/>
      <c r="Q186" s="350"/>
      <c r="R186" s="785"/>
      <c r="S186" s="328"/>
      <c r="T186" s="328"/>
      <c r="U186" s="328"/>
      <c r="V186" s="328"/>
      <c r="W186" s="328"/>
      <c r="X186" s="328"/>
      <c r="Y186" s="328"/>
      <c r="Z186" s="328"/>
    </row>
    <row r="187" spans="1:26" x14ac:dyDescent="0.25">
      <c r="A187" s="525">
        <f t="shared" si="2"/>
        <v>186</v>
      </c>
      <c r="B187" s="566" t="s">
        <v>3245</v>
      </c>
      <c r="C187" s="379" t="s">
        <v>10</v>
      </c>
      <c r="D187" s="330"/>
      <c r="E187" s="330"/>
      <c r="F187" s="1053"/>
      <c r="G187" s="63"/>
      <c r="H187" s="328"/>
      <c r="I187" s="328"/>
      <c r="J187" s="328"/>
      <c r="K187" s="328"/>
      <c r="L187" s="328"/>
      <c r="M187" s="328"/>
      <c r="N187" s="328"/>
      <c r="O187" s="1043"/>
      <c r="P187" s="330"/>
      <c r="Q187" s="350"/>
      <c r="R187" s="785"/>
      <c r="S187" s="328"/>
      <c r="T187" s="328"/>
      <c r="U187" s="328"/>
      <c r="V187" s="328"/>
      <c r="W187" s="328"/>
      <c r="X187" s="328"/>
      <c r="Y187" s="328"/>
      <c r="Z187" s="328"/>
    </row>
    <row r="188" spans="1:26" x14ac:dyDescent="0.25">
      <c r="A188" s="525">
        <f t="shared" si="2"/>
        <v>187</v>
      </c>
      <c r="B188" s="564" t="s">
        <v>3249</v>
      </c>
      <c r="C188" s="300" t="s">
        <v>10</v>
      </c>
      <c r="D188" s="330"/>
      <c r="E188" s="330"/>
      <c r="F188" s="1043"/>
      <c r="G188" s="63"/>
      <c r="H188" s="328"/>
      <c r="I188" s="328"/>
      <c r="J188" s="328"/>
      <c r="K188" s="328"/>
      <c r="L188" s="328"/>
      <c r="M188" s="328"/>
      <c r="N188" s="328"/>
      <c r="O188" s="1043"/>
      <c r="P188" s="330"/>
      <c r="Q188" s="350"/>
      <c r="R188" s="785"/>
      <c r="S188" s="787"/>
      <c r="T188" s="328"/>
      <c r="U188" s="328"/>
      <c r="V188" s="328"/>
      <c r="W188" s="328"/>
      <c r="X188" s="328"/>
      <c r="Y188" s="328"/>
      <c r="Z188" s="328"/>
    </row>
    <row r="189" spans="1:26" x14ac:dyDescent="0.25">
      <c r="A189" s="525">
        <f t="shared" si="2"/>
        <v>188</v>
      </c>
      <c r="B189" s="564" t="s">
        <v>3250</v>
      </c>
      <c r="C189" s="300" t="s">
        <v>12</v>
      </c>
      <c r="D189" s="330"/>
      <c r="E189" s="330"/>
      <c r="F189" s="1053"/>
      <c r="G189" s="63"/>
      <c r="H189" s="328"/>
      <c r="I189" s="328"/>
      <c r="J189" s="328"/>
      <c r="K189" s="328"/>
      <c r="L189" s="328"/>
      <c r="M189" s="328"/>
      <c r="N189" s="328"/>
      <c r="O189" s="1043"/>
      <c r="P189" s="330"/>
      <c r="Q189" s="350"/>
      <c r="R189" s="785"/>
      <c r="S189" s="328"/>
      <c r="T189" s="328"/>
      <c r="U189" s="328"/>
      <c r="V189" s="328"/>
      <c r="W189" s="328"/>
      <c r="X189" s="328"/>
      <c r="Y189" s="328"/>
      <c r="Z189" s="765"/>
    </row>
    <row r="190" spans="1:26" x14ac:dyDescent="0.25">
      <c r="A190" s="525">
        <f t="shared" si="2"/>
        <v>189</v>
      </c>
      <c r="B190" s="564" t="s">
        <v>3251</v>
      </c>
      <c r="C190" s="300" t="s">
        <v>12</v>
      </c>
      <c r="D190" s="330"/>
      <c r="E190" s="330"/>
      <c r="F190" s="1053"/>
      <c r="G190" s="63"/>
      <c r="H190" s="328"/>
      <c r="I190" s="328"/>
      <c r="J190" s="328"/>
      <c r="K190" s="328"/>
      <c r="L190" s="328"/>
      <c r="M190" s="328"/>
      <c r="N190" s="328"/>
      <c r="O190" s="1043"/>
      <c r="P190" s="330"/>
      <c r="Q190" s="350"/>
      <c r="R190" s="785"/>
      <c r="S190" s="328"/>
      <c r="T190" s="328"/>
      <c r="U190" s="328"/>
      <c r="V190" s="328"/>
      <c r="W190" s="328"/>
      <c r="X190" s="328"/>
      <c r="Y190" s="328"/>
      <c r="Z190" s="765"/>
    </row>
    <row r="191" spans="1:26" x14ac:dyDescent="0.25">
      <c r="A191" s="525">
        <f t="shared" si="2"/>
        <v>190</v>
      </c>
      <c r="B191" s="564" t="s">
        <v>3252</v>
      </c>
      <c r="C191" s="300" t="s">
        <v>12</v>
      </c>
      <c r="D191" s="330"/>
      <c r="E191" s="330"/>
      <c r="F191" s="1053"/>
      <c r="G191" s="63"/>
      <c r="H191" s="328"/>
      <c r="I191" s="328"/>
      <c r="J191" s="328"/>
      <c r="K191" s="328"/>
      <c r="L191" s="328"/>
      <c r="M191" s="328"/>
      <c r="N191" s="328"/>
      <c r="O191" s="1043"/>
      <c r="P191" s="330"/>
      <c r="Q191" s="350"/>
      <c r="R191" s="785"/>
      <c r="S191" s="328"/>
      <c r="T191" s="328"/>
      <c r="U191" s="328"/>
      <c r="V191" s="328"/>
      <c r="W191" s="328"/>
      <c r="X191" s="328"/>
      <c r="Y191" s="328"/>
      <c r="Z191" s="765"/>
    </row>
    <row r="192" spans="1:26" x14ac:dyDescent="0.25">
      <c r="A192" s="525">
        <f t="shared" si="2"/>
        <v>191</v>
      </c>
      <c r="B192" s="564" t="s">
        <v>3253</v>
      </c>
      <c r="C192" s="300" t="s">
        <v>12</v>
      </c>
      <c r="D192" s="330"/>
      <c r="E192" s="330"/>
      <c r="F192" s="1053"/>
      <c r="G192" s="63"/>
      <c r="H192" s="328"/>
      <c r="I192" s="328"/>
      <c r="J192" s="328"/>
      <c r="K192" s="328"/>
      <c r="L192" s="328"/>
      <c r="M192" s="328"/>
      <c r="N192" s="328"/>
      <c r="O192" s="1043"/>
      <c r="P192" s="330"/>
      <c r="Q192" s="350"/>
      <c r="R192" s="785"/>
      <c r="S192" s="328"/>
      <c r="T192" s="328"/>
      <c r="U192" s="328"/>
      <c r="V192" s="328"/>
      <c r="W192" s="328"/>
      <c r="X192" s="328"/>
      <c r="Y192" s="328"/>
      <c r="Z192" s="765"/>
    </row>
    <row r="193" spans="1:26" x14ac:dyDescent="0.25">
      <c r="A193" s="525">
        <f t="shared" si="2"/>
        <v>192</v>
      </c>
      <c r="B193" s="564" t="s">
        <v>3254</v>
      </c>
      <c r="C193" s="300" t="s">
        <v>12</v>
      </c>
      <c r="D193" s="330"/>
      <c r="E193" s="330"/>
      <c r="F193" s="1053"/>
      <c r="G193" s="63"/>
      <c r="H193" s="328"/>
      <c r="I193" s="328"/>
      <c r="J193" s="328"/>
      <c r="K193" s="328"/>
      <c r="L193" s="328"/>
      <c r="M193" s="328"/>
      <c r="N193" s="328"/>
      <c r="O193" s="1043"/>
      <c r="P193" s="330"/>
      <c r="Q193" s="350"/>
      <c r="R193" s="785"/>
      <c r="S193" s="328"/>
      <c r="T193" s="328"/>
      <c r="U193" s="328"/>
      <c r="V193" s="328"/>
      <c r="W193" s="328"/>
      <c r="X193" s="328"/>
      <c r="Y193" s="328"/>
      <c r="Z193" s="765"/>
    </row>
    <row r="194" spans="1:26" x14ac:dyDescent="0.25">
      <c r="A194" s="525">
        <f t="shared" si="2"/>
        <v>193</v>
      </c>
      <c r="B194" s="564" t="s">
        <v>3255</v>
      </c>
      <c r="C194" s="300" t="s">
        <v>12</v>
      </c>
      <c r="D194" s="330"/>
      <c r="E194" s="330"/>
      <c r="F194" s="1053"/>
      <c r="G194" s="63"/>
      <c r="H194" s="328"/>
      <c r="I194" s="328"/>
      <c r="J194" s="328"/>
      <c r="K194" s="328"/>
      <c r="L194" s="328"/>
      <c r="M194" s="328"/>
      <c r="N194" s="328"/>
      <c r="O194" s="1043"/>
      <c r="P194" s="330"/>
      <c r="Q194" s="350"/>
      <c r="R194" s="785"/>
      <c r="S194" s="328"/>
      <c r="T194" s="328"/>
      <c r="U194" s="328"/>
      <c r="V194" s="328"/>
      <c r="W194" s="328"/>
      <c r="X194" s="328"/>
      <c r="Y194" s="328"/>
      <c r="Z194" s="765"/>
    </row>
    <row r="195" spans="1:26" x14ac:dyDescent="0.25">
      <c r="A195" s="525">
        <f t="shared" ref="A195:A201" si="3">+A194+1</f>
        <v>194</v>
      </c>
      <c r="B195" s="564" t="s">
        <v>3256</v>
      </c>
      <c r="C195" s="300" t="s">
        <v>12</v>
      </c>
      <c r="D195" s="330"/>
      <c r="E195" s="330"/>
      <c r="F195" s="1053"/>
      <c r="G195" s="63"/>
      <c r="H195" s="328"/>
      <c r="I195" s="328"/>
      <c r="J195" s="328"/>
      <c r="K195" s="328"/>
      <c r="L195" s="328"/>
      <c r="M195" s="328"/>
      <c r="N195" s="328"/>
      <c r="O195" s="1043"/>
      <c r="P195" s="330"/>
      <c r="Q195" s="350"/>
      <c r="R195" s="785"/>
      <c r="S195" s="328"/>
      <c r="T195" s="328"/>
      <c r="U195" s="328"/>
      <c r="V195" s="328"/>
      <c r="W195" s="328"/>
      <c r="X195" s="328"/>
      <c r="Y195" s="328"/>
      <c r="Z195" s="765"/>
    </row>
    <row r="196" spans="1:26" x14ac:dyDescent="0.25">
      <c r="A196" s="525">
        <f t="shared" si="3"/>
        <v>195</v>
      </c>
      <c r="B196" s="564" t="s">
        <v>3257</v>
      </c>
      <c r="C196" s="300" t="s">
        <v>12</v>
      </c>
      <c r="D196" s="330"/>
      <c r="E196" s="330"/>
      <c r="F196" s="1053"/>
      <c r="G196" s="63"/>
      <c r="H196" s="328"/>
      <c r="I196" s="328"/>
      <c r="J196" s="328"/>
      <c r="K196" s="328"/>
      <c r="L196" s="328"/>
      <c r="M196" s="328"/>
      <c r="N196" s="328"/>
      <c r="O196" s="1043"/>
      <c r="P196" s="330"/>
      <c r="Q196" s="350"/>
      <c r="R196" s="785"/>
      <c r="S196" s="328"/>
      <c r="T196" s="328"/>
      <c r="U196" s="328"/>
      <c r="V196" s="328"/>
      <c r="W196" s="328"/>
      <c r="X196" s="328"/>
      <c r="Y196" s="328"/>
      <c r="Z196" s="765"/>
    </row>
    <row r="197" spans="1:26" ht="60" x14ac:dyDescent="0.25">
      <c r="A197" s="525">
        <f t="shared" si="3"/>
        <v>196</v>
      </c>
      <c r="B197" s="570" t="s">
        <v>3320</v>
      </c>
      <c r="C197" s="685" t="s">
        <v>115</v>
      </c>
      <c r="D197" s="529"/>
      <c r="E197" s="530"/>
      <c r="F197" s="1062"/>
      <c r="G197" s="529"/>
      <c r="H197" s="328"/>
      <c r="I197" s="328"/>
      <c r="J197" s="328"/>
      <c r="K197" s="328"/>
      <c r="L197" s="328"/>
      <c r="M197" s="328"/>
      <c r="N197" s="328"/>
      <c r="O197" s="1043"/>
      <c r="P197" s="330"/>
      <c r="Q197" s="350"/>
      <c r="R197" s="785"/>
      <c r="S197" s="328"/>
      <c r="T197" s="328"/>
      <c r="U197" s="328"/>
      <c r="V197" s="328"/>
      <c r="W197" s="328"/>
      <c r="X197" s="328"/>
      <c r="Y197" s="328"/>
      <c r="Z197" s="787" t="s">
        <v>6890</v>
      </c>
    </row>
    <row r="198" spans="1:26" ht="210" x14ac:dyDescent="0.25">
      <c r="A198" s="525">
        <f t="shared" si="3"/>
        <v>197</v>
      </c>
      <c r="B198" s="570" t="s">
        <v>3322</v>
      </c>
      <c r="C198" s="685" t="s">
        <v>115</v>
      </c>
      <c r="D198" s="529"/>
      <c r="E198" s="530"/>
      <c r="F198" s="1063"/>
      <c r="G198" s="529"/>
      <c r="H198" s="328"/>
      <c r="I198" s="328"/>
      <c r="J198" s="328"/>
      <c r="K198" s="328"/>
      <c r="L198" s="328"/>
      <c r="M198" s="328"/>
      <c r="N198" s="328"/>
      <c r="O198" s="1043"/>
      <c r="P198" s="330"/>
      <c r="Q198" s="350"/>
      <c r="R198" s="785"/>
      <c r="S198" s="787" t="s">
        <v>3408</v>
      </c>
      <c r="T198" s="328"/>
      <c r="U198" s="328"/>
      <c r="V198" s="328"/>
      <c r="W198" s="328"/>
      <c r="X198" s="328"/>
      <c r="Y198" s="328"/>
      <c r="Z198" s="328"/>
    </row>
    <row r="199" spans="1:26" x14ac:dyDescent="0.25">
      <c r="A199" s="743">
        <f t="shared" si="3"/>
        <v>198</v>
      </c>
      <c r="B199" s="744" t="s">
        <v>3361</v>
      </c>
      <c r="C199" s="745" t="s">
        <v>12</v>
      </c>
      <c r="D199" s="746"/>
      <c r="E199" s="746"/>
      <c r="F199" s="1064"/>
      <c r="G199" s="747"/>
      <c r="H199" s="748"/>
      <c r="I199" s="748"/>
      <c r="J199" s="748"/>
      <c r="K199" s="748"/>
      <c r="L199" s="748"/>
      <c r="M199" s="748"/>
      <c r="N199" s="748"/>
      <c r="O199" s="1047"/>
      <c r="P199" s="746"/>
      <c r="Q199" s="350"/>
      <c r="R199" s="785"/>
      <c r="S199" s="748"/>
      <c r="T199" s="748"/>
      <c r="U199" s="748"/>
      <c r="V199" s="748"/>
      <c r="W199" s="748"/>
      <c r="X199" s="748"/>
      <c r="Y199" s="748"/>
      <c r="Z199" s="749"/>
    </row>
    <row r="200" spans="1:26" ht="25.5" x14ac:dyDescent="0.25">
      <c r="A200" s="3">
        <f t="shared" si="3"/>
        <v>199</v>
      </c>
      <c r="B200" s="351" t="s">
        <v>3395</v>
      </c>
      <c r="C200" s="378" t="s">
        <v>10</v>
      </c>
      <c r="D200" s="740"/>
      <c r="E200" s="740"/>
      <c r="F200" s="1065"/>
      <c r="G200" s="741"/>
      <c r="H200" s="742"/>
      <c r="I200" s="328"/>
      <c r="J200" s="328"/>
      <c r="K200" s="328"/>
      <c r="L200" s="328"/>
      <c r="M200" s="328"/>
      <c r="N200" s="328"/>
      <c r="O200" s="1043"/>
      <c r="P200" s="330"/>
      <c r="Q200" s="330"/>
      <c r="R200" s="783"/>
      <c r="S200" s="328"/>
      <c r="T200" s="328"/>
      <c r="U200" s="328"/>
      <c r="V200" s="328"/>
      <c r="W200" s="328"/>
      <c r="X200" s="328"/>
      <c r="Y200" s="328"/>
      <c r="Z200" s="328"/>
    </row>
    <row r="201" spans="1:26" ht="25.5" x14ac:dyDescent="0.25">
      <c r="A201" s="3">
        <f t="shared" si="3"/>
        <v>200</v>
      </c>
      <c r="B201" s="755" t="s">
        <v>3397</v>
      </c>
      <c r="C201" s="378" t="s">
        <v>10</v>
      </c>
      <c r="D201" s="756"/>
      <c r="E201" s="756"/>
      <c r="F201" s="1066"/>
      <c r="G201" s="756"/>
      <c r="H201" s="756"/>
      <c r="I201" s="328"/>
      <c r="J201" s="328"/>
      <c r="K201" s="328"/>
      <c r="L201" s="328"/>
      <c r="M201" s="328"/>
      <c r="N201" s="328"/>
      <c r="O201" s="1043"/>
      <c r="P201" s="330"/>
      <c r="Q201" s="330"/>
      <c r="R201" s="783"/>
      <c r="S201" s="328"/>
      <c r="T201" s="328"/>
      <c r="U201" s="328"/>
      <c r="V201" s="328"/>
      <c r="W201" s="328"/>
      <c r="X201" s="328"/>
      <c r="Y201" s="328"/>
      <c r="Z201" s="328"/>
    </row>
    <row r="202" spans="1:26" ht="180" x14ac:dyDescent="0.25">
      <c r="A202" s="750">
        <v>201</v>
      </c>
      <c r="B202" s="751" t="s">
        <v>3505</v>
      </c>
      <c r="C202" s="378" t="s">
        <v>10</v>
      </c>
      <c r="D202" s="350"/>
      <c r="E202" s="350"/>
      <c r="F202" s="1048"/>
      <c r="G202" s="753"/>
      <c r="H202" s="754"/>
      <c r="I202" s="754"/>
      <c r="J202" s="754"/>
      <c r="K202" s="754"/>
      <c r="L202" s="754"/>
      <c r="M202" s="754"/>
      <c r="N202" s="754"/>
      <c r="O202" s="1048"/>
      <c r="P202" s="752"/>
      <c r="Q202" s="350"/>
      <c r="R202" s="785"/>
      <c r="S202" s="972" t="s">
        <v>3508</v>
      </c>
      <c r="T202" s="754"/>
      <c r="U202" s="754"/>
      <c r="V202" s="754"/>
      <c r="W202" s="754"/>
      <c r="X202" s="754"/>
      <c r="Y202" s="754"/>
      <c r="Z202" s="754"/>
    </row>
    <row r="203" spans="1:26" x14ac:dyDescent="0.25">
      <c r="A203" s="527">
        <v>202</v>
      </c>
      <c r="B203" s="303" t="s">
        <v>3506</v>
      </c>
      <c r="C203" s="378" t="s">
        <v>10</v>
      </c>
      <c r="D203" s="350"/>
      <c r="E203" s="350"/>
      <c r="F203" s="1043"/>
      <c r="G203" s="63"/>
      <c r="H203" s="328"/>
      <c r="I203" s="328"/>
      <c r="J203" s="328"/>
      <c r="K203" s="328"/>
      <c r="L203" s="328"/>
      <c r="M203" s="328"/>
      <c r="N203" s="328"/>
      <c r="O203" s="1043"/>
      <c r="P203" s="330"/>
      <c r="Q203" s="350"/>
      <c r="R203" s="785"/>
      <c r="S203" s="328"/>
      <c r="T203" s="328"/>
      <c r="U203" s="328"/>
      <c r="V203" s="328"/>
      <c r="W203" s="328"/>
      <c r="X203" s="328"/>
      <c r="Y203" s="328"/>
      <c r="Z203" s="328"/>
    </row>
    <row r="204" spans="1:26" x14ac:dyDescent="0.25">
      <c r="A204" s="527">
        <v>203</v>
      </c>
      <c r="B204" s="303" t="s">
        <v>3507</v>
      </c>
      <c r="C204" s="378" t="s">
        <v>10</v>
      </c>
      <c r="D204" s="330"/>
      <c r="E204" s="330"/>
      <c r="F204" s="1043"/>
      <c r="G204" s="63"/>
      <c r="H204" s="328"/>
      <c r="I204" s="328"/>
      <c r="J204" s="328"/>
      <c r="K204" s="328"/>
      <c r="L204" s="328"/>
      <c r="M204" s="328"/>
      <c r="N204" s="328"/>
      <c r="O204" s="1043"/>
      <c r="P204" s="330"/>
      <c r="Q204" s="350"/>
      <c r="R204" s="785"/>
      <c r="S204" s="328"/>
      <c r="T204" s="328"/>
      <c r="U204" s="328"/>
      <c r="V204" s="328"/>
      <c r="W204" s="328"/>
      <c r="X204" s="328"/>
      <c r="Y204" s="328"/>
      <c r="Z204" s="666"/>
    </row>
    <row r="205" spans="1:26" x14ac:dyDescent="0.25">
      <c r="A205" s="527"/>
      <c r="B205" s="303"/>
      <c r="C205" s="300"/>
      <c r="D205" s="330"/>
      <c r="E205" s="330"/>
      <c r="F205" s="1043"/>
      <c r="G205" s="63"/>
      <c r="H205" s="328"/>
      <c r="I205" s="328"/>
      <c r="J205" s="328"/>
      <c r="K205" s="328"/>
      <c r="L205" s="328"/>
      <c r="M205" s="328"/>
      <c r="N205" s="328"/>
      <c r="O205" s="1043"/>
      <c r="P205" s="330"/>
      <c r="Q205" s="350"/>
      <c r="R205" s="785"/>
      <c r="S205" s="328"/>
      <c r="T205" s="328"/>
      <c r="U205" s="328"/>
      <c r="V205" s="328"/>
      <c r="W205" s="328"/>
      <c r="X205" s="328"/>
      <c r="Y205" s="328"/>
      <c r="Z205" s="328"/>
    </row>
    <row r="206" spans="1:26" ht="15.75" thickBot="1" x14ac:dyDescent="0.3">
      <c r="A206" s="531"/>
      <c r="B206" s="532" t="s">
        <v>3124</v>
      </c>
      <c r="C206" s="533"/>
      <c r="D206" s="534"/>
      <c r="E206" s="534"/>
      <c r="F206" s="1049"/>
      <c r="G206" s="535"/>
      <c r="H206" s="536"/>
      <c r="I206" s="536"/>
      <c r="J206" s="536"/>
      <c r="K206" s="536"/>
      <c r="L206" s="536"/>
      <c r="M206" s="536"/>
      <c r="N206" s="536"/>
      <c r="O206" s="1049"/>
      <c r="P206" s="534"/>
      <c r="Q206" s="350"/>
      <c r="R206" s="785"/>
      <c r="S206" s="536"/>
      <c r="T206" s="536"/>
      <c r="U206" s="536"/>
      <c r="V206" s="536"/>
      <c r="W206" s="536"/>
      <c r="X206" s="536"/>
      <c r="Y206" s="536"/>
      <c r="Z206" s="536"/>
    </row>
  </sheetData>
  <conditionalFormatting sqref="B2:B69 B71:B124">
    <cfRule type="duplicateValues" dxfId="41" priority="27"/>
  </conditionalFormatting>
  <conditionalFormatting sqref="B12:B13">
    <cfRule type="duplicateValues" dxfId="40" priority="28"/>
  </conditionalFormatting>
  <conditionalFormatting sqref="B125">
    <cfRule type="duplicateValues" dxfId="39" priority="25"/>
  </conditionalFormatting>
  <conditionalFormatting sqref="B142">
    <cfRule type="duplicateValues" dxfId="38" priority="24"/>
  </conditionalFormatting>
  <conditionalFormatting sqref="B143">
    <cfRule type="duplicateValues" dxfId="37" priority="3"/>
  </conditionalFormatting>
  <conditionalFormatting sqref="B147">
    <cfRule type="duplicateValues" dxfId="36" priority="22"/>
  </conditionalFormatting>
  <conditionalFormatting sqref="B148">
    <cfRule type="duplicateValues" dxfId="35" priority="19"/>
  </conditionalFormatting>
  <conditionalFormatting sqref="B149">
    <cfRule type="duplicateValues" dxfId="34" priority="18"/>
  </conditionalFormatting>
  <conditionalFormatting sqref="B150">
    <cfRule type="duplicateValues" dxfId="33" priority="17"/>
  </conditionalFormatting>
  <conditionalFormatting sqref="B151">
    <cfRule type="duplicateValues" dxfId="32" priority="11"/>
  </conditionalFormatting>
  <conditionalFormatting sqref="B152">
    <cfRule type="duplicateValues" dxfId="31" priority="16"/>
  </conditionalFormatting>
  <conditionalFormatting sqref="B153">
    <cfRule type="duplicateValues" dxfId="30" priority="15"/>
  </conditionalFormatting>
  <conditionalFormatting sqref="B154">
    <cfRule type="duplicateValues" dxfId="29" priority="14"/>
  </conditionalFormatting>
  <conditionalFormatting sqref="B155">
    <cfRule type="duplicateValues" dxfId="28" priority="13"/>
  </conditionalFormatting>
  <conditionalFormatting sqref="B156">
    <cfRule type="duplicateValues" dxfId="27" priority="12"/>
  </conditionalFormatting>
  <conditionalFormatting sqref="B157">
    <cfRule type="duplicateValues" dxfId="26" priority="21"/>
  </conditionalFormatting>
  <conditionalFormatting sqref="B158">
    <cfRule type="duplicateValues" dxfId="25" priority="20"/>
  </conditionalFormatting>
  <conditionalFormatting sqref="B159:B161">
    <cfRule type="duplicateValues" dxfId="24" priority="10"/>
  </conditionalFormatting>
  <conditionalFormatting sqref="B162">
    <cfRule type="duplicateValues" dxfId="23" priority="6"/>
  </conditionalFormatting>
  <conditionalFormatting sqref="B163">
    <cfRule type="duplicateValues" dxfId="22" priority="9"/>
  </conditionalFormatting>
  <conditionalFormatting sqref="B164">
    <cfRule type="duplicateValues" dxfId="21" priority="8"/>
  </conditionalFormatting>
  <conditionalFormatting sqref="B165">
    <cfRule type="duplicateValues" dxfId="20" priority="7"/>
  </conditionalFormatting>
  <conditionalFormatting sqref="B166:B167">
    <cfRule type="duplicateValues" dxfId="19" priority="5"/>
  </conditionalFormatting>
  <conditionalFormatting sqref="B168">
    <cfRule type="duplicateValues" dxfId="18" priority="4"/>
  </conditionalFormatting>
  <conditionalFormatting sqref="B169">
    <cfRule type="duplicateValues" dxfId="17" priority="23"/>
  </conditionalFormatting>
  <conditionalFormatting sqref="B170">
    <cfRule type="duplicateValues" dxfId="16" priority="2"/>
  </conditionalFormatting>
  <conditionalFormatting sqref="B172">
    <cfRule type="duplicateValues" dxfId="15" priority="1"/>
  </conditionalFormatting>
  <hyperlinks>
    <hyperlink ref="B206" r:id="rId1" xr:uid="{00000000-0004-0000-0900-000000000000}"/>
    <hyperlink ref="E1" r:id="rId2" location="/24-tamano-120/267-color-azul" display="https://www.dvial.es/bolardos-de-plastico-hitos-y-balizas/999-191-hito-de-vertice-divergente-de-senalizacion-obispo.html - /24-tamano-120/267-color-azul" xr:uid="{00000000-0004-0000-0900-000001000000}"/>
    <hyperlink ref="S25" r:id="rId3" xr:uid="{00000000-0004-0000-0900-000002000000}"/>
    <hyperlink ref="S23" r:id="rId4" xr:uid="{00000000-0004-0000-0900-000003000000}"/>
    <hyperlink ref="S5" r:id="rId5" xr:uid="{00000000-0004-0000-0900-000004000000}"/>
    <hyperlink ref="S39" r:id="rId6" xr:uid="{00000000-0004-0000-0900-000005000000}"/>
    <hyperlink ref="S21" r:id="rId7" xr:uid="{00000000-0004-0000-0900-000006000000}"/>
    <hyperlink ref="T63" r:id="rId8" xr:uid="{00000000-0004-0000-0900-000007000000}"/>
    <hyperlink ref="S120" r:id="rId9" xr:uid="{00000000-0004-0000-0900-000008000000}"/>
    <hyperlink ref="J63" r:id="rId10" xr:uid="{00000000-0004-0000-0900-000009000000}"/>
    <hyperlink ref="S92" r:id="rId11" xr:uid="{00000000-0004-0000-0900-00000A000000}"/>
    <hyperlink ref="S94" r:id="rId12" xr:uid="{00000000-0004-0000-0900-00000B000000}"/>
    <hyperlink ref="T96" r:id="rId13" xr:uid="{00000000-0004-0000-0900-00000C000000}"/>
    <hyperlink ref="S19" r:id="rId14" xr:uid="{00000000-0004-0000-0900-00000D000000}"/>
    <hyperlink ref="V8" r:id="rId15" xr:uid="{00000000-0004-0000-0900-00000E000000}"/>
    <hyperlink ref="V7" r:id="rId16" xr:uid="{00000000-0004-0000-0900-00000F000000}"/>
    <hyperlink ref="V78" r:id="rId17" xr:uid="{00000000-0004-0000-0900-000010000000}"/>
    <hyperlink ref="V39" r:id="rId18" xr:uid="{00000000-0004-0000-0900-000011000000}"/>
    <hyperlink ref="V88" r:id="rId19" xr:uid="{00000000-0004-0000-0900-000012000000}"/>
    <hyperlink ref="V63" r:id="rId20" xr:uid="{00000000-0004-0000-0900-000013000000}"/>
    <hyperlink ref="V94" r:id="rId21" xr:uid="{00000000-0004-0000-0900-000014000000}"/>
    <hyperlink ref="V91" r:id="rId22" xr:uid="{00000000-0004-0000-0900-000015000000}"/>
    <hyperlink ref="X92" r:id="rId23" xr:uid="{00000000-0004-0000-0900-000016000000}"/>
    <hyperlink ref="X101" r:id="rId24" xr:uid="{00000000-0004-0000-0900-000017000000}"/>
    <hyperlink ref="Y107" r:id="rId25" xr:uid="{00000000-0004-0000-0900-000018000000}"/>
    <hyperlink ref="W7" r:id="rId26" xr:uid="{00000000-0004-0000-0900-000019000000}"/>
    <hyperlink ref="W6" r:id="rId27" xr:uid="{00000000-0004-0000-0900-00001A000000}"/>
    <hyperlink ref="H73" r:id="rId28" xr:uid="{00000000-0004-0000-0900-00001B000000}"/>
    <hyperlink ref="AA43" r:id="rId29" xr:uid="{00000000-0004-0000-0900-00001C000000}"/>
    <hyperlink ref="L21" r:id="rId30" xr:uid="{00000000-0004-0000-0900-00001D000000}"/>
    <hyperlink ref="L19" r:id="rId31" xr:uid="{00000000-0004-0000-0900-00001E000000}"/>
    <hyperlink ref="K20" r:id="rId32" xr:uid="{00000000-0004-0000-0900-00001F000000}"/>
    <hyperlink ref="S20" r:id="rId33" xr:uid="{00000000-0004-0000-0900-000020000000}"/>
    <hyperlink ref="H36" r:id="rId34" xr:uid="{00000000-0004-0000-0900-000021000000}"/>
    <hyperlink ref="H37" r:id="rId35" xr:uid="{00000000-0004-0000-0900-000022000000}"/>
    <hyperlink ref="T23" r:id="rId36" xr:uid="{00000000-0004-0000-0900-000023000000}"/>
    <hyperlink ref="K5" r:id="rId37" xr:uid="{00000000-0004-0000-0900-000024000000}"/>
    <hyperlink ref="K63" r:id="rId38" xr:uid="{00000000-0004-0000-0900-000025000000}"/>
    <hyperlink ref="H62" r:id="rId39" xr:uid="{00000000-0004-0000-0900-000026000000}"/>
    <hyperlink ref="K101" r:id="rId40" xr:uid="{00000000-0004-0000-0900-000027000000}"/>
    <hyperlink ref="S101" r:id="rId41" xr:uid="{00000000-0004-0000-0900-000028000000}"/>
    <hyperlink ref="H103" r:id="rId42" location="/75-color-blaco_rojo" xr:uid="{00000000-0004-0000-0900-000029000000}"/>
    <hyperlink ref="J128" r:id="rId43" xr:uid="{00000000-0004-0000-0900-00002A000000}"/>
    <hyperlink ref="S44" r:id="rId44" xr:uid="{00000000-0004-0000-0900-00002B000000}"/>
    <hyperlink ref="T108" r:id="rId45" xr:uid="{00000000-0004-0000-0900-00002C000000}"/>
    <hyperlink ref="S121" r:id="rId46" xr:uid="{00000000-0004-0000-0900-00002D000000}"/>
    <hyperlink ref="T122" r:id="rId47" xr:uid="{00000000-0004-0000-0900-00002E000000}"/>
    <hyperlink ref="S133" r:id="rId48" xr:uid="{00000000-0004-0000-0900-00002F000000}"/>
    <hyperlink ref="S198" r:id="rId49" xr:uid="{00000000-0004-0000-0900-000030000000}"/>
    <hyperlink ref="N46" r:id="rId50" xr:uid="{00000000-0004-0000-0900-000031000000}"/>
    <hyperlink ref="N95" r:id="rId51" xr:uid="{00000000-0004-0000-0900-000032000000}"/>
    <hyperlink ref="N5" r:id="rId52" xr:uid="{00000000-0004-0000-0900-000033000000}"/>
    <hyperlink ref="Z91" r:id="rId53" xr:uid="{00000000-0004-0000-0900-000034000000}"/>
    <hyperlink ref="Z45" r:id="rId54" xr:uid="{00000000-0004-0000-0900-000035000000}"/>
    <hyperlink ref="Z44" r:id="rId55" xr:uid="{00000000-0004-0000-0900-000036000000}"/>
    <hyperlink ref="Z111" r:id="rId56" xr:uid="{00000000-0004-0000-0900-000037000000}"/>
    <hyperlink ref="P52" r:id="rId57" location=":~:text=%24208.627!,Si%20tienes%20alguna%20duda%2C%20preg%C3%BAntanos." xr:uid="{00000000-0004-0000-0900-000038000000}"/>
    <hyperlink ref="S97" r:id="rId58" xr:uid="{00000000-0004-0000-0900-000039000000}"/>
    <hyperlink ref="Z38" r:id="rId59" xr:uid="{00000000-0004-0000-0900-00003A000000}"/>
    <hyperlink ref="S202" r:id="rId60" xr:uid="{00000000-0004-0000-0900-00003B000000}"/>
    <hyperlink ref="Z60" r:id="rId61" location="position=14&amp;search_layout=stack&amp;type=item&amp;tracking_id=227d4730-48a1-4f7b-a954-f91f056deda7" xr:uid="{00000000-0004-0000-0900-00003C000000}"/>
    <hyperlink ref="Z55" r:id="rId62" xr:uid="{00000000-0004-0000-0900-00003D000000}"/>
    <hyperlink ref="S88" r:id="rId63" xr:uid="{00000000-0004-0000-0900-00003E000000}"/>
    <hyperlink ref="T88" r:id="rId64" xr:uid="{00000000-0004-0000-0900-00003F000000}"/>
    <hyperlink ref="T78" r:id="rId65" xr:uid="{00000000-0004-0000-0900-000040000000}"/>
    <hyperlink ref="Z35" r:id="rId66" xr:uid="{00000000-0004-0000-0900-000041000000}"/>
    <hyperlink ref="Z42" r:id="rId67" xr:uid="{00000000-0004-0000-0900-000042000000}"/>
    <hyperlink ref="S104" r:id="rId68" xr:uid="{00000000-0004-0000-0900-000043000000}"/>
    <hyperlink ref="Z174" r:id="rId69" xr:uid="{00000000-0004-0000-0900-000044000000}"/>
    <hyperlink ref="Z12" r:id="rId70" xr:uid="{00000000-0004-0000-0900-000045000000}"/>
    <hyperlink ref="Z134" r:id="rId71" xr:uid="{00000000-0004-0000-0900-000046000000}"/>
    <hyperlink ref="Z178" r:id="rId72" xr:uid="{00000000-0004-0000-0900-000047000000}"/>
    <hyperlink ref="Z197" r:id="rId73" xr:uid="{00000000-0004-0000-0900-000048000000}"/>
    <hyperlink ref="J94" r:id="rId74" display="https://ferreteriasaray.com/inicio/puntilla-lisa-con-cabeza-165-1--1250.html" xr:uid="{00000000-0004-0000-0900-000049000000}"/>
    <hyperlink ref="M24" r:id="rId75" xr:uid="{00000000-0004-0000-0900-00004A000000}"/>
    <hyperlink ref="S111" r:id="rId76" xr:uid="{00000000-0004-0000-0900-00004B000000}"/>
    <hyperlink ref="S112" r:id="rId77" xr:uid="{00000000-0004-0000-0900-00004C000000}"/>
    <hyperlink ref="S113" r:id="rId78" xr:uid="{00000000-0004-0000-0900-00004D000000}"/>
    <hyperlink ref="S116" r:id="rId79" xr:uid="{00000000-0004-0000-0900-00004E000000}"/>
    <hyperlink ref="Z86" r:id="rId80" display="https://lagranferreteria.com/hierro/878-platina-14-x-1.html" xr:uid="{00000000-0004-0000-0900-00004F000000}"/>
    <hyperlink ref="Z130" r:id="rId81" location="position=4&amp;search_layout=stack&amp;type=item&amp;tracking_id=494c7d2b-aeb8-41fa-8e13-127001be8aed" xr:uid="{00000000-0004-0000-0900-000050000000}"/>
  </hyperlinks>
  <pageMargins left="0.7" right="0.7" top="0.75" bottom="0.75" header="0.3" footer="0.3"/>
  <pageSetup orientation="portrait" r:id="rId82"/>
  <legacyDrawing r:id="rId8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3"/>
  <dimension ref="A1:S56"/>
  <sheetViews>
    <sheetView zoomScale="70" zoomScaleNormal="70" workbookViewId="0">
      <selection activeCell="A8" sqref="A8:XFD8"/>
    </sheetView>
  </sheetViews>
  <sheetFormatPr baseColWidth="10" defaultColWidth="11.5703125" defaultRowHeight="15" x14ac:dyDescent="0.25"/>
  <cols>
    <col min="2" max="2" width="58.140625" bestFit="1" customWidth="1"/>
    <col min="3" max="3" width="14.140625" style="334" customWidth="1"/>
    <col min="4" max="4" width="15.42578125" style="127" customWidth="1"/>
    <col min="5" max="5" width="18.5703125" style="127" customWidth="1"/>
    <col min="6" max="6" width="13.85546875" style="88" customWidth="1"/>
    <col min="7" max="7" width="11.42578125" customWidth="1"/>
    <col min="8" max="8" width="16.5703125" customWidth="1"/>
    <col min="9" max="9" width="15.7109375" customWidth="1"/>
    <col min="10" max="10" width="18.140625" customWidth="1"/>
    <col min="11" max="11" width="13.42578125" customWidth="1"/>
    <col min="12" max="12" width="15.28515625" customWidth="1"/>
    <col min="13" max="13" width="18.28515625" customWidth="1"/>
    <col min="14" max="15" width="16.5703125" style="334" customWidth="1"/>
    <col min="16" max="16" width="14.140625" customWidth="1"/>
    <col min="17" max="17" width="14.42578125" style="127" customWidth="1"/>
    <col min="18" max="18" width="15.5703125" customWidth="1"/>
    <col min="19" max="19" width="15.28515625" customWidth="1"/>
  </cols>
  <sheetData>
    <row r="1" spans="1:19" ht="15.75" thickBot="1" x14ac:dyDescent="0.3">
      <c r="F1" s="88" t="s">
        <v>124</v>
      </c>
    </row>
    <row r="2" spans="1:19" ht="54" x14ac:dyDescent="0.25">
      <c r="A2" s="72" t="s">
        <v>122</v>
      </c>
      <c r="B2" s="73" t="s">
        <v>1</v>
      </c>
      <c r="C2" s="335" t="s">
        <v>123</v>
      </c>
      <c r="D2" s="387" t="s">
        <v>2934</v>
      </c>
      <c r="E2" s="128" t="s">
        <v>125</v>
      </c>
      <c r="F2" s="687">
        <v>0.57289999999999996</v>
      </c>
      <c r="G2" s="93" t="s">
        <v>2931</v>
      </c>
      <c r="H2" s="661" t="s">
        <v>2932</v>
      </c>
      <c r="I2" s="1092" t="s">
        <v>3170</v>
      </c>
      <c r="J2" s="1093" t="s">
        <v>3206</v>
      </c>
      <c r="K2" s="1093" t="s">
        <v>3207</v>
      </c>
      <c r="L2" s="1093" t="s">
        <v>3208</v>
      </c>
      <c r="M2" s="1105" t="s">
        <v>6869</v>
      </c>
      <c r="N2" s="1104" t="s">
        <v>3203</v>
      </c>
      <c r="O2" s="1104" t="s">
        <v>3406</v>
      </c>
      <c r="P2" s="1090" t="s">
        <v>120</v>
      </c>
      <c r="Q2" s="767" t="s">
        <v>3425</v>
      </c>
      <c r="R2" s="767" t="s">
        <v>6870</v>
      </c>
      <c r="S2" t="s">
        <v>6871</v>
      </c>
    </row>
    <row r="3" spans="1:19" x14ac:dyDescent="0.25">
      <c r="A3" s="70">
        <v>1</v>
      </c>
      <c r="B3" s="71" t="s">
        <v>143</v>
      </c>
      <c r="C3" s="336">
        <f>+IFERROR(P3,0)</f>
        <v>56985</v>
      </c>
      <c r="D3" s="125">
        <f>+C3*$F$2</f>
        <v>32646.706499999997</v>
      </c>
      <c r="E3" s="126">
        <f>+ROUND((C3+D3),0)</f>
        <v>89632</v>
      </c>
      <c r="F3" s="127">
        <f>+C3*30</f>
        <v>1709550</v>
      </c>
      <c r="G3" s="88">
        <f>+ROUND(E3/30/8,2)</f>
        <v>373.47</v>
      </c>
      <c r="I3" s="1096"/>
      <c r="J3" s="260"/>
      <c r="K3" s="260"/>
      <c r="L3" s="1098"/>
      <c r="M3" s="1101">
        <f>R3*110.07%*116%*112.07%</f>
        <v>66805.511830570802</v>
      </c>
      <c r="N3" s="1101">
        <f>+Q3</f>
        <v>50600</v>
      </c>
      <c r="O3" s="1102">
        <f>(1350000/30)*1.19</f>
        <v>53550</v>
      </c>
      <c r="P3" s="321">
        <f>+ROUND(AVERAGE(I3:O3),0)</f>
        <v>56985</v>
      </c>
      <c r="Q3" s="778">
        <f>1518000/30</f>
        <v>50600</v>
      </c>
      <c r="R3" s="1106">
        <v>46687</v>
      </c>
      <c r="S3" s="1089">
        <f>P3*30</f>
        <v>1709550</v>
      </c>
    </row>
    <row r="4" spans="1:19" x14ac:dyDescent="0.25">
      <c r="A4" s="68">
        <f>+A3+1</f>
        <v>2</v>
      </c>
      <c r="B4" s="67" t="s">
        <v>144</v>
      </c>
      <c r="C4" s="336">
        <f t="shared" ref="C4:C56" si="0">+IFERROR(P4,0)</f>
        <v>62383</v>
      </c>
      <c r="D4" s="125">
        <f>+C4*$F$2</f>
        <v>35739.220699999998</v>
      </c>
      <c r="E4" s="126">
        <f t="shared" ref="E4:E56" si="1">+ROUND((C4+D4),0)</f>
        <v>98122</v>
      </c>
      <c r="F4" s="127">
        <f t="shared" ref="F4:F56" si="2">+C4*30</f>
        <v>1871490</v>
      </c>
      <c r="I4" s="1096"/>
      <c r="J4" s="260"/>
      <c r="K4" s="260"/>
      <c r="L4" s="1098"/>
      <c r="M4" s="1101">
        <f t="shared" ref="M4:M51" si="3">R4*110.07%*116%*112.07%</f>
        <v>66805.511830570802</v>
      </c>
      <c r="N4" s="1101">
        <f t="shared" ref="N4:N50" si="4">+Q4</f>
        <v>66792</v>
      </c>
      <c r="O4" s="1102">
        <f>(1350000/30)*1.19</f>
        <v>53550</v>
      </c>
      <c r="P4" s="321">
        <f t="shared" ref="P4:P51" si="5">+ROUND(AVERAGE(I4:O4),0)</f>
        <v>62383</v>
      </c>
      <c r="Q4" s="778">
        <f>2003760/30</f>
        <v>66792</v>
      </c>
      <c r="R4" s="1106">
        <v>46687</v>
      </c>
      <c r="S4" s="1089">
        <f t="shared" ref="S4:S51" si="6">P4*30</f>
        <v>1871490</v>
      </c>
    </row>
    <row r="5" spans="1:19" x14ac:dyDescent="0.25">
      <c r="A5" s="68">
        <f t="shared" ref="A5:A51" si="7">+A4+1</f>
        <v>3</v>
      </c>
      <c r="B5" s="67" t="s">
        <v>127</v>
      </c>
      <c r="C5" s="336">
        <f t="shared" si="0"/>
        <v>46078</v>
      </c>
      <c r="D5" s="125">
        <f>+C5*$F$2</f>
        <v>26398.086199999998</v>
      </c>
      <c r="E5" s="126">
        <f t="shared" si="1"/>
        <v>72476</v>
      </c>
      <c r="F5" s="127">
        <f t="shared" si="2"/>
        <v>1382340</v>
      </c>
      <c r="I5" s="1096"/>
      <c r="J5" s="260"/>
      <c r="K5" s="260"/>
      <c r="L5" s="1098"/>
      <c r="M5" s="1101">
        <f t="shared" si="3"/>
        <v>43334.078443185601</v>
      </c>
      <c r="N5" s="1101">
        <f t="shared" si="4"/>
        <v>43333.333333333336</v>
      </c>
      <c r="O5" s="1102">
        <f>(1300000/30)*1.19</f>
        <v>51566.666666666664</v>
      </c>
      <c r="P5" s="321">
        <f t="shared" si="5"/>
        <v>46078</v>
      </c>
      <c r="Q5" s="778">
        <f>1300000/30</f>
        <v>43333.333333333336</v>
      </c>
      <c r="R5" s="1106">
        <v>30284</v>
      </c>
      <c r="S5" s="1089">
        <f t="shared" si="6"/>
        <v>1382340</v>
      </c>
    </row>
    <row r="6" spans="1:19" x14ac:dyDescent="0.25">
      <c r="A6" s="68">
        <f t="shared" si="7"/>
        <v>4</v>
      </c>
      <c r="B6" s="67" t="s">
        <v>183</v>
      </c>
      <c r="C6" s="336">
        <f t="shared" si="0"/>
        <v>53012</v>
      </c>
      <c r="D6" s="125">
        <f>+C6*$F$2</f>
        <v>30370.574799999999</v>
      </c>
      <c r="E6" s="126">
        <f t="shared" si="1"/>
        <v>83383</v>
      </c>
      <c r="F6" s="127">
        <f t="shared" si="2"/>
        <v>1590360</v>
      </c>
      <c r="I6" s="1096"/>
      <c r="J6" s="260"/>
      <c r="K6" s="260"/>
      <c r="L6" s="1098"/>
      <c r="M6" s="1101">
        <f t="shared" si="3"/>
        <v>58501.864452225593</v>
      </c>
      <c r="N6" s="1101">
        <f t="shared" si="4"/>
        <v>57200</v>
      </c>
      <c r="O6" s="1102">
        <f>1300000/30</f>
        <v>43333.333333333336</v>
      </c>
      <c r="P6" s="321">
        <f t="shared" si="5"/>
        <v>53012</v>
      </c>
      <c r="Q6" s="778">
        <f>1716000/30</f>
        <v>57200</v>
      </c>
      <c r="R6" s="1106">
        <v>40884</v>
      </c>
      <c r="S6" s="1089">
        <f t="shared" si="6"/>
        <v>1590360</v>
      </c>
    </row>
    <row r="7" spans="1:19" x14ac:dyDescent="0.25">
      <c r="A7" s="68">
        <f t="shared" si="7"/>
        <v>5</v>
      </c>
      <c r="B7" s="67" t="s">
        <v>131</v>
      </c>
      <c r="C7" s="336">
        <f t="shared" si="0"/>
        <v>58030</v>
      </c>
      <c r="D7" s="125">
        <f>+C7*$F$2</f>
        <v>33245.386999999995</v>
      </c>
      <c r="E7" s="126">
        <f t="shared" si="1"/>
        <v>91275</v>
      </c>
      <c r="F7" s="127">
        <f t="shared" si="2"/>
        <v>1740900</v>
      </c>
      <c r="I7" s="1096"/>
      <c r="J7" s="260"/>
      <c r="K7" s="260"/>
      <c r="L7" s="1098"/>
      <c r="M7" s="1101">
        <f t="shared" si="3"/>
        <v>70424.316624614396</v>
      </c>
      <c r="N7" s="1101">
        <f t="shared" si="4"/>
        <v>53667</v>
      </c>
      <c r="O7" s="1102">
        <f>1500000/30</f>
        <v>50000</v>
      </c>
      <c r="P7" s="321">
        <f t="shared" si="5"/>
        <v>58030</v>
      </c>
      <c r="Q7" s="127">
        <f>+[20]insumos!$K$1375</f>
        <v>53667</v>
      </c>
      <c r="R7" s="1106">
        <v>49216</v>
      </c>
      <c r="S7" s="1089">
        <f t="shared" si="6"/>
        <v>1740900</v>
      </c>
    </row>
    <row r="8" spans="1:19" x14ac:dyDescent="0.25">
      <c r="A8" s="68">
        <f t="shared" si="7"/>
        <v>6</v>
      </c>
      <c r="B8" s="67" t="s">
        <v>136</v>
      </c>
      <c r="C8" s="336">
        <f t="shared" si="0"/>
        <v>52088</v>
      </c>
      <c r="D8" s="125">
        <f t="shared" ref="D8:D56" si="8">+C8*$F$2</f>
        <v>29841.215199999999</v>
      </c>
      <c r="E8" s="126">
        <f t="shared" si="1"/>
        <v>81929</v>
      </c>
      <c r="F8" s="127">
        <f t="shared" si="2"/>
        <v>1562640</v>
      </c>
      <c r="I8" s="1097"/>
      <c r="J8" s="384"/>
      <c r="K8" s="384"/>
      <c r="L8" s="1099"/>
      <c r="M8" s="1101">
        <f t="shared" si="3"/>
        <v>55662.912806760003</v>
      </c>
      <c r="N8" s="1101">
        <f t="shared" si="4"/>
        <v>50600</v>
      </c>
      <c r="O8" s="1102">
        <f>1500000/30</f>
        <v>50000</v>
      </c>
      <c r="P8" s="321">
        <f t="shared" si="5"/>
        <v>52088</v>
      </c>
      <c r="Q8" s="778">
        <f>1518000/30</f>
        <v>50600</v>
      </c>
      <c r="R8" s="1106">
        <v>38900</v>
      </c>
      <c r="S8" s="1089">
        <f t="shared" si="6"/>
        <v>1562640</v>
      </c>
    </row>
    <row r="9" spans="1:19" x14ac:dyDescent="0.25">
      <c r="A9" s="68">
        <f t="shared" si="7"/>
        <v>7</v>
      </c>
      <c r="B9" s="67" t="s">
        <v>134</v>
      </c>
      <c r="C9" s="336">
        <f t="shared" si="0"/>
        <v>60119</v>
      </c>
      <c r="D9" s="125">
        <f t="shared" si="8"/>
        <v>34442.1751</v>
      </c>
      <c r="E9" s="126">
        <f t="shared" si="1"/>
        <v>94561</v>
      </c>
      <c r="F9" s="127">
        <f t="shared" si="2"/>
        <v>1803570</v>
      </c>
      <c r="I9" s="1097"/>
      <c r="J9" s="260"/>
      <c r="K9" s="260"/>
      <c r="L9" s="1098"/>
      <c r="M9" s="1101">
        <f t="shared" si="3"/>
        <v>70424.316624614396</v>
      </c>
      <c r="N9" s="1101">
        <f t="shared" si="4"/>
        <v>59933.333333333336</v>
      </c>
      <c r="O9" s="1102">
        <f>1500000/30</f>
        <v>50000</v>
      </c>
      <c r="P9" s="321">
        <f t="shared" si="5"/>
        <v>60119</v>
      </c>
      <c r="Q9" s="778">
        <f>1798000/30</f>
        <v>59933.333333333336</v>
      </c>
      <c r="R9" s="1106">
        <v>49216</v>
      </c>
      <c r="S9" s="1089">
        <f t="shared" si="6"/>
        <v>1803570</v>
      </c>
    </row>
    <row r="10" spans="1:19" x14ac:dyDescent="0.25">
      <c r="A10" s="68">
        <f t="shared" si="7"/>
        <v>8</v>
      </c>
      <c r="B10" s="67" t="s">
        <v>187</v>
      </c>
      <c r="C10" s="336">
        <f t="shared" si="0"/>
        <v>83465</v>
      </c>
      <c r="D10" s="125">
        <f t="shared" si="8"/>
        <v>47817.0985</v>
      </c>
      <c r="E10" s="126">
        <f t="shared" si="1"/>
        <v>131282</v>
      </c>
      <c r="F10" s="127">
        <f t="shared" si="2"/>
        <v>2503950</v>
      </c>
      <c r="I10" s="1097"/>
      <c r="J10" s="260"/>
      <c r="K10" s="260"/>
      <c r="L10" s="1098"/>
      <c r="M10" s="1101">
        <f t="shared" si="3"/>
        <v>97460.179724123984</v>
      </c>
      <c r="N10" s="1101">
        <f t="shared" si="4"/>
        <v>99600</v>
      </c>
      <c r="O10" s="1102">
        <f>1600000/30</f>
        <v>53333.333333333336</v>
      </c>
      <c r="P10" s="321">
        <f t="shared" si="5"/>
        <v>83465</v>
      </c>
      <c r="Q10" s="778">
        <f>2988000/30</f>
        <v>99600</v>
      </c>
      <c r="R10" s="1106">
        <v>68110</v>
      </c>
      <c r="S10" s="1089">
        <f t="shared" si="6"/>
        <v>2503950</v>
      </c>
    </row>
    <row r="11" spans="1:19" ht="15.75" x14ac:dyDescent="0.25">
      <c r="A11" s="68">
        <f t="shared" si="7"/>
        <v>9</v>
      </c>
      <c r="B11" s="67" t="s">
        <v>188</v>
      </c>
      <c r="C11" s="336">
        <f t="shared" si="0"/>
        <v>64903</v>
      </c>
      <c r="D11" s="125">
        <f t="shared" si="8"/>
        <v>37182.928699999997</v>
      </c>
      <c r="E11" s="126">
        <f t="shared" si="1"/>
        <v>102086</v>
      </c>
      <c r="F11" s="127">
        <f t="shared" si="2"/>
        <v>1947090</v>
      </c>
      <c r="I11" s="1097"/>
      <c r="J11" s="260"/>
      <c r="K11" s="260"/>
      <c r="L11" s="1098"/>
      <c r="M11" s="1101">
        <f t="shared" si="3"/>
        <v>82673.019288518393</v>
      </c>
      <c r="N11" s="1101">
        <f t="shared" si="4"/>
        <v>47133.333333333336</v>
      </c>
      <c r="O11" s="1103"/>
      <c r="P11" s="321">
        <f t="shared" si="5"/>
        <v>64903</v>
      </c>
      <c r="Q11" s="778">
        <f>1414000/30</f>
        <v>47133.333333333336</v>
      </c>
      <c r="R11" s="1106">
        <v>57776</v>
      </c>
      <c r="S11" s="1089">
        <f t="shared" si="6"/>
        <v>1947090</v>
      </c>
    </row>
    <row r="12" spans="1:19" x14ac:dyDescent="0.25">
      <c r="A12" s="68">
        <f t="shared" si="7"/>
        <v>10</v>
      </c>
      <c r="B12" s="67" t="s">
        <v>135</v>
      </c>
      <c r="C12" s="336">
        <f t="shared" si="0"/>
        <v>58030</v>
      </c>
      <c r="D12" s="125">
        <f t="shared" si="8"/>
        <v>33245.386999999995</v>
      </c>
      <c r="E12" s="126">
        <f t="shared" si="1"/>
        <v>91275</v>
      </c>
      <c r="F12" s="127">
        <f t="shared" si="2"/>
        <v>1740900</v>
      </c>
      <c r="I12" s="1097"/>
      <c r="J12" s="260"/>
      <c r="K12" s="260"/>
      <c r="L12" s="1098"/>
      <c r="M12" s="1101">
        <f t="shared" si="3"/>
        <v>70424.316624614396</v>
      </c>
      <c r="N12" s="1101">
        <f t="shared" si="4"/>
        <v>53667</v>
      </c>
      <c r="O12" s="1102">
        <f>1500000/30</f>
        <v>50000</v>
      </c>
      <c r="P12" s="321">
        <f t="shared" si="5"/>
        <v>58030</v>
      </c>
      <c r="Q12" s="127">
        <f>+Q7</f>
        <v>53667</v>
      </c>
      <c r="R12" s="1106">
        <v>49216</v>
      </c>
      <c r="S12" s="1089">
        <f t="shared" si="6"/>
        <v>1740900</v>
      </c>
    </row>
    <row r="13" spans="1:19" x14ac:dyDescent="0.25">
      <c r="A13" s="68">
        <f t="shared" si="7"/>
        <v>11</v>
      </c>
      <c r="B13" s="67" t="s">
        <v>138</v>
      </c>
      <c r="C13" s="336">
        <f t="shared" si="0"/>
        <v>206027</v>
      </c>
      <c r="D13" s="125">
        <f t="shared" si="8"/>
        <v>118032.86829999999</v>
      </c>
      <c r="E13" s="126">
        <f t="shared" si="1"/>
        <v>324060</v>
      </c>
      <c r="F13" s="127">
        <f t="shared" si="2"/>
        <v>6180810</v>
      </c>
      <c r="I13" s="1097"/>
      <c r="J13" s="384"/>
      <c r="K13" s="384"/>
      <c r="L13" s="1099"/>
      <c r="M13" s="1101">
        <f t="shared" si="3"/>
        <v>181154.87818343999</v>
      </c>
      <c r="N13" s="1101">
        <f t="shared" si="4"/>
        <v>230900</v>
      </c>
      <c r="O13" s="1102"/>
      <c r="P13" s="321">
        <f>+ROUND(AVERAGE(I13:O13),0)</f>
        <v>206027</v>
      </c>
      <c r="Q13" s="778">
        <f>6927000/30</f>
        <v>230900</v>
      </c>
      <c r="R13" s="1106">
        <v>126600</v>
      </c>
      <c r="S13" s="1089">
        <f t="shared" si="6"/>
        <v>6180810</v>
      </c>
    </row>
    <row r="14" spans="1:19" ht="15.75" x14ac:dyDescent="0.25">
      <c r="A14" s="68">
        <f t="shared" si="7"/>
        <v>12</v>
      </c>
      <c r="B14" s="67" t="s">
        <v>186</v>
      </c>
      <c r="C14" s="336">
        <f t="shared" si="0"/>
        <v>137585</v>
      </c>
      <c r="D14" s="125">
        <f t="shared" si="8"/>
        <v>78822.446499999991</v>
      </c>
      <c r="E14" s="126">
        <f t="shared" si="1"/>
        <v>216407</v>
      </c>
      <c r="F14" s="127">
        <f t="shared" si="2"/>
        <v>4127550</v>
      </c>
      <c r="I14" s="1097"/>
      <c r="J14" s="384"/>
      <c r="K14" s="384"/>
      <c r="L14" s="1099"/>
      <c r="M14" s="1101">
        <f t="shared" si="3"/>
        <v>110404.31106731041</v>
      </c>
      <c r="N14" s="1101">
        <f t="shared" si="4"/>
        <v>164766.66666666666</v>
      </c>
      <c r="O14" s="1103"/>
      <c r="P14" s="321">
        <f t="shared" si="5"/>
        <v>137585</v>
      </c>
      <c r="Q14" s="778">
        <f>4943000/30</f>
        <v>164766.66666666666</v>
      </c>
      <c r="R14" s="1106">
        <v>77156</v>
      </c>
      <c r="S14" s="1089">
        <f t="shared" si="6"/>
        <v>4127550</v>
      </c>
    </row>
    <row r="15" spans="1:19" x14ac:dyDescent="0.25">
      <c r="A15" s="68">
        <f t="shared" si="7"/>
        <v>13</v>
      </c>
      <c r="B15" s="67" t="s">
        <v>133</v>
      </c>
      <c r="C15" s="336">
        <f t="shared" si="0"/>
        <v>241827</v>
      </c>
      <c r="D15" s="125">
        <f t="shared" si="8"/>
        <v>138542.68829999998</v>
      </c>
      <c r="E15" s="126">
        <f t="shared" si="1"/>
        <v>380370</v>
      </c>
      <c r="F15" s="127">
        <f>+C15*30</f>
        <v>7254810</v>
      </c>
      <c r="I15" s="1097"/>
      <c r="J15" s="384"/>
      <c r="K15" s="384"/>
      <c r="L15" s="1099"/>
      <c r="M15" s="1101">
        <f t="shared" si="3"/>
        <v>255082.09482221759</v>
      </c>
      <c r="N15" s="1101">
        <f t="shared" si="4"/>
        <v>287066.66666666669</v>
      </c>
      <c r="O15" s="1102">
        <f>5500000/30</f>
        <v>183333.33333333334</v>
      </c>
      <c r="P15" s="321">
        <f t="shared" si="5"/>
        <v>241827</v>
      </c>
      <c r="Q15" s="778">
        <f>8612000/30</f>
        <v>287066.66666666669</v>
      </c>
      <c r="R15" s="1106">
        <v>178264</v>
      </c>
      <c r="S15" s="1089">
        <f t="shared" si="6"/>
        <v>7254810</v>
      </c>
    </row>
    <row r="16" spans="1:19" x14ac:dyDescent="0.25">
      <c r="A16" s="68">
        <f t="shared" si="7"/>
        <v>14</v>
      </c>
      <c r="B16" s="67" t="s">
        <v>179</v>
      </c>
      <c r="C16" s="336">
        <f t="shared" si="0"/>
        <v>191141</v>
      </c>
      <c r="D16" s="125">
        <f t="shared" si="8"/>
        <v>109504.6789</v>
      </c>
      <c r="E16" s="126">
        <f t="shared" si="1"/>
        <v>300646</v>
      </c>
      <c r="F16" s="127">
        <f>+C16*30</f>
        <v>5734230</v>
      </c>
      <c r="G16" s="1089"/>
      <c r="I16" s="1097"/>
      <c r="J16" s="384"/>
      <c r="K16" s="384"/>
      <c r="L16" s="1099"/>
      <c r="M16" s="1101">
        <f t="shared" si="3"/>
        <v>181154.87818343999</v>
      </c>
      <c r="N16" s="1101">
        <f t="shared" si="4"/>
        <v>258933.33333333334</v>
      </c>
      <c r="O16" s="1102">
        <f>4000000/30</f>
        <v>133333.33333333334</v>
      </c>
      <c r="P16" s="321">
        <f t="shared" si="5"/>
        <v>191141</v>
      </c>
      <c r="Q16" s="780">
        <f>7768000/30</f>
        <v>258933.33333333334</v>
      </c>
      <c r="R16" s="1106">
        <v>126600</v>
      </c>
      <c r="S16" s="1089">
        <f t="shared" si="6"/>
        <v>5734230</v>
      </c>
    </row>
    <row r="17" spans="1:19" x14ac:dyDescent="0.25">
      <c r="A17" s="68">
        <f t="shared" si="7"/>
        <v>15</v>
      </c>
      <c r="B17" s="67" t="s">
        <v>137</v>
      </c>
      <c r="C17" s="336">
        <f t="shared" si="0"/>
        <v>226905</v>
      </c>
      <c r="D17" s="125">
        <f t="shared" si="8"/>
        <v>129993.87449999999</v>
      </c>
      <c r="E17" s="126">
        <f t="shared" si="1"/>
        <v>356899</v>
      </c>
      <c r="F17" s="127">
        <f t="shared" si="2"/>
        <v>6807150</v>
      </c>
      <c r="G17" s="1089"/>
      <c r="I17" s="1097"/>
      <c r="J17" s="384"/>
      <c r="K17" s="384"/>
      <c r="L17" s="1099"/>
      <c r="M17" s="1101">
        <f t="shared" si="3"/>
        <v>181154.87818343999</v>
      </c>
      <c r="N17" s="1101">
        <f t="shared" si="4"/>
        <v>349560.00000000006</v>
      </c>
      <c r="O17" s="1102">
        <f>4500000/30</f>
        <v>150000</v>
      </c>
      <c r="P17" s="321">
        <f t="shared" si="5"/>
        <v>226905</v>
      </c>
      <c r="Q17" s="1088">
        <f>Q16*1.35</f>
        <v>349560.00000000006</v>
      </c>
      <c r="R17" s="1106">
        <v>126600</v>
      </c>
      <c r="S17" s="1089">
        <f t="shared" si="6"/>
        <v>6807150</v>
      </c>
    </row>
    <row r="18" spans="1:19" x14ac:dyDescent="0.25">
      <c r="A18" s="68">
        <f t="shared" si="7"/>
        <v>16</v>
      </c>
      <c r="B18" s="67" t="s">
        <v>178</v>
      </c>
      <c r="C18" s="336">
        <f t="shared" si="0"/>
        <v>105557</v>
      </c>
      <c r="D18" s="125">
        <f t="shared" si="8"/>
        <v>60473.605299999996</v>
      </c>
      <c r="E18" s="126">
        <f t="shared" si="1"/>
        <v>166031</v>
      </c>
      <c r="F18" s="127">
        <f t="shared" si="2"/>
        <v>3166710</v>
      </c>
      <c r="I18" s="1097"/>
      <c r="J18" s="260"/>
      <c r="K18" s="260"/>
      <c r="L18" s="1098"/>
      <c r="M18" s="1101">
        <f t="shared" si="3"/>
        <v>130003.66625276519</v>
      </c>
      <c r="N18" s="1101">
        <f t="shared" si="4"/>
        <v>130000</v>
      </c>
      <c r="O18" s="1102">
        <f>1700000/30</f>
        <v>56666.666666666664</v>
      </c>
      <c r="P18" s="321">
        <f t="shared" si="5"/>
        <v>105557</v>
      </c>
      <c r="Q18" s="778">
        <f>3900000/30</f>
        <v>130000</v>
      </c>
      <c r="R18" s="1106">
        <v>90853</v>
      </c>
      <c r="S18" s="1089">
        <f t="shared" si="6"/>
        <v>3166710</v>
      </c>
    </row>
    <row r="19" spans="1:19" x14ac:dyDescent="0.25">
      <c r="A19" s="68">
        <f t="shared" si="7"/>
        <v>17</v>
      </c>
      <c r="B19" s="67" t="s">
        <v>140</v>
      </c>
      <c r="C19" s="336">
        <f t="shared" si="0"/>
        <v>135890</v>
      </c>
      <c r="D19" s="125">
        <f t="shared" si="8"/>
        <v>77851.380999999994</v>
      </c>
      <c r="E19" s="126">
        <f t="shared" si="1"/>
        <v>213741</v>
      </c>
      <c r="F19" s="127">
        <f t="shared" si="2"/>
        <v>4076700</v>
      </c>
      <c r="I19" s="1097"/>
      <c r="J19" s="260"/>
      <c r="K19" s="260"/>
      <c r="L19" s="1098"/>
      <c r="M19" s="1101">
        <f t="shared" si="3"/>
        <v>175504.16243346839</v>
      </c>
      <c r="N19" s="1101">
        <f t="shared" si="4"/>
        <v>175500</v>
      </c>
      <c r="O19" s="1102">
        <f>1700000/30</f>
        <v>56666.666666666664</v>
      </c>
      <c r="P19" s="321">
        <f t="shared" si="5"/>
        <v>135890</v>
      </c>
      <c r="Q19" s="778">
        <f>Q18*1.35</f>
        <v>175500</v>
      </c>
      <c r="R19" s="1106">
        <v>122651</v>
      </c>
      <c r="S19" s="1089">
        <f t="shared" si="6"/>
        <v>4076700</v>
      </c>
    </row>
    <row r="20" spans="1:19" x14ac:dyDescent="0.25">
      <c r="A20" s="68">
        <f t="shared" si="7"/>
        <v>18</v>
      </c>
      <c r="B20" s="67" t="s">
        <v>128</v>
      </c>
      <c r="C20" s="336">
        <f t="shared" si="0"/>
        <v>111908</v>
      </c>
      <c r="D20" s="125">
        <f t="shared" si="8"/>
        <v>64112.093199999996</v>
      </c>
      <c r="E20" s="126">
        <f t="shared" si="1"/>
        <v>176020</v>
      </c>
      <c r="F20" s="127">
        <f t="shared" si="2"/>
        <v>3357240</v>
      </c>
      <c r="I20" s="1097"/>
      <c r="J20" s="260"/>
      <c r="K20" s="260"/>
      <c r="L20" s="1098"/>
      <c r="M20" s="1101">
        <f t="shared" si="3"/>
        <v>129057.8260120128</v>
      </c>
      <c r="N20" s="1101">
        <f t="shared" si="4"/>
        <v>130000</v>
      </c>
      <c r="O20" s="1102">
        <f>2300000/30</f>
        <v>76666.666666666672</v>
      </c>
      <c r="P20" s="321">
        <f t="shared" si="5"/>
        <v>111908</v>
      </c>
      <c r="Q20" s="778">
        <f>3900000/30</f>
        <v>130000</v>
      </c>
      <c r="R20" s="1106">
        <v>90192</v>
      </c>
      <c r="S20" s="1089">
        <f t="shared" si="6"/>
        <v>3357240</v>
      </c>
    </row>
    <row r="21" spans="1:19" x14ac:dyDescent="0.25">
      <c r="A21" s="68">
        <f t="shared" si="7"/>
        <v>19</v>
      </c>
      <c r="B21" s="67" t="s">
        <v>185</v>
      </c>
      <c r="C21" s="336">
        <f t="shared" si="0"/>
        <v>142131</v>
      </c>
      <c r="D21" s="125">
        <f t="shared" si="8"/>
        <v>81426.849900000001</v>
      </c>
      <c r="E21" s="126">
        <f t="shared" si="1"/>
        <v>223558</v>
      </c>
      <c r="F21" s="127">
        <f t="shared" si="2"/>
        <v>4263930</v>
      </c>
      <c r="I21" s="1097"/>
      <c r="J21" s="260"/>
      <c r="K21" s="260"/>
      <c r="L21" s="1098"/>
      <c r="M21" s="1101">
        <f t="shared" si="3"/>
        <v>174226.34800836717</v>
      </c>
      <c r="N21" s="1101">
        <f t="shared" si="4"/>
        <v>175500</v>
      </c>
      <c r="O21" s="1102">
        <f>2300000/30</f>
        <v>76666.666666666672</v>
      </c>
      <c r="P21" s="321">
        <f t="shared" si="5"/>
        <v>142131</v>
      </c>
      <c r="Q21" s="778">
        <f>5265000/30</f>
        <v>175500</v>
      </c>
      <c r="R21" s="1106">
        <v>121758</v>
      </c>
      <c r="S21" s="1089">
        <f t="shared" si="6"/>
        <v>4263930</v>
      </c>
    </row>
    <row r="22" spans="1:19" x14ac:dyDescent="0.25">
      <c r="A22" s="68">
        <f t="shared" si="7"/>
        <v>20</v>
      </c>
      <c r="B22" s="67" t="s">
        <v>126</v>
      </c>
      <c r="C22" s="336">
        <f t="shared" si="0"/>
        <v>64512</v>
      </c>
      <c r="D22" s="125">
        <f t="shared" si="8"/>
        <v>36958.924800000001</v>
      </c>
      <c r="E22" s="126">
        <f t="shared" si="1"/>
        <v>101471</v>
      </c>
      <c r="F22" s="127">
        <f t="shared" si="2"/>
        <v>1935360</v>
      </c>
      <c r="I22" s="1097"/>
      <c r="J22" s="260"/>
      <c r="K22" s="260"/>
      <c r="L22" s="1098"/>
      <c r="M22" s="1101">
        <f t="shared" si="3"/>
        <v>75203.600140670402</v>
      </c>
      <c r="N22" s="1101">
        <f t="shared" si="4"/>
        <v>65000</v>
      </c>
      <c r="O22" s="1102">
        <f>1600000/30</f>
        <v>53333.333333333336</v>
      </c>
      <c r="P22" s="321">
        <f t="shared" si="5"/>
        <v>64512</v>
      </c>
      <c r="Q22" s="778">
        <f>1950000/30</f>
        <v>65000</v>
      </c>
      <c r="R22" s="1106">
        <v>52556</v>
      </c>
      <c r="S22" s="1089">
        <f t="shared" si="6"/>
        <v>1935360</v>
      </c>
    </row>
    <row r="23" spans="1:19" x14ac:dyDescent="0.25">
      <c r="A23" s="68">
        <f t="shared" si="7"/>
        <v>21</v>
      </c>
      <c r="B23" s="67" t="s">
        <v>184</v>
      </c>
      <c r="C23" s="336">
        <f t="shared" si="0"/>
        <v>77078</v>
      </c>
      <c r="D23" s="125">
        <f t="shared" si="8"/>
        <v>44157.986199999999</v>
      </c>
      <c r="E23" s="126">
        <f t="shared" si="1"/>
        <v>121236</v>
      </c>
      <c r="F23" s="127">
        <f t="shared" si="2"/>
        <v>2312340</v>
      </c>
      <c r="I23" s="1097"/>
      <c r="J23" s="260"/>
      <c r="K23" s="260"/>
      <c r="L23" s="1098"/>
      <c r="M23" s="1101">
        <f t="shared" si="3"/>
        <v>90151.023975616801</v>
      </c>
      <c r="N23" s="1101">
        <f t="shared" si="4"/>
        <v>87750</v>
      </c>
      <c r="O23" s="1102">
        <f>1600000/30</f>
        <v>53333.333333333336</v>
      </c>
      <c r="P23" s="321">
        <f t="shared" si="5"/>
        <v>77078</v>
      </c>
      <c r="Q23" s="778">
        <f>Q22*1.35</f>
        <v>87750</v>
      </c>
      <c r="R23" s="1106">
        <v>63002</v>
      </c>
      <c r="S23" s="1089">
        <f t="shared" si="6"/>
        <v>2312340</v>
      </c>
    </row>
    <row r="24" spans="1:19" x14ac:dyDescent="0.25">
      <c r="A24" s="68">
        <f t="shared" si="7"/>
        <v>22</v>
      </c>
      <c r="B24" s="67" t="s">
        <v>189</v>
      </c>
      <c r="C24" s="336">
        <f t="shared" si="0"/>
        <v>58601</v>
      </c>
      <c r="D24" s="125">
        <f t="shared" si="8"/>
        <v>33572.512900000002</v>
      </c>
      <c r="E24" s="126">
        <f t="shared" si="1"/>
        <v>92174</v>
      </c>
      <c r="F24" s="127">
        <f t="shared" si="2"/>
        <v>1758030</v>
      </c>
      <c r="I24" s="1097"/>
      <c r="J24" s="260"/>
      <c r="K24" s="260"/>
      <c r="L24" s="1098"/>
      <c r="M24" s="1101">
        <f t="shared" si="3"/>
        <v>65869.688052277197</v>
      </c>
      <c r="N24" s="1101">
        <f t="shared" si="4"/>
        <v>59933.333333333336</v>
      </c>
      <c r="O24" s="1102">
        <f>1500000/30</f>
        <v>50000</v>
      </c>
      <c r="P24" s="321">
        <f t="shared" si="5"/>
        <v>58601</v>
      </c>
      <c r="Q24" s="778">
        <f>1798000/30</f>
        <v>59933.333333333336</v>
      </c>
      <c r="R24" s="1106">
        <v>46033</v>
      </c>
      <c r="S24" s="1089">
        <f t="shared" si="6"/>
        <v>1758030</v>
      </c>
    </row>
    <row r="25" spans="1:19" x14ac:dyDescent="0.25">
      <c r="A25" s="68">
        <f t="shared" si="7"/>
        <v>23</v>
      </c>
      <c r="B25" s="67" t="s">
        <v>141</v>
      </c>
      <c r="C25" s="336">
        <f t="shared" si="0"/>
        <v>81862</v>
      </c>
      <c r="D25" s="125">
        <f t="shared" si="8"/>
        <v>46898.739799999996</v>
      </c>
      <c r="E25" s="126">
        <f t="shared" si="1"/>
        <v>128761</v>
      </c>
      <c r="F25" s="127">
        <f t="shared" si="2"/>
        <v>2455860</v>
      </c>
      <c r="I25" s="1097"/>
      <c r="J25" s="260"/>
      <c r="K25" s="260"/>
      <c r="L25" s="1098"/>
      <c r="M25" s="1101">
        <f t="shared" si="3"/>
        <v>102651.5691241992</v>
      </c>
      <c r="N25" s="1101">
        <f t="shared" si="4"/>
        <v>89600</v>
      </c>
      <c r="O25" s="1102">
        <f>1600000/30</f>
        <v>53333.333333333336</v>
      </c>
      <c r="P25" s="321">
        <f t="shared" si="5"/>
        <v>81862</v>
      </c>
      <c r="Q25" s="778">
        <f>2688000/30</f>
        <v>89600</v>
      </c>
      <c r="R25" s="1106">
        <v>71738</v>
      </c>
      <c r="S25" s="1089">
        <f t="shared" si="6"/>
        <v>2455860</v>
      </c>
    </row>
    <row r="26" spans="1:19" x14ac:dyDescent="0.25">
      <c r="A26" s="68">
        <f t="shared" si="7"/>
        <v>24</v>
      </c>
      <c r="B26" s="67" t="s">
        <v>142</v>
      </c>
      <c r="C26" s="336">
        <f t="shared" si="0"/>
        <v>90946</v>
      </c>
      <c r="D26" s="125">
        <f t="shared" si="8"/>
        <v>52102.963399999993</v>
      </c>
      <c r="E26" s="126">
        <f t="shared" si="1"/>
        <v>143049</v>
      </c>
      <c r="F26" s="127">
        <f t="shared" si="2"/>
        <v>2728380</v>
      </c>
      <c r="I26" s="1097"/>
      <c r="J26" s="260"/>
      <c r="K26" s="260"/>
      <c r="L26" s="1098"/>
      <c r="M26" s="1101">
        <f t="shared" si="3"/>
        <v>98543.388592882809</v>
      </c>
      <c r="N26" s="1101">
        <f t="shared" si="4"/>
        <v>120960.00000000001</v>
      </c>
      <c r="O26" s="1102">
        <f>1600000/30</f>
        <v>53333.333333333336</v>
      </c>
      <c r="P26" s="321">
        <f t="shared" si="5"/>
        <v>90946</v>
      </c>
      <c r="Q26" s="778">
        <f>Q25*1.35</f>
        <v>120960.00000000001</v>
      </c>
      <c r="R26" s="1106">
        <v>68867</v>
      </c>
      <c r="S26" s="1089">
        <f t="shared" si="6"/>
        <v>2728380</v>
      </c>
    </row>
    <row r="27" spans="1:19" x14ac:dyDescent="0.25">
      <c r="A27" s="68">
        <f t="shared" si="7"/>
        <v>25</v>
      </c>
      <c r="B27" s="67" t="s">
        <v>130</v>
      </c>
      <c r="C27" s="336">
        <f t="shared" si="0"/>
        <v>63611</v>
      </c>
      <c r="D27" s="125">
        <f t="shared" si="8"/>
        <v>36442.741900000001</v>
      </c>
      <c r="E27" s="126">
        <f t="shared" si="1"/>
        <v>100054</v>
      </c>
      <c r="F27" s="127">
        <f t="shared" si="2"/>
        <v>1908330</v>
      </c>
      <c r="I27" s="1097"/>
      <c r="J27" s="260"/>
      <c r="K27" s="260"/>
      <c r="L27" s="1098"/>
      <c r="M27" s="1101">
        <f t="shared" si="3"/>
        <v>65001.117664778401</v>
      </c>
      <c r="N27" s="1101">
        <f t="shared" si="4"/>
        <v>75833.333333333328</v>
      </c>
      <c r="O27" s="1102">
        <f>1500000/30</f>
        <v>50000</v>
      </c>
      <c r="P27" s="321">
        <f t="shared" si="5"/>
        <v>63611</v>
      </c>
      <c r="Q27" s="778">
        <f>2275000/30</f>
        <v>75833.333333333328</v>
      </c>
      <c r="R27" s="1106">
        <v>45426</v>
      </c>
      <c r="S27" s="1089">
        <f t="shared" si="6"/>
        <v>1908330</v>
      </c>
    </row>
    <row r="28" spans="1:19" x14ac:dyDescent="0.25">
      <c r="A28" s="68">
        <f t="shared" si="7"/>
        <v>26</v>
      </c>
      <c r="B28" s="67" t="s">
        <v>182</v>
      </c>
      <c r="C28" s="336">
        <f t="shared" si="0"/>
        <v>67223</v>
      </c>
      <c r="D28" s="125">
        <f t="shared" si="8"/>
        <v>38512.056700000001</v>
      </c>
      <c r="E28" s="126">
        <f t="shared" si="1"/>
        <v>105735</v>
      </c>
      <c r="F28" s="127">
        <f t="shared" si="2"/>
        <v>2016690</v>
      </c>
      <c r="I28" s="1097"/>
      <c r="J28" s="260"/>
      <c r="K28" s="260"/>
      <c r="L28" s="1098"/>
      <c r="M28" s="1101">
        <f t="shared" si="3"/>
        <v>75834.637275574787</v>
      </c>
      <c r="N28" s="1101">
        <f t="shared" si="4"/>
        <v>75833.333333333328</v>
      </c>
      <c r="O28" s="1102">
        <f>1500000/30</f>
        <v>50000</v>
      </c>
      <c r="P28" s="321">
        <f t="shared" si="5"/>
        <v>67223</v>
      </c>
      <c r="Q28" s="778">
        <f>2275000/30</f>
        <v>75833.333333333328</v>
      </c>
      <c r="R28" s="1106">
        <v>52997</v>
      </c>
      <c r="S28" s="1089">
        <f t="shared" si="6"/>
        <v>2016690</v>
      </c>
    </row>
    <row r="29" spans="1:19" x14ac:dyDescent="0.25">
      <c r="A29" s="68">
        <f t="shared" si="7"/>
        <v>27</v>
      </c>
      <c r="B29" s="67" t="s">
        <v>193</v>
      </c>
      <c r="C29" s="336">
        <f t="shared" si="0"/>
        <v>550295</v>
      </c>
      <c r="D29" s="125">
        <f t="shared" si="8"/>
        <v>315264.00549999997</v>
      </c>
      <c r="E29" s="126">
        <f t="shared" si="1"/>
        <v>865559</v>
      </c>
      <c r="F29" s="127">
        <f t="shared" si="2"/>
        <v>16508850</v>
      </c>
      <c r="I29" s="1097"/>
      <c r="J29" s="260"/>
      <c r="K29" s="260"/>
      <c r="L29" s="1098"/>
      <c r="M29" s="1101">
        <f t="shared" si="3"/>
        <v>576423.08880939719</v>
      </c>
      <c r="N29" s="1101">
        <f t="shared" si="4"/>
        <v>524166.66666666669</v>
      </c>
      <c r="O29" s="1102"/>
      <c r="P29" s="321">
        <f t="shared" si="5"/>
        <v>550295</v>
      </c>
      <c r="Q29" s="778">
        <f>15725000/30</f>
        <v>524166.66666666669</v>
      </c>
      <c r="R29" s="1106">
        <v>402833</v>
      </c>
      <c r="S29" s="1089">
        <f t="shared" si="6"/>
        <v>16508850</v>
      </c>
    </row>
    <row r="30" spans="1:19" ht="15.75" x14ac:dyDescent="0.25">
      <c r="A30" s="68">
        <f t="shared" si="7"/>
        <v>28</v>
      </c>
      <c r="B30" s="67" t="s">
        <v>195</v>
      </c>
      <c r="C30" s="336">
        <f t="shared" si="0"/>
        <v>419420</v>
      </c>
      <c r="D30" s="125">
        <f t="shared" si="8"/>
        <v>240285.71799999999</v>
      </c>
      <c r="E30" s="126">
        <f t="shared" si="1"/>
        <v>659706</v>
      </c>
      <c r="F30" s="127">
        <f t="shared" si="2"/>
        <v>12582600</v>
      </c>
      <c r="I30" s="1097"/>
      <c r="J30" s="260"/>
      <c r="K30" s="260"/>
      <c r="L30" s="1098"/>
      <c r="M30" s="1101">
        <f t="shared" si="3"/>
        <v>439340.64544467715</v>
      </c>
      <c r="N30" s="1101">
        <f t="shared" si="4"/>
        <v>399500</v>
      </c>
      <c r="O30" s="1103"/>
      <c r="P30" s="321">
        <f t="shared" si="5"/>
        <v>419420</v>
      </c>
      <c r="Q30" s="778">
        <f>11985000/30</f>
        <v>399500</v>
      </c>
      <c r="R30" s="1106">
        <v>307033</v>
      </c>
      <c r="S30" s="1089">
        <f t="shared" si="6"/>
        <v>12582600</v>
      </c>
    </row>
    <row r="31" spans="1:19" ht="15.75" x14ac:dyDescent="0.25">
      <c r="A31" s="68">
        <f t="shared" si="7"/>
        <v>29</v>
      </c>
      <c r="B31" s="67" t="s">
        <v>194</v>
      </c>
      <c r="C31" s="336">
        <f t="shared" si="0"/>
        <v>353943</v>
      </c>
      <c r="D31" s="125">
        <f t="shared" si="8"/>
        <v>202773.94469999999</v>
      </c>
      <c r="E31" s="126">
        <f t="shared" si="1"/>
        <v>556717</v>
      </c>
      <c r="F31" s="127">
        <f t="shared" si="2"/>
        <v>10618290</v>
      </c>
      <c r="I31" s="1097"/>
      <c r="J31" s="260"/>
      <c r="K31" s="260"/>
      <c r="L31" s="1098"/>
      <c r="M31" s="1101">
        <f t="shared" si="3"/>
        <v>370752.20329643996</v>
      </c>
      <c r="N31" s="1101">
        <f t="shared" si="4"/>
        <v>337133.33333333331</v>
      </c>
      <c r="O31" s="1103"/>
      <c r="P31" s="321">
        <f t="shared" si="5"/>
        <v>353943</v>
      </c>
      <c r="Q31" s="778">
        <f>10114000/30</f>
        <v>337133.33333333331</v>
      </c>
      <c r="R31" s="1106">
        <v>259100</v>
      </c>
      <c r="S31" s="1089">
        <f t="shared" si="6"/>
        <v>10618290</v>
      </c>
    </row>
    <row r="32" spans="1:19" x14ac:dyDescent="0.25">
      <c r="A32" s="68">
        <f t="shared" si="7"/>
        <v>30</v>
      </c>
      <c r="B32" s="67" t="s">
        <v>196</v>
      </c>
      <c r="C32" s="336">
        <f t="shared" si="0"/>
        <v>291481</v>
      </c>
      <c r="D32" s="125">
        <f t="shared" si="8"/>
        <v>166989.46489999999</v>
      </c>
      <c r="E32" s="126">
        <f t="shared" si="1"/>
        <v>458470</v>
      </c>
      <c r="F32" s="127">
        <f t="shared" si="2"/>
        <v>8744430</v>
      </c>
      <c r="I32" s="1097"/>
      <c r="J32" s="384"/>
      <c r="K32" s="384"/>
      <c r="L32" s="1099"/>
      <c r="M32" s="1101">
        <f t="shared" si="3"/>
        <v>315708.88023891719</v>
      </c>
      <c r="N32" s="1101">
        <f t="shared" si="4"/>
        <v>287066.66666666669</v>
      </c>
      <c r="O32" s="1102">
        <f>8150000/30</f>
        <v>271666.66666666669</v>
      </c>
      <c r="P32" s="321">
        <f t="shared" si="5"/>
        <v>291481</v>
      </c>
      <c r="Q32" s="778">
        <f>8612000/30</f>
        <v>287066.66666666669</v>
      </c>
      <c r="R32" s="1106">
        <v>220633</v>
      </c>
      <c r="S32" s="1089">
        <f t="shared" si="6"/>
        <v>8744430</v>
      </c>
    </row>
    <row r="33" spans="1:19" ht="15.75" x14ac:dyDescent="0.25">
      <c r="A33" s="68">
        <f t="shared" si="7"/>
        <v>31</v>
      </c>
      <c r="B33" s="67" t="s">
        <v>197</v>
      </c>
      <c r="C33" s="336">
        <f t="shared" si="0"/>
        <v>271844</v>
      </c>
      <c r="D33" s="125">
        <f t="shared" si="8"/>
        <v>155739.4276</v>
      </c>
      <c r="E33" s="126">
        <f t="shared" si="1"/>
        <v>427583</v>
      </c>
      <c r="F33" s="127">
        <f t="shared" si="2"/>
        <v>8155320</v>
      </c>
      <c r="I33" s="1097"/>
      <c r="J33" s="384"/>
      <c r="K33" s="384"/>
      <c r="L33" s="1099"/>
      <c r="M33" s="1101">
        <f t="shared" si="3"/>
        <v>284753.71847159998</v>
      </c>
      <c r="N33" s="1101">
        <f t="shared" si="4"/>
        <v>258933.33333333334</v>
      </c>
      <c r="O33" s="1103"/>
      <c r="P33" s="321">
        <f t="shared" si="5"/>
        <v>271844</v>
      </c>
      <c r="Q33" s="778">
        <f>7768000/30</f>
        <v>258933.33333333334</v>
      </c>
      <c r="R33" s="1106">
        <v>199000</v>
      </c>
      <c r="S33" s="1089">
        <f t="shared" si="6"/>
        <v>8155320</v>
      </c>
    </row>
    <row r="34" spans="1:19" ht="15.75" x14ac:dyDescent="0.25">
      <c r="A34" s="68">
        <f t="shared" si="7"/>
        <v>32</v>
      </c>
      <c r="B34" s="67" t="s">
        <v>198</v>
      </c>
      <c r="C34" s="336">
        <f t="shared" si="0"/>
        <v>242421</v>
      </c>
      <c r="D34" s="125">
        <f t="shared" si="8"/>
        <v>138882.9909</v>
      </c>
      <c r="E34" s="126">
        <f t="shared" si="1"/>
        <v>381304</v>
      </c>
      <c r="F34" s="127">
        <f t="shared" si="2"/>
        <v>7272630</v>
      </c>
      <c r="I34" s="1097"/>
      <c r="J34" s="260"/>
      <c r="K34" s="260"/>
      <c r="L34" s="1098"/>
      <c r="M34" s="1101">
        <f t="shared" si="3"/>
        <v>253941.64902512278</v>
      </c>
      <c r="N34" s="1101">
        <f t="shared" si="4"/>
        <v>230900</v>
      </c>
      <c r="O34" s="1103"/>
      <c r="P34" s="321">
        <f t="shared" si="5"/>
        <v>242421</v>
      </c>
      <c r="Q34" s="778">
        <f>6927000/30</f>
        <v>230900</v>
      </c>
      <c r="R34" s="1106">
        <v>177467</v>
      </c>
      <c r="S34" s="1089">
        <f t="shared" si="6"/>
        <v>7272630</v>
      </c>
    </row>
    <row r="35" spans="1:19" x14ac:dyDescent="0.25">
      <c r="A35" s="68">
        <f t="shared" si="7"/>
        <v>33</v>
      </c>
      <c r="B35" s="67" t="s">
        <v>199</v>
      </c>
      <c r="C35" s="336">
        <f t="shared" si="0"/>
        <v>153305</v>
      </c>
      <c r="D35" s="125">
        <f t="shared" si="8"/>
        <v>87828.434499999988</v>
      </c>
      <c r="E35" s="126">
        <f t="shared" si="1"/>
        <v>241133</v>
      </c>
      <c r="F35" s="127">
        <f t="shared" si="2"/>
        <v>4599150</v>
      </c>
      <c r="I35" s="1097"/>
      <c r="J35" s="260"/>
      <c r="K35" s="260"/>
      <c r="L35" s="1098"/>
      <c r="M35" s="1101">
        <f t="shared" si="3"/>
        <v>191982.67410140278</v>
      </c>
      <c r="N35" s="1101">
        <f t="shared" si="4"/>
        <v>174600</v>
      </c>
      <c r="O35" s="1102">
        <f>2800000/30</f>
        <v>93333.333333333328</v>
      </c>
      <c r="P35" s="321">
        <f t="shared" si="5"/>
        <v>153305</v>
      </c>
      <c r="Q35" s="780">
        <f>5238000/30</f>
        <v>174600</v>
      </c>
      <c r="R35" s="1106">
        <v>134167</v>
      </c>
      <c r="S35" s="1089">
        <f t="shared" si="6"/>
        <v>4599150</v>
      </c>
    </row>
    <row r="36" spans="1:19" x14ac:dyDescent="0.25">
      <c r="A36" s="68">
        <f t="shared" si="7"/>
        <v>34</v>
      </c>
      <c r="B36" s="67" t="s">
        <v>200</v>
      </c>
      <c r="C36" s="336">
        <f t="shared" si="0"/>
        <v>146418</v>
      </c>
      <c r="D36" s="125">
        <f t="shared" si="8"/>
        <v>83882.872199999998</v>
      </c>
      <c r="E36" s="126">
        <f t="shared" si="1"/>
        <v>230301</v>
      </c>
      <c r="F36" s="127">
        <f t="shared" si="2"/>
        <v>4392540</v>
      </c>
      <c r="I36" s="1097"/>
      <c r="J36" s="260"/>
      <c r="K36" s="260"/>
      <c r="L36" s="1098"/>
      <c r="M36" s="1101">
        <f t="shared" si="3"/>
        <v>181154.87818343999</v>
      </c>
      <c r="N36" s="1101">
        <f t="shared" si="4"/>
        <v>164766.66666666666</v>
      </c>
      <c r="O36" s="1102">
        <f>2800000/30</f>
        <v>93333.333333333328</v>
      </c>
      <c r="P36" s="321">
        <f t="shared" si="5"/>
        <v>146418</v>
      </c>
      <c r="Q36" s="1107">
        <f>4943000/30</f>
        <v>164766.66666666666</v>
      </c>
      <c r="R36" s="1108">
        <v>126600</v>
      </c>
      <c r="S36" s="1089">
        <f t="shared" si="6"/>
        <v>4392540</v>
      </c>
    </row>
    <row r="37" spans="1:19" ht="15.75" x14ac:dyDescent="0.25">
      <c r="A37" s="68">
        <f t="shared" si="7"/>
        <v>35</v>
      </c>
      <c r="B37" s="67" t="s">
        <v>191</v>
      </c>
      <c r="C37" s="336">
        <f t="shared" si="0"/>
        <v>63852</v>
      </c>
      <c r="D37" s="125">
        <f t="shared" si="8"/>
        <v>36580.810799999999</v>
      </c>
      <c r="E37" s="126">
        <f t="shared" si="1"/>
        <v>100433</v>
      </c>
      <c r="F37" s="127">
        <f t="shared" si="2"/>
        <v>1915560</v>
      </c>
      <c r="I37" s="1097"/>
      <c r="J37" s="384"/>
      <c r="K37" s="384"/>
      <c r="L37" s="1099"/>
      <c r="M37" s="1101">
        <f t="shared" si="3"/>
        <v>66871.334298157206</v>
      </c>
      <c r="N37" s="1101">
        <f t="shared" si="4"/>
        <v>60833.333333333336</v>
      </c>
      <c r="O37" s="1103"/>
      <c r="P37" s="321">
        <f t="shared" si="5"/>
        <v>63852</v>
      </c>
      <c r="Q37" s="778">
        <f>1825000/30</f>
        <v>60833.333333333336</v>
      </c>
      <c r="R37" s="1106">
        <v>46733</v>
      </c>
      <c r="S37" s="1089">
        <f t="shared" si="6"/>
        <v>1915560</v>
      </c>
    </row>
    <row r="38" spans="1:19" x14ac:dyDescent="0.25">
      <c r="A38" s="68">
        <f t="shared" si="7"/>
        <v>36</v>
      </c>
      <c r="B38" s="67" t="s">
        <v>192</v>
      </c>
      <c r="C38" s="336">
        <f t="shared" si="0"/>
        <v>54865</v>
      </c>
      <c r="D38" s="125">
        <f t="shared" si="8"/>
        <v>31432.158499999998</v>
      </c>
      <c r="E38" s="126">
        <f t="shared" si="1"/>
        <v>86297</v>
      </c>
      <c r="F38" s="127">
        <f t="shared" si="2"/>
        <v>1645950</v>
      </c>
      <c r="I38" s="1097"/>
      <c r="J38" s="384"/>
      <c r="K38" s="384"/>
      <c r="L38" s="1099"/>
      <c r="M38" s="1101">
        <f t="shared" si="3"/>
        <v>55662.912806760003</v>
      </c>
      <c r="N38" s="1101">
        <f t="shared" si="4"/>
        <v>50600</v>
      </c>
      <c r="O38" s="1102">
        <f>1750000/30</f>
        <v>58333.333333333336</v>
      </c>
      <c r="P38" s="321">
        <f t="shared" si="5"/>
        <v>54865</v>
      </c>
      <c r="Q38" s="778">
        <f>1518000/30</f>
        <v>50600</v>
      </c>
      <c r="R38" s="1106">
        <v>38900</v>
      </c>
      <c r="S38" s="1089">
        <f t="shared" si="6"/>
        <v>1645950</v>
      </c>
    </row>
    <row r="39" spans="1:19" x14ac:dyDescent="0.25">
      <c r="A39" s="68">
        <f t="shared" si="7"/>
        <v>37</v>
      </c>
      <c r="B39" s="67" t="s">
        <v>132</v>
      </c>
      <c r="C39" s="336">
        <f t="shared" si="0"/>
        <v>60153</v>
      </c>
      <c r="D39" s="125">
        <f t="shared" si="8"/>
        <v>34461.653699999995</v>
      </c>
      <c r="E39" s="126">
        <f t="shared" si="1"/>
        <v>94615</v>
      </c>
      <c r="F39" s="127">
        <f t="shared" si="2"/>
        <v>1804590</v>
      </c>
      <c r="I39" s="1097"/>
      <c r="J39" s="260"/>
      <c r="K39" s="260"/>
      <c r="L39" s="1098"/>
      <c r="M39" s="1101">
        <f t="shared" si="3"/>
        <v>76793.355825202801</v>
      </c>
      <c r="N39" s="1101">
        <f t="shared" si="4"/>
        <v>53667</v>
      </c>
      <c r="O39" s="1102">
        <f>1500000/30</f>
        <v>50000</v>
      </c>
      <c r="P39" s="321">
        <f t="shared" si="5"/>
        <v>60153</v>
      </c>
      <c r="Q39" s="127">
        <f>+Q7</f>
        <v>53667</v>
      </c>
      <c r="R39" s="1106">
        <v>53667</v>
      </c>
      <c r="S39" s="1089">
        <f t="shared" si="6"/>
        <v>1804590</v>
      </c>
    </row>
    <row r="40" spans="1:19" x14ac:dyDescent="0.25">
      <c r="A40" s="68">
        <f t="shared" si="7"/>
        <v>38</v>
      </c>
      <c r="B40" s="67" t="s">
        <v>129</v>
      </c>
      <c r="C40" s="336">
        <f t="shared" si="0"/>
        <v>70153</v>
      </c>
      <c r="D40" s="125">
        <f t="shared" si="8"/>
        <v>40190.653699999995</v>
      </c>
      <c r="E40" s="126">
        <f t="shared" si="1"/>
        <v>110344</v>
      </c>
      <c r="F40" s="127">
        <f t="shared" si="2"/>
        <v>2104590</v>
      </c>
      <c r="I40" s="1097"/>
      <c r="J40" s="260"/>
      <c r="K40" s="260"/>
      <c r="L40" s="1098"/>
      <c r="M40" s="1101">
        <f t="shared" si="3"/>
        <v>91975.451066326801</v>
      </c>
      <c r="N40" s="1101">
        <f t="shared" si="4"/>
        <v>61818.166666666664</v>
      </c>
      <c r="O40" s="1102">
        <f>1700000/30</f>
        <v>56666.666666666664</v>
      </c>
      <c r="P40" s="321">
        <f t="shared" si="5"/>
        <v>70153</v>
      </c>
      <c r="Q40" s="778">
        <f>1854545/30</f>
        <v>61818.166666666664</v>
      </c>
      <c r="R40" s="1106">
        <v>64277</v>
      </c>
      <c r="S40" s="1089">
        <f t="shared" si="6"/>
        <v>2104590</v>
      </c>
    </row>
    <row r="41" spans="1:19" x14ac:dyDescent="0.25">
      <c r="A41" s="68">
        <f t="shared" si="7"/>
        <v>39</v>
      </c>
      <c r="B41" s="67" t="s">
        <v>180</v>
      </c>
      <c r="C41" s="336">
        <f t="shared" si="0"/>
        <v>77073</v>
      </c>
      <c r="D41" s="125">
        <f t="shared" si="8"/>
        <v>44155.121699999996</v>
      </c>
      <c r="E41" s="126">
        <f t="shared" si="1"/>
        <v>121228</v>
      </c>
      <c r="F41" s="127">
        <f t="shared" si="2"/>
        <v>2312190</v>
      </c>
      <c r="I41" s="1097"/>
      <c r="J41" s="260"/>
      <c r="K41" s="260"/>
      <c r="L41" s="1098"/>
      <c r="M41" s="1101">
        <f t="shared" si="3"/>
        <v>102651.5691241992</v>
      </c>
      <c r="N41" s="1101">
        <f t="shared" si="4"/>
        <v>71901.833333333328</v>
      </c>
      <c r="O41" s="1102">
        <f>1700000/30</f>
        <v>56666.666666666664</v>
      </c>
      <c r="P41" s="321">
        <f t="shared" si="5"/>
        <v>77073</v>
      </c>
      <c r="Q41" s="778">
        <f>2157055/30</f>
        <v>71901.833333333328</v>
      </c>
      <c r="R41" s="1106">
        <v>71738</v>
      </c>
      <c r="S41" s="1089">
        <f t="shared" si="6"/>
        <v>2312190</v>
      </c>
    </row>
    <row r="42" spans="1:19" x14ac:dyDescent="0.25">
      <c r="A42" s="68">
        <f t="shared" si="7"/>
        <v>40</v>
      </c>
      <c r="B42" s="67" t="s">
        <v>181</v>
      </c>
      <c r="C42" s="336">
        <f t="shared" si="0"/>
        <v>69445</v>
      </c>
      <c r="D42" s="125">
        <f t="shared" si="8"/>
        <v>39785.040499999996</v>
      </c>
      <c r="E42" s="126">
        <f t="shared" si="1"/>
        <v>109230</v>
      </c>
      <c r="F42" s="127">
        <f t="shared" si="2"/>
        <v>2083350</v>
      </c>
      <c r="I42" s="1097"/>
      <c r="J42" s="260"/>
      <c r="K42" s="260"/>
      <c r="L42" s="1098"/>
      <c r="M42" s="1101">
        <f t="shared" si="3"/>
        <v>75834.637275574787</v>
      </c>
      <c r="N42" s="1101">
        <f t="shared" si="4"/>
        <v>75833.333333333328</v>
      </c>
      <c r="O42" s="1102">
        <f>1700000/30</f>
        <v>56666.666666666664</v>
      </c>
      <c r="P42" s="321">
        <f t="shared" si="5"/>
        <v>69445</v>
      </c>
      <c r="Q42" s="778">
        <f>2275000/30</f>
        <v>75833.333333333328</v>
      </c>
      <c r="R42" s="1106">
        <v>52997</v>
      </c>
      <c r="S42" s="1089">
        <f t="shared" si="6"/>
        <v>2083350</v>
      </c>
    </row>
    <row r="43" spans="1:19" x14ac:dyDescent="0.25">
      <c r="A43" s="68">
        <f t="shared" si="7"/>
        <v>41</v>
      </c>
      <c r="B43" s="67" t="s">
        <v>190</v>
      </c>
      <c r="C43" s="336">
        <f t="shared" si="0"/>
        <v>78456</v>
      </c>
      <c r="D43" s="125">
        <f t="shared" si="8"/>
        <v>44947.4424</v>
      </c>
      <c r="E43" s="126">
        <f t="shared" si="1"/>
        <v>123403</v>
      </c>
      <c r="F43" s="127">
        <f t="shared" si="2"/>
        <v>2353680</v>
      </c>
      <c r="I43" s="1097"/>
      <c r="J43" s="260"/>
      <c r="K43" s="260"/>
      <c r="L43" s="1098"/>
      <c r="M43" s="1101">
        <f t="shared" si="3"/>
        <v>90100.941663322796</v>
      </c>
      <c r="N43" s="1101">
        <f t="shared" si="4"/>
        <v>81933.333333333328</v>
      </c>
      <c r="O43" s="1102">
        <f>1900000/30</f>
        <v>63333.333333333336</v>
      </c>
      <c r="P43" s="321">
        <f t="shared" si="5"/>
        <v>78456</v>
      </c>
      <c r="Q43" s="778">
        <f>2458000/30</f>
        <v>81933.333333333328</v>
      </c>
      <c r="R43" s="1106">
        <v>62967</v>
      </c>
      <c r="S43" s="1089">
        <f t="shared" si="6"/>
        <v>2353680</v>
      </c>
    </row>
    <row r="44" spans="1:19" ht="15.75" x14ac:dyDescent="0.25">
      <c r="A44" s="68">
        <f t="shared" si="7"/>
        <v>42</v>
      </c>
      <c r="B44" s="90" t="s">
        <v>3026</v>
      </c>
      <c r="C44" s="336">
        <f>+IFERROR(P44,0)</f>
        <v>84472</v>
      </c>
      <c r="D44" s="125">
        <f t="shared" si="8"/>
        <v>48394.008799999996</v>
      </c>
      <c r="E44" s="126">
        <f t="shared" si="1"/>
        <v>132866</v>
      </c>
      <c r="F44" s="127">
        <f t="shared" si="2"/>
        <v>2534160</v>
      </c>
      <c r="I44" s="1097"/>
      <c r="J44" s="260"/>
      <c r="K44" s="260"/>
      <c r="L44" s="1098"/>
      <c r="M44" s="1101">
        <f t="shared" si="3"/>
        <v>88478.274744997194</v>
      </c>
      <c r="N44" s="1101">
        <f t="shared" si="4"/>
        <v>80466.666666666672</v>
      </c>
      <c r="O44" s="1103"/>
      <c r="P44" s="321">
        <f t="shared" si="5"/>
        <v>84472</v>
      </c>
      <c r="Q44" s="778">
        <f>2414000/30</f>
        <v>80466.666666666672</v>
      </c>
      <c r="R44" s="1106">
        <v>61833</v>
      </c>
      <c r="S44" s="1089">
        <f t="shared" si="6"/>
        <v>2534160</v>
      </c>
    </row>
    <row r="45" spans="1:19" ht="15.75" x14ac:dyDescent="0.25">
      <c r="A45" s="68">
        <f t="shared" si="7"/>
        <v>43</v>
      </c>
      <c r="B45" s="90" t="s">
        <v>3021</v>
      </c>
      <c r="C45" s="336">
        <f>+IFERROR(P45,0)</f>
        <v>0</v>
      </c>
      <c r="D45" s="125">
        <f>+C45*$F$2</f>
        <v>0</v>
      </c>
      <c r="E45" s="126">
        <f>+ROUND((C45+D45),0)</f>
        <v>0</v>
      </c>
      <c r="F45" s="127">
        <f t="shared" si="2"/>
        <v>0</v>
      </c>
      <c r="I45" s="1097"/>
      <c r="J45" s="260"/>
      <c r="K45" s="260"/>
      <c r="L45" s="1098"/>
      <c r="M45" s="1101">
        <f t="shared" si="3"/>
        <v>0</v>
      </c>
      <c r="N45" s="1101">
        <f t="shared" si="4"/>
        <v>0</v>
      </c>
      <c r="O45" s="1103"/>
      <c r="P45" s="321">
        <f t="shared" si="5"/>
        <v>0</v>
      </c>
      <c r="R45" s="1106">
        <v>0</v>
      </c>
      <c r="S45" s="1089">
        <f t="shared" si="6"/>
        <v>0</v>
      </c>
    </row>
    <row r="46" spans="1:19" x14ac:dyDescent="0.25">
      <c r="A46" s="68">
        <f t="shared" si="7"/>
        <v>44</v>
      </c>
      <c r="B46" s="90" t="s">
        <v>6872</v>
      </c>
      <c r="C46" s="336">
        <f>+IFERROR(P46,0)</f>
        <v>146418</v>
      </c>
      <c r="D46" s="125">
        <f>+C46*$F$2</f>
        <v>83882.872199999998</v>
      </c>
      <c r="E46" s="126">
        <f>+ROUND((C46+D46),0)</f>
        <v>230301</v>
      </c>
      <c r="F46" s="127">
        <f t="shared" si="2"/>
        <v>4392540</v>
      </c>
      <c r="I46" s="1097"/>
      <c r="J46" s="384"/>
      <c r="K46" s="384"/>
      <c r="L46" s="1099"/>
      <c r="M46" s="1101">
        <f t="shared" si="3"/>
        <v>181154.87818343999</v>
      </c>
      <c r="N46" s="1101">
        <f t="shared" si="4"/>
        <v>164766.66666666666</v>
      </c>
      <c r="O46" s="1102">
        <f>2800000/30</f>
        <v>93333.333333333328</v>
      </c>
      <c r="P46" s="321">
        <f t="shared" si="5"/>
        <v>146418</v>
      </c>
      <c r="Q46" s="1108">
        <f>Q36</f>
        <v>164766.66666666666</v>
      </c>
      <c r="R46" s="1108">
        <f>R36</f>
        <v>126600</v>
      </c>
      <c r="S46" s="1089">
        <f t="shared" si="6"/>
        <v>4392540</v>
      </c>
    </row>
    <row r="47" spans="1:19" x14ac:dyDescent="0.25">
      <c r="A47" s="68">
        <f t="shared" si="7"/>
        <v>45</v>
      </c>
      <c r="B47" s="90" t="s">
        <v>3426</v>
      </c>
      <c r="C47" s="336">
        <f>+IFERROR(P47,0)</f>
        <v>70606</v>
      </c>
      <c r="D47" s="125">
        <f>+C47*$F$2</f>
        <v>40450.1774</v>
      </c>
      <c r="E47" s="126">
        <f>+ROUND((C47+D47),0)</f>
        <v>111056</v>
      </c>
      <c r="F47" s="127">
        <f>+C47*30</f>
        <v>2118180</v>
      </c>
      <c r="I47" s="1097"/>
      <c r="J47" s="384"/>
      <c r="K47" s="384"/>
      <c r="L47" s="1099"/>
      <c r="M47" s="1101">
        <f t="shared" si="3"/>
        <v>90173.918746951196</v>
      </c>
      <c r="N47" s="1101">
        <f t="shared" si="4"/>
        <v>68310</v>
      </c>
      <c r="O47" s="1102">
        <f>1600000/30</f>
        <v>53333.333333333336</v>
      </c>
      <c r="P47" s="321">
        <f t="shared" si="5"/>
        <v>70606</v>
      </c>
      <c r="Q47" s="778">
        <f>2049300/30</f>
        <v>68310</v>
      </c>
      <c r="R47" s="1106">
        <v>63018</v>
      </c>
      <c r="S47" s="1089">
        <f t="shared" si="6"/>
        <v>2118180</v>
      </c>
    </row>
    <row r="48" spans="1:19" ht="15.75" x14ac:dyDescent="0.25">
      <c r="A48" s="68">
        <f t="shared" si="7"/>
        <v>46</v>
      </c>
      <c r="B48" s="67"/>
      <c r="C48" s="336">
        <f t="shared" si="0"/>
        <v>0</v>
      </c>
      <c r="D48" s="125">
        <f t="shared" si="8"/>
        <v>0</v>
      </c>
      <c r="E48" s="126">
        <f t="shared" si="1"/>
        <v>0</v>
      </c>
      <c r="F48" s="127">
        <f t="shared" si="2"/>
        <v>0</v>
      </c>
      <c r="I48" s="1097"/>
      <c r="J48" s="260"/>
      <c r="K48" s="260"/>
      <c r="L48" s="1098"/>
      <c r="M48" s="1101">
        <f t="shared" si="3"/>
        <v>0</v>
      </c>
      <c r="N48" s="1101">
        <f t="shared" si="4"/>
        <v>0</v>
      </c>
      <c r="O48" s="1103"/>
      <c r="P48" s="321">
        <f t="shared" si="5"/>
        <v>0</v>
      </c>
      <c r="R48" s="1106">
        <v>0</v>
      </c>
      <c r="S48" s="1089">
        <f t="shared" si="6"/>
        <v>0</v>
      </c>
    </row>
    <row r="49" spans="1:19" x14ac:dyDescent="0.25">
      <c r="A49" s="68">
        <f t="shared" si="7"/>
        <v>47</v>
      </c>
      <c r="B49" s="67" t="s">
        <v>3210</v>
      </c>
      <c r="C49" s="336">
        <f t="shared" si="0"/>
        <v>116123</v>
      </c>
      <c r="D49" s="125">
        <f t="shared" si="8"/>
        <v>66526.866699999999</v>
      </c>
      <c r="E49" s="126">
        <f t="shared" si="1"/>
        <v>182650</v>
      </c>
      <c r="F49" s="127">
        <f t="shared" si="2"/>
        <v>3483690</v>
      </c>
      <c r="I49" s="1097"/>
      <c r="J49" s="260"/>
      <c r="K49" s="260"/>
      <c r="L49" s="1098"/>
      <c r="M49" s="1101">
        <f t="shared" si="3"/>
        <v>121635.627330042</v>
      </c>
      <c r="N49" s="1101">
        <f t="shared" si="4"/>
        <v>110610</v>
      </c>
      <c r="O49" s="1102"/>
      <c r="P49" s="321">
        <f t="shared" si="5"/>
        <v>116123</v>
      </c>
      <c r="Q49" s="778">
        <f>3318300/30</f>
        <v>110610</v>
      </c>
      <c r="R49" s="1106">
        <v>85005</v>
      </c>
      <c r="S49" s="1089">
        <f t="shared" si="6"/>
        <v>3483690</v>
      </c>
    </row>
    <row r="50" spans="1:19" x14ac:dyDescent="0.25">
      <c r="A50" s="68">
        <f t="shared" si="7"/>
        <v>48</v>
      </c>
      <c r="B50" s="67" t="s">
        <v>139</v>
      </c>
      <c r="C50" s="336">
        <f t="shared" si="0"/>
        <v>140143</v>
      </c>
      <c r="D50" s="125">
        <f t="shared" si="8"/>
        <v>80287.924699999989</v>
      </c>
      <c r="E50" s="126">
        <f t="shared" si="1"/>
        <v>220431</v>
      </c>
      <c r="F50" s="127">
        <f>+C50*30</f>
        <v>4204290</v>
      </c>
      <c r="I50" s="1097"/>
      <c r="J50" s="384"/>
      <c r="K50" s="384"/>
      <c r="L50" s="1099"/>
      <c r="M50" s="1101">
        <f t="shared" si="3"/>
        <v>172253.10490398359</v>
      </c>
      <c r="N50" s="1101">
        <f t="shared" si="4"/>
        <v>108033.33333333333</v>
      </c>
      <c r="O50" s="1102"/>
      <c r="P50" s="321">
        <f t="shared" si="5"/>
        <v>140143</v>
      </c>
      <c r="Q50" s="778">
        <f>3241000/30</f>
        <v>108033.33333333333</v>
      </c>
      <c r="R50" s="1106">
        <v>120379</v>
      </c>
      <c r="S50" s="1089">
        <f t="shared" si="6"/>
        <v>4204290</v>
      </c>
    </row>
    <row r="51" spans="1:19" ht="15.75" x14ac:dyDescent="0.25">
      <c r="A51" s="68">
        <f t="shared" si="7"/>
        <v>49</v>
      </c>
      <c r="B51" s="69" t="s">
        <v>145</v>
      </c>
      <c r="C51" s="336">
        <f t="shared" si="0"/>
        <v>0</v>
      </c>
      <c r="D51" s="125">
        <f t="shared" si="8"/>
        <v>0</v>
      </c>
      <c r="E51" s="126">
        <f t="shared" si="1"/>
        <v>0</v>
      </c>
      <c r="F51" s="127">
        <f t="shared" si="2"/>
        <v>0</v>
      </c>
      <c r="I51" s="1094"/>
      <c r="J51" s="71"/>
      <c r="K51" s="71"/>
      <c r="L51" s="1100"/>
      <c r="M51" s="1101">
        <f t="shared" si="3"/>
        <v>0</v>
      </c>
      <c r="N51" s="1103"/>
      <c r="O51" s="1103"/>
      <c r="P51" s="321">
        <f t="shared" si="5"/>
        <v>0</v>
      </c>
      <c r="R51" s="1091">
        <v>0</v>
      </c>
      <c r="S51" s="1089">
        <f t="shared" si="6"/>
        <v>0</v>
      </c>
    </row>
    <row r="52" spans="1:19" ht="15.75" x14ac:dyDescent="0.25">
      <c r="C52" s="336">
        <f t="shared" si="0"/>
        <v>0</v>
      </c>
      <c r="D52" s="125">
        <f t="shared" si="8"/>
        <v>0</v>
      </c>
      <c r="E52" s="126">
        <f t="shared" si="1"/>
        <v>0</v>
      </c>
      <c r="F52" s="127">
        <f t="shared" si="2"/>
        <v>0</v>
      </c>
      <c r="I52" s="362"/>
      <c r="J52" s="67"/>
      <c r="K52" s="67"/>
      <c r="L52" s="67"/>
      <c r="M52" s="1100"/>
      <c r="N52" s="1095"/>
      <c r="O52" s="779"/>
      <c r="P52" s="321"/>
      <c r="S52" s="1089"/>
    </row>
    <row r="53" spans="1:19" ht="15.75" x14ac:dyDescent="0.25">
      <c r="C53" s="336">
        <f t="shared" si="0"/>
        <v>0</v>
      </c>
      <c r="D53" s="125">
        <f t="shared" si="8"/>
        <v>0</v>
      </c>
      <c r="E53" s="126">
        <f t="shared" si="1"/>
        <v>0</v>
      </c>
      <c r="F53" s="127">
        <f t="shared" si="2"/>
        <v>0</v>
      </c>
      <c r="I53" s="362"/>
      <c r="J53" s="67"/>
      <c r="K53" s="67"/>
      <c r="L53" s="67"/>
      <c r="M53" s="383"/>
      <c r="N53" s="667"/>
      <c r="O53" s="779"/>
      <c r="P53" s="321"/>
      <c r="S53" s="1089"/>
    </row>
    <row r="54" spans="1:19" ht="15.75" x14ac:dyDescent="0.25">
      <c r="C54" s="336">
        <f t="shared" si="0"/>
        <v>0</v>
      </c>
      <c r="D54" s="125">
        <f t="shared" si="8"/>
        <v>0</v>
      </c>
      <c r="E54" s="126">
        <f t="shared" si="1"/>
        <v>0</v>
      </c>
      <c r="F54" s="127">
        <f t="shared" si="2"/>
        <v>0</v>
      </c>
      <c r="I54" s="362"/>
      <c r="J54" s="67"/>
      <c r="K54" s="67"/>
      <c r="L54" s="67"/>
      <c r="M54" s="383"/>
      <c r="N54" s="667"/>
      <c r="O54" s="779"/>
      <c r="P54" s="321"/>
      <c r="S54" s="1089"/>
    </row>
    <row r="55" spans="1:19" ht="15.75" x14ac:dyDescent="0.25">
      <c r="C55" s="336">
        <f t="shared" si="0"/>
        <v>0</v>
      </c>
      <c r="D55" s="125">
        <f t="shared" si="8"/>
        <v>0</v>
      </c>
      <c r="E55" s="126">
        <f t="shared" si="1"/>
        <v>0</v>
      </c>
      <c r="F55" s="127">
        <f t="shared" si="2"/>
        <v>0</v>
      </c>
      <c r="I55" s="362"/>
      <c r="J55" s="67"/>
      <c r="K55" s="67"/>
      <c r="L55" s="67"/>
      <c r="M55" s="383"/>
      <c r="N55" s="667"/>
      <c r="O55" s="779"/>
      <c r="P55" s="321"/>
      <c r="S55" s="1089"/>
    </row>
    <row r="56" spans="1:19" ht="16.5" thickBot="1" x14ac:dyDescent="0.3">
      <c r="C56" s="336">
        <f t="shared" si="0"/>
        <v>0</v>
      </c>
      <c r="D56" s="125">
        <f t="shared" si="8"/>
        <v>0</v>
      </c>
      <c r="E56" s="126">
        <f t="shared" si="1"/>
        <v>0</v>
      </c>
      <c r="F56" s="127">
        <f t="shared" si="2"/>
        <v>0</v>
      </c>
      <c r="I56" s="363"/>
      <c r="J56" s="385"/>
      <c r="K56" s="385"/>
      <c r="L56" s="385"/>
      <c r="M56" s="386"/>
      <c r="N56" s="667"/>
      <c r="O56" s="779"/>
      <c r="P56" s="321"/>
      <c r="S56" s="1089"/>
    </row>
  </sheetData>
  <autoFilter ref="A2:E56" xr:uid="{00000000-0009-0000-0000-00000A000000}"/>
  <sortState xmlns:xlrd2="http://schemas.microsoft.com/office/spreadsheetml/2017/richdata2" ref="A3:E51">
    <sortCondition ref="B3"/>
  </sortState>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79">
    <tabColor theme="3"/>
  </sheetPr>
  <dimension ref="A1:J55"/>
  <sheetViews>
    <sheetView workbookViewId="0">
      <selection sqref="A1:J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75</v>
      </c>
      <c r="D6" s="23"/>
      <c r="E6" s="23"/>
      <c r="F6" s="23"/>
      <c r="G6" s="23"/>
      <c r="H6" s="24"/>
      <c r="I6" s="25" t="s">
        <v>248</v>
      </c>
      <c r="J6" s="26" t="str">
        <f>+VLOOKUP(C6,[10]Presupuesto!A3:C106,2,FALSE)</f>
        <v>UND</v>
      </c>
    </row>
    <row r="7" spans="1:10" ht="35.1" customHeight="1" x14ac:dyDescent="0.25">
      <c r="A7" s="1568" t="s">
        <v>249</v>
      </c>
      <c r="B7" s="1570"/>
      <c r="C7" s="1578" t="str">
        <f>+VLOOKUP(C6,[10]Presupuesto!A3:C106,3,FALSE)</f>
        <v>Suministro y anclaje de estoperoles plásticos con espigo, diámetro mínimo 10 cm y altura máxima 2,5 cm de altura con un espigo de mínimo 5 cm (NTC 4745) Incluye elementos de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
        <v>278</v>
      </c>
      <c r="B11" s="1559"/>
      <c r="C11" s="1559"/>
      <c r="D11" s="1560"/>
      <c r="E11" s="29" t="s">
        <v>259</v>
      </c>
      <c r="F11" s="30" t="str">
        <f>IFERROR(VLOOKUP(A11,'[10]EQUIPOS TRANSPOR SALARIO'!$A$3:$G$42,2,FALSE),"")</f>
        <v>Manual</v>
      </c>
      <c r="G11" s="31">
        <f>IFERROR(VLOOKUP(A11,'[10]EQUIPOS TRANSPOR SALARIO'!$A$3:$G$42,6,FALSE),"")</f>
        <v>4822</v>
      </c>
      <c r="H11" s="30">
        <v>35</v>
      </c>
      <c r="I11" s="33">
        <f>IFERROR((G11/H11),"")</f>
        <v>137.77142857142857</v>
      </c>
      <c r="J11" s="33">
        <f>ROUND(I11,0)</f>
        <v>138</v>
      </c>
    </row>
    <row r="12" spans="1:10" s="20" customFormat="1" ht="13.9" customHeight="1" x14ac:dyDescent="0.25">
      <c r="A12" s="1558" t="s">
        <v>262</v>
      </c>
      <c r="B12" s="1559"/>
      <c r="C12" s="1559"/>
      <c r="D12" s="1560"/>
      <c r="E12" s="29" t="s">
        <v>259</v>
      </c>
      <c r="F12" s="30" t="str">
        <f>IFERROR(VLOOKUP(A12,'[10]EQUIPOS TRANSPOR SALARIO'!$A$3:$G$42,2,FALSE),"")</f>
        <v>Global</v>
      </c>
      <c r="G12" s="31">
        <f>IFERROR(VLOOKUP(A12,'[10]EQUIPOS TRANSPOR SALARIO'!$A$3:$G$42,6,FALSE),"")</f>
        <v>321</v>
      </c>
      <c r="H12" s="30">
        <v>35</v>
      </c>
      <c r="I12" s="33">
        <f t="shared" ref="I12:I17" si="0">IFERROR((G12/H12),0)</f>
        <v>9.1714285714285708</v>
      </c>
      <c r="J12" s="33">
        <f t="shared" ref="J12:J17" si="1">ROUND(I12,0)</f>
        <v>9</v>
      </c>
    </row>
    <row r="13" spans="1:10" s="20" customFormat="1" ht="13.9" customHeight="1" x14ac:dyDescent="0.25">
      <c r="A13" s="1558" t="s">
        <v>159</v>
      </c>
      <c r="B13" s="1559"/>
      <c r="C13" s="1559"/>
      <c r="D13" s="1560"/>
      <c r="E13" s="29" t="s">
        <v>259</v>
      </c>
      <c r="F13" s="30" t="str">
        <f>IFERROR(VLOOKUP(A13,'[10]EQUIPOS TRANSPOR SALARIO'!$A$3:$G$42,2,FALSE),"")</f>
        <v>Global</v>
      </c>
      <c r="G13" s="31">
        <f>IFERROR(VLOOKUP(A13,'[10]EQUIPOS TRANSPOR SALARIO'!$A$3:$G$42,6,FALSE),"")</f>
        <v>4639</v>
      </c>
      <c r="H13" s="30">
        <v>35</v>
      </c>
      <c r="I13" s="33">
        <f t="shared" si="0"/>
        <v>132.54285714285714</v>
      </c>
      <c r="J13" s="33">
        <f t="shared" si="1"/>
        <v>133</v>
      </c>
    </row>
    <row r="14" spans="1:10" s="20" customFormat="1" ht="13.9" customHeight="1" x14ac:dyDescent="0.25">
      <c r="A14" s="1558" t="s">
        <v>95</v>
      </c>
      <c r="B14" s="1559"/>
      <c r="C14" s="1559"/>
      <c r="D14" s="1560"/>
      <c r="E14" s="29" t="s">
        <v>259</v>
      </c>
      <c r="F14" s="30" t="str">
        <f>IFERROR(VLOOKUP(A14,'[10]EQUIPOS TRANSPOR SALARIO'!$A$3:$G$42,2,FALSE),"")</f>
        <v>Eléctrico</v>
      </c>
      <c r="G14" s="31">
        <f>IFERROR(VLOOKUP(A14,'[10]EQUIPOS TRANSPOR SALARIO'!$A$3:$G$42,6,FALSE),"")</f>
        <v>4375</v>
      </c>
      <c r="H14" s="30">
        <v>35</v>
      </c>
      <c r="I14" s="33">
        <f t="shared" si="0"/>
        <v>125</v>
      </c>
      <c r="J14" s="33">
        <f t="shared" si="1"/>
        <v>125</v>
      </c>
    </row>
    <row r="15" spans="1:10" s="20" customFormat="1" ht="13.9" customHeight="1" x14ac:dyDescent="0.25">
      <c r="A15" s="1558" t="s">
        <v>158</v>
      </c>
      <c r="B15" s="1559"/>
      <c r="C15" s="1559"/>
      <c r="D15" s="1560"/>
      <c r="E15" s="29" t="s">
        <v>259</v>
      </c>
      <c r="F15" s="30" t="str">
        <f>IFERROR(VLOOKUP(A15,'[10]EQUIPOS TRANSPOR SALARIO'!$A$3:$G$42,2,FALSE),"")</f>
        <v>Eléctrico</v>
      </c>
      <c r="G15" s="31">
        <f>IFERROR(VLOOKUP(A15,'[10]EQUIPOS TRANSPOR SALARIO'!$A$3:$G$42,6,FALSE),"")</f>
        <v>5488</v>
      </c>
      <c r="H15" s="30">
        <v>35</v>
      </c>
      <c r="I15" s="33">
        <f t="shared" si="0"/>
        <v>156.80000000000001</v>
      </c>
      <c r="J15" s="33">
        <f t="shared" si="1"/>
        <v>157</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f t="shared" si="0"/>
        <v>0</v>
      </c>
      <c r="J16" s="33">
        <f t="shared" si="1"/>
        <v>0</v>
      </c>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f t="shared" si="0"/>
        <v>0</v>
      </c>
      <c r="J17" s="33">
        <f t="shared" si="1"/>
        <v>0</v>
      </c>
    </row>
    <row r="18" spans="1:10" s="20" customFormat="1" ht="13.9" customHeight="1" x14ac:dyDescent="0.25">
      <c r="I18" s="30" t="s">
        <v>257</v>
      </c>
      <c r="J18" s="34">
        <f>+SUM(J11:J17)</f>
        <v>562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7.75" customHeight="1" x14ac:dyDescent="0.25">
      <c r="A22" s="1568" t="s">
        <v>290</v>
      </c>
      <c r="B22" s="1569"/>
      <c r="C22" s="1569"/>
      <c r="D22" s="1569"/>
      <c r="E22" s="1569"/>
      <c r="F22" s="1570"/>
      <c r="G22" s="29" t="s">
        <v>266</v>
      </c>
      <c r="H22" s="35">
        <v>1</v>
      </c>
      <c r="I22" s="33">
        <f>IFERROR(VLOOKUP(A22,[10]INSUMOS!$A$2:$E$121,4,FALSE),0)</f>
        <v>5950</v>
      </c>
      <c r="J22" s="33">
        <f>ROUND(I22*H22,0)</f>
        <v>5950</v>
      </c>
    </row>
    <row r="23" spans="1:10" ht="13.9" customHeight="1" x14ac:dyDescent="0.25">
      <c r="A23" s="1558" t="s">
        <v>288</v>
      </c>
      <c r="B23" s="1559"/>
      <c r="C23" s="1559"/>
      <c r="D23" s="1559"/>
      <c r="E23" s="1559"/>
      <c r="F23" s="1560"/>
      <c r="G23" s="29" t="s">
        <v>6</v>
      </c>
      <c r="H23" s="35">
        <v>0.05</v>
      </c>
      <c r="I23" s="33">
        <f>IFERROR(VLOOKUP(A23,[10]INSUMOS!$A$2:$E$121,4,FALSE),0)</f>
        <v>16363</v>
      </c>
      <c r="J23" s="33">
        <f t="shared" ref="J23:J31" si="2">ROUND(I23*H23,0)</f>
        <v>818</v>
      </c>
    </row>
    <row r="24" spans="1:10" ht="13.9" customHeight="1" x14ac:dyDescent="0.25">
      <c r="A24" s="1558" t="s">
        <v>277</v>
      </c>
      <c r="B24" s="1559"/>
      <c r="C24" s="1559"/>
      <c r="D24" s="1559"/>
      <c r="E24" s="1559"/>
      <c r="F24" s="1560"/>
      <c r="G24" s="29" t="s">
        <v>114</v>
      </c>
      <c r="H24" s="35">
        <v>0.01</v>
      </c>
      <c r="I24" s="33">
        <f>IFERROR(VLOOKUP(A24,[10]INSUMOS!$A$2:$E$121,4,FALSE),0)</f>
        <v>10000</v>
      </c>
      <c r="J24" s="33">
        <f t="shared" si="2"/>
        <v>100</v>
      </c>
    </row>
    <row r="25" spans="1:10" ht="13.9" customHeight="1" x14ac:dyDescent="0.25">
      <c r="A25" s="1571" t="s">
        <v>289</v>
      </c>
      <c r="B25" s="1572"/>
      <c r="C25" s="1572"/>
      <c r="D25" s="1572"/>
      <c r="E25" s="1572"/>
      <c r="F25" s="1573"/>
      <c r="G25" s="53" t="s">
        <v>266</v>
      </c>
      <c r="H25" s="54">
        <v>0.13</v>
      </c>
      <c r="I25" s="33">
        <f>IFERROR(VLOOKUP(A25,[10]INSUMOS!$A$2:$E$121,4,FALSE),0)</f>
        <v>18313</v>
      </c>
      <c r="J25" s="33">
        <f t="shared" si="2"/>
        <v>2381</v>
      </c>
    </row>
    <row r="26" spans="1:10" ht="13.9" customHeight="1" x14ac:dyDescent="0.25">
      <c r="A26" s="1558"/>
      <c r="B26" s="1559"/>
      <c r="C26" s="1559"/>
      <c r="D26" s="1559"/>
      <c r="E26" s="1559"/>
      <c r="F26" s="1560"/>
      <c r="G26" s="29"/>
      <c r="H26" s="35"/>
      <c r="I26" s="33">
        <f>IFERROR(VLOOKUP(A26,[10]INSUMOS!$A$2:$E$121,4,FALSE),0)</f>
        <v>0</v>
      </c>
      <c r="J26" s="33">
        <f t="shared" si="2"/>
        <v>0</v>
      </c>
    </row>
    <row r="27" spans="1:10" ht="13.9" customHeight="1" x14ac:dyDescent="0.25">
      <c r="A27" s="1558"/>
      <c r="B27" s="1559"/>
      <c r="C27" s="1559"/>
      <c r="D27" s="1559"/>
      <c r="E27" s="1559"/>
      <c r="F27" s="1560"/>
      <c r="G27" s="29"/>
      <c r="H27" s="35"/>
      <c r="I27" s="33">
        <f>IFERROR(VLOOKUP(A27,[10]INSUMOS!$A$2:$E$121,4,FALSE),0)</f>
        <v>0</v>
      </c>
      <c r="J27" s="33">
        <f t="shared" si="2"/>
        <v>0</v>
      </c>
    </row>
    <row r="28" spans="1:10" ht="13.9" customHeight="1" x14ac:dyDescent="0.25">
      <c r="A28" s="1558"/>
      <c r="B28" s="1559"/>
      <c r="C28" s="1559"/>
      <c r="D28" s="1559"/>
      <c r="E28" s="1559"/>
      <c r="F28" s="1560"/>
      <c r="G28" s="29"/>
      <c r="H28" s="35"/>
      <c r="I28" s="33">
        <f>IFERROR(VLOOKUP(A28,[10]INSUMOS!$A$2:$E$121,4,FALSE),0)</f>
        <v>0</v>
      </c>
      <c r="J28" s="33">
        <f t="shared" si="2"/>
        <v>0</v>
      </c>
    </row>
    <row r="29" spans="1:10" ht="13.9" customHeight="1" x14ac:dyDescent="0.25">
      <c r="A29" s="1558"/>
      <c r="B29" s="1559"/>
      <c r="C29" s="1559"/>
      <c r="D29" s="1559"/>
      <c r="E29" s="1559"/>
      <c r="F29" s="1560"/>
      <c r="G29" s="29"/>
      <c r="H29" s="37"/>
      <c r="I29" s="33">
        <f>IFERROR(VLOOKUP(A29,[10]INSUMOS!$A$2:$E$121,4,FALSE),0)</f>
        <v>0</v>
      </c>
      <c r="J29" s="33">
        <f t="shared" si="2"/>
        <v>0</v>
      </c>
    </row>
    <row r="30" spans="1:10" ht="13.9" customHeight="1" x14ac:dyDescent="0.25">
      <c r="A30" s="1558"/>
      <c r="B30" s="1559"/>
      <c r="C30" s="1559"/>
      <c r="D30" s="1559"/>
      <c r="E30" s="1559"/>
      <c r="F30" s="1560"/>
      <c r="G30" s="29"/>
      <c r="H30" s="35"/>
      <c r="I30" s="33">
        <f>IFERROR(VLOOKUP(A30,[10]INSUMOS!$A$2:$E$121,4,FALSE),0)</f>
        <v>0</v>
      </c>
      <c r="J30" s="33">
        <f t="shared" si="2"/>
        <v>0</v>
      </c>
    </row>
    <row r="31" spans="1:10" ht="13.9" customHeight="1" x14ac:dyDescent="0.25">
      <c r="A31" s="1558"/>
      <c r="B31" s="1559"/>
      <c r="C31" s="1559"/>
      <c r="D31" s="1559"/>
      <c r="E31" s="1559"/>
      <c r="F31" s="1560"/>
      <c r="G31" s="29"/>
      <c r="H31" s="35"/>
      <c r="I31" s="33">
        <f>IFERROR(VLOOKUP(A31,[10]INSUMOS!$A$2:$E$121,4,FALSE),0)</f>
        <v>0</v>
      </c>
      <c r="J31" s="33">
        <f t="shared" si="2"/>
        <v>0</v>
      </c>
    </row>
    <row r="32" spans="1:10" ht="13.9" customHeight="1" x14ac:dyDescent="0.25">
      <c r="A32" s="20"/>
      <c r="B32" s="20"/>
      <c r="C32" s="20"/>
      <c r="D32" s="20"/>
      <c r="E32" s="20"/>
      <c r="G32" s="20"/>
      <c r="H32" s="20"/>
      <c r="I32" s="30" t="s">
        <v>257</v>
      </c>
      <c r="J32" s="34">
        <f>+SUM(J22:J31)</f>
        <v>9249</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
        <v>161</v>
      </c>
      <c r="B36" s="1559"/>
      <c r="C36" s="1559"/>
      <c r="D36" s="1559"/>
      <c r="E36" s="1559"/>
      <c r="F36" s="1560"/>
      <c r="G36" s="29">
        <f>+H11*8*6</f>
        <v>1680</v>
      </c>
      <c r="H36" s="33">
        <f>IFERROR(VLOOKUP(A36,'[10]EQUIPOS TRANSPOR SALARIO'!$A$43:$C$47,3,FALSE),0)</f>
        <v>200586</v>
      </c>
      <c r="I36" s="33">
        <f>IFERROR(H36/G36,0)</f>
        <v>119.39642857142857</v>
      </c>
      <c r="J36" s="33">
        <f>ROUND(I36,0)</f>
        <v>119</v>
      </c>
    </row>
    <row r="37" spans="1:10" ht="13.9" customHeight="1" x14ac:dyDescent="0.25">
      <c r="A37" s="1558"/>
      <c r="B37" s="1559"/>
      <c r="C37" s="1559"/>
      <c r="D37" s="1559"/>
      <c r="E37" s="1559"/>
      <c r="F37" s="1560"/>
      <c r="G37" s="29"/>
      <c r="H37" s="33">
        <f>IFERROR(VLOOKUP(A37,'[10]EQUIPOS TRANSPOR SALARIO'!$A$43:$C$47,3,FALSE),0)</f>
        <v>0</v>
      </c>
      <c r="I37" s="33">
        <f>IFERROR(H37/G37,0)</f>
        <v>0</v>
      </c>
      <c r="J37" s="33">
        <f>ROUND(I37,0)</f>
        <v>0</v>
      </c>
    </row>
    <row r="38" spans="1:10" ht="13.9" customHeight="1" x14ac:dyDescent="0.25">
      <c r="A38" s="1558"/>
      <c r="B38" s="1559"/>
      <c r="C38" s="1559"/>
      <c r="D38" s="1559"/>
      <c r="E38" s="1559"/>
      <c r="F38" s="1560"/>
      <c r="G38" s="29"/>
      <c r="H38" s="33">
        <f>IFERROR(VLOOKUP(A38,'[10]EQUIPOS TRANSPOR SALARIO'!$A$43:$C$47,3,FALSE),0)</f>
        <v>0</v>
      </c>
      <c r="I38" s="33">
        <f>IFERROR(H38/G38,0)</f>
        <v>0</v>
      </c>
      <c r="J38" s="33">
        <f>ROUND(I38,0)</f>
        <v>0</v>
      </c>
    </row>
    <row r="39" spans="1:10" ht="13.9" customHeight="1" x14ac:dyDescent="0.25">
      <c r="G39" s="39"/>
      <c r="H39" s="39"/>
      <c r="I39" s="30" t="s">
        <v>257</v>
      </c>
      <c r="J39" s="33">
        <f>+SUM(J36:J38)</f>
        <v>119</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
        <v>284</v>
      </c>
      <c r="B43" s="1559"/>
      <c r="C43" s="1559"/>
      <c r="D43" s="1560"/>
      <c r="E43" s="40">
        <f>IFERROR(VLOOKUP(A43,[10]PERSONAL!$A$3:$C$32,3,FALSE),0)</f>
        <v>87338</v>
      </c>
      <c r="F43" s="30">
        <v>1</v>
      </c>
      <c r="G43" s="40">
        <f>+E43*F43</f>
        <v>87338</v>
      </c>
      <c r="H43" s="35">
        <f t="shared" ref="H43:H49" si="3">IFERROR(H11*8,0)</f>
        <v>280</v>
      </c>
      <c r="I43" s="33">
        <f>IFERROR(ROUND(G43/H43,0),0)</f>
        <v>312</v>
      </c>
      <c r="J43" s="33">
        <f>+I43</f>
        <v>312</v>
      </c>
    </row>
    <row r="44" spans="1:10" s="39" customFormat="1" ht="13.9" customHeight="1" x14ac:dyDescent="0.25">
      <c r="A44" s="1558" t="s">
        <v>282</v>
      </c>
      <c r="B44" s="1559"/>
      <c r="C44" s="1559"/>
      <c r="D44" s="1560"/>
      <c r="E44" s="40">
        <f>IFERROR(VLOOKUP(A44,[10]PERSONAL!$A$3:$C$32,3,FALSE),0)</f>
        <v>61343</v>
      </c>
      <c r="F44" s="30">
        <v>4</v>
      </c>
      <c r="G44" s="40">
        <f t="shared" ref="G44:G49" si="4">+E44*F44</f>
        <v>245372</v>
      </c>
      <c r="H44" s="35">
        <f>+H43</f>
        <v>280</v>
      </c>
      <c r="I44" s="33">
        <f t="shared" ref="I44:I49" si="5">IFERROR(ROUND(G44/H44,0),0)</f>
        <v>876</v>
      </c>
      <c r="J44" s="33">
        <f t="shared" ref="J44:J49" si="6">+I44</f>
        <v>876</v>
      </c>
    </row>
    <row r="45" spans="1:10" s="39" customFormat="1" ht="13.9" customHeight="1" x14ac:dyDescent="0.25">
      <c r="A45" s="1558"/>
      <c r="B45" s="1559"/>
      <c r="C45" s="1559"/>
      <c r="D45" s="1560"/>
      <c r="E45" s="40">
        <f>IFERROR(VLOOKUP(A45,[10]PERSONAL!$A$3:$C$32,3,FALSE),0)</f>
        <v>0</v>
      </c>
      <c r="F45" s="30"/>
      <c r="G45" s="40">
        <f t="shared" si="4"/>
        <v>0</v>
      </c>
      <c r="H45" s="35">
        <f>+H44</f>
        <v>280</v>
      </c>
      <c r="I45" s="33">
        <f t="shared" si="5"/>
        <v>0</v>
      </c>
      <c r="J45" s="33">
        <f t="shared" si="6"/>
        <v>0</v>
      </c>
    </row>
    <row r="46" spans="1:10" s="39" customFormat="1" ht="13.9" customHeight="1" x14ac:dyDescent="0.25">
      <c r="A46" s="1558"/>
      <c r="B46" s="1559"/>
      <c r="C46" s="1559"/>
      <c r="D46" s="1560"/>
      <c r="E46" s="40">
        <f>IFERROR(VLOOKUP(A46,[10]PERSONAL!$A$3:$C$32,3,FALSE),0)</f>
        <v>0</v>
      </c>
      <c r="F46" s="30"/>
      <c r="G46" s="40">
        <f t="shared" si="4"/>
        <v>0</v>
      </c>
      <c r="H46" s="35">
        <f t="shared" si="3"/>
        <v>280</v>
      </c>
      <c r="I46" s="33">
        <f t="shared" si="5"/>
        <v>0</v>
      </c>
      <c r="J46" s="33">
        <f t="shared" si="6"/>
        <v>0</v>
      </c>
    </row>
    <row r="47" spans="1:10" s="39" customFormat="1" ht="13.9" customHeight="1" x14ac:dyDescent="0.25">
      <c r="A47" s="1558"/>
      <c r="B47" s="1559"/>
      <c r="C47" s="1559"/>
      <c r="D47" s="1560"/>
      <c r="E47" s="40">
        <f>IFERROR(VLOOKUP(A47,[10]PERSONAL!$A$3:$C$32,3,FALSE),0)</f>
        <v>0</v>
      </c>
      <c r="F47" s="30"/>
      <c r="G47" s="40">
        <f t="shared" si="4"/>
        <v>0</v>
      </c>
      <c r="H47" s="35">
        <f t="shared" si="3"/>
        <v>280</v>
      </c>
      <c r="I47" s="33">
        <f t="shared" si="5"/>
        <v>0</v>
      </c>
      <c r="J47" s="33">
        <f t="shared" si="6"/>
        <v>0</v>
      </c>
    </row>
    <row r="48" spans="1:10" s="39" customFormat="1" ht="13.9" customHeight="1" x14ac:dyDescent="0.25">
      <c r="A48" s="1558"/>
      <c r="B48" s="1559"/>
      <c r="C48" s="1559"/>
      <c r="D48" s="1560"/>
      <c r="E48" s="40">
        <f>IFERROR(VLOOKUP(A48,[10]PERSONAL!$A$3:$C$32,3,FALSE),0)</f>
        <v>0</v>
      </c>
      <c r="F48" s="30"/>
      <c r="G48" s="40">
        <f t="shared" si="4"/>
        <v>0</v>
      </c>
      <c r="H48" s="35">
        <f t="shared" si="3"/>
        <v>0</v>
      </c>
      <c r="I48" s="33">
        <f t="shared" si="5"/>
        <v>0</v>
      </c>
      <c r="J48" s="33">
        <f t="shared" si="6"/>
        <v>0</v>
      </c>
    </row>
    <row r="49" spans="1:10" s="39" customFormat="1" ht="13.9" customHeight="1" x14ac:dyDescent="0.25">
      <c r="A49" s="1558"/>
      <c r="B49" s="1559"/>
      <c r="C49" s="1559"/>
      <c r="D49" s="1560"/>
      <c r="E49" s="40">
        <f>IFERROR(VLOOKUP(A49,[10]PERSONAL!$A$3:$C$32,3,FALSE),0)</f>
        <v>0</v>
      </c>
      <c r="F49" s="30"/>
      <c r="G49" s="40">
        <f t="shared" si="4"/>
        <v>0</v>
      </c>
      <c r="H49" s="35">
        <f t="shared" si="3"/>
        <v>0</v>
      </c>
      <c r="I49" s="33">
        <f t="shared" si="5"/>
        <v>0</v>
      </c>
      <c r="J49" s="33">
        <f t="shared" si="6"/>
        <v>0</v>
      </c>
    </row>
    <row r="50" spans="1:10" ht="13.9" customHeight="1" x14ac:dyDescent="0.25">
      <c r="A50" s="20"/>
      <c r="B50" s="20"/>
      <c r="C50" s="20"/>
      <c r="E50" s="20"/>
      <c r="F50" s="20"/>
      <c r="G50" s="20"/>
      <c r="H50" s="20"/>
      <c r="I50" s="30" t="s">
        <v>257</v>
      </c>
      <c r="J50" s="34">
        <f>+SUM(J43:J49)</f>
        <v>1188</v>
      </c>
    </row>
    <row r="51" spans="1:10" ht="13.9" customHeight="1" x14ac:dyDescent="0.25"/>
    <row r="52" spans="1:10" ht="13.9" customHeight="1" x14ac:dyDescent="0.25">
      <c r="E52" s="41" t="s">
        <v>276</v>
      </c>
      <c r="I52" s="42">
        <f>+J50+J39+J32+J18</f>
        <v>11118</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
  <dimension ref="A1:Z61"/>
  <sheetViews>
    <sheetView topLeftCell="C1" workbookViewId="0">
      <selection activeCell="G6" sqref="G6"/>
    </sheetView>
  </sheetViews>
  <sheetFormatPr baseColWidth="10" defaultColWidth="11.42578125" defaultRowHeight="14.25" x14ac:dyDescent="0.2"/>
  <cols>
    <col min="1" max="1" width="8.5703125" style="4" customWidth="1"/>
    <col min="2" max="2" width="47.5703125" style="1" customWidth="1"/>
    <col min="3" max="3" width="20.42578125" style="4" customWidth="1"/>
    <col min="4" max="4" width="20.85546875" style="326" hidden="1" customWidth="1"/>
    <col min="5" max="5" width="15.7109375" style="326" customWidth="1"/>
    <col min="6" max="8" width="17.140625" style="326" customWidth="1"/>
    <col min="9" max="9" width="14" style="326" bestFit="1" customWidth="1"/>
    <col min="10" max="10" width="11.5703125" style="326" bestFit="1" customWidth="1"/>
    <col min="11" max="11" width="13.42578125" style="4" bestFit="1" customWidth="1"/>
    <col min="12" max="12" width="10.42578125" style="326" bestFit="1" customWidth="1"/>
    <col min="13" max="13" width="13.7109375" style="326" customWidth="1"/>
    <col min="14" max="14" width="11.42578125" style="4" customWidth="1"/>
    <col min="15" max="15" width="24.85546875" style="1" customWidth="1"/>
    <col min="16" max="26" width="24.7109375" style="1" customWidth="1"/>
    <col min="27" max="16384" width="11.42578125" style="1"/>
  </cols>
  <sheetData>
    <row r="1" spans="1:26" ht="15" thickBot="1" x14ac:dyDescent="0.25">
      <c r="D1" s="326" t="s">
        <v>118</v>
      </c>
      <c r="O1" s="1">
        <v>1</v>
      </c>
      <c r="P1" s="1">
        <v>2</v>
      </c>
      <c r="Q1" s="1">
        <v>3</v>
      </c>
      <c r="R1" s="1">
        <v>5</v>
      </c>
      <c r="S1" s="1">
        <v>6</v>
      </c>
      <c r="T1" s="1">
        <v>7</v>
      </c>
      <c r="U1" s="1">
        <v>8</v>
      </c>
      <c r="V1" s="1">
        <v>9</v>
      </c>
      <c r="W1" s="1">
        <v>10</v>
      </c>
      <c r="X1" s="1">
        <v>11</v>
      </c>
      <c r="Y1" s="1">
        <v>13</v>
      </c>
      <c r="Z1" s="1">
        <v>14</v>
      </c>
    </row>
    <row r="2" spans="1:26" s="19" customFormat="1" ht="161.25" customHeight="1" thickBot="1" x14ac:dyDescent="0.3">
      <c r="A2" s="555" t="s">
        <v>0</v>
      </c>
      <c r="B2" s="556" t="s">
        <v>1</v>
      </c>
      <c r="C2" s="556" t="s">
        <v>2</v>
      </c>
      <c r="D2" s="1084" t="s">
        <v>6867</v>
      </c>
      <c r="E2" s="557" t="s">
        <v>6868</v>
      </c>
      <c r="F2" s="557" t="s">
        <v>3169</v>
      </c>
      <c r="G2" s="776" t="s">
        <v>3203</v>
      </c>
      <c r="H2" s="557"/>
      <c r="I2" s="558" t="s">
        <v>3222</v>
      </c>
      <c r="J2" s="558" t="s">
        <v>3223</v>
      </c>
      <c r="K2" s="559" t="s">
        <v>3224</v>
      </c>
      <c r="L2" s="669" t="s">
        <v>3225</v>
      </c>
      <c r="M2" s="560" t="s">
        <v>324</v>
      </c>
      <c r="N2" s="561" t="s">
        <v>325</v>
      </c>
      <c r="O2" s="973" t="s">
        <v>3521</v>
      </c>
      <c r="P2" s="973" t="s">
        <v>3510</v>
      </c>
      <c r="Q2" s="562" t="s">
        <v>3511</v>
      </c>
      <c r="R2" s="562" t="s">
        <v>3512</v>
      </c>
      <c r="S2" s="973" t="s">
        <v>3513</v>
      </c>
      <c r="T2" s="973" t="s">
        <v>3514</v>
      </c>
      <c r="U2" s="562" t="s">
        <v>3515</v>
      </c>
      <c r="V2" s="973" t="s">
        <v>3516</v>
      </c>
      <c r="W2" s="973" t="s">
        <v>3517</v>
      </c>
      <c r="X2" s="973" t="s">
        <v>3520</v>
      </c>
      <c r="Y2" s="973" t="s">
        <v>3522</v>
      </c>
      <c r="Z2" s="973" t="s">
        <v>3529</v>
      </c>
    </row>
    <row r="3" spans="1:26" ht="17.25" thickBot="1" x14ac:dyDescent="0.35">
      <c r="A3" s="550">
        <v>1</v>
      </c>
      <c r="B3" s="975" t="s">
        <v>316</v>
      </c>
      <c r="C3" s="1030" t="s">
        <v>202</v>
      </c>
      <c r="D3" s="1031">
        <v>8074.28</v>
      </c>
      <c r="E3" s="552"/>
      <c r="F3" s="553"/>
      <c r="G3" s="552"/>
      <c r="H3" s="552"/>
      <c r="I3" s="983"/>
      <c r="J3" s="552"/>
      <c r="K3" s="551"/>
      <c r="L3" s="552"/>
      <c r="M3" s="380">
        <f t="shared" ref="M3:M34" si="0">+IFERROR(ROUND(AVERAGE(E3:L3,O3:Z3),2),0)</f>
        <v>10148.75</v>
      </c>
      <c r="N3" s="551"/>
      <c r="O3" s="554"/>
      <c r="P3" s="554"/>
      <c r="Q3" s="554"/>
      <c r="R3" s="554"/>
      <c r="S3" s="554"/>
      <c r="T3" s="554"/>
      <c r="U3" s="554"/>
      <c r="V3" s="554"/>
      <c r="W3" s="554"/>
      <c r="X3" s="554"/>
      <c r="Y3" s="554"/>
      <c r="Z3" s="1006">
        <f>811900*0.1/8</f>
        <v>10148.75</v>
      </c>
    </row>
    <row r="4" spans="1:26" ht="15.75" thickBot="1" x14ac:dyDescent="0.3">
      <c r="A4" s="548">
        <f t="shared" ref="A4:A50" si="1">+A3+1</f>
        <v>2</v>
      </c>
      <c r="B4" s="976" t="s">
        <v>172</v>
      </c>
      <c r="C4" s="1032" t="s">
        <v>202</v>
      </c>
      <c r="D4" s="1033">
        <v>26368.93</v>
      </c>
      <c r="E4" s="777">
        <f>D4*1.32667</f>
        <v>34982.868363100002</v>
      </c>
      <c r="F4" s="352"/>
      <c r="G4" s="352"/>
      <c r="H4" s="352"/>
      <c r="I4" s="984"/>
      <c r="J4" s="352"/>
      <c r="K4" s="61"/>
      <c r="L4" s="670"/>
      <c r="M4" s="380">
        <f t="shared" si="0"/>
        <v>34982.870000000003</v>
      </c>
      <c r="N4" s="61">
        <f t="shared" ref="N4:N35" si="2">+COUNTA(D4:L4,O4:Z4)</f>
        <v>2</v>
      </c>
      <c r="O4" s="62"/>
      <c r="P4" s="62"/>
      <c r="Q4" s="62"/>
      <c r="R4" s="62"/>
      <c r="S4" s="62"/>
      <c r="T4" s="62"/>
      <c r="U4" s="62"/>
      <c r="V4" s="62"/>
      <c r="W4" s="62"/>
      <c r="X4" s="62"/>
      <c r="Y4" s="62"/>
      <c r="Z4" s="62"/>
    </row>
    <row r="5" spans="1:26" ht="13.5" customHeight="1" thickBot="1" x14ac:dyDescent="0.3">
      <c r="A5" s="548">
        <f t="shared" si="1"/>
        <v>3</v>
      </c>
      <c r="B5" s="976" t="s">
        <v>175</v>
      </c>
      <c r="C5" s="1032" t="s">
        <v>202</v>
      </c>
      <c r="D5" s="1034">
        <v>50500</v>
      </c>
      <c r="E5" s="352"/>
      <c r="F5" s="352"/>
      <c r="G5" s="352"/>
      <c r="H5" s="352"/>
      <c r="I5" s="984"/>
      <c r="J5" s="352"/>
      <c r="K5" s="61"/>
      <c r="L5" s="352"/>
      <c r="M5" s="380">
        <f t="shared" si="0"/>
        <v>0</v>
      </c>
      <c r="N5" s="61">
        <f t="shared" si="2"/>
        <v>1</v>
      </c>
      <c r="O5" s="62"/>
      <c r="P5" s="62"/>
      <c r="Q5" s="62"/>
      <c r="R5" s="62"/>
      <c r="S5" s="62"/>
      <c r="T5" s="62"/>
      <c r="U5" s="62"/>
      <c r="V5" s="62"/>
      <c r="W5" s="62"/>
      <c r="X5" s="62"/>
      <c r="Y5" s="62"/>
      <c r="Z5" s="62"/>
    </row>
    <row r="6" spans="1:26" ht="15.75" thickBot="1" x14ac:dyDescent="0.3">
      <c r="A6" s="548">
        <f t="shared" si="1"/>
        <v>4</v>
      </c>
      <c r="B6" s="977" t="s">
        <v>7368</v>
      </c>
      <c r="C6" s="1032" t="s">
        <v>7437</v>
      </c>
      <c r="D6" s="1033">
        <v>18440</v>
      </c>
      <c r="E6" s="352"/>
      <c r="F6" s="352"/>
      <c r="G6" s="984">
        <f>515000+(81929+111056)/2</f>
        <v>611492.5</v>
      </c>
      <c r="H6" s="352"/>
      <c r="I6" s="984"/>
      <c r="J6" s="352"/>
      <c r="K6" s="61"/>
      <c r="L6" s="352"/>
      <c r="M6" s="380">
        <f>+IFERROR(ROUND(AVERAGE(E6:L6,O6:Z6),2),0)</f>
        <v>611492.5</v>
      </c>
      <c r="N6" s="61">
        <f t="shared" si="2"/>
        <v>2</v>
      </c>
      <c r="O6" s="62"/>
      <c r="P6" s="62"/>
      <c r="Q6" s="62"/>
      <c r="R6" s="62"/>
      <c r="S6" s="62"/>
      <c r="T6" s="62"/>
      <c r="U6" s="62"/>
      <c r="V6" s="62"/>
      <c r="W6" s="62"/>
      <c r="X6" s="62"/>
      <c r="Y6" s="62"/>
      <c r="Z6" s="62"/>
    </row>
    <row r="7" spans="1:26" ht="15.75" thickBot="1" x14ac:dyDescent="0.3">
      <c r="A7" s="548">
        <f t="shared" si="1"/>
        <v>5</v>
      </c>
      <c r="B7" s="978" t="s">
        <v>311</v>
      </c>
      <c r="C7" s="1035" t="s">
        <v>202</v>
      </c>
      <c r="D7" s="1033">
        <v>3900</v>
      </c>
      <c r="E7" s="777">
        <f>D7*1.32667</f>
        <v>5174.0129999999999</v>
      </c>
      <c r="F7" s="352"/>
      <c r="G7" s="352"/>
      <c r="H7" s="352"/>
      <c r="I7" s="984"/>
      <c r="J7" s="352"/>
      <c r="K7" s="61"/>
      <c r="L7" s="670"/>
      <c r="M7" s="380">
        <f t="shared" si="0"/>
        <v>5174.01</v>
      </c>
      <c r="N7" s="61">
        <f t="shared" si="2"/>
        <v>2</v>
      </c>
      <c r="O7" s="62"/>
      <c r="P7" s="62"/>
      <c r="Q7" s="62"/>
      <c r="R7" s="62"/>
      <c r="S7" s="62"/>
      <c r="T7" s="62"/>
      <c r="U7" s="62"/>
      <c r="V7" s="62"/>
      <c r="W7" s="62"/>
      <c r="X7" s="62"/>
      <c r="Y7" s="62"/>
      <c r="Z7" s="62"/>
    </row>
    <row r="8" spans="1:26" ht="15.75" thickBot="1" x14ac:dyDescent="0.3">
      <c r="A8" s="548">
        <f t="shared" si="1"/>
        <v>6</v>
      </c>
      <c r="B8" s="977" t="s">
        <v>147</v>
      </c>
      <c r="C8" s="1032" t="s">
        <v>202</v>
      </c>
      <c r="D8" s="1034">
        <v>3544.07</v>
      </c>
      <c r="E8" s="777">
        <f>D8*1.32667</f>
        <v>4701.8113469</v>
      </c>
      <c r="F8" s="352"/>
      <c r="G8" s="352"/>
      <c r="H8" s="352"/>
      <c r="I8" s="984"/>
      <c r="J8" s="352"/>
      <c r="K8" s="61"/>
      <c r="L8" s="352"/>
      <c r="M8" s="380">
        <f t="shared" si="0"/>
        <v>4701.8100000000004</v>
      </c>
      <c r="N8" s="61">
        <f t="shared" si="2"/>
        <v>2</v>
      </c>
      <c r="O8" s="62"/>
      <c r="P8" s="62"/>
      <c r="Q8" s="62"/>
      <c r="R8" s="62"/>
      <c r="S8" s="62"/>
      <c r="T8" s="62"/>
      <c r="U8" s="62"/>
      <c r="V8" s="62"/>
      <c r="W8" s="62"/>
      <c r="X8" s="62"/>
      <c r="Y8" s="62"/>
      <c r="Z8" s="62"/>
    </row>
    <row r="9" spans="1:26" ht="15.75" thickBot="1" x14ac:dyDescent="0.3">
      <c r="A9" s="548">
        <f t="shared" si="1"/>
        <v>7</v>
      </c>
      <c r="B9" s="977" t="s">
        <v>176</v>
      </c>
      <c r="C9" s="1032" t="s">
        <v>202</v>
      </c>
      <c r="D9" s="1033">
        <v>23652.62</v>
      </c>
      <c r="E9" s="352"/>
      <c r="F9" s="352"/>
      <c r="G9" s="777">
        <f>38000/8</f>
        <v>4750</v>
      </c>
      <c r="H9" s="352"/>
      <c r="I9" s="985"/>
      <c r="J9" s="777">
        <f>899990*0.1/8</f>
        <v>11249.875</v>
      </c>
      <c r="K9" s="61"/>
      <c r="L9" s="670"/>
      <c r="M9" s="380">
        <f t="shared" si="0"/>
        <v>7999.94</v>
      </c>
      <c r="N9" s="61">
        <f t="shared" si="2"/>
        <v>3</v>
      </c>
      <c r="O9" s="62"/>
      <c r="P9" s="62"/>
      <c r="Q9" s="62"/>
      <c r="R9" s="62"/>
      <c r="S9" s="62"/>
      <c r="T9" s="62"/>
      <c r="U9" s="62"/>
      <c r="V9" s="62"/>
      <c r="W9" s="62"/>
      <c r="X9" s="62"/>
      <c r="Y9" s="62"/>
      <c r="Z9" s="62"/>
    </row>
    <row r="10" spans="1:26" ht="15.75" thickBot="1" x14ac:dyDescent="0.3">
      <c r="A10" s="548">
        <f t="shared" si="1"/>
        <v>8</v>
      </c>
      <c r="B10" s="1036" t="s">
        <v>148</v>
      </c>
      <c r="C10" s="1035" t="s">
        <v>202</v>
      </c>
      <c r="D10" s="1034">
        <v>3911.14</v>
      </c>
      <c r="E10" s="352"/>
      <c r="F10" s="352"/>
      <c r="G10" s="352"/>
      <c r="H10" s="352"/>
      <c r="I10" s="984"/>
      <c r="J10" s="352"/>
      <c r="K10" s="61"/>
      <c r="L10" s="352"/>
      <c r="M10" s="380">
        <f t="shared" si="0"/>
        <v>5299.33</v>
      </c>
      <c r="N10" s="61">
        <f t="shared" si="2"/>
        <v>2</v>
      </c>
      <c r="O10" s="62"/>
      <c r="P10" s="62"/>
      <c r="Q10" s="62"/>
      <c r="R10" s="62"/>
      <c r="S10" s="62"/>
      <c r="T10" s="62"/>
      <c r="U10" s="974">
        <f>6359196/1200</f>
        <v>5299.33</v>
      </c>
      <c r="V10" s="62"/>
      <c r="W10" s="62"/>
      <c r="X10" s="62"/>
      <c r="Y10" s="62"/>
      <c r="Z10" s="62"/>
    </row>
    <row r="11" spans="1:26" ht="15.75" thickBot="1" x14ac:dyDescent="0.3">
      <c r="A11" s="548">
        <f t="shared" si="1"/>
        <v>9</v>
      </c>
      <c r="B11" s="977" t="s">
        <v>312</v>
      </c>
      <c r="C11" s="1032" t="s">
        <v>202</v>
      </c>
      <c r="D11" s="1034">
        <v>1333.53</v>
      </c>
      <c r="E11" s="352"/>
      <c r="F11" s="352"/>
      <c r="G11" s="352"/>
      <c r="H11" s="352"/>
      <c r="I11" s="352"/>
      <c r="J11" s="352"/>
      <c r="K11" s="61"/>
      <c r="L11" s="352"/>
      <c r="M11" s="380">
        <f t="shared" si="0"/>
        <v>1832.42</v>
      </c>
      <c r="N11" s="61">
        <f t="shared" si="2"/>
        <v>2</v>
      </c>
      <c r="O11" s="974">
        <f>2198900/1200</f>
        <v>1832.4166666666667</v>
      </c>
      <c r="P11" s="62"/>
      <c r="Q11" s="62"/>
      <c r="R11" s="62"/>
      <c r="S11" s="62"/>
      <c r="T11" s="62"/>
      <c r="U11" s="62"/>
      <c r="V11" s="62"/>
      <c r="W11" s="62"/>
      <c r="X11" s="62"/>
      <c r="Y11" s="62"/>
      <c r="Z11" s="62"/>
    </row>
    <row r="12" spans="1:26" ht="15.75" thickBot="1" x14ac:dyDescent="0.3">
      <c r="A12" s="548">
        <f t="shared" si="1"/>
        <v>10</v>
      </c>
      <c r="B12" s="976" t="s">
        <v>170</v>
      </c>
      <c r="C12" s="1032" t="s">
        <v>202</v>
      </c>
      <c r="D12" s="1034">
        <v>11972.12</v>
      </c>
      <c r="E12" s="777">
        <f>D12*1.32667</f>
        <v>15883.052440400001</v>
      </c>
      <c r="F12" s="352"/>
      <c r="G12" s="352"/>
      <c r="H12" s="352"/>
      <c r="I12" s="352"/>
      <c r="J12" s="352"/>
      <c r="K12" s="61"/>
      <c r="L12" s="352"/>
      <c r="M12" s="380">
        <f t="shared" si="0"/>
        <v>15883.05</v>
      </c>
      <c r="N12" s="61">
        <f t="shared" si="2"/>
        <v>2</v>
      </c>
      <c r="O12" s="62"/>
      <c r="P12" s="62"/>
      <c r="Q12" s="62"/>
      <c r="R12" s="62"/>
      <c r="S12" s="62"/>
      <c r="T12" s="62"/>
      <c r="U12" s="62"/>
      <c r="V12" s="62"/>
      <c r="W12" s="62"/>
      <c r="X12" s="62"/>
      <c r="Y12" s="62"/>
      <c r="Z12" s="62"/>
    </row>
    <row r="13" spans="1:26" ht="15.75" thickBot="1" x14ac:dyDescent="0.3">
      <c r="A13" s="548">
        <f t="shared" si="1"/>
        <v>11</v>
      </c>
      <c r="B13" s="976" t="s">
        <v>163</v>
      </c>
      <c r="C13" s="1032" t="s">
        <v>202</v>
      </c>
      <c r="D13" s="1034">
        <v>3823.9</v>
      </c>
      <c r="E13" s="352"/>
      <c r="F13" s="352"/>
      <c r="G13" s="777">
        <f>117810/240</f>
        <v>490.875</v>
      </c>
      <c r="H13" s="352"/>
      <c r="I13" s="352"/>
      <c r="J13" s="352"/>
      <c r="K13" s="61"/>
      <c r="L13" s="352"/>
      <c r="M13" s="380">
        <f t="shared" si="0"/>
        <v>490.88</v>
      </c>
      <c r="N13" s="61">
        <f t="shared" si="2"/>
        <v>2</v>
      </c>
      <c r="O13" s="62"/>
      <c r="P13" s="62"/>
      <c r="Q13" s="62"/>
      <c r="R13" s="62"/>
      <c r="S13" s="62"/>
      <c r="T13" s="62"/>
      <c r="U13" s="62"/>
      <c r="V13" s="62"/>
      <c r="W13" s="62"/>
      <c r="X13" s="62"/>
      <c r="Y13" s="62"/>
      <c r="Z13" s="62"/>
    </row>
    <row r="14" spans="1:26" ht="15.75" thickBot="1" x14ac:dyDescent="0.3">
      <c r="A14" s="548">
        <f t="shared" si="1"/>
        <v>12</v>
      </c>
      <c r="B14" s="977" t="s">
        <v>153</v>
      </c>
      <c r="C14" s="1032" t="s">
        <v>202</v>
      </c>
      <c r="D14" s="1034">
        <v>0</v>
      </c>
      <c r="E14" s="352"/>
      <c r="F14" s="352"/>
      <c r="G14" s="777">
        <v>10704</v>
      </c>
      <c r="H14" s="352"/>
      <c r="I14" s="352"/>
      <c r="J14" s="352"/>
      <c r="K14" s="61"/>
      <c r="L14" s="352"/>
      <c r="M14" s="380">
        <f t="shared" si="0"/>
        <v>10704</v>
      </c>
      <c r="N14" s="61">
        <f t="shared" si="2"/>
        <v>2</v>
      </c>
      <c r="O14" s="62"/>
      <c r="P14" s="62"/>
      <c r="Q14" s="62"/>
      <c r="R14" s="62"/>
      <c r="S14" s="62"/>
      <c r="T14" s="62"/>
      <c r="U14" s="62"/>
      <c r="V14" s="62"/>
      <c r="W14" s="62"/>
      <c r="X14" s="62"/>
      <c r="Y14" s="62"/>
      <c r="Z14" s="62"/>
    </row>
    <row r="15" spans="1:26" ht="15.75" thickBot="1" x14ac:dyDescent="0.3">
      <c r="A15" s="548">
        <f t="shared" si="1"/>
        <v>13</v>
      </c>
      <c r="B15" s="976" t="s">
        <v>164</v>
      </c>
      <c r="C15" s="1032" t="s">
        <v>202</v>
      </c>
      <c r="D15" s="1033">
        <v>54134.85</v>
      </c>
      <c r="E15" s="352"/>
      <c r="F15" s="352"/>
      <c r="G15" s="352"/>
      <c r="H15" s="352"/>
      <c r="I15" s="352"/>
      <c r="J15" s="352"/>
      <c r="K15" s="61"/>
      <c r="L15" s="670"/>
      <c r="M15" s="380">
        <f t="shared" si="0"/>
        <v>70261.25</v>
      </c>
      <c r="N15" s="61">
        <f t="shared" si="2"/>
        <v>2</v>
      </c>
      <c r="O15" s="62"/>
      <c r="P15" s="62"/>
      <c r="Q15" s="62"/>
      <c r="R15" s="62"/>
      <c r="S15" s="62"/>
      <c r="T15" s="62"/>
      <c r="U15" s="62"/>
      <c r="V15" s="62"/>
      <c r="W15" s="62"/>
      <c r="X15" s="62"/>
      <c r="Y15" s="974">
        <f>5620900*0.1/8</f>
        <v>70261.25</v>
      </c>
      <c r="Z15" s="62"/>
    </row>
    <row r="16" spans="1:26" ht="15.75" thickBot="1" x14ac:dyDescent="0.3">
      <c r="A16" s="548">
        <f t="shared" si="1"/>
        <v>14</v>
      </c>
      <c r="B16" s="976" t="s">
        <v>165</v>
      </c>
      <c r="C16" s="1032" t="s">
        <v>202</v>
      </c>
      <c r="D16" s="1033">
        <v>102138.95</v>
      </c>
      <c r="E16" s="352"/>
      <c r="F16" s="352"/>
      <c r="G16" s="352"/>
      <c r="H16" s="352"/>
      <c r="I16" s="352"/>
      <c r="J16" s="352"/>
      <c r="K16" s="61"/>
      <c r="L16" s="670"/>
      <c r="M16" s="380">
        <f t="shared" si="0"/>
        <v>297881.7</v>
      </c>
      <c r="N16" s="61">
        <f t="shared" si="2"/>
        <v>2</v>
      </c>
      <c r="O16" s="62"/>
      <c r="P16" s="62"/>
      <c r="Q16" s="62"/>
      <c r="R16" s="62"/>
      <c r="S16" s="974">
        <f>23830535.94*0.1/8</f>
        <v>297881.69925000001</v>
      </c>
      <c r="T16" s="977"/>
      <c r="U16" s="62"/>
      <c r="V16" s="62"/>
      <c r="W16" s="62"/>
      <c r="X16" s="62"/>
      <c r="Y16" s="62"/>
      <c r="Z16" s="62"/>
    </row>
    <row r="17" spans="1:26" ht="15.75" thickBot="1" x14ac:dyDescent="0.3">
      <c r="A17" s="548">
        <f t="shared" si="1"/>
        <v>15</v>
      </c>
      <c r="B17" s="976" t="s">
        <v>166</v>
      </c>
      <c r="C17" s="1032" t="s">
        <v>202</v>
      </c>
      <c r="D17" s="1033">
        <v>102138.95</v>
      </c>
      <c r="E17" s="352"/>
      <c r="F17" s="352"/>
      <c r="G17" s="352"/>
      <c r="H17" s="352"/>
      <c r="I17" s="352"/>
      <c r="J17" s="352"/>
      <c r="K17" s="61"/>
      <c r="L17" s="670"/>
      <c r="M17" s="380">
        <f t="shared" si="0"/>
        <v>297881.7</v>
      </c>
      <c r="N17" s="61">
        <f t="shared" si="2"/>
        <v>2</v>
      </c>
      <c r="O17" s="62"/>
      <c r="P17" s="62"/>
      <c r="Q17" s="62"/>
      <c r="R17" s="62"/>
      <c r="S17" s="974">
        <f>23830535.94*0.1/8</f>
        <v>297881.69925000001</v>
      </c>
      <c r="T17" s="62"/>
      <c r="U17" s="62"/>
      <c r="V17" s="62"/>
      <c r="W17" s="62"/>
      <c r="X17" s="62"/>
      <c r="Y17" s="62"/>
      <c r="Z17" s="62"/>
    </row>
    <row r="18" spans="1:26" ht="15.75" thickBot="1" x14ac:dyDescent="0.3">
      <c r="A18" s="548">
        <f t="shared" si="1"/>
        <v>16</v>
      </c>
      <c r="B18" s="976" t="s">
        <v>167</v>
      </c>
      <c r="C18" s="1032" t="s">
        <v>202</v>
      </c>
      <c r="D18" s="1033">
        <v>74792</v>
      </c>
      <c r="E18" s="352"/>
      <c r="F18" s="352"/>
      <c r="G18" s="352"/>
      <c r="H18" s="352"/>
      <c r="I18" s="352"/>
      <c r="J18" s="352"/>
      <c r="K18" s="61"/>
      <c r="L18" s="670"/>
      <c r="M18" s="380">
        <f t="shared" si="0"/>
        <v>107152.95</v>
      </c>
      <c r="N18" s="61">
        <f t="shared" si="2"/>
        <v>2</v>
      </c>
      <c r="O18" s="62"/>
      <c r="P18" s="62"/>
      <c r="Q18" s="974">
        <f>8572236.34*0.1/8</f>
        <v>107152.95425000001</v>
      </c>
      <c r="R18" s="62"/>
      <c r="S18" s="62"/>
      <c r="T18" s="62"/>
      <c r="U18" s="62"/>
      <c r="V18" s="62"/>
      <c r="W18" s="62"/>
      <c r="X18" s="62"/>
      <c r="Y18" s="62"/>
      <c r="Z18" s="62"/>
    </row>
    <row r="19" spans="1:26" ht="15.75" thickBot="1" x14ac:dyDescent="0.3">
      <c r="A19" s="548">
        <f t="shared" si="1"/>
        <v>17</v>
      </c>
      <c r="B19" s="976" t="s">
        <v>168</v>
      </c>
      <c r="C19" s="1032" t="s">
        <v>202</v>
      </c>
      <c r="D19" s="1033">
        <v>5756.28</v>
      </c>
      <c r="E19" s="777">
        <f>D19*1.32667</f>
        <v>7636.6839875999995</v>
      </c>
      <c r="F19" s="352"/>
      <c r="G19" s="352"/>
      <c r="H19" s="352"/>
      <c r="I19" s="352"/>
      <c r="J19" s="352"/>
      <c r="K19" s="61"/>
      <c r="L19" s="670"/>
      <c r="M19" s="380">
        <f t="shared" si="0"/>
        <v>7636.68</v>
      </c>
      <c r="N19" s="61">
        <f t="shared" si="2"/>
        <v>2</v>
      </c>
      <c r="O19" s="62"/>
      <c r="P19" s="62"/>
      <c r="Q19" s="62"/>
      <c r="R19" s="62"/>
      <c r="S19" s="62"/>
      <c r="T19" s="62"/>
      <c r="U19" s="62"/>
      <c r="V19" s="62"/>
      <c r="W19" s="62"/>
      <c r="X19" s="62"/>
      <c r="Y19" s="62"/>
      <c r="Z19" s="62"/>
    </row>
    <row r="20" spans="1:26" ht="15.75" thickBot="1" x14ac:dyDescent="0.3">
      <c r="A20" s="548">
        <f t="shared" si="1"/>
        <v>18</v>
      </c>
      <c r="B20" s="976" t="s">
        <v>169</v>
      </c>
      <c r="C20" s="1032" t="s">
        <v>202</v>
      </c>
      <c r="D20" s="1033">
        <v>38179.730000000003</v>
      </c>
      <c r="E20" s="352"/>
      <c r="F20" s="352"/>
      <c r="G20" s="352"/>
      <c r="H20" s="352"/>
      <c r="I20" s="352"/>
      <c r="J20" s="352"/>
      <c r="K20" s="61"/>
      <c r="L20" s="670"/>
      <c r="M20" s="380">
        <f t="shared" si="0"/>
        <v>50810.93</v>
      </c>
      <c r="N20" s="61">
        <f t="shared" si="2"/>
        <v>2</v>
      </c>
      <c r="O20" s="62"/>
      <c r="P20" s="62"/>
      <c r="Q20" s="62"/>
      <c r="R20" s="62"/>
      <c r="T20" s="974">
        <f>4064874.48*0.1/8</f>
        <v>50810.931000000004</v>
      </c>
      <c r="U20" s="62"/>
      <c r="V20" s="62"/>
      <c r="W20" s="62"/>
      <c r="X20" s="62"/>
      <c r="Y20" s="62"/>
      <c r="Z20" s="62"/>
    </row>
    <row r="21" spans="1:26" ht="15.75" thickBot="1" x14ac:dyDescent="0.3">
      <c r="A21" s="548">
        <f t="shared" si="1"/>
        <v>19</v>
      </c>
      <c r="B21" s="976" t="s">
        <v>3114</v>
      </c>
      <c r="C21" s="1032" t="s">
        <v>202</v>
      </c>
      <c r="D21" s="1033">
        <v>38179.730000000003</v>
      </c>
      <c r="E21" s="352"/>
      <c r="F21" s="352"/>
      <c r="G21" s="352"/>
      <c r="H21" s="352"/>
      <c r="I21" s="352"/>
      <c r="J21" s="352"/>
      <c r="K21" s="61"/>
      <c r="L21" s="670"/>
      <c r="M21" s="380">
        <f t="shared" si="0"/>
        <v>50810.93</v>
      </c>
      <c r="N21" s="61">
        <f t="shared" si="2"/>
        <v>2</v>
      </c>
      <c r="O21" s="62"/>
      <c r="P21" s="62"/>
      <c r="Q21" s="62"/>
      <c r="R21" s="62"/>
      <c r="S21" s="974"/>
      <c r="T21" s="974">
        <f>4064874.48*0.1/8</f>
        <v>50810.931000000004</v>
      </c>
      <c r="U21" s="62"/>
      <c r="V21" s="62"/>
      <c r="W21" s="62"/>
      <c r="X21" s="62"/>
      <c r="Y21" s="62"/>
      <c r="Z21" s="62"/>
    </row>
    <row r="22" spans="1:26" ht="15.75" thickBot="1" x14ac:dyDescent="0.3">
      <c r="A22" s="548">
        <f t="shared" si="1"/>
        <v>20</v>
      </c>
      <c r="B22" s="976" t="s">
        <v>171</v>
      </c>
      <c r="C22" s="1032" t="s">
        <v>202</v>
      </c>
      <c r="D22" s="1033">
        <v>23805.279999999999</v>
      </c>
      <c r="E22" s="777">
        <f>D22*1.32667</f>
        <v>31581.750817599997</v>
      </c>
      <c r="F22" s="352"/>
      <c r="G22" s="352"/>
      <c r="H22" s="352"/>
      <c r="I22" s="352"/>
      <c r="J22" s="352"/>
      <c r="K22" s="61"/>
      <c r="L22" s="670"/>
      <c r="M22" s="380">
        <f t="shared" si="0"/>
        <v>31581.75</v>
      </c>
      <c r="N22" s="61">
        <f t="shared" si="2"/>
        <v>2</v>
      </c>
      <c r="O22" s="62"/>
      <c r="P22" s="62"/>
      <c r="Q22" s="62"/>
      <c r="R22" s="62"/>
      <c r="S22" s="62"/>
      <c r="T22" s="62"/>
      <c r="U22" s="62"/>
      <c r="V22" s="62"/>
      <c r="W22" s="62"/>
      <c r="X22" s="62"/>
      <c r="Y22" s="62"/>
      <c r="Z22" s="62"/>
    </row>
    <row r="23" spans="1:26" ht="15.75" thickBot="1" x14ac:dyDescent="0.3">
      <c r="A23" s="548">
        <f t="shared" si="1"/>
        <v>21</v>
      </c>
      <c r="B23" s="979" t="s">
        <v>173</v>
      </c>
      <c r="C23" s="1032" t="s">
        <v>202</v>
      </c>
      <c r="D23" s="1034">
        <v>29930.3</v>
      </c>
      <c r="E23" s="777">
        <f>D23*1.32667</f>
        <v>39707.631100999999</v>
      </c>
      <c r="F23" s="352"/>
      <c r="G23" s="352"/>
      <c r="H23" s="352"/>
      <c r="I23" s="352"/>
      <c r="J23" s="352"/>
      <c r="K23" s="61"/>
      <c r="L23" s="352"/>
      <c r="M23" s="380">
        <f t="shared" si="0"/>
        <v>39707.629999999997</v>
      </c>
      <c r="N23" s="61">
        <f t="shared" si="2"/>
        <v>2</v>
      </c>
      <c r="O23" s="62"/>
      <c r="P23" s="62"/>
      <c r="Q23" s="62"/>
      <c r="R23" s="62"/>
      <c r="S23" s="62"/>
      <c r="T23" s="62"/>
      <c r="U23" s="62"/>
      <c r="V23" s="62"/>
      <c r="W23" s="62"/>
      <c r="X23" s="62"/>
      <c r="Y23" s="62"/>
      <c r="Z23" s="62"/>
    </row>
    <row r="24" spans="1:26" ht="15.75" thickBot="1" x14ac:dyDescent="0.3">
      <c r="A24" s="548">
        <f t="shared" si="1"/>
        <v>22</v>
      </c>
      <c r="B24" s="977" t="s">
        <v>149</v>
      </c>
      <c r="C24" s="1035" t="s">
        <v>202</v>
      </c>
      <c r="D24" s="1034">
        <v>4372</v>
      </c>
      <c r="E24" s="777">
        <f>D24*1.32667</f>
        <v>5800.2012400000003</v>
      </c>
      <c r="F24" s="352"/>
      <c r="G24" s="333"/>
      <c r="H24" s="352"/>
      <c r="I24" s="352"/>
      <c r="J24" s="352"/>
      <c r="K24" s="61"/>
      <c r="L24" s="352"/>
      <c r="M24" s="380">
        <f t="shared" si="0"/>
        <v>4047.59</v>
      </c>
      <c r="N24" s="61">
        <f t="shared" si="2"/>
        <v>3</v>
      </c>
      <c r="O24" s="62"/>
      <c r="P24" s="62"/>
      <c r="Q24" s="62"/>
      <c r="R24" s="974">
        <f>2753980/1200</f>
        <v>2294.9833333333331</v>
      </c>
      <c r="S24" s="62"/>
      <c r="T24" s="62"/>
      <c r="U24" s="62"/>
      <c r="V24" s="62"/>
      <c r="W24" s="62"/>
      <c r="X24" s="62"/>
      <c r="Y24" s="62"/>
      <c r="Z24" s="62"/>
    </row>
    <row r="25" spans="1:26" ht="15.75" thickBot="1" x14ac:dyDescent="0.3">
      <c r="A25" s="548">
        <f t="shared" si="1"/>
        <v>23</v>
      </c>
      <c r="B25" s="977" t="s">
        <v>2899</v>
      </c>
      <c r="C25" s="1035" t="s">
        <v>202</v>
      </c>
      <c r="D25" s="1034">
        <v>3544.07</v>
      </c>
      <c r="E25" s="777">
        <f>D25*1.32667</f>
        <v>4701.8113469</v>
      </c>
      <c r="F25" s="352"/>
      <c r="G25" s="352"/>
      <c r="H25" s="352"/>
      <c r="I25" s="352"/>
      <c r="J25" s="352"/>
      <c r="K25" s="61"/>
      <c r="L25" s="352"/>
      <c r="M25" s="380">
        <f t="shared" si="0"/>
        <v>4701.8100000000004</v>
      </c>
      <c r="N25" s="61">
        <f t="shared" si="2"/>
        <v>2</v>
      </c>
      <c r="O25" s="62"/>
      <c r="P25" s="62"/>
      <c r="Q25" s="62"/>
      <c r="R25" s="62"/>
      <c r="S25" s="62"/>
      <c r="T25" s="62"/>
      <c r="U25" s="62"/>
      <c r="V25" s="62"/>
      <c r="W25" s="62"/>
      <c r="X25" s="62"/>
      <c r="Y25" s="62"/>
      <c r="Z25" s="62"/>
    </row>
    <row r="26" spans="1:26" ht="15.75" thickBot="1" x14ac:dyDescent="0.3">
      <c r="A26" s="548">
        <f t="shared" si="1"/>
        <v>24</v>
      </c>
      <c r="B26" s="977" t="s">
        <v>206</v>
      </c>
      <c r="C26" s="1032" t="s">
        <v>202</v>
      </c>
      <c r="D26" s="1033">
        <v>5220.5</v>
      </c>
      <c r="E26" s="777">
        <f>D26*1.32667</f>
        <v>6925.8807349999997</v>
      </c>
      <c r="F26" s="352"/>
      <c r="G26" s="352"/>
      <c r="H26" s="352"/>
      <c r="I26" s="352"/>
      <c r="J26" s="352"/>
      <c r="K26" s="61"/>
      <c r="L26" s="670"/>
      <c r="M26" s="380">
        <f t="shared" si="0"/>
        <v>6925.88</v>
      </c>
      <c r="N26" s="61">
        <f t="shared" si="2"/>
        <v>2</v>
      </c>
      <c r="O26" s="62"/>
      <c r="P26" s="62"/>
      <c r="Q26" s="62"/>
      <c r="R26" s="62"/>
      <c r="S26" s="62"/>
      <c r="T26" s="62"/>
      <c r="U26" s="62"/>
      <c r="V26" s="62"/>
      <c r="W26" s="62"/>
      <c r="X26" s="62"/>
      <c r="Y26" s="62"/>
      <c r="Z26" s="62"/>
    </row>
    <row r="27" spans="1:26" ht="15.75" thickBot="1" x14ac:dyDescent="0.3">
      <c r="A27" s="548">
        <f t="shared" si="1"/>
        <v>25</v>
      </c>
      <c r="B27" s="977" t="s">
        <v>205</v>
      </c>
      <c r="C27" s="1032" t="s">
        <v>202</v>
      </c>
      <c r="D27" s="1033">
        <v>5521</v>
      </c>
      <c r="E27" s="352"/>
      <c r="F27" s="352"/>
      <c r="G27" s="777">
        <f>38900/8</f>
        <v>4862.5</v>
      </c>
      <c r="H27" s="352"/>
      <c r="I27" s="670"/>
      <c r="J27" s="352"/>
      <c r="K27" s="61"/>
      <c r="L27" s="670"/>
      <c r="M27" s="380">
        <f t="shared" si="0"/>
        <v>4862.5</v>
      </c>
      <c r="N27" s="61">
        <f t="shared" si="2"/>
        <v>2</v>
      </c>
      <c r="O27" s="62"/>
      <c r="P27" s="62"/>
      <c r="Q27" s="62"/>
      <c r="R27" s="62"/>
      <c r="S27" s="62"/>
      <c r="T27" s="62"/>
      <c r="U27" s="62"/>
      <c r="V27" s="62"/>
      <c r="W27" s="62"/>
      <c r="X27" s="62"/>
      <c r="Y27" s="62"/>
      <c r="Z27" s="62"/>
    </row>
    <row r="28" spans="1:26" ht="15.75" thickBot="1" x14ac:dyDescent="0.3">
      <c r="A28" s="548">
        <f t="shared" si="1"/>
        <v>26</v>
      </c>
      <c r="B28" s="977" t="s">
        <v>319</v>
      </c>
      <c r="C28" s="1032" t="s">
        <v>202</v>
      </c>
      <c r="D28" s="1034">
        <v>1489.25</v>
      </c>
      <c r="E28" s="352"/>
      <c r="F28" s="352"/>
      <c r="G28" s="984"/>
      <c r="H28" s="352"/>
      <c r="I28" s="352"/>
      <c r="J28" s="352"/>
      <c r="K28" s="61"/>
      <c r="L28" s="352"/>
      <c r="M28" s="380">
        <f t="shared" si="0"/>
        <v>0</v>
      </c>
      <c r="N28" s="61">
        <f t="shared" si="2"/>
        <v>1</v>
      </c>
      <c r="O28" s="62"/>
      <c r="P28" s="62"/>
      <c r="Q28" s="62"/>
      <c r="R28" s="62"/>
      <c r="S28" s="62"/>
      <c r="T28" s="62"/>
      <c r="U28" s="62"/>
      <c r="V28" s="62"/>
      <c r="W28" s="62"/>
      <c r="X28" s="62"/>
      <c r="Y28" s="62"/>
      <c r="Z28" s="62"/>
    </row>
    <row r="29" spans="1:26" ht="15.75" thickBot="1" x14ac:dyDescent="0.3">
      <c r="A29" s="548">
        <f t="shared" si="1"/>
        <v>27</v>
      </c>
      <c r="B29" s="976" t="s">
        <v>313</v>
      </c>
      <c r="C29" s="1032" t="s">
        <v>202</v>
      </c>
      <c r="D29" s="1034">
        <v>3090</v>
      </c>
      <c r="E29" s="777">
        <f>D29*1.32667</f>
        <v>4099.4103000000005</v>
      </c>
      <c r="F29" s="352"/>
      <c r="G29" s="352"/>
      <c r="H29" s="352"/>
      <c r="I29" s="352"/>
      <c r="J29" s="352"/>
      <c r="K29" s="61"/>
      <c r="L29" s="352"/>
      <c r="M29" s="380">
        <f t="shared" si="0"/>
        <v>4099.41</v>
      </c>
      <c r="N29" s="61">
        <f t="shared" si="2"/>
        <v>2</v>
      </c>
      <c r="O29" s="62"/>
      <c r="P29" s="62"/>
      <c r="Q29" s="62"/>
      <c r="R29" s="62"/>
      <c r="S29" s="62"/>
      <c r="T29" s="62"/>
      <c r="U29" s="62"/>
      <c r="V29" s="62"/>
      <c r="W29" s="62"/>
      <c r="X29" s="62"/>
      <c r="Y29" s="62"/>
      <c r="Z29" s="62"/>
    </row>
    <row r="30" spans="1:26" ht="15.75" thickBot="1" x14ac:dyDescent="0.3">
      <c r="A30" s="548">
        <f t="shared" si="1"/>
        <v>28</v>
      </c>
      <c r="B30" s="977" t="s">
        <v>203</v>
      </c>
      <c r="C30" s="1032" t="s">
        <v>202</v>
      </c>
      <c r="D30" s="1034">
        <v>91847.5</v>
      </c>
      <c r="E30" s="352"/>
      <c r="F30" s="352"/>
      <c r="G30" s="777">
        <v>80859</v>
      </c>
      <c r="H30" s="352"/>
      <c r="I30" s="352"/>
      <c r="J30" s="352"/>
      <c r="K30" s="61"/>
      <c r="L30" s="352"/>
      <c r="M30" s="380">
        <f t="shared" si="0"/>
        <v>80859</v>
      </c>
      <c r="N30" s="61">
        <f t="shared" si="2"/>
        <v>2</v>
      </c>
      <c r="O30" s="62"/>
      <c r="P30" s="62"/>
      <c r="Q30" s="62"/>
      <c r="R30" s="62"/>
      <c r="S30" s="62"/>
      <c r="T30" s="62"/>
      <c r="U30" s="62"/>
      <c r="V30" s="62"/>
      <c r="W30" s="62"/>
      <c r="X30" s="62"/>
      <c r="Y30" s="62"/>
      <c r="Z30" s="62"/>
    </row>
    <row r="31" spans="1:26" ht="15.75" thickBot="1" x14ac:dyDescent="0.3">
      <c r="A31" s="548">
        <f t="shared" si="1"/>
        <v>29</v>
      </c>
      <c r="B31" s="977" t="s">
        <v>146</v>
      </c>
      <c r="C31" s="1032" t="s">
        <v>202</v>
      </c>
      <c r="D31" s="1034">
        <v>78757</v>
      </c>
      <c r="E31" s="352"/>
      <c r="F31" s="352"/>
      <c r="G31" s="777">
        <v>227008</v>
      </c>
      <c r="H31" s="352"/>
      <c r="I31" s="352"/>
      <c r="J31" s="352"/>
      <c r="K31" s="61"/>
      <c r="L31" s="352"/>
      <c r="M31" s="380">
        <f t="shared" si="0"/>
        <v>227008</v>
      </c>
      <c r="N31" s="61">
        <f t="shared" si="2"/>
        <v>2</v>
      </c>
      <c r="O31" s="62"/>
      <c r="P31" s="62"/>
      <c r="Q31" s="62"/>
      <c r="R31" s="62"/>
      <c r="S31" s="62"/>
      <c r="T31" s="62"/>
      <c r="U31" s="62"/>
      <c r="V31" s="62"/>
      <c r="W31" s="62"/>
      <c r="X31" s="62"/>
      <c r="Y31" s="62"/>
      <c r="Z31" s="62"/>
    </row>
    <row r="32" spans="1:26" ht="15.75" thickBot="1" x14ac:dyDescent="0.3">
      <c r="A32" s="548">
        <f t="shared" si="1"/>
        <v>30</v>
      </c>
      <c r="B32" s="977" t="s">
        <v>201</v>
      </c>
      <c r="C32" s="1032" t="s">
        <v>202</v>
      </c>
      <c r="D32" s="1034">
        <v>0</v>
      </c>
      <c r="E32" s="352"/>
      <c r="F32" s="352"/>
      <c r="G32" s="352"/>
      <c r="H32" s="352"/>
      <c r="I32" s="352"/>
      <c r="J32" s="352"/>
      <c r="K32" s="61"/>
      <c r="L32" s="352"/>
      <c r="M32" s="380">
        <f t="shared" si="0"/>
        <v>0</v>
      </c>
      <c r="N32" s="61">
        <f t="shared" si="2"/>
        <v>1</v>
      </c>
      <c r="O32" s="62"/>
      <c r="P32" s="62"/>
      <c r="Q32" s="62"/>
      <c r="R32" s="62"/>
      <c r="S32" s="62"/>
      <c r="T32" s="62"/>
      <c r="U32" s="62"/>
      <c r="V32" s="62"/>
      <c r="W32" s="62"/>
      <c r="X32" s="62"/>
      <c r="Y32" s="62"/>
      <c r="Z32" s="62"/>
    </row>
    <row r="33" spans="1:26" ht="15.75" thickBot="1" x14ac:dyDescent="0.3">
      <c r="A33" s="548">
        <f t="shared" si="1"/>
        <v>31</v>
      </c>
      <c r="B33" s="977" t="s">
        <v>151</v>
      </c>
      <c r="C33" s="1032" t="s">
        <v>177</v>
      </c>
      <c r="D33" s="1034">
        <v>0</v>
      </c>
      <c r="E33" s="352"/>
      <c r="F33" s="352"/>
      <c r="G33" s="352"/>
      <c r="H33" s="352"/>
      <c r="I33" s="352"/>
      <c r="J33" s="352"/>
      <c r="K33" s="61"/>
      <c r="L33" s="352"/>
      <c r="M33" s="380">
        <f t="shared" si="0"/>
        <v>0</v>
      </c>
      <c r="N33" s="61">
        <f t="shared" si="2"/>
        <v>1</v>
      </c>
      <c r="O33" s="62"/>
      <c r="P33" s="62"/>
      <c r="Q33" s="62"/>
      <c r="R33" s="62"/>
      <c r="S33" s="62"/>
      <c r="T33" s="62"/>
      <c r="U33" s="62"/>
      <c r="V33" s="62"/>
      <c r="W33" s="62"/>
      <c r="X33" s="62"/>
      <c r="Y33" s="62"/>
      <c r="Z33" s="62"/>
    </row>
    <row r="34" spans="1:26" ht="15.75" thickBot="1" x14ac:dyDescent="0.3">
      <c r="A34" s="548">
        <f t="shared" si="1"/>
        <v>32</v>
      </c>
      <c r="B34" s="977" t="s">
        <v>315</v>
      </c>
      <c r="C34" s="1032" t="s">
        <v>202</v>
      </c>
      <c r="D34" s="1034">
        <v>6667.33</v>
      </c>
      <c r="E34" s="352"/>
      <c r="F34" s="352"/>
      <c r="G34" s="777">
        <v>7065</v>
      </c>
      <c r="H34" s="352"/>
      <c r="I34" s="352"/>
      <c r="J34" s="352"/>
      <c r="K34" s="61"/>
      <c r="L34" s="352"/>
      <c r="M34" s="380">
        <f t="shared" si="0"/>
        <v>7065</v>
      </c>
      <c r="N34" s="61">
        <f t="shared" si="2"/>
        <v>2</v>
      </c>
      <c r="O34" s="62"/>
      <c r="P34" s="62"/>
      <c r="Q34" s="62"/>
      <c r="R34" s="62"/>
      <c r="S34" s="62"/>
      <c r="T34" s="62"/>
      <c r="U34" s="62"/>
      <c r="V34" s="62"/>
      <c r="W34" s="62"/>
      <c r="X34" s="62"/>
      <c r="Y34" s="62"/>
      <c r="Z34" s="62"/>
    </row>
    <row r="35" spans="1:26" ht="15.75" thickBot="1" x14ac:dyDescent="0.3">
      <c r="A35" s="548">
        <f t="shared" si="1"/>
        <v>33</v>
      </c>
      <c r="B35" s="980" t="s">
        <v>204</v>
      </c>
      <c r="C35" s="1032" t="s">
        <v>202</v>
      </c>
      <c r="D35" s="1034">
        <v>15113</v>
      </c>
      <c r="E35" s="777">
        <f>D35*1.32667</f>
        <v>20049.96371</v>
      </c>
      <c r="F35" s="352"/>
      <c r="G35" s="352"/>
      <c r="H35" s="352"/>
      <c r="I35" s="352"/>
      <c r="J35" s="352"/>
      <c r="K35" s="61"/>
      <c r="L35" s="352"/>
      <c r="M35" s="380">
        <f t="shared" ref="M35:M61" si="3">+IFERROR(ROUND(AVERAGE(E35:L35,O35:Z35),2),0)</f>
        <v>20049.96</v>
      </c>
      <c r="N35" s="61">
        <f t="shared" si="2"/>
        <v>2</v>
      </c>
      <c r="O35" s="62"/>
      <c r="P35" s="62"/>
      <c r="Q35" s="62"/>
      <c r="R35" s="62"/>
      <c r="S35" s="62"/>
      <c r="T35" s="62"/>
      <c r="U35" s="62"/>
      <c r="V35" s="62"/>
      <c r="W35" s="62"/>
      <c r="X35" s="62"/>
      <c r="Y35" s="62"/>
      <c r="Z35" s="62"/>
    </row>
    <row r="36" spans="1:26" ht="15.75" thickBot="1" x14ac:dyDescent="0.3">
      <c r="A36" s="548">
        <f t="shared" si="1"/>
        <v>34</v>
      </c>
      <c r="B36" s="977" t="s">
        <v>152</v>
      </c>
      <c r="C36" s="1032" t="s">
        <v>202</v>
      </c>
      <c r="D36" s="1034">
        <v>6983.25</v>
      </c>
      <c r="E36" s="352"/>
      <c r="F36" s="352"/>
      <c r="G36" s="777">
        <v>11792</v>
      </c>
      <c r="H36" s="352"/>
      <c r="I36" s="777">
        <f>110000/8</f>
        <v>13750</v>
      </c>
      <c r="J36" s="352"/>
      <c r="K36" s="61"/>
      <c r="L36" s="352"/>
      <c r="M36" s="380">
        <f t="shared" si="3"/>
        <v>12771</v>
      </c>
      <c r="N36" s="61">
        <f t="shared" ref="N36:N61" si="4">+COUNTA(D36:L36,O36:Z36)</f>
        <v>3</v>
      </c>
      <c r="O36" s="62"/>
      <c r="P36" s="62"/>
      <c r="Q36" s="62"/>
      <c r="R36" s="62"/>
      <c r="S36" s="62"/>
      <c r="T36" s="62"/>
      <c r="U36" s="62"/>
      <c r="V36" s="62"/>
      <c r="W36" s="62"/>
      <c r="X36" s="62"/>
      <c r="Y36" s="62"/>
      <c r="Z36" s="62"/>
    </row>
    <row r="37" spans="1:26" ht="15.75" thickBot="1" x14ac:dyDescent="0.3">
      <c r="A37" s="548">
        <f t="shared" si="1"/>
        <v>35</v>
      </c>
      <c r="B37" s="976" t="s">
        <v>174</v>
      </c>
      <c r="C37" s="1032" t="s">
        <v>202</v>
      </c>
      <c r="D37" s="1034">
        <v>70137.47</v>
      </c>
      <c r="E37" s="352"/>
      <c r="F37" s="352"/>
      <c r="G37" s="777">
        <f>45542/8</f>
        <v>5692.75</v>
      </c>
      <c r="H37" s="352"/>
      <c r="I37" s="352"/>
      <c r="J37" s="352"/>
      <c r="K37" s="61"/>
      <c r="L37" s="352"/>
      <c r="M37" s="380">
        <f t="shared" si="3"/>
        <v>5692.75</v>
      </c>
      <c r="N37" s="61">
        <f t="shared" si="4"/>
        <v>2</v>
      </c>
      <c r="O37" s="62"/>
      <c r="P37" s="62"/>
      <c r="Q37" s="62"/>
      <c r="R37" s="62"/>
      <c r="S37" s="62"/>
      <c r="T37" s="62"/>
      <c r="U37" s="62"/>
      <c r="V37" s="62"/>
      <c r="W37" s="62"/>
      <c r="X37" s="62"/>
      <c r="Y37" s="62"/>
      <c r="Z37" s="62"/>
    </row>
    <row r="38" spans="1:26" ht="17.25" thickBot="1" x14ac:dyDescent="0.35">
      <c r="A38" s="548">
        <f t="shared" si="1"/>
        <v>36</v>
      </c>
      <c r="B38" s="977" t="s">
        <v>317</v>
      </c>
      <c r="C38" s="1032" t="s">
        <v>202</v>
      </c>
      <c r="D38" s="1034">
        <v>128.06</v>
      </c>
      <c r="E38" s="352"/>
      <c r="F38" s="549"/>
      <c r="G38" s="352"/>
      <c r="H38" s="352"/>
      <c r="I38" s="549"/>
      <c r="J38" s="352"/>
      <c r="K38" s="61"/>
      <c r="L38" s="352"/>
      <c r="M38" s="380">
        <f t="shared" si="3"/>
        <v>276.60000000000002</v>
      </c>
      <c r="N38" s="61">
        <f t="shared" si="4"/>
        <v>2</v>
      </c>
      <c r="O38" s="62"/>
      <c r="P38" s="62"/>
      <c r="Q38" s="62"/>
      <c r="R38" s="62"/>
      <c r="S38" s="62"/>
      <c r="T38" s="62"/>
      <c r="U38" s="62"/>
      <c r="V38" s="62"/>
      <c r="W38" s="62"/>
      <c r="X38" s="974">
        <f>331917/1200</f>
        <v>276.59750000000003</v>
      </c>
      <c r="Y38" s="62"/>
      <c r="Z38" s="62"/>
    </row>
    <row r="39" spans="1:26" ht="15.75" thickBot="1" x14ac:dyDescent="0.3">
      <c r="A39" s="548">
        <f t="shared" si="1"/>
        <v>37</v>
      </c>
      <c r="B39" s="977" t="s">
        <v>314</v>
      </c>
      <c r="C39" s="1032" t="s">
        <v>202</v>
      </c>
      <c r="D39" s="1034">
        <v>2844.93</v>
      </c>
      <c r="E39" s="352"/>
      <c r="F39" s="352"/>
      <c r="G39" s="777">
        <v>2142</v>
      </c>
      <c r="H39" s="352"/>
      <c r="I39" s="777">
        <f>28000/8</f>
        <v>3500</v>
      </c>
      <c r="J39" s="352"/>
      <c r="K39" s="61"/>
      <c r="L39" s="352"/>
      <c r="M39" s="380">
        <f t="shared" si="3"/>
        <v>2821</v>
      </c>
      <c r="N39" s="61">
        <f t="shared" si="4"/>
        <v>3</v>
      </c>
      <c r="O39" s="62"/>
      <c r="P39" s="62"/>
      <c r="Q39" s="62"/>
      <c r="R39" s="62"/>
      <c r="S39" s="62"/>
      <c r="T39" s="62"/>
      <c r="U39" s="62"/>
      <c r="V39" s="62"/>
      <c r="W39" s="62"/>
      <c r="X39" s="62"/>
      <c r="Y39" s="62"/>
      <c r="Z39" s="62"/>
    </row>
    <row r="40" spans="1:26" ht="15.75" thickBot="1" x14ac:dyDescent="0.3">
      <c r="A40" s="548">
        <f t="shared" si="1"/>
        <v>38</v>
      </c>
      <c r="B40" s="977" t="s">
        <v>318</v>
      </c>
      <c r="C40" s="1032" t="s">
        <v>202</v>
      </c>
      <c r="D40" s="1034">
        <v>473.22</v>
      </c>
      <c r="E40" s="352"/>
      <c r="F40" s="352"/>
      <c r="G40" s="352"/>
      <c r="H40" s="352"/>
      <c r="I40" s="777">
        <f>79900*0.1/8</f>
        <v>998.75</v>
      </c>
      <c r="J40" s="352"/>
      <c r="K40" s="61"/>
      <c r="L40" s="352"/>
      <c r="M40" s="380">
        <f t="shared" si="3"/>
        <v>998.75</v>
      </c>
      <c r="N40" s="61">
        <f t="shared" si="4"/>
        <v>2</v>
      </c>
      <c r="O40" s="62"/>
      <c r="P40" s="62"/>
      <c r="Q40" s="62"/>
      <c r="R40" s="62"/>
      <c r="S40" s="62"/>
      <c r="T40" s="62"/>
      <c r="U40" s="62"/>
      <c r="V40" s="62"/>
      <c r="W40" s="62"/>
      <c r="X40" s="62"/>
      <c r="Y40" s="62"/>
      <c r="Z40" s="62"/>
    </row>
    <row r="41" spans="1:26" ht="15.75" thickBot="1" x14ac:dyDescent="0.3">
      <c r="A41" s="548">
        <f t="shared" si="1"/>
        <v>39</v>
      </c>
      <c r="B41" s="977" t="s">
        <v>321</v>
      </c>
      <c r="C41" s="1032" t="s">
        <v>202</v>
      </c>
      <c r="D41" s="1034">
        <v>930.58</v>
      </c>
      <c r="E41" s="352"/>
      <c r="F41" s="352"/>
      <c r="G41" s="777">
        <f>85720/8</f>
        <v>10715</v>
      </c>
      <c r="H41" s="352"/>
      <c r="I41" s="352"/>
      <c r="J41" s="352"/>
      <c r="K41" s="61"/>
      <c r="L41" s="352"/>
      <c r="M41" s="380">
        <f t="shared" si="3"/>
        <v>10715</v>
      </c>
      <c r="N41" s="61">
        <f t="shared" si="4"/>
        <v>2</v>
      </c>
      <c r="O41" s="62"/>
      <c r="P41" s="62"/>
      <c r="Q41" s="62"/>
      <c r="R41" s="62"/>
      <c r="S41" s="62"/>
      <c r="T41" s="62"/>
      <c r="U41" s="62"/>
      <c r="V41" s="62"/>
      <c r="W41" s="62"/>
      <c r="X41" s="62"/>
      <c r="Y41" s="62"/>
      <c r="Z41" s="62"/>
    </row>
    <row r="42" spans="1:26" ht="15.75" thickBot="1" x14ac:dyDescent="0.3">
      <c r="A42" s="548">
        <f t="shared" si="1"/>
        <v>40</v>
      </c>
      <c r="B42" s="976" t="s">
        <v>162</v>
      </c>
      <c r="C42" s="1032" t="s">
        <v>202</v>
      </c>
      <c r="D42" s="1034">
        <v>0</v>
      </c>
      <c r="E42" s="352"/>
      <c r="F42" s="352"/>
      <c r="G42" s="352"/>
      <c r="H42" s="352"/>
      <c r="I42" s="352"/>
      <c r="J42" s="352"/>
      <c r="K42" s="61"/>
      <c r="L42" s="352"/>
      <c r="M42" s="380">
        <f t="shared" si="3"/>
        <v>0</v>
      </c>
      <c r="N42" s="61">
        <f t="shared" si="4"/>
        <v>1</v>
      </c>
      <c r="O42" s="62"/>
      <c r="P42" s="62"/>
      <c r="Q42" s="62"/>
      <c r="R42" s="62"/>
      <c r="S42" s="62"/>
      <c r="T42" s="62"/>
      <c r="U42" s="62"/>
      <c r="V42" s="62"/>
      <c r="W42" s="62"/>
      <c r="X42" s="62"/>
      <c r="Y42" s="62"/>
      <c r="Z42" s="62"/>
    </row>
    <row r="43" spans="1:26" ht="15.75" thickBot="1" x14ac:dyDescent="0.3">
      <c r="A43" s="548">
        <f t="shared" si="1"/>
        <v>41</v>
      </c>
      <c r="B43" s="977" t="s">
        <v>150</v>
      </c>
      <c r="C43" s="1035" t="s">
        <v>202</v>
      </c>
      <c r="D43" s="1034">
        <v>3958</v>
      </c>
      <c r="E43" s="352"/>
      <c r="F43" s="352"/>
      <c r="G43" s="777">
        <v>4898</v>
      </c>
      <c r="H43" s="352"/>
      <c r="I43" s="352"/>
      <c r="J43" s="352"/>
      <c r="K43" s="61"/>
      <c r="L43" s="352"/>
      <c r="M43" s="380">
        <f t="shared" si="3"/>
        <v>4898</v>
      </c>
      <c r="N43" s="61">
        <f t="shared" si="4"/>
        <v>2</v>
      </c>
      <c r="O43" s="62"/>
      <c r="P43" s="62"/>
      <c r="Q43" s="62"/>
      <c r="R43" s="62"/>
      <c r="S43" s="62"/>
      <c r="T43" s="62"/>
      <c r="U43" s="62"/>
      <c r="V43" s="62"/>
      <c r="W43" s="62"/>
      <c r="X43" s="62"/>
      <c r="Y43" s="62"/>
      <c r="Z43" s="62"/>
    </row>
    <row r="44" spans="1:26" ht="15.75" thickBot="1" x14ac:dyDescent="0.3">
      <c r="A44" s="548">
        <f t="shared" si="1"/>
        <v>42</v>
      </c>
      <c r="B44" s="977" t="s">
        <v>3126</v>
      </c>
      <c r="C44" s="1032" t="s">
        <v>202</v>
      </c>
      <c r="D44" s="1034">
        <v>4379.72</v>
      </c>
      <c r="E44" s="352"/>
      <c r="F44" s="352"/>
      <c r="G44" s="777">
        <v>3750</v>
      </c>
      <c r="H44" s="352"/>
      <c r="I44" s="964">
        <f>29000/8</f>
        <v>3625</v>
      </c>
      <c r="J44" s="352"/>
      <c r="K44" s="61"/>
      <c r="L44" s="352"/>
      <c r="M44" s="380">
        <f t="shared" si="3"/>
        <v>3687.5</v>
      </c>
      <c r="N44" s="61">
        <f t="shared" si="4"/>
        <v>3</v>
      </c>
      <c r="O44" s="62"/>
      <c r="P44" s="62"/>
      <c r="Q44" s="62"/>
      <c r="R44" s="62"/>
      <c r="S44" s="62"/>
      <c r="T44" s="62"/>
      <c r="U44" s="62"/>
      <c r="V44" s="62"/>
      <c r="W44" s="62"/>
      <c r="X44" s="62"/>
      <c r="Y44" s="62"/>
      <c r="Z44" s="62"/>
    </row>
    <row r="45" spans="1:26" ht="15.75" thickBot="1" x14ac:dyDescent="0.3">
      <c r="A45" s="548">
        <f t="shared" si="1"/>
        <v>43</v>
      </c>
      <c r="B45" s="978" t="s">
        <v>310</v>
      </c>
      <c r="C45" s="1035" t="s">
        <v>202</v>
      </c>
      <c r="D45" s="1034">
        <v>4895.55</v>
      </c>
      <c r="E45" s="352"/>
      <c r="F45" s="352"/>
      <c r="G45" s="777">
        <v>2559</v>
      </c>
      <c r="H45" s="352"/>
      <c r="I45" s="777">
        <f>40000/8</f>
        <v>5000</v>
      </c>
      <c r="J45" s="352"/>
      <c r="K45" s="61"/>
      <c r="L45" s="352"/>
      <c r="M45" s="380">
        <f t="shared" si="3"/>
        <v>3779.5</v>
      </c>
      <c r="N45" s="61">
        <f t="shared" si="4"/>
        <v>3</v>
      </c>
      <c r="O45" s="62"/>
      <c r="P45" s="62"/>
      <c r="Q45" s="62"/>
      <c r="R45" s="62"/>
      <c r="S45" s="62"/>
      <c r="T45" s="62"/>
      <c r="U45" s="62"/>
      <c r="V45" s="62"/>
      <c r="W45" s="62"/>
      <c r="X45" s="62"/>
      <c r="Y45" s="62"/>
      <c r="Z45" s="62"/>
    </row>
    <row r="46" spans="1:26" ht="15.75" thickBot="1" x14ac:dyDescent="0.3">
      <c r="A46" s="548">
        <f t="shared" si="1"/>
        <v>44</v>
      </c>
      <c r="B46" s="978" t="s">
        <v>3065</v>
      </c>
      <c r="C46" s="1035" t="s">
        <v>202</v>
      </c>
      <c r="D46" s="1034">
        <v>3683</v>
      </c>
      <c r="E46" s="777">
        <f>PMT!I51</f>
        <v>13222</v>
      </c>
      <c r="F46" s="352"/>
      <c r="G46" s="352"/>
      <c r="H46" s="352"/>
      <c r="I46" s="352"/>
      <c r="J46" s="352"/>
      <c r="K46" s="61"/>
      <c r="L46" s="352"/>
      <c r="M46" s="380">
        <f t="shared" si="3"/>
        <v>13222</v>
      </c>
      <c r="N46" s="61">
        <f t="shared" si="4"/>
        <v>2</v>
      </c>
      <c r="O46" s="62"/>
      <c r="P46" s="62"/>
      <c r="Q46" s="62"/>
      <c r="R46" s="62"/>
      <c r="S46" s="62"/>
      <c r="T46" s="62"/>
      <c r="U46" s="62"/>
      <c r="V46" s="62"/>
      <c r="W46" s="62"/>
      <c r="X46" s="62"/>
      <c r="Y46" s="62"/>
      <c r="Z46" s="977"/>
    </row>
    <row r="47" spans="1:26" ht="15.75" thickBot="1" x14ac:dyDescent="0.3">
      <c r="A47" s="548">
        <f t="shared" si="1"/>
        <v>45</v>
      </c>
      <c r="B47" s="978" t="s">
        <v>3067</v>
      </c>
      <c r="C47" s="1035" t="s">
        <v>202</v>
      </c>
      <c r="D47" s="1034">
        <v>0</v>
      </c>
      <c r="E47" s="352"/>
      <c r="F47" s="352"/>
      <c r="G47" s="352"/>
      <c r="H47" s="352"/>
      <c r="I47" s="352"/>
      <c r="J47" s="352"/>
      <c r="K47" s="61"/>
      <c r="L47" s="352"/>
      <c r="M47" s="380">
        <f t="shared" si="3"/>
        <v>0</v>
      </c>
      <c r="N47" s="61">
        <f t="shared" si="4"/>
        <v>1</v>
      </c>
      <c r="O47" s="62"/>
      <c r="P47" s="62"/>
      <c r="Q47" s="62"/>
      <c r="R47" s="62"/>
      <c r="S47" s="62"/>
      <c r="T47" s="62"/>
      <c r="U47" s="62"/>
      <c r="V47" s="62"/>
      <c r="W47" s="62"/>
      <c r="X47" s="62"/>
      <c r="Y47" s="62"/>
      <c r="Z47" s="62"/>
    </row>
    <row r="48" spans="1:26" ht="15.75" thickBot="1" x14ac:dyDescent="0.3">
      <c r="A48" s="548">
        <f t="shared" si="1"/>
        <v>46</v>
      </c>
      <c r="B48" s="978" t="s">
        <v>3068</v>
      </c>
      <c r="C48" s="1035" t="s">
        <v>202</v>
      </c>
      <c r="D48" s="1034">
        <v>0</v>
      </c>
      <c r="E48" s="352"/>
      <c r="F48" s="352"/>
      <c r="G48" s="352"/>
      <c r="H48" s="352"/>
      <c r="I48" s="352"/>
      <c r="J48" s="352"/>
      <c r="K48" s="61"/>
      <c r="L48" s="352"/>
      <c r="M48" s="380">
        <f t="shared" si="3"/>
        <v>8665.57</v>
      </c>
      <c r="N48" s="61">
        <f t="shared" si="4"/>
        <v>2</v>
      </c>
      <c r="O48" s="62"/>
      <c r="P48" s="974">
        <f>10398685.44/1200</f>
        <v>8665.5712000000003</v>
      </c>
      <c r="Q48" s="62"/>
      <c r="R48" s="62"/>
      <c r="S48" s="62"/>
      <c r="T48" s="62"/>
      <c r="U48" s="62"/>
      <c r="V48" s="62"/>
      <c r="W48" s="62"/>
      <c r="X48" s="62"/>
      <c r="Y48" s="62"/>
      <c r="Z48" s="62"/>
    </row>
    <row r="49" spans="1:26" ht="15.75" thickBot="1" x14ac:dyDescent="0.3">
      <c r="A49" s="548">
        <f t="shared" si="1"/>
        <v>47</v>
      </c>
      <c r="B49" s="978" t="s">
        <v>3117</v>
      </c>
      <c r="C49" s="1035" t="s">
        <v>202</v>
      </c>
      <c r="D49" s="1034">
        <v>11972.12</v>
      </c>
      <c r="E49" s="777">
        <f>D49*1.32667</f>
        <v>15883.052440400001</v>
      </c>
      <c r="F49" s="352"/>
      <c r="G49" s="352"/>
      <c r="H49" s="352"/>
      <c r="I49" s="352"/>
      <c r="J49" s="352"/>
      <c r="K49" s="61"/>
      <c r="L49" s="352"/>
      <c r="M49" s="380">
        <f t="shared" si="3"/>
        <v>15883.05</v>
      </c>
      <c r="N49" s="61">
        <f t="shared" si="4"/>
        <v>2</v>
      </c>
      <c r="O49" s="62"/>
      <c r="P49" s="62"/>
      <c r="Q49" s="62"/>
      <c r="R49" s="62"/>
      <c r="S49" s="62"/>
      <c r="T49" s="62"/>
      <c r="U49" s="62"/>
      <c r="V49" s="62"/>
      <c r="W49" s="62"/>
      <c r="X49" s="62"/>
      <c r="Y49" s="62"/>
      <c r="Z49" s="62"/>
    </row>
    <row r="50" spans="1:26" ht="15.75" thickBot="1" x14ac:dyDescent="0.3">
      <c r="A50" s="548">
        <f t="shared" si="1"/>
        <v>48</v>
      </c>
      <c r="B50" s="981" t="s">
        <v>3071</v>
      </c>
      <c r="C50" s="1035" t="s">
        <v>3362</v>
      </c>
      <c r="D50" s="1034">
        <v>1288</v>
      </c>
      <c r="E50" s="777">
        <f>D50*1.32667</f>
        <v>1708.7509600000001</v>
      </c>
      <c r="F50" s="352"/>
      <c r="G50" s="352"/>
      <c r="H50" s="352"/>
      <c r="I50" s="352"/>
      <c r="J50" s="352"/>
      <c r="K50" s="61"/>
      <c r="L50" s="352"/>
      <c r="M50" s="380">
        <f t="shared" si="3"/>
        <v>1708.75</v>
      </c>
      <c r="N50" s="61">
        <f t="shared" si="4"/>
        <v>2</v>
      </c>
      <c r="O50" s="62"/>
      <c r="P50" s="62"/>
      <c r="Q50" s="62"/>
      <c r="R50" s="62"/>
      <c r="S50" s="62"/>
      <c r="T50" s="62"/>
      <c r="U50" s="62"/>
      <c r="V50" s="62"/>
      <c r="W50" s="62"/>
      <c r="X50" s="62"/>
      <c r="Y50" s="62"/>
      <c r="Z50" s="62"/>
    </row>
    <row r="51" spans="1:26" ht="15.75" thickBot="1" x14ac:dyDescent="0.3">
      <c r="A51" s="548">
        <f>+A45+1</f>
        <v>44</v>
      </c>
      <c r="B51" s="982" t="s">
        <v>2908</v>
      </c>
      <c r="C51" s="1035" t="s">
        <v>202</v>
      </c>
      <c r="D51" s="1034">
        <v>48412.25</v>
      </c>
      <c r="E51" s="777">
        <f>D51*1.32667</f>
        <v>64227.079707500001</v>
      </c>
      <c r="F51" s="352"/>
      <c r="G51" s="352"/>
      <c r="H51" s="352"/>
      <c r="I51" s="352"/>
      <c r="J51" s="352"/>
      <c r="K51" s="61"/>
      <c r="L51" s="352"/>
      <c r="M51" s="380">
        <f t="shared" si="3"/>
        <v>64227.08</v>
      </c>
      <c r="N51" s="61">
        <f t="shared" si="4"/>
        <v>2</v>
      </c>
      <c r="O51" s="62"/>
      <c r="P51" s="62"/>
      <c r="Q51" s="62"/>
      <c r="R51" s="62"/>
      <c r="S51" s="62"/>
      <c r="T51" s="62"/>
      <c r="U51" s="62"/>
      <c r="V51" s="62"/>
      <c r="W51" s="62"/>
      <c r="X51" s="62"/>
      <c r="Y51" s="62"/>
      <c r="Z51" s="62"/>
    </row>
    <row r="52" spans="1:26" ht="15.75" thickBot="1" x14ac:dyDescent="0.3">
      <c r="A52" s="548">
        <f>+A51+1</f>
        <v>45</v>
      </c>
      <c r="B52" s="982" t="s">
        <v>2900</v>
      </c>
      <c r="C52" s="1035" t="s">
        <v>202</v>
      </c>
      <c r="D52" s="1034">
        <v>8607.11</v>
      </c>
      <c r="E52" s="352"/>
      <c r="F52" s="352"/>
      <c r="G52" s="777">
        <f>60813/8</f>
        <v>7601.625</v>
      </c>
      <c r="H52" s="352"/>
      <c r="I52" s="964">
        <f>44000/8</f>
        <v>5500</v>
      </c>
      <c r="J52" s="352"/>
      <c r="K52" s="61"/>
      <c r="L52" s="352"/>
      <c r="M52" s="380">
        <f t="shared" si="3"/>
        <v>6550.81</v>
      </c>
      <c r="N52" s="61">
        <f t="shared" si="4"/>
        <v>3</v>
      </c>
      <c r="O52" s="62"/>
      <c r="P52" s="62"/>
      <c r="Q52" s="62"/>
      <c r="R52" s="62"/>
      <c r="S52" s="62"/>
      <c r="T52" s="62"/>
      <c r="U52" s="62"/>
      <c r="V52" s="62"/>
      <c r="W52" s="62"/>
      <c r="X52" s="62"/>
      <c r="Y52" s="62"/>
      <c r="Z52" s="62"/>
    </row>
    <row r="53" spans="1:26" ht="15.75" thickBot="1" x14ac:dyDescent="0.3">
      <c r="A53" s="548">
        <f>+A52+1</f>
        <v>46</v>
      </c>
      <c r="B53" s="982" t="s">
        <v>2935</v>
      </c>
      <c r="C53" s="1035" t="s">
        <v>202</v>
      </c>
      <c r="D53" s="1034">
        <v>109735.26</v>
      </c>
      <c r="E53" s="777">
        <f>D53*1.32667</f>
        <v>145582.4773842</v>
      </c>
      <c r="F53" s="352"/>
      <c r="G53" s="352"/>
      <c r="H53" s="352"/>
      <c r="I53" s="352"/>
      <c r="J53" s="352"/>
      <c r="K53" s="61"/>
      <c r="L53" s="352"/>
      <c r="M53" s="380">
        <f t="shared" si="3"/>
        <v>145582.48000000001</v>
      </c>
      <c r="N53" s="61">
        <f t="shared" si="4"/>
        <v>2</v>
      </c>
      <c r="O53" s="62"/>
      <c r="P53" s="62"/>
      <c r="Q53" s="62"/>
      <c r="R53" s="62"/>
      <c r="S53" s="62"/>
      <c r="T53" s="62"/>
      <c r="U53" s="62"/>
      <c r="V53" s="62"/>
      <c r="W53" s="62"/>
      <c r="X53" s="62"/>
      <c r="Y53" s="62"/>
      <c r="Z53" s="62"/>
    </row>
    <row r="54" spans="1:26" ht="15.75" thickBot="1" x14ac:dyDescent="0.3">
      <c r="A54" s="548">
        <f>+A53+1</f>
        <v>47</v>
      </c>
      <c r="B54" s="982" t="s">
        <v>2936</v>
      </c>
      <c r="C54" s="1035" t="s">
        <v>202</v>
      </c>
      <c r="D54" s="1034">
        <v>0</v>
      </c>
      <c r="E54" s="352"/>
      <c r="F54" s="352"/>
      <c r="G54" s="352"/>
      <c r="H54" s="352"/>
      <c r="I54" s="352"/>
      <c r="J54" s="352"/>
      <c r="K54" s="61"/>
      <c r="L54" s="352"/>
      <c r="M54" s="380">
        <f t="shared" si="3"/>
        <v>0</v>
      </c>
      <c r="N54" s="61">
        <f t="shared" si="4"/>
        <v>1</v>
      </c>
      <c r="O54" s="62"/>
      <c r="P54" s="62"/>
      <c r="Q54" s="62"/>
      <c r="R54" s="62"/>
      <c r="S54" s="62"/>
      <c r="T54" s="62"/>
      <c r="U54" s="62"/>
      <c r="V54" s="62"/>
      <c r="W54" s="62"/>
      <c r="X54" s="62"/>
      <c r="Y54" s="62"/>
      <c r="Z54" s="62"/>
    </row>
    <row r="55" spans="1:26" ht="15.75" thickBot="1" x14ac:dyDescent="0.3">
      <c r="A55" s="548">
        <f>+A54+1</f>
        <v>48</v>
      </c>
      <c r="B55" s="982" t="s">
        <v>323</v>
      </c>
      <c r="C55" s="1035" t="s">
        <v>202</v>
      </c>
      <c r="D55" s="1034">
        <v>16870.88</v>
      </c>
      <c r="E55" s="352"/>
      <c r="F55" s="352"/>
      <c r="G55" s="777">
        <f>264000/8</f>
        <v>33000</v>
      </c>
      <c r="H55" s="352"/>
      <c r="I55" s="352"/>
      <c r="J55" s="352"/>
      <c r="K55" s="61"/>
      <c r="L55" s="352"/>
      <c r="M55" s="380">
        <f t="shared" si="3"/>
        <v>33000</v>
      </c>
      <c r="N55" s="61">
        <f t="shared" si="4"/>
        <v>2</v>
      </c>
      <c r="O55" s="62"/>
      <c r="P55" s="62"/>
      <c r="Q55" s="62"/>
      <c r="R55" s="62"/>
      <c r="S55" s="62"/>
      <c r="T55" s="62"/>
      <c r="U55" s="62"/>
      <c r="V55" s="62"/>
      <c r="W55" s="62"/>
      <c r="X55" s="62"/>
      <c r="Y55" s="62"/>
      <c r="Z55" s="62"/>
    </row>
    <row r="56" spans="1:26" ht="15.75" thickBot="1" x14ac:dyDescent="0.3">
      <c r="A56" s="548">
        <f t="shared" ref="A56:A61" si="5">+A55+1</f>
        <v>49</v>
      </c>
      <c r="B56" s="982" t="s">
        <v>2921</v>
      </c>
      <c r="C56" s="1035" t="s">
        <v>202</v>
      </c>
      <c r="D56" s="1034">
        <v>10066.299999999999</v>
      </c>
      <c r="E56" s="352"/>
      <c r="F56" s="352"/>
      <c r="G56" s="777">
        <v>10500</v>
      </c>
      <c r="H56" s="352"/>
      <c r="I56" s="777">
        <f>59000/8</f>
        <v>7375</v>
      </c>
      <c r="J56" s="352"/>
      <c r="K56" s="61"/>
      <c r="L56" s="352"/>
      <c r="M56" s="380">
        <f t="shared" si="3"/>
        <v>8937.5</v>
      </c>
      <c r="N56" s="61">
        <f t="shared" si="4"/>
        <v>3</v>
      </c>
      <c r="O56" s="62"/>
      <c r="P56" s="62"/>
      <c r="Q56" s="62"/>
      <c r="R56" s="62"/>
      <c r="S56" s="62"/>
      <c r="T56" s="62"/>
      <c r="U56" s="62"/>
      <c r="V56" s="62"/>
      <c r="W56" s="62"/>
      <c r="X56" s="62"/>
      <c r="Y56" s="62"/>
      <c r="Z56" s="62"/>
    </row>
    <row r="57" spans="1:26" ht="15.75" thickBot="1" x14ac:dyDescent="0.3">
      <c r="A57" s="548">
        <f t="shared" si="5"/>
        <v>50</v>
      </c>
      <c r="B57" s="982" t="s">
        <v>3209</v>
      </c>
      <c r="C57" s="1035" t="s">
        <v>202</v>
      </c>
      <c r="D57" s="1034">
        <v>85001</v>
      </c>
      <c r="E57" s="352"/>
      <c r="F57" s="352"/>
      <c r="G57" s="777">
        <v>83337</v>
      </c>
      <c r="H57" s="352"/>
      <c r="I57" s="352"/>
      <c r="J57" s="352"/>
      <c r="K57" s="61"/>
      <c r="L57" s="352"/>
      <c r="M57" s="380">
        <f t="shared" si="3"/>
        <v>83337</v>
      </c>
      <c r="N57" s="61">
        <f t="shared" si="4"/>
        <v>2</v>
      </c>
      <c r="O57" s="62"/>
      <c r="P57" s="62"/>
      <c r="Q57" s="62"/>
      <c r="R57" s="62"/>
      <c r="S57" s="62"/>
      <c r="T57" s="62"/>
      <c r="U57" s="62"/>
      <c r="V57" s="62"/>
      <c r="W57" s="62"/>
      <c r="X57" s="62"/>
      <c r="Y57" s="62"/>
      <c r="Z57" s="62"/>
    </row>
    <row r="58" spans="1:26" ht="15.75" thickBot="1" x14ac:dyDescent="0.3">
      <c r="A58" s="548">
        <f t="shared" si="5"/>
        <v>51</v>
      </c>
      <c r="B58" s="977" t="s">
        <v>3228</v>
      </c>
      <c r="C58" s="1035" t="s">
        <v>202</v>
      </c>
      <c r="D58" s="1034">
        <v>2270.83</v>
      </c>
      <c r="E58" s="352"/>
      <c r="F58" s="352"/>
      <c r="G58" s="352"/>
      <c r="H58" s="352"/>
      <c r="I58" s="352"/>
      <c r="J58" s="352"/>
      <c r="K58" s="61"/>
      <c r="L58" s="352"/>
      <c r="M58" s="380">
        <f t="shared" si="3"/>
        <v>12075</v>
      </c>
      <c r="N58" s="61">
        <f t="shared" si="4"/>
        <v>2</v>
      </c>
      <c r="O58" s="381"/>
      <c r="P58" s="382"/>
      <c r="Q58" s="62"/>
      <c r="R58" s="62"/>
      <c r="S58" s="62"/>
      <c r="T58" s="62"/>
      <c r="U58" s="62"/>
      <c r="V58" s="974">
        <f>14490000/1200</f>
        <v>12075</v>
      </c>
      <c r="W58" s="62"/>
      <c r="X58" s="62"/>
      <c r="Y58" s="62"/>
      <c r="Z58" s="62"/>
    </row>
    <row r="59" spans="1:26" ht="15.75" thickBot="1" x14ac:dyDescent="0.3">
      <c r="A59" s="548">
        <f t="shared" si="5"/>
        <v>52</v>
      </c>
      <c r="B59" s="977" t="s">
        <v>3229</v>
      </c>
      <c r="C59" s="1035" t="s">
        <v>202</v>
      </c>
      <c r="D59" s="1034">
        <v>3227.08</v>
      </c>
      <c r="E59" s="777">
        <f>D59*1.32667</f>
        <v>4281.2702235999996</v>
      </c>
      <c r="F59" s="352"/>
      <c r="G59" s="352"/>
      <c r="H59" s="352"/>
      <c r="I59" s="352"/>
      <c r="J59" s="352"/>
      <c r="K59" s="61"/>
      <c r="L59" s="352"/>
      <c r="M59" s="380">
        <f t="shared" si="3"/>
        <v>4281.2700000000004</v>
      </c>
      <c r="N59" s="61">
        <f t="shared" si="4"/>
        <v>2</v>
      </c>
      <c r="O59" s="62"/>
      <c r="P59" s="62"/>
      <c r="Q59" s="62"/>
      <c r="R59" s="62"/>
      <c r="S59" s="62"/>
      <c r="T59" s="62"/>
      <c r="U59" s="62"/>
      <c r="V59" s="62"/>
      <c r="W59" s="62"/>
      <c r="X59" s="62"/>
      <c r="Y59" s="62"/>
      <c r="Z59" s="62"/>
    </row>
    <row r="60" spans="1:26" ht="15.75" thickBot="1" x14ac:dyDescent="0.3">
      <c r="A60" s="548">
        <f t="shared" si="5"/>
        <v>53</v>
      </c>
      <c r="B60" s="977" t="s">
        <v>3258</v>
      </c>
      <c r="C60" s="1035" t="s">
        <v>202</v>
      </c>
      <c r="D60" s="1034">
        <v>16695.05</v>
      </c>
      <c r="E60" s="352"/>
      <c r="F60" s="352"/>
      <c r="G60" s="352"/>
      <c r="H60" s="352"/>
      <c r="I60" s="352"/>
      <c r="J60" s="352"/>
      <c r="K60" s="61"/>
      <c r="L60" s="352"/>
      <c r="M60" s="380">
        <f t="shared" si="3"/>
        <v>19683.2</v>
      </c>
      <c r="N60" s="61">
        <f t="shared" si="4"/>
        <v>2</v>
      </c>
      <c r="O60" s="62"/>
      <c r="P60" s="62"/>
      <c r="Q60" s="62"/>
      <c r="R60" s="62"/>
      <c r="S60" s="62"/>
      <c r="T60" s="62"/>
      <c r="U60" s="62"/>
      <c r="V60" s="62"/>
      <c r="W60" s="974">
        <f>196832*0.1</f>
        <v>19683.2</v>
      </c>
      <c r="X60" s="62"/>
      <c r="Y60" s="62"/>
      <c r="Z60" s="62"/>
    </row>
    <row r="61" spans="1:26" ht="15" x14ac:dyDescent="0.25">
      <c r="A61" s="548">
        <f t="shared" si="5"/>
        <v>54</v>
      </c>
      <c r="B61" s="977"/>
      <c r="C61" s="1032"/>
      <c r="D61" s="1034">
        <v>0</v>
      </c>
      <c r="E61" s="352"/>
      <c r="F61" s="352"/>
      <c r="G61" s="352"/>
      <c r="H61" s="352"/>
      <c r="I61" s="352"/>
      <c r="J61" s="352"/>
      <c r="K61" s="61"/>
      <c r="L61" s="352"/>
      <c r="M61" s="380">
        <f t="shared" si="3"/>
        <v>0</v>
      </c>
      <c r="N61" s="61">
        <f t="shared" si="4"/>
        <v>1</v>
      </c>
      <c r="O61" s="62"/>
      <c r="P61" s="62"/>
      <c r="Q61" s="62"/>
      <c r="R61" s="62"/>
      <c r="S61" s="62"/>
      <c r="T61" s="62"/>
      <c r="U61" s="62"/>
      <c r="V61" s="62"/>
      <c r="W61" s="62"/>
      <c r="X61" s="62"/>
      <c r="Y61" s="62"/>
      <c r="Z61" s="62"/>
    </row>
  </sheetData>
  <sheetProtection selectLockedCells="1"/>
  <autoFilter ref="A1:AE61" xr:uid="{00000000-0009-0000-0000-00000C000000}"/>
  <sortState xmlns:xlrd2="http://schemas.microsoft.com/office/spreadsheetml/2017/richdata2" ref="A3:N55">
    <sortCondition ref="B4"/>
  </sortState>
  <phoneticPr fontId="32" type="noConversion"/>
  <conditionalFormatting sqref="B51">
    <cfRule type="duplicateValues" dxfId="14" priority="3"/>
  </conditionalFormatting>
  <conditionalFormatting sqref="B57">
    <cfRule type="duplicateValues" dxfId="13" priority="1"/>
  </conditionalFormatting>
  <conditionalFormatting sqref="B60:B1048576 B2:B4 B16:B49 B52:B56 B58">
    <cfRule type="duplicateValues" dxfId="12" priority="9"/>
  </conditionalFormatting>
  <hyperlinks>
    <hyperlink ref="P2" r:id="rId1" display="https://es.aliexpress.com/item/1005005495515712.html?spm=a2g0o.productlist.main.3.e38e541fBspD87&amp;algo_pvid=82dc1de5-91a9-44a3-b3d1-40f6931ae604&amp;algo_exp_id=82dc1de5-91a9-44a3-b3d1-40f6931ae604-1&amp;pdp_npi=4%40dis%21COP%2110398685.44%2110398685.44%21%21%212600.00%212600.00%21%402101fb0d17133715823447894e190b%2112000033305023400%21sea%21CO%210%21AB&amp;curPageLogUid=bgpXiIdsudHp&amp;utparam-url=scene%3Asearch%7Cquery_from%3A" xr:uid="{00000000-0004-0000-0C00-000000000000}"/>
    <hyperlink ref="S2" r:id="rId2" xr:uid="{00000000-0004-0000-0C00-000001000000}"/>
    <hyperlink ref="V2" r:id="rId3" location="position=2&amp;search_layout=stack&amp;type=item&amp;tracking_id=1cf7fff3-52f0-47f8-9994-dd613de60702" xr:uid="{00000000-0004-0000-0C00-000002000000}"/>
    <hyperlink ref="W2" r:id="rId4" location="is_advertising=true&amp;position=2&amp;search_layout=stack&amp;type=pad&amp;tracking_id=b333f6d5-7285-4782-9f7e-bf90a46c84a6&amp;is_advertising=true&amp;ad_domain=VQCATCORE_LST&amp;ad_position=2&amp;ad_click_id=OGNiNDM0ZDAtNTUyNS00ODNlLTg3ZTUtMzlkYjRkZDYxZDNk" display="https://articulo.mercadolibre.com.co/MCO-1273787945-pistola-soldadura-mig-14ak-antorcha-soldadura-3-metros-_JM#is_advertising=true&amp;position=2&amp;search_layout=stack&amp;type=pad&amp;tracking_id=b333f6d5-7285-4782-9f7e-bf90a46c84a6&amp;is_advertising=true&amp;ad_domain=VQCATCORE_LST&amp;ad_position=2&amp;ad_click_id=OGNiNDM0ZDAtNTUyNS00ODNlLTg3ZTUtMzlkYjRkZDYxZDNk" xr:uid="{00000000-0004-0000-0C00-000003000000}"/>
    <hyperlink ref="X2" r:id="rId5" location="is_advertising=true&amp;position=1&amp;search_layout=stack&amp;type=pad&amp;tracking_id=eb5adec3-7764-4b41-b79e-ee2bc883d339&amp;is_advertising=true&amp;ad_domain=VQCATCORE_LST&amp;ad_position=1&amp;ad_click_id=OTE1YmUxMzItNDMzOS00N2NlLWFiZTMtMWI0Njk3ODJhZDI5" display="https://articulo.mercadolibre.com.co/MCO-585781968-pretales-dielectricos-para-trabajos-en-alturas-marca-insafe-_JM#is_advertising=true&amp;position=1&amp;search_layout=stack&amp;type=pad&amp;tracking_id=eb5adec3-7764-4b41-b79e-ee2bc883d339&amp;is_advertising=true&amp;ad_domain=VQCATCORE_LST&amp;ad_position=1&amp;ad_click_id=OTE1YmUxMzItNDMzOS00N2NlLWFiZTMtMWI0Njk3ODJhZDI5" xr:uid="{00000000-0004-0000-0C00-000004000000}"/>
    <hyperlink ref="T2" r:id="rId6" xr:uid="{00000000-0004-0000-0C00-000005000000}"/>
  </hyperlinks>
  <pageMargins left="0.7" right="0.7" top="0.75" bottom="0.75" header="0.3" footer="0.3"/>
  <pageSetup paperSize="9" orientation="portrait" r:id="rId7"/>
  <ignoredErrors>
    <ignoredError sqref="M3 M5 M10:M11 M14:M18 M20:M21 M28 M30:M34 M38 M42:M43 M47:M48 M54 M57:M58 M60:M61" formulaRange="1"/>
  </ignoredErrors>
  <legacyDrawing r:id="rId8"/>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4"/>
  <dimension ref="A1:AB138"/>
  <sheetViews>
    <sheetView zoomScale="85" zoomScaleNormal="85" workbookViewId="0">
      <selection sqref="A1:F1"/>
    </sheetView>
  </sheetViews>
  <sheetFormatPr baseColWidth="10" defaultColWidth="10" defaultRowHeight="24" customHeight="1" outlineLevelRow="1" x14ac:dyDescent="0.25"/>
  <cols>
    <col min="1" max="1" width="6.140625" style="1083" customWidth="1"/>
    <col min="2" max="2" width="70.140625" style="1083" customWidth="1"/>
    <col min="3" max="3" width="10.85546875" style="730" customWidth="1"/>
    <col min="4" max="4" width="12.5703125" style="729" customWidth="1"/>
    <col min="5" max="5" width="16.140625" style="732" bestFit="1" customWidth="1"/>
    <col min="6" max="6" width="18.140625" style="732" bestFit="1" customWidth="1"/>
    <col min="7" max="7" width="8.42578125" style="738" hidden="1" customWidth="1"/>
    <col min="8" max="9" width="10" style="732" customWidth="1"/>
    <col min="10" max="28" width="10" style="732"/>
    <col min="29" max="16384" width="10" style="13"/>
  </cols>
  <sheetData>
    <row r="1" spans="1:7" ht="15.75" x14ac:dyDescent="0.25">
      <c r="A1" s="1581" t="s">
        <v>207</v>
      </c>
      <c r="B1" s="1581"/>
      <c r="C1" s="1581"/>
      <c r="D1" s="1581"/>
      <c r="E1" s="1581"/>
      <c r="F1" s="1581"/>
      <c r="G1" s="731"/>
    </row>
    <row r="2" spans="1:7" ht="37.9" customHeight="1" thickBot="1" x14ac:dyDescent="0.3">
      <c r="A2" s="1582" t="s">
        <v>208</v>
      </c>
      <c r="B2" s="1583"/>
      <c r="C2" s="1583"/>
      <c r="D2" s="1583"/>
      <c r="E2" s="1583"/>
      <c r="F2" s="1584"/>
      <c r="G2" s="731"/>
    </row>
    <row r="3" spans="1:7" ht="27" x14ac:dyDescent="0.25">
      <c r="A3" s="1125" t="s">
        <v>209</v>
      </c>
      <c r="B3" s="1126" t="s">
        <v>210</v>
      </c>
      <c r="C3" s="1126" t="s">
        <v>2</v>
      </c>
      <c r="D3" s="1126" t="s">
        <v>211</v>
      </c>
      <c r="E3" s="1127" t="s">
        <v>212</v>
      </c>
      <c r="F3" s="1128" t="s">
        <v>213</v>
      </c>
      <c r="G3" s="733"/>
    </row>
    <row r="4" spans="1:7" ht="40.5" outlineLevel="1" x14ac:dyDescent="0.25">
      <c r="A4" s="1129">
        <v>1</v>
      </c>
      <c r="B4" s="1414" t="s">
        <v>3330</v>
      </c>
      <c r="C4" s="1131" t="s">
        <v>12</v>
      </c>
      <c r="D4" s="1132">
        <f>('POR AÑOS_OBRA2024'!D4+'POR AÑOS_OBRA2024'!H4+'POR AÑOS_OBRA2024'!L4+'POR AÑOS_OBRA2024'!P4)</f>
        <v>271</v>
      </c>
      <c r="E4" s="1133">
        <f>+'1'!I57</f>
        <v>355400</v>
      </c>
      <c r="F4" s="1134">
        <f>+ROUND(D4*E4,0)</f>
        <v>96313400</v>
      </c>
      <c r="G4" s="733">
        <v>279</v>
      </c>
    </row>
    <row r="5" spans="1:7" ht="40.5" outlineLevel="1" x14ac:dyDescent="0.25">
      <c r="A5" s="1129">
        <v>2</v>
      </c>
      <c r="B5" s="1414" t="s">
        <v>7409</v>
      </c>
      <c r="C5" s="1131" t="s">
        <v>266</v>
      </c>
      <c r="D5" s="1132">
        <f>('POR AÑOS_OBRA2024'!D5+'POR AÑOS_OBRA2024'!H5+'POR AÑOS_OBRA2024'!L5+'POR AÑOS_OBRA2024'!P5)</f>
        <v>163</v>
      </c>
      <c r="E5" s="1133">
        <f>+'2'!I53</f>
        <v>113046</v>
      </c>
      <c r="F5" s="1134">
        <f>+ROUND(D5*E5,0)</f>
        <v>18426498</v>
      </c>
      <c r="G5" s="733">
        <v>157</v>
      </c>
    </row>
    <row r="6" spans="1:7" ht="54" outlineLevel="1" x14ac:dyDescent="0.25">
      <c r="A6" s="1129">
        <v>3</v>
      </c>
      <c r="B6" s="1414" t="s">
        <v>7410</v>
      </c>
      <c r="C6" s="1131" t="s">
        <v>266</v>
      </c>
      <c r="D6" s="1132">
        <f>('POR AÑOS_OBRA2024'!D6+'POR AÑOS_OBRA2024'!H6+'POR AÑOS_OBRA2024'!L6+'POR AÑOS_OBRA2024'!P6)</f>
        <v>709</v>
      </c>
      <c r="E6" s="1133">
        <f>+'3'!I55</f>
        <v>156423</v>
      </c>
      <c r="F6" s="1134">
        <f>+ROUND(D6*E6,0)</f>
        <v>110903907</v>
      </c>
      <c r="G6" s="733">
        <v>728</v>
      </c>
    </row>
    <row r="7" spans="1:7" ht="67.5" outlineLevel="1" x14ac:dyDescent="0.25">
      <c r="A7" s="1129">
        <v>4</v>
      </c>
      <c r="B7" s="1414" t="s">
        <v>7411</v>
      </c>
      <c r="C7" s="1131" t="s">
        <v>266</v>
      </c>
      <c r="D7" s="1132">
        <f>('POR AÑOS_OBRA2024'!D7+'POR AÑOS_OBRA2024'!H7+'POR AÑOS_OBRA2024'!L7+'POR AÑOS_OBRA2024'!P7)</f>
        <v>286</v>
      </c>
      <c r="E7" s="1133">
        <f>+'4'!I72</f>
        <v>355976</v>
      </c>
      <c r="F7" s="1134">
        <f>+ROUND(D7*E7,0)</f>
        <v>101809136</v>
      </c>
      <c r="G7" s="733">
        <v>84</v>
      </c>
    </row>
    <row r="8" spans="1:7" ht="54" outlineLevel="1" x14ac:dyDescent="0.25">
      <c r="A8" s="1129">
        <v>5</v>
      </c>
      <c r="B8" s="1414" t="s">
        <v>7413</v>
      </c>
      <c r="C8" s="1131" t="s">
        <v>266</v>
      </c>
      <c r="D8" s="1132">
        <f>('POR AÑOS_OBRA2024'!D8+'POR AÑOS_OBRA2024'!H8+'POR AÑOS_OBRA2024'!L8+'POR AÑOS_OBRA2024'!P8)</f>
        <v>1125</v>
      </c>
      <c r="E8" s="1133">
        <f>+'5'!I64</f>
        <v>268176</v>
      </c>
      <c r="F8" s="1134">
        <f t="shared" ref="F8:F68" si="0">+ROUND(D8*E8,0)</f>
        <v>301698000</v>
      </c>
      <c r="G8" s="733">
        <v>1063</v>
      </c>
    </row>
    <row r="9" spans="1:7" ht="54" outlineLevel="1" x14ac:dyDescent="0.25">
      <c r="A9" s="1129">
        <v>6</v>
      </c>
      <c r="B9" s="1414" t="s">
        <v>7412</v>
      </c>
      <c r="C9" s="1131" t="s">
        <v>266</v>
      </c>
      <c r="D9" s="1132">
        <f>('POR AÑOS_OBRA2024'!D9+'POR AÑOS_OBRA2024'!H9+'POR AÑOS_OBRA2024'!L9+'POR AÑOS_OBRA2024'!P9)</f>
        <v>590</v>
      </c>
      <c r="E9" s="1133">
        <f>+'6'!I64</f>
        <v>424533</v>
      </c>
      <c r="F9" s="1134">
        <f t="shared" si="0"/>
        <v>250474470</v>
      </c>
      <c r="G9" s="733">
        <v>600</v>
      </c>
    </row>
    <row r="10" spans="1:7" ht="54" outlineLevel="1" x14ac:dyDescent="0.25">
      <c r="A10" s="1129">
        <v>7</v>
      </c>
      <c r="B10" s="1414" t="s">
        <v>7421</v>
      </c>
      <c r="C10" s="1131" t="s">
        <v>266</v>
      </c>
      <c r="D10" s="1132">
        <f>('POR AÑOS_OBRA2024'!D10+'POR AÑOS_OBRA2024'!H10+'POR AÑOS_OBRA2024'!L10+'POR AÑOS_OBRA2024'!P10)</f>
        <v>884</v>
      </c>
      <c r="E10" s="1133">
        <f>+'7'!I64</f>
        <v>536187</v>
      </c>
      <c r="F10" s="1134">
        <f t="shared" si="0"/>
        <v>473989308</v>
      </c>
      <c r="G10" s="733">
        <v>524</v>
      </c>
    </row>
    <row r="11" spans="1:7" ht="40.5" outlineLevel="1" x14ac:dyDescent="0.25">
      <c r="A11" s="1129">
        <v>8</v>
      </c>
      <c r="B11" s="1414" t="s">
        <v>7320</v>
      </c>
      <c r="C11" s="1131" t="s">
        <v>12</v>
      </c>
      <c r="D11" s="1132">
        <f>('POR AÑOS_OBRA2024'!D11+'POR AÑOS_OBRA2024'!H11+'POR AÑOS_OBRA2024'!L11+'POR AÑOS_OBRA2024'!P11)</f>
        <v>582</v>
      </c>
      <c r="E11" s="1133">
        <f>+'8'!I60</f>
        <v>374047</v>
      </c>
      <c r="F11" s="1134">
        <f t="shared" si="0"/>
        <v>217695354</v>
      </c>
      <c r="G11" s="733">
        <v>592</v>
      </c>
    </row>
    <row r="12" spans="1:7" ht="54" outlineLevel="1" x14ac:dyDescent="0.25">
      <c r="A12" s="1129">
        <v>9</v>
      </c>
      <c r="B12" s="1414" t="s">
        <v>7422</v>
      </c>
      <c r="C12" s="1131" t="s">
        <v>266</v>
      </c>
      <c r="D12" s="1132">
        <f>('POR AÑOS_OBRA2024'!D12+'POR AÑOS_OBRA2024'!H12+'POR AÑOS_OBRA2024'!L12+'POR AÑOS_OBRA2024'!P12)</f>
        <v>1125</v>
      </c>
      <c r="E12" s="1135">
        <f>+'9'!I63</f>
        <v>486612</v>
      </c>
      <c r="F12" s="1134">
        <f t="shared" si="0"/>
        <v>547438500</v>
      </c>
      <c r="G12" s="733">
        <v>703</v>
      </c>
    </row>
    <row r="13" spans="1:7" ht="54" outlineLevel="1" x14ac:dyDescent="0.25">
      <c r="A13" s="1129">
        <v>10</v>
      </c>
      <c r="B13" s="1414" t="s">
        <v>7414</v>
      </c>
      <c r="C13" s="1131" t="s">
        <v>266</v>
      </c>
      <c r="D13" s="1132">
        <f>('POR AÑOS_OBRA2024'!D13+'POR AÑOS_OBRA2024'!H13+'POR AÑOS_OBRA2024'!L13+'POR AÑOS_OBRA2024'!P13)</f>
        <v>367</v>
      </c>
      <c r="E13" s="1133">
        <f>+'10'!I63</f>
        <v>347168</v>
      </c>
      <c r="F13" s="1134">
        <f t="shared" si="0"/>
        <v>127410656</v>
      </c>
      <c r="G13" s="733">
        <v>377</v>
      </c>
    </row>
    <row r="14" spans="1:7" ht="54" outlineLevel="1" x14ac:dyDescent="0.25">
      <c r="A14" s="1129">
        <v>11</v>
      </c>
      <c r="B14" s="1414" t="s">
        <v>7423</v>
      </c>
      <c r="C14" s="1131" t="s">
        <v>266</v>
      </c>
      <c r="D14" s="1132">
        <f>('POR AÑOS_OBRA2024'!D14+'POR AÑOS_OBRA2024'!H14+'POR AÑOS_OBRA2024'!L14+'POR AÑOS_OBRA2024'!P14)</f>
        <v>134</v>
      </c>
      <c r="E14" s="1133">
        <f>+'11'!I64</f>
        <v>603142</v>
      </c>
      <c r="F14" s="1134">
        <f t="shared" si="0"/>
        <v>80821028</v>
      </c>
      <c r="G14" s="733">
        <v>136</v>
      </c>
    </row>
    <row r="15" spans="1:7" ht="54" outlineLevel="1" x14ac:dyDescent="0.25">
      <c r="A15" s="1129">
        <v>12</v>
      </c>
      <c r="B15" s="1414" t="s">
        <v>7316</v>
      </c>
      <c r="C15" s="1131" t="s">
        <v>266</v>
      </c>
      <c r="D15" s="1132">
        <f>('POR AÑOS_OBRA2024'!D15+'POR AÑOS_OBRA2024'!H15+'POR AÑOS_OBRA2024'!L15+'POR AÑOS_OBRA2024'!P15)</f>
        <v>12</v>
      </c>
      <c r="E15" s="1133">
        <f>+'12'!I63</f>
        <v>443662</v>
      </c>
      <c r="F15" s="1134">
        <f t="shared" si="0"/>
        <v>5323944</v>
      </c>
      <c r="G15" s="733">
        <v>11</v>
      </c>
    </row>
    <row r="16" spans="1:7" ht="67.5" outlineLevel="1" x14ac:dyDescent="0.25">
      <c r="A16" s="1129">
        <v>13</v>
      </c>
      <c r="B16" s="1414" t="s">
        <v>7416</v>
      </c>
      <c r="C16" s="1131" t="s">
        <v>266</v>
      </c>
      <c r="D16" s="1132">
        <f>('POR AÑOS_OBRA2024'!D16+'POR AÑOS_OBRA2024'!H16+'POR AÑOS_OBRA2024'!L16+'POR AÑOS_OBRA2024'!P16)</f>
        <v>191</v>
      </c>
      <c r="E16" s="1135">
        <f>+'13'!I66</f>
        <v>197447</v>
      </c>
      <c r="F16" s="1134">
        <f t="shared" si="0"/>
        <v>37712377</v>
      </c>
      <c r="G16" s="733">
        <v>191</v>
      </c>
    </row>
    <row r="17" spans="1:7" ht="67.5" outlineLevel="1" x14ac:dyDescent="0.25">
      <c r="A17" s="1129">
        <v>14</v>
      </c>
      <c r="B17" s="1414" t="s">
        <v>7417</v>
      </c>
      <c r="C17" s="1131" t="s">
        <v>266</v>
      </c>
      <c r="D17" s="1132">
        <f>('POR AÑOS_OBRA2024'!D17+'POR AÑOS_OBRA2024'!H17+'POR AÑOS_OBRA2024'!L17+'POR AÑOS_OBRA2024'!P17)</f>
        <v>368</v>
      </c>
      <c r="E17" s="1135">
        <f>+'14'!I65</f>
        <v>265792</v>
      </c>
      <c r="F17" s="1134">
        <f t="shared" si="0"/>
        <v>97811456</v>
      </c>
      <c r="G17" s="733">
        <v>370</v>
      </c>
    </row>
    <row r="18" spans="1:7" ht="67.5" outlineLevel="1" x14ac:dyDescent="0.25">
      <c r="A18" s="1129">
        <v>15</v>
      </c>
      <c r="B18" s="1414" t="s">
        <v>7418</v>
      </c>
      <c r="C18" s="1131" t="s">
        <v>266</v>
      </c>
      <c r="D18" s="1132">
        <f>('POR AÑOS_OBRA2024'!D18+'POR AÑOS_OBRA2024'!H18+'POR AÑOS_OBRA2024'!L18+'POR AÑOS_OBRA2024'!P18)</f>
        <v>43</v>
      </c>
      <c r="E18" s="1135">
        <f>+'15'!I65</f>
        <v>290058</v>
      </c>
      <c r="F18" s="1134">
        <f t="shared" si="0"/>
        <v>12472494</v>
      </c>
      <c r="G18" s="733">
        <v>42</v>
      </c>
    </row>
    <row r="19" spans="1:7" ht="67.5" outlineLevel="1" collapsed="1" x14ac:dyDescent="0.25">
      <c r="A19" s="1129">
        <v>16</v>
      </c>
      <c r="B19" s="1414" t="s">
        <v>7419</v>
      </c>
      <c r="C19" s="1131" t="s">
        <v>266</v>
      </c>
      <c r="D19" s="1132">
        <f>('POR AÑOS_OBRA2024'!D19+'POR AÑOS_OBRA2024'!H19+'POR AÑOS_OBRA2024'!L19+'POR AÑOS_OBRA2024'!P19)</f>
        <v>9</v>
      </c>
      <c r="E19" s="1135">
        <f>+'16'!I64</f>
        <v>229156</v>
      </c>
      <c r="F19" s="1134">
        <f t="shared" si="0"/>
        <v>2062404</v>
      </c>
      <c r="G19" s="733">
        <v>2</v>
      </c>
    </row>
    <row r="20" spans="1:7" ht="54" outlineLevel="1" x14ac:dyDescent="0.25">
      <c r="A20" s="589">
        <v>17</v>
      </c>
      <c r="B20" s="1414" t="s">
        <v>7415</v>
      </c>
      <c r="C20" s="1131" t="s">
        <v>266</v>
      </c>
      <c r="D20" s="1132">
        <v>350</v>
      </c>
      <c r="E20" s="1135">
        <f>+'17'!I64</f>
        <v>284400</v>
      </c>
      <c r="F20" s="1134">
        <f t="shared" si="0"/>
        <v>99540000</v>
      </c>
      <c r="G20" s="733"/>
    </row>
    <row r="21" spans="1:7" ht="40.5" outlineLevel="1" x14ac:dyDescent="0.25">
      <c r="A21" s="1129">
        <v>18</v>
      </c>
      <c r="B21" s="1414" t="s">
        <v>7420</v>
      </c>
      <c r="C21" s="1131" t="s">
        <v>266</v>
      </c>
      <c r="D21" s="1132">
        <v>8</v>
      </c>
      <c r="E21" s="1135">
        <f>+'18'!I64</f>
        <v>377566</v>
      </c>
      <c r="F21" s="1134">
        <f t="shared" si="0"/>
        <v>3020528</v>
      </c>
      <c r="G21" s="733"/>
    </row>
    <row r="22" spans="1:7" ht="54" outlineLevel="1" x14ac:dyDescent="0.25">
      <c r="A22" s="1129">
        <v>19</v>
      </c>
      <c r="B22" s="1130" t="s">
        <v>7424</v>
      </c>
      <c r="C22" s="1131" t="s">
        <v>266</v>
      </c>
      <c r="D22" s="1132">
        <f>('POR AÑOS_OBRA2024'!D22+'POR AÑOS_OBRA2024'!H22+'POR AÑOS_OBRA2024'!L22+'POR AÑOS_OBRA2024'!P22)</f>
        <v>147</v>
      </c>
      <c r="E22" s="1133">
        <f>+'19'!I63</f>
        <v>196760</v>
      </c>
      <c r="F22" s="1134">
        <f t="shared" si="0"/>
        <v>28923720</v>
      </c>
      <c r="G22" s="733">
        <v>147</v>
      </c>
    </row>
    <row r="23" spans="1:7" ht="54" outlineLevel="1" x14ac:dyDescent="0.25">
      <c r="A23" s="1129">
        <v>20</v>
      </c>
      <c r="B23" s="1130" t="s">
        <v>7321</v>
      </c>
      <c r="C23" s="1131" t="s">
        <v>266</v>
      </c>
      <c r="D23" s="1132">
        <f>('POR AÑOS_OBRA2024'!D23+'POR AÑOS_OBRA2024'!H23+'POR AÑOS_OBRA2024'!L23+'POR AÑOS_OBRA2024'!P23)</f>
        <v>190</v>
      </c>
      <c r="E23" s="1133">
        <f>+'20'!I68</f>
        <v>230564</v>
      </c>
      <c r="F23" s="1134">
        <f t="shared" si="0"/>
        <v>43807160</v>
      </c>
      <c r="G23" s="733">
        <v>196</v>
      </c>
    </row>
    <row r="24" spans="1:7" ht="67.5" outlineLevel="1" x14ac:dyDescent="0.25">
      <c r="A24" s="1129">
        <v>21</v>
      </c>
      <c r="B24" s="1130" t="s">
        <v>3331</v>
      </c>
      <c r="C24" s="1131" t="s">
        <v>266</v>
      </c>
      <c r="D24" s="1132">
        <f>('POR AÑOS_OBRA2024'!D24+'POR AÑOS_OBRA2024'!H24+'POR AÑOS_OBRA2024'!L24+'POR AÑOS_OBRA2024'!P24)</f>
        <v>103</v>
      </c>
      <c r="E24" s="1133">
        <f>+'21'!I72</f>
        <v>339716</v>
      </c>
      <c r="F24" s="1134">
        <f t="shared" si="0"/>
        <v>34990748</v>
      </c>
      <c r="G24" s="733">
        <v>104</v>
      </c>
    </row>
    <row r="25" spans="1:7" ht="54" outlineLevel="1" x14ac:dyDescent="0.25">
      <c r="A25" s="589">
        <v>22</v>
      </c>
      <c r="B25" s="1414" t="s">
        <v>3332</v>
      </c>
      <c r="C25" s="1136" t="s">
        <v>266</v>
      </c>
      <c r="D25" s="1132">
        <f>('POR AÑOS_OBRA2024'!D25+'POR AÑOS_OBRA2024'!H25+'POR AÑOS_OBRA2024'!L25+'POR AÑOS_OBRA2024'!P25)</f>
        <v>222</v>
      </c>
      <c r="E25" s="1133">
        <f>+'22N'!I56</f>
        <v>151784</v>
      </c>
      <c r="F25" s="1134">
        <f t="shared" si="0"/>
        <v>33696048</v>
      </c>
      <c r="G25" s="733">
        <v>229</v>
      </c>
    </row>
    <row r="26" spans="1:7" ht="54" outlineLevel="1" x14ac:dyDescent="0.25">
      <c r="A26" s="589">
        <v>23</v>
      </c>
      <c r="B26" s="1414" t="s">
        <v>3333</v>
      </c>
      <c r="C26" s="1136" t="s">
        <v>266</v>
      </c>
      <c r="D26" s="1132">
        <f>('POR AÑOS_OBRA2024'!D26+'POR AÑOS_OBRA2024'!H26+'POR AÑOS_OBRA2024'!L26+'POR AÑOS_OBRA2024'!P26)</f>
        <v>118</v>
      </c>
      <c r="E26" s="1133">
        <f>+'23'!I56</f>
        <v>220577</v>
      </c>
      <c r="F26" s="1134">
        <f t="shared" si="0"/>
        <v>26028086</v>
      </c>
      <c r="G26" s="733">
        <v>116</v>
      </c>
    </row>
    <row r="27" spans="1:7" ht="54" outlineLevel="1" x14ac:dyDescent="0.25">
      <c r="A27" s="589">
        <v>24</v>
      </c>
      <c r="B27" s="1414" t="s">
        <v>3334</v>
      </c>
      <c r="C27" s="1136" t="s">
        <v>266</v>
      </c>
      <c r="D27" s="1132">
        <f>('POR AÑOS_OBRA2024'!D27+'POR AÑOS_OBRA2024'!H27+'POR AÑOS_OBRA2024'!L27+'POR AÑOS_OBRA2024'!P27)</f>
        <v>27</v>
      </c>
      <c r="E27" s="1133">
        <f>+'24'!I56</f>
        <v>304252</v>
      </c>
      <c r="F27" s="1134">
        <f t="shared" si="0"/>
        <v>8214804</v>
      </c>
      <c r="G27" s="733">
        <v>20</v>
      </c>
    </row>
    <row r="28" spans="1:7" ht="54" outlineLevel="1" collapsed="1" x14ac:dyDescent="0.25">
      <c r="A28" s="589">
        <v>25</v>
      </c>
      <c r="B28" s="1414" t="s">
        <v>3335</v>
      </c>
      <c r="C28" s="1136" t="s">
        <v>266</v>
      </c>
      <c r="D28" s="1132">
        <f>('POR AÑOS_OBRA2024'!D28+'POR AÑOS_OBRA2024'!H28+'POR AÑOS_OBRA2024'!L28+'POR AÑOS_OBRA2024'!P28)</f>
        <v>68</v>
      </c>
      <c r="E28" s="1133">
        <f>+'25'!I59</f>
        <v>112032</v>
      </c>
      <c r="F28" s="1134">
        <f t="shared" si="0"/>
        <v>7618176</v>
      </c>
      <c r="G28" s="732">
        <v>66</v>
      </c>
    </row>
    <row r="29" spans="1:7" ht="40.5" outlineLevel="1" x14ac:dyDescent="0.25">
      <c r="A29" s="589">
        <v>26</v>
      </c>
      <c r="B29" s="1130" t="s">
        <v>221</v>
      </c>
      <c r="C29" s="1136" t="s">
        <v>266</v>
      </c>
      <c r="D29" s="1132">
        <f>('POR AÑOS_OBRA2024'!D29+'POR AÑOS_OBRA2024'!H29+'POR AÑOS_OBRA2024'!L29+'POR AÑOS_OBRA2024'!P29)</f>
        <v>173</v>
      </c>
      <c r="E29" s="1133">
        <f>+'26'!I53</f>
        <v>42606</v>
      </c>
      <c r="F29" s="1134">
        <f t="shared" si="0"/>
        <v>7370838</v>
      </c>
      <c r="G29" s="733">
        <v>167</v>
      </c>
    </row>
    <row r="30" spans="1:7" ht="27" outlineLevel="1" x14ac:dyDescent="0.25">
      <c r="A30" s="589">
        <v>27</v>
      </c>
      <c r="B30" s="1130" t="s">
        <v>222</v>
      </c>
      <c r="C30" s="1131" t="s">
        <v>266</v>
      </c>
      <c r="D30" s="1132">
        <f>('POR AÑOS_OBRA2024'!D30+'POR AÑOS_OBRA2024'!H30+'POR AÑOS_OBRA2024'!L30+'POR AÑOS_OBRA2024'!P30)</f>
        <v>54</v>
      </c>
      <c r="E30" s="1133">
        <f>+'27N'!I52</f>
        <v>22288</v>
      </c>
      <c r="F30" s="1134">
        <f t="shared" si="0"/>
        <v>1203552</v>
      </c>
      <c r="G30" s="733">
        <v>46</v>
      </c>
    </row>
    <row r="31" spans="1:7" ht="27" outlineLevel="1" x14ac:dyDescent="0.25">
      <c r="A31" s="589">
        <v>28</v>
      </c>
      <c r="B31" s="1130" t="s">
        <v>223</v>
      </c>
      <c r="C31" s="1131" t="s">
        <v>266</v>
      </c>
      <c r="D31" s="1132">
        <f>('POR AÑOS_OBRA2024'!D31+'POR AÑOS_OBRA2024'!H31+'POR AÑOS_OBRA2024'!L31+'POR AÑOS_OBRA2024'!P31)</f>
        <v>1258</v>
      </c>
      <c r="E31" s="1133">
        <f>+'28'!I52</f>
        <v>22848</v>
      </c>
      <c r="F31" s="1134">
        <f t="shared" si="0"/>
        <v>28742784</v>
      </c>
      <c r="G31" s="733">
        <v>1284</v>
      </c>
    </row>
    <row r="32" spans="1:7" ht="15" outlineLevel="1" x14ac:dyDescent="0.25">
      <c r="A32" s="589">
        <v>29</v>
      </c>
      <c r="B32" s="1130" t="s">
        <v>224</v>
      </c>
      <c r="C32" s="1131" t="s">
        <v>266</v>
      </c>
      <c r="D32" s="1132">
        <f>('POR AÑOS_OBRA2024'!D32+'POR AÑOS_OBRA2024'!H32+'POR AÑOS_OBRA2024'!L32+'POR AÑOS_OBRA2024'!P32)</f>
        <v>75</v>
      </c>
      <c r="E32" s="1133">
        <f>+'29'!I52</f>
        <v>50552</v>
      </c>
      <c r="F32" s="1134">
        <f t="shared" si="0"/>
        <v>3791400</v>
      </c>
      <c r="G32" s="733">
        <v>72</v>
      </c>
    </row>
    <row r="33" spans="1:7" ht="27" outlineLevel="1" x14ac:dyDescent="0.25">
      <c r="A33" s="589">
        <v>30</v>
      </c>
      <c r="B33" s="1130" t="s">
        <v>225</v>
      </c>
      <c r="C33" s="1131" t="s">
        <v>3488</v>
      </c>
      <c r="D33" s="1132">
        <f>('POR AÑOS_OBRA2024'!D33+'POR AÑOS_OBRA2024'!H33+'POR AÑOS_OBRA2024'!L33+'POR AÑOS_OBRA2024'!P33)</f>
        <v>4154</v>
      </c>
      <c r="E33" s="1133">
        <f>+'30'!I51</f>
        <v>1471</v>
      </c>
      <c r="F33" s="1134">
        <f t="shared" si="0"/>
        <v>6110534</v>
      </c>
      <c r="G33" s="733">
        <v>5684</v>
      </c>
    </row>
    <row r="34" spans="1:7" ht="27" outlineLevel="1" x14ac:dyDescent="0.25">
      <c r="A34" s="589">
        <v>31</v>
      </c>
      <c r="B34" s="1130" t="s">
        <v>226</v>
      </c>
      <c r="C34" s="1131" t="s">
        <v>3488</v>
      </c>
      <c r="D34" s="1132">
        <f>('POR AÑOS_OBRA2024'!D34+'POR AÑOS_OBRA2024'!H34+'POR AÑOS_OBRA2024'!L34+'POR AÑOS_OBRA2024'!P34)</f>
        <v>11261</v>
      </c>
      <c r="E34" s="1133">
        <f>+'31'!I51</f>
        <v>1787</v>
      </c>
      <c r="F34" s="1134">
        <f t="shared" si="0"/>
        <v>20123407</v>
      </c>
      <c r="G34" s="733">
        <v>142042</v>
      </c>
    </row>
    <row r="35" spans="1:7" ht="27" outlineLevel="1" x14ac:dyDescent="0.25">
      <c r="A35" s="589">
        <v>32</v>
      </c>
      <c r="B35" s="1130" t="s">
        <v>227</v>
      </c>
      <c r="C35" s="1131" t="s">
        <v>3488</v>
      </c>
      <c r="D35" s="1132">
        <f>('POR AÑOS_OBRA2024'!D35+'POR AÑOS_OBRA2024'!H35+'POR AÑOS_OBRA2024'!L35+'POR AÑOS_OBRA2024'!P35)</f>
        <v>1684</v>
      </c>
      <c r="E35" s="1133">
        <f>+'32'!I51</f>
        <v>2323</v>
      </c>
      <c r="F35" s="1134">
        <f t="shared" si="0"/>
        <v>3911932</v>
      </c>
      <c r="G35" s="733">
        <v>1723.5</v>
      </c>
    </row>
    <row r="36" spans="1:7" ht="27" outlineLevel="1" x14ac:dyDescent="0.25">
      <c r="A36" s="589">
        <v>33</v>
      </c>
      <c r="B36" s="1130" t="s">
        <v>228</v>
      </c>
      <c r="C36" s="1131" t="s">
        <v>3488</v>
      </c>
      <c r="D36" s="1132">
        <f>('POR AÑOS_OBRA2024'!D36+'POR AÑOS_OBRA2024'!H36+'POR AÑOS_OBRA2024'!L36+'POR AÑOS_OBRA2024'!P36)</f>
        <v>24650</v>
      </c>
      <c r="E36" s="1133">
        <f>+'33'!I51</f>
        <v>2714</v>
      </c>
      <c r="F36" s="1134">
        <f t="shared" si="0"/>
        <v>66900100</v>
      </c>
      <c r="G36" s="733">
        <v>25232</v>
      </c>
    </row>
    <row r="37" spans="1:7" ht="27" outlineLevel="1" x14ac:dyDescent="0.25">
      <c r="A37" s="589">
        <v>34</v>
      </c>
      <c r="B37" s="1130" t="s">
        <v>229</v>
      </c>
      <c r="C37" s="1136" t="s">
        <v>12</v>
      </c>
      <c r="D37" s="1132">
        <f>('POR AÑOS_OBRA2024'!D37+'POR AÑOS_OBRA2024'!H37+'POR AÑOS_OBRA2024'!L37+'POR AÑOS_OBRA2024'!P37)</f>
        <v>43409</v>
      </c>
      <c r="E37" s="1133">
        <f>+'34'!I51</f>
        <v>12564</v>
      </c>
      <c r="F37" s="1134">
        <f t="shared" si="0"/>
        <v>545390676</v>
      </c>
      <c r="G37" s="733">
        <v>60000</v>
      </c>
    </row>
    <row r="38" spans="1:7" s="727" customFormat="1" ht="27" outlineLevel="1" x14ac:dyDescent="0.2">
      <c r="A38" s="589">
        <v>35</v>
      </c>
      <c r="B38" s="1130" t="s">
        <v>230</v>
      </c>
      <c r="C38" s="1136" t="s">
        <v>12</v>
      </c>
      <c r="D38" s="1132">
        <f>('POR AÑOS_OBRA2024'!D38+'POR AÑOS_OBRA2024'!H38+'POR AÑOS_OBRA2024'!L38+'POR AÑOS_OBRA2024'!P38)</f>
        <v>2941</v>
      </c>
      <c r="E38" s="1133">
        <f>+'35'!I51</f>
        <v>22297</v>
      </c>
      <c r="F38" s="1134">
        <f t="shared" si="0"/>
        <v>65575477</v>
      </c>
      <c r="G38" s="733">
        <v>3000</v>
      </c>
    </row>
    <row r="39" spans="1:7" s="727" customFormat="1" ht="40.5" outlineLevel="1" x14ac:dyDescent="0.2">
      <c r="A39" s="589">
        <v>36</v>
      </c>
      <c r="B39" s="1130" t="s">
        <v>7322</v>
      </c>
      <c r="C39" s="1136" t="s">
        <v>3488</v>
      </c>
      <c r="D39" s="1132">
        <f>('POR AÑOS_OBRA2024'!D38+'POR AÑOS_OBRA2024'!H38+'POR AÑOS_OBRA2024'!L38+'POR AÑOS_OBRA2024'!P38)*7</f>
        <v>20587</v>
      </c>
      <c r="E39" s="1133">
        <f>+'36'!I51</f>
        <v>4238</v>
      </c>
      <c r="F39" s="1134">
        <f t="shared" si="0"/>
        <v>87247706</v>
      </c>
      <c r="G39" s="733">
        <v>20425</v>
      </c>
    </row>
    <row r="40" spans="1:7" s="727" customFormat="1" ht="40.5" outlineLevel="1" x14ac:dyDescent="0.2">
      <c r="A40" s="589">
        <v>37</v>
      </c>
      <c r="B40" s="1130" t="s">
        <v>7379</v>
      </c>
      <c r="C40" s="1136" t="s">
        <v>3488</v>
      </c>
      <c r="D40" s="1436">
        <f>('POR AÑOS_OBRA2024'!D40+'POR AÑOS_OBRA2024'!H40+'POR AÑOS_OBRA2024'!L40+'POR AÑOS_OBRA2024'!P40)</f>
        <v>2596</v>
      </c>
      <c r="E40" s="1133">
        <f>+'37'!I51</f>
        <v>5163</v>
      </c>
      <c r="F40" s="1134">
        <f t="shared" si="0"/>
        <v>13403148</v>
      </c>
      <c r="G40" s="733">
        <v>2654</v>
      </c>
    </row>
    <row r="41" spans="1:7" s="727" customFormat="1" ht="40.5" outlineLevel="1" collapsed="1" x14ac:dyDescent="0.2">
      <c r="A41" s="589">
        <v>38</v>
      </c>
      <c r="B41" s="1130" t="s">
        <v>7380</v>
      </c>
      <c r="C41" s="1131" t="s">
        <v>3488</v>
      </c>
      <c r="D41" s="1132">
        <f>('POR AÑOS_OBRA2024'!D41+'POR AÑOS_OBRA2024'!H41+'POR AÑOS_OBRA2024'!L41+'POR AÑOS_OBRA2024'!P41)</f>
        <v>1700</v>
      </c>
      <c r="E41" s="1133">
        <f>+'38'!I51</f>
        <v>6785</v>
      </c>
      <c r="F41" s="1134">
        <f t="shared" si="0"/>
        <v>11534500</v>
      </c>
      <c r="G41" s="733">
        <v>1731</v>
      </c>
    </row>
    <row r="42" spans="1:7" s="727" customFormat="1" ht="40.5" outlineLevel="1" x14ac:dyDescent="0.2">
      <c r="A42" s="589">
        <v>39</v>
      </c>
      <c r="B42" s="1130" t="s">
        <v>7323</v>
      </c>
      <c r="C42" s="1131" t="s">
        <v>12</v>
      </c>
      <c r="D42" s="1132">
        <f>('POR AÑOS_OBRA2024'!D42+'POR AÑOS_OBRA2024'!H42+'POR AÑOS_OBRA2024'!L42+'POR AÑOS_OBRA2024'!P42)</f>
        <v>5152</v>
      </c>
      <c r="E42" s="1133">
        <f>+'39'!I51</f>
        <v>39986</v>
      </c>
      <c r="F42" s="1134">
        <f t="shared" si="0"/>
        <v>206007872</v>
      </c>
      <c r="G42" s="733">
        <v>5282</v>
      </c>
    </row>
    <row r="43" spans="1:7" s="727" customFormat="1" ht="40.5" outlineLevel="1" x14ac:dyDescent="0.2">
      <c r="A43" s="589">
        <v>40</v>
      </c>
      <c r="B43" s="1130" t="s">
        <v>7324</v>
      </c>
      <c r="C43" s="1131" t="s">
        <v>12</v>
      </c>
      <c r="D43" s="1132">
        <f>('POR AÑOS_OBRA2024'!D43+'POR AÑOS_OBRA2024'!H43+'POR AÑOS_OBRA2024'!L43+'POR AÑOS_OBRA2024'!P43)</f>
        <v>355</v>
      </c>
      <c r="E43" s="1133">
        <f>+'40'!I51</f>
        <v>43244</v>
      </c>
      <c r="F43" s="1134">
        <f t="shared" si="0"/>
        <v>15351620</v>
      </c>
      <c r="G43" s="733">
        <v>363</v>
      </c>
    </row>
    <row r="44" spans="1:7" s="727" customFormat="1" ht="67.5" outlineLevel="1" x14ac:dyDescent="0.2">
      <c r="A44" s="589">
        <v>41</v>
      </c>
      <c r="B44" s="1130" t="s">
        <v>7381</v>
      </c>
      <c r="C44" s="1131" t="s">
        <v>12</v>
      </c>
      <c r="D44" s="1132">
        <f>('POR AÑOS_OBRA2024'!D44+'POR AÑOS_OBRA2024'!H44+'POR AÑOS_OBRA2024'!L44+'POR AÑOS_OBRA2024'!P44)</f>
        <v>730</v>
      </c>
      <c r="E44" s="1133">
        <f>+'41'!I51</f>
        <v>41285</v>
      </c>
      <c r="F44" s="1134">
        <f t="shared" si="0"/>
        <v>30138050</v>
      </c>
      <c r="G44" s="733">
        <v>738</v>
      </c>
    </row>
    <row r="45" spans="1:7" s="727" customFormat="1" ht="40.5" outlineLevel="1" x14ac:dyDescent="0.2">
      <c r="A45" s="589">
        <v>42</v>
      </c>
      <c r="B45" s="1130" t="s">
        <v>7325</v>
      </c>
      <c r="C45" s="1131" t="s">
        <v>3488</v>
      </c>
      <c r="D45" s="1132">
        <f>('POR AÑOS_OBRA2024'!D45+'POR AÑOS_OBRA2024'!H45+'POR AÑOS_OBRA2024'!L45+'POR AÑOS_OBRA2024'!P45)</f>
        <v>31119</v>
      </c>
      <c r="E45" s="1133">
        <f>+'42'!I51</f>
        <v>2959</v>
      </c>
      <c r="F45" s="1134">
        <f t="shared" si="0"/>
        <v>92081121</v>
      </c>
      <c r="G45" s="733">
        <v>45000</v>
      </c>
    </row>
    <row r="46" spans="1:7" s="727" customFormat="1" ht="40.5" outlineLevel="1" collapsed="1" x14ac:dyDescent="0.2">
      <c r="A46" s="589">
        <v>43</v>
      </c>
      <c r="B46" s="1130" t="s">
        <v>7382</v>
      </c>
      <c r="C46" s="1131" t="s">
        <v>3488</v>
      </c>
      <c r="D46" s="1132">
        <f>('POR AÑOS_OBRA2024'!D46+'POR AÑOS_OBRA2024'!H46+'POR AÑOS_OBRA2024'!L46+'POR AÑOS_OBRA2024'!P46)</f>
        <v>14653</v>
      </c>
      <c r="E46" s="1133">
        <f>+'43'!I51</f>
        <v>3657</v>
      </c>
      <c r="F46" s="1134">
        <f t="shared" si="0"/>
        <v>53586021</v>
      </c>
      <c r="G46" s="733">
        <v>15000</v>
      </c>
    </row>
    <row r="47" spans="1:7" s="727" customFormat="1" ht="40.5" outlineLevel="1" x14ac:dyDescent="0.2">
      <c r="A47" s="589">
        <v>44</v>
      </c>
      <c r="B47" s="1130" t="s">
        <v>7383</v>
      </c>
      <c r="C47" s="1131" t="s">
        <v>3488</v>
      </c>
      <c r="D47" s="1436">
        <f>('POR AÑOS_OBRA2024'!D47+'POR AÑOS_OBRA2024'!H47+'POR AÑOS_OBRA2024'!L47+'POR AÑOS_OBRA2024'!P47)</f>
        <v>7329</v>
      </c>
      <c r="E47" s="1133">
        <f>+'44'!I51</f>
        <v>4821</v>
      </c>
      <c r="F47" s="1134">
        <f t="shared" si="0"/>
        <v>35333109</v>
      </c>
      <c r="G47" s="733">
        <v>7500</v>
      </c>
    </row>
    <row r="48" spans="1:7" s="727" customFormat="1" ht="40.5" outlineLevel="1" x14ac:dyDescent="0.2">
      <c r="A48" s="589">
        <v>45</v>
      </c>
      <c r="B48" s="1130" t="s">
        <v>7326</v>
      </c>
      <c r="C48" s="1131" t="s">
        <v>12</v>
      </c>
      <c r="D48" s="1132">
        <f>('POR AÑOS_OBRA2024'!D48+'POR AÑOS_OBRA2024'!H48+'POR AÑOS_OBRA2024'!L48+'POR AÑOS_OBRA2024'!P48)</f>
        <v>419</v>
      </c>
      <c r="E48" s="1133">
        <f>+'45'!I51</f>
        <v>28680</v>
      </c>
      <c r="F48" s="1134">
        <f t="shared" si="0"/>
        <v>12016920</v>
      </c>
      <c r="G48" s="733">
        <v>878.5</v>
      </c>
    </row>
    <row r="49" spans="1:7" s="727" customFormat="1" ht="40.5" outlineLevel="1" x14ac:dyDescent="0.2">
      <c r="A49" s="589">
        <v>46</v>
      </c>
      <c r="B49" s="1130" t="s">
        <v>7327</v>
      </c>
      <c r="C49" s="1131" t="s">
        <v>12</v>
      </c>
      <c r="D49" s="1132">
        <f>('POR AÑOS_OBRA2024'!D49+'POR AÑOS_OBRA2024'!H49+'POR AÑOS_OBRA2024'!L49+'POR AÑOS_OBRA2024'!P49)</f>
        <v>350</v>
      </c>
      <c r="E49" s="1133">
        <f>+'46'!I51</f>
        <v>34074</v>
      </c>
      <c r="F49" s="1134">
        <f t="shared" si="0"/>
        <v>11925900</v>
      </c>
      <c r="G49" s="733">
        <v>358.5</v>
      </c>
    </row>
    <row r="50" spans="1:7" s="727" customFormat="1" ht="54" outlineLevel="1" x14ac:dyDescent="0.2">
      <c r="A50" s="589">
        <v>47</v>
      </c>
      <c r="B50" s="1130" t="s">
        <v>7328</v>
      </c>
      <c r="C50" s="1131" t="s">
        <v>12</v>
      </c>
      <c r="D50" s="1132">
        <f>('POR AÑOS_OBRA2024'!D50+'POR AÑOS_OBRA2024'!H50+'POR AÑOS_OBRA2024'!L50+'POR AÑOS_OBRA2024'!P50)</f>
        <v>4738</v>
      </c>
      <c r="E50" s="1133">
        <f>+'47'!I51</f>
        <v>34912</v>
      </c>
      <c r="F50" s="1134">
        <f t="shared" si="0"/>
        <v>165413056</v>
      </c>
      <c r="G50" s="733">
        <v>4854</v>
      </c>
    </row>
    <row r="51" spans="1:7" s="727" customFormat="1" ht="40.5" outlineLevel="1" x14ac:dyDescent="0.2">
      <c r="A51" s="589">
        <v>48</v>
      </c>
      <c r="B51" s="1130" t="s">
        <v>7384</v>
      </c>
      <c r="C51" s="1131" t="s">
        <v>3488</v>
      </c>
      <c r="D51" s="1436">
        <f>('POR AÑOS_OBRA2024'!D51+'POR AÑOS_OBRA2024'!H51+'POR AÑOS_OBRA2024'!L51+'POR AÑOS_OBRA2024'!P51)</f>
        <v>12653</v>
      </c>
      <c r="E51" s="1133">
        <f>+'48'!I51</f>
        <v>2842</v>
      </c>
      <c r="F51" s="1134">
        <f t="shared" si="0"/>
        <v>35959826</v>
      </c>
      <c r="G51" s="733">
        <v>15203</v>
      </c>
    </row>
    <row r="52" spans="1:7" s="727" customFormat="1" ht="40.5" outlineLevel="1" x14ac:dyDescent="0.2">
      <c r="A52" s="589">
        <v>49</v>
      </c>
      <c r="B52" s="1130" t="s">
        <v>7329</v>
      </c>
      <c r="C52" s="1131" t="s">
        <v>12</v>
      </c>
      <c r="D52" s="1132">
        <f>('POR AÑOS_OBRA2024'!D52+'POR AÑOS_OBRA2024'!H52+'POR AÑOS_OBRA2024'!L52+'POR AÑOS_OBRA2024'!P52)</f>
        <v>1715</v>
      </c>
      <c r="E52" s="1133">
        <f>+'49'!I51</f>
        <v>38484</v>
      </c>
      <c r="F52" s="1134">
        <f t="shared" si="0"/>
        <v>66000060</v>
      </c>
      <c r="G52" s="733">
        <v>174</v>
      </c>
    </row>
    <row r="53" spans="1:7" s="727" customFormat="1" ht="27" outlineLevel="1" x14ac:dyDescent="0.2">
      <c r="A53" s="589">
        <v>50</v>
      </c>
      <c r="B53" s="1130" t="s">
        <v>7330</v>
      </c>
      <c r="C53" s="1131" t="s">
        <v>3488</v>
      </c>
      <c r="D53" s="1132">
        <f>('POR AÑOS_OBRA2024'!D53+'POR AÑOS_OBRA2024'!H53+'POR AÑOS_OBRA2024'!L53+'POR AÑOS_OBRA2024'!P53)</f>
        <v>13246</v>
      </c>
      <c r="E53" s="1133">
        <f>+'50'!I51</f>
        <v>16054</v>
      </c>
      <c r="F53" s="1134">
        <f t="shared" si="0"/>
        <v>212651284</v>
      </c>
      <c r="G53" s="733">
        <v>13564</v>
      </c>
    </row>
    <row r="54" spans="1:7" s="727" customFormat="1" ht="27" outlineLevel="1" x14ac:dyDescent="0.2">
      <c r="A54" s="589">
        <v>51</v>
      </c>
      <c r="B54" s="1130" t="s">
        <v>7331</v>
      </c>
      <c r="C54" s="1131" t="s">
        <v>3488</v>
      </c>
      <c r="D54" s="1132">
        <f>('POR AÑOS_OBRA2024'!D54+'POR AÑOS_OBRA2024'!H54+'POR AÑOS_OBRA2024'!L54+'POR AÑOS_OBRA2024'!P54)</f>
        <v>2061</v>
      </c>
      <c r="E54" s="1133">
        <f>+'51'!I51</f>
        <v>19988</v>
      </c>
      <c r="F54" s="1134">
        <f t="shared" si="0"/>
        <v>41195268</v>
      </c>
      <c r="G54" s="733">
        <v>2108</v>
      </c>
    </row>
    <row r="55" spans="1:7" s="727" customFormat="1" ht="27" outlineLevel="1" x14ac:dyDescent="0.2">
      <c r="A55" s="589">
        <v>52</v>
      </c>
      <c r="B55" s="1130" t="s">
        <v>7331</v>
      </c>
      <c r="C55" s="1131" t="s">
        <v>3488</v>
      </c>
      <c r="D55" s="1132">
        <f>('POR AÑOS_OBRA2024'!D55+'POR AÑOS_OBRA2024'!H55+'POR AÑOS_OBRA2024'!L55+'POR AÑOS_OBRA2024'!P55)</f>
        <v>1004</v>
      </c>
      <c r="E55" s="1133">
        <f>+'52'!I51</f>
        <v>26421</v>
      </c>
      <c r="F55" s="1134">
        <f t="shared" si="0"/>
        <v>26526684</v>
      </c>
      <c r="G55" s="733">
        <v>100</v>
      </c>
    </row>
    <row r="56" spans="1:7" s="727" customFormat="1" ht="27" outlineLevel="1" x14ac:dyDescent="0.2">
      <c r="A56" s="589">
        <v>53</v>
      </c>
      <c r="B56" s="1130" t="s">
        <v>7332</v>
      </c>
      <c r="C56" s="1131" t="s">
        <v>12</v>
      </c>
      <c r="D56" s="1132">
        <f>('POR AÑOS_OBRA2024'!D56+'POR AÑOS_OBRA2024'!H56+'POR AÑOS_OBRA2024'!L56+'POR AÑOS_OBRA2024'!P56)</f>
        <v>103</v>
      </c>
      <c r="E56" s="1133">
        <f>+'53'!I51</f>
        <v>141917</v>
      </c>
      <c r="F56" s="1134">
        <f t="shared" si="0"/>
        <v>14617451</v>
      </c>
      <c r="G56" s="733">
        <v>100</v>
      </c>
    </row>
    <row r="57" spans="1:7" s="727" customFormat="1" ht="40.5" outlineLevel="1" x14ac:dyDescent="0.2">
      <c r="A57" s="589">
        <v>54</v>
      </c>
      <c r="B57" s="1130" t="s">
        <v>7333</v>
      </c>
      <c r="C57" s="1131" t="s">
        <v>12</v>
      </c>
      <c r="D57" s="1132">
        <f>('POR AÑOS_OBRA2024'!D57+'POR AÑOS_OBRA2024'!H57+'POR AÑOS_OBRA2024'!L57+'POR AÑOS_OBRA2024'!P57)</f>
        <v>102</v>
      </c>
      <c r="E57" s="1133">
        <f>+'54'!I51</f>
        <v>142081</v>
      </c>
      <c r="F57" s="1134">
        <f t="shared" si="0"/>
        <v>14492262</v>
      </c>
      <c r="G57" s="733">
        <v>100</v>
      </c>
    </row>
    <row r="58" spans="1:7" s="727" customFormat="1" ht="40.5" outlineLevel="1" x14ac:dyDescent="0.2">
      <c r="A58" s="589">
        <v>55</v>
      </c>
      <c r="B58" s="1130" t="s">
        <v>7334</v>
      </c>
      <c r="C58" s="1131" t="s">
        <v>3488</v>
      </c>
      <c r="D58" s="1132">
        <f>('POR AÑOS_OBRA2024'!D58+'POR AÑOS_OBRA2024'!H58+'POR AÑOS_OBRA2024'!L58+'POR AÑOS_OBRA2024'!P58)</f>
        <v>27524</v>
      </c>
      <c r="E58" s="1133">
        <f>+'55'!I51</f>
        <v>5922</v>
      </c>
      <c r="F58" s="1134">
        <f t="shared" si="0"/>
        <v>162997128</v>
      </c>
      <c r="G58" s="735">
        <v>113566</v>
      </c>
    </row>
    <row r="59" spans="1:7" s="727" customFormat="1" ht="40.5" outlineLevel="1" x14ac:dyDescent="0.2">
      <c r="A59" s="589">
        <v>56</v>
      </c>
      <c r="B59" s="1130" t="s">
        <v>7335</v>
      </c>
      <c r="C59" s="1131" t="s">
        <v>3488</v>
      </c>
      <c r="D59" s="1132">
        <f>('POR AÑOS_OBRA2024'!D59+'POR AÑOS_OBRA2024'!H59+'POR AÑOS_OBRA2024'!L59+'POR AÑOS_OBRA2024'!P59)</f>
        <v>14624</v>
      </c>
      <c r="E59" s="1133">
        <f>+'56'!I51</f>
        <v>10473</v>
      </c>
      <c r="F59" s="1134">
        <f t="shared" si="0"/>
        <v>153157152</v>
      </c>
      <c r="G59" s="733">
        <v>14976</v>
      </c>
    </row>
    <row r="60" spans="1:7" s="727" customFormat="1" ht="40.5" outlineLevel="1" x14ac:dyDescent="0.2">
      <c r="A60" s="589">
        <v>57</v>
      </c>
      <c r="B60" s="1130" t="s">
        <v>7336</v>
      </c>
      <c r="C60" s="1131" t="s">
        <v>3488</v>
      </c>
      <c r="D60" s="1132">
        <f>('POR AÑOS_OBRA2024'!D60+'POR AÑOS_OBRA2024'!H60+'POR AÑOS_OBRA2024'!L60+'POR AÑOS_OBRA2024'!P60)</f>
        <v>20639</v>
      </c>
      <c r="E60" s="1133">
        <f>+'57'!I51</f>
        <v>12615</v>
      </c>
      <c r="F60" s="1134">
        <f t="shared" si="0"/>
        <v>260360985</v>
      </c>
      <c r="G60" s="733">
        <v>20650</v>
      </c>
    </row>
    <row r="61" spans="1:7" s="727" customFormat="1" ht="40.5" outlineLevel="1" x14ac:dyDescent="0.2">
      <c r="A61" s="589">
        <v>58</v>
      </c>
      <c r="B61" s="1130" t="s">
        <v>7337</v>
      </c>
      <c r="C61" s="1131" t="s">
        <v>12</v>
      </c>
      <c r="D61" s="1132">
        <f>('POR AÑOS_OBRA2024'!D61+'POR AÑOS_OBRA2024'!H61+'POR AÑOS_OBRA2024'!L61+'POR AÑOS_OBRA2024'!P61)</f>
        <v>10737</v>
      </c>
      <c r="E61" s="1133">
        <f>+'58'!I51</f>
        <v>53181</v>
      </c>
      <c r="F61" s="1134">
        <f t="shared" si="0"/>
        <v>571004397</v>
      </c>
      <c r="G61" s="733">
        <v>10991</v>
      </c>
    </row>
    <row r="62" spans="1:7" s="728" customFormat="1" ht="40.5" outlineLevel="1" x14ac:dyDescent="0.2">
      <c r="A62" s="589">
        <v>59</v>
      </c>
      <c r="B62" s="1130" t="s">
        <v>7338</v>
      </c>
      <c r="C62" s="1131" t="s">
        <v>12</v>
      </c>
      <c r="D62" s="1132">
        <f>('POR AÑOS_OBRA2024'!D62+'POR AÑOS_OBRA2024'!H62+'POR AÑOS_OBRA2024'!L62+'POR AÑOS_OBRA2024'!P62)</f>
        <v>2640</v>
      </c>
      <c r="E62" s="1133">
        <f>+'59'!I50</f>
        <v>55031</v>
      </c>
      <c r="F62" s="1134">
        <f t="shared" si="0"/>
        <v>145281840</v>
      </c>
      <c r="G62" s="734">
        <v>2706</v>
      </c>
    </row>
    <row r="63" spans="1:7" s="728" customFormat="1" ht="40.5" outlineLevel="1" x14ac:dyDescent="0.2">
      <c r="A63" s="589">
        <v>60</v>
      </c>
      <c r="B63" s="1130" t="s">
        <v>7339</v>
      </c>
      <c r="C63" s="1131" t="s">
        <v>3488</v>
      </c>
      <c r="D63" s="1132">
        <f>('POR AÑOS_OBRA2024'!D63+'POR AÑOS_OBRA2024'!H63+'POR AÑOS_OBRA2024'!L63+'POR AÑOS_OBRA2024'!P63)</f>
        <v>15524</v>
      </c>
      <c r="E63" s="1133">
        <f>+'60'!I51</f>
        <v>10162</v>
      </c>
      <c r="F63" s="1134">
        <f t="shared" si="0"/>
        <v>157754888</v>
      </c>
      <c r="G63" s="734">
        <v>15892</v>
      </c>
    </row>
    <row r="64" spans="1:7" s="728" customFormat="1" ht="40.5" outlineLevel="1" x14ac:dyDescent="0.2">
      <c r="A64" s="589">
        <v>61</v>
      </c>
      <c r="B64" s="1130" t="s">
        <v>7340</v>
      </c>
      <c r="C64" s="1131" t="s">
        <v>3488</v>
      </c>
      <c r="D64" s="1132">
        <f>('POR AÑOS_OBRA2024'!D64+'POR AÑOS_OBRA2024'!H64+'POR AÑOS_OBRA2024'!L64+'POR AÑOS_OBRA2024'!P64)</f>
        <v>2644</v>
      </c>
      <c r="E64" s="1133">
        <f>+'61'!I51</f>
        <v>12205</v>
      </c>
      <c r="F64" s="1134">
        <f t="shared" si="0"/>
        <v>32270020</v>
      </c>
      <c r="G64" s="734">
        <v>2709</v>
      </c>
    </row>
    <row r="65" spans="1:7" s="728" customFormat="1" ht="40.5" outlineLevel="1" x14ac:dyDescent="0.2">
      <c r="A65" s="589">
        <v>62</v>
      </c>
      <c r="B65" s="1130" t="s">
        <v>7341</v>
      </c>
      <c r="C65" s="1131" t="s">
        <v>3488</v>
      </c>
      <c r="D65" s="1132">
        <f>('POR AÑOS_OBRA2024'!D65+'POR AÑOS_OBRA2024'!H65+'POR AÑOS_OBRA2024'!L65+'POR AÑOS_OBRA2024'!P65)</f>
        <v>629</v>
      </c>
      <c r="E65" s="1133">
        <f>+'62'!I51</f>
        <v>15612</v>
      </c>
      <c r="F65" s="1134">
        <f t="shared" si="0"/>
        <v>9819948</v>
      </c>
      <c r="G65" s="734">
        <v>636</v>
      </c>
    </row>
    <row r="66" spans="1:7" s="728" customFormat="1" ht="40.5" outlineLevel="1" collapsed="1" x14ac:dyDescent="0.2">
      <c r="A66" s="589">
        <v>63</v>
      </c>
      <c r="B66" s="1130" t="s">
        <v>7342</v>
      </c>
      <c r="C66" s="1131" t="s">
        <v>12</v>
      </c>
      <c r="D66" s="1132">
        <f>('POR AÑOS_OBRA2024'!D66+'POR AÑOS_OBRA2024'!H66+'POR AÑOS_OBRA2024'!L66+'POR AÑOS_OBRA2024'!P66)</f>
        <v>1314</v>
      </c>
      <c r="E66" s="1133">
        <f>+'63'!I51</f>
        <v>85461</v>
      </c>
      <c r="F66" s="1134">
        <f t="shared" si="0"/>
        <v>112295754</v>
      </c>
      <c r="G66" s="734">
        <v>18417</v>
      </c>
    </row>
    <row r="67" spans="1:7" s="727" customFormat="1" ht="40.5" outlineLevel="1" x14ac:dyDescent="0.2">
      <c r="A67" s="589">
        <v>64</v>
      </c>
      <c r="B67" s="1130" t="s">
        <v>7343</v>
      </c>
      <c r="C67" s="1131" t="s">
        <v>12</v>
      </c>
      <c r="D67" s="1132">
        <f>('POR AÑOS_OBRA2024'!D67+'POR AÑOS_OBRA2024'!H67+'POR AÑOS_OBRA2024'!L67+'POR AÑOS_OBRA2024'!P67)</f>
        <v>62</v>
      </c>
      <c r="E67" s="1133">
        <f>+'64'!I51</f>
        <v>89761</v>
      </c>
      <c r="F67" s="1134">
        <f t="shared" si="0"/>
        <v>5565182</v>
      </c>
      <c r="G67" s="733">
        <v>60</v>
      </c>
    </row>
    <row r="68" spans="1:7" s="727" customFormat="1" ht="40.5" outlineLevel="1" x14ac:dyDescent="0.2">
      <c r="A68" s="589">
        <v>65</v>
      </c>
      <c r="B68" s="1130" t="s">
        <v>7344</v>
      </c>
      <c r="C68" s="1131" t="s">
        <v>12</v>
      </c>
      <c r="D68" s="1132">
        <f>('POR AÑOS_OBRA2024'!D68+'POR AÑOS_OBRA2024'!H68+'POR AÑOS_OBRA2024'!L68+'POR AÑOS_OBRA2024'!P68)</f>
        <v>1258</v>
      </c>
      <c r="E68" s="1133">
        <f>+'65'!I50</f>
        <v>90289</v>
      </c>
      <c r="F68" s="1134">
        <f t="shared" si="0"/>
        <v>113583562</v>
      </c>
      <c r="G68" s="733">
        <v>13123</v>
      </c>
    </row>
    <row r="69" spans="1:7" s="727" customFormat="1" ht="40.5" outlineLevel="1" x14ac:dyDescent="0.2">
      <c r="A69" s="589">
        <v>66</v>
      </c>
      <c r="B69" s="1130" t="s">
        <v>7345</v>
      </c>
      <c r="C69" s="1131" t="s">
        <v>12</v>
      </c>
      <c r="D69" s="1132">
        <f>('POR AÑOS_OBRA2024'!D69+'POR AÑOS_OBRA2024'!H69+'POR AÑOS_OBRA2024'!L69+'POR AÑOS_OBRA2024'!P69)</f>
        <v>1182</v>
      </c>
      <c r="E69" s="1133">
        <f>+'66'!I50</f>
        <v>93547</v>
      </c>
      <c r="F69" s="1134">
        <f t="shared" ref="F69:F130" si="1">+ROUND(D69*E69,0)</f>
        <v>110572554</v>
      </c>
      <c r="G69" s="733">
        <v>1198</v>
      </c>
    </row>
    <row r="70" spans="1:7" s="727" customFormat="1" ht="72" customHeight="1" outlineLevel="1" x14ac:dyDescent="0.2">
      <c r="A70" s="589">
        <v>67</v>
      </c>
      <c r="B70" s="1130" t="s">
        <v>7427</v>
      </c>
      <c r="C70" s="1131" t="s">
        <v>12</v>
      </c>
      <c r="D70" s="1132">
        <f>('POR AÑOS_OBRA2024'!D70+'POR AÑOS_OBRA2024'!H70+'POR AÑOS_OBRA2024'!L70+'POR AÑOS_OBRA2024'!P70)</f>
        <v>6645</v>
      </c>
      <c r="E70" s="1133">
        <f>+'67'!I50</f>
        <v>94908</v>
      </c>
      <c r="F70" s="1134">
        <f t="shared" si="1"/>
        <v>630663660</v>
      </c>
      <c r="G70" s="733">
        <v>6809</v>
      </c>
    </row>
    <row r="71" spans="1:7" s="727" customFormat="1" ht="45.6" customHeight="1" outlineLevel="1" x14ac:dyDescent="0.2">
      <c r="A71" s="589">
        <v>68</v>
      </c>
      <c r="B71" s="1130" t="s">
        <v>3336</v>
      </c>
      <c r="C71" s="1131" t="s">
        <v>12</v>
      </c>
      <c r="D71" s="1132">
        <f>('POR AÑOS_OBRA2024'!D71+'POR AÑOS_OBRA2024'!H71+'POR AÑOS_OBRA2024'!L71+'POR AÑOS_OBRA2024'!P71)</f>
        <v>42224</v>
      </c>
      <c r="E71" s="1133">
        <f>+'68'!I52</f>
        <v>8822</v>
      </c>
      <c r="F71" s="1134">
        <f t="shared" si="1"/>
        <v>372500128</v>
      </c>
      <c r="G71" s="733">
        <v>52136</v>
      </c>
    </row>
    <row r="72" spans="1:7" s="727" customFormat="1" ht="27" outlineLevel="1" x14ac:dyDescent="0.2">
      <c r="A72" s="589">
        <v>69</v>
      </c>
      <c r="B72" s="1130" t="s">
        <v>3212</v>
      </c>
      <c r="C72" s="1131" t="s">
        <v>266</v>
      </c>
      <c r="D72" s="1132">
        <f>('POR AÑOS_OBRA2024'!D72+'POR AÑOS_OBRA2024'!H72+'POR AÑOS_OBRA2024'!L72+'POR AÑOS_OBRA2024'!P72)</f>
        <v>28239</v>
      </c>
      <c r="E72" s="1133">
        <f>+'69'!I50</f>
        <v>8426</v>
      </c>
      <c r="F72" s="1134">
        <f t="shared" si="1"/>
        <v>237941814</v>
      </c>
      <c r="G72" s="733">
        <v>7569</v>
      </c>
    </row>
    <row r="73" spans="1:7" s="727" customFormat="1" ht="40.5" outlineLevel="1" x14ac:dyDescent="0.2">
      <c r="A73" s="589">
        <v>70</v>
      </c>
      <c r="B73" s="1130" t="s">
        <v>3211</v>
      </c>
      <c r="C73" s="1131" t="s">
        <v>266</v>
      </c>
      <c r="D73" s="1132">
        <f>('POR AÑOS_OBRA2024'!D73+'POR AÑOS_OBRA2024'!H73+'POR AÑOS_OBRA2024'!L73+'POR AÑOS_OBRA2024'!P73)</f>
        <v>28300</v>
      </c>
      <c r="E73" s="1133">
        <f>+'70'!I52</f>
        <v>11752</v>
      </c>
      <c r="F73" s="1134">
        <f t="shared" si="1"/>
        <v>332581600</v>
      </c>
      <c r="G73" s="733">
        <v>37973</v>
      </c>
    </row>
    <row r="74" spans="1:7" s="727" customFormat="1" ht="40.5" outlineLevel="1" x14ac:dyDescent="0.2">
      <c r="A74" s="589">
        <v>71</v>
      </c>
      <c r="B74" s="1130" t="s">
        <v>7376</v>
      </c>
      <c r="C74" s="1131" t="s">
        <v>266</v>
      </c>
      <c r="D74" s="1132">
        <f>('POR AÑOS_OBRA2024'!D74+'POR AÑOS_OBRA2024'!H74+'POR AÑOS_OBRA2024'!L74+'POR AÑOS_OBRA2024'!P74)</f>
        <v>19139</v>
      </c>
      <c r="E74" s="1133">
        <f>+'71'!I51</f>
        <v>6547</v>
      </c>
      <c r="F74" s="1134">
        <f t="shared" si="1"/>
        <v>125303033</v>
      </c>
      <c r="G74" s="733">
        <v>19607</v>
      </c>
    </row>
    <row r="75" spans="1:7" s="727" customFormat="1" ht="54" outlineLevel="1" x14ac:dyDescent="0.2">
      <c r="A75" s="589">
        <v>72</v>
      </c>
      <c r="B75" s="1130" t="s">
        <v>7377</v>
      </c>
      <c r="C75" s="1131" t="s">
        <v>266</v>
      </c>
      <c r="D75" s="1132">
        <f>('POR AÑOS_OBRA2024'!D75+'POR AÑOS_OBRA2024'!H75+'POR AÑOS_OBRA2024'!L75+'POR AÑOS_OBRA2024'!P75)</f>
        <v>18775</v>
      </c>
      <c r="E75" s="1133">
        <f>+'72'!I52</f>
        <v>6958</v>
      </c>
      <c r="F75" s="1134">
        <f t="shared" si="1"/>
        <v>130636450</v>
      </c>
      <c r="G75" s="733">
        <v>58525</v>
      </c>
    </row>
    <row r="76" spans="1:7" s="727" customFormat="1" ht="54" outlineLevel="1" x14ac:dyDescent="0.2">
      <c r="A76" s="589">
        <v>73</v>
      </c>
      <c r="B76" s="1130" t="s">
        <v>7378</v>
      </c>
      <c r="C76" s="1131" t="s">
        <v>266</v>
      </c>
      <c r="D76" s="1132">
        <f>('POR AÑOS_OBRA2024'!D76+'POR AÑOS_OBRA2024'!H76+'POR AÑOS_OBRA2024'!L76+'POR AÑOS_OBRA2024'!P76)</f>
        <v>27110</v>
      </c>
      <c r="E76" s="1133">
        <f>+'73'!I52</f>
        <v>11509</v>
      </c>
      <c r="F76" s="1134">
        <f t="shared" si="1"/>
        <v>312008990</v>
      </c>
      <c r="G76" s="733">
        <v>155800</v>
      </c>
    </row>
    <row r="77" spans="1:7" s="727" customFormat="1" ht="54" outlineLevel="1" x14ac:dyDescent="0.2">
      <c r="A77" s="589">
        <v>74</v>
      </c>
      <c r="B77" s="1130" t="s">
        <v>3337</v>
      </c>
      <c r="C77" s="1131" t="s">
        <v>266</v>
      </c>
      <c r="D77" s="1132">
        <f>('POR AÑOS_OBRA2024'!D77+'POR AÑOS_OBRA2024'!H77+'POR AÑOS_OBRA2024'!L77+'POR AÑOS_OBRA2024'!P77)</f>
        <v>709</v>
      </c>
      <c r="E77" s="1133">
        <f>+'74'!I52</f>
        <v>81420</v>
      </c>
      <c r="F77" s="1134">
        <f t="shared" si="1"/>
        <v>57726780</v>
      </c>
      <c r="G77" s="733">
        <v>722</v>
      </c>
    </row>
    <row r="78" spans="1:7" s="727" customFormat="1" ht="54" outlineLevel="1" x14ac:dyDescent="0.2">
      <c r="A78" s="589">
        <v>75</v>
      </c>
      <c r="B78" s="1130" t="s">
        <v>7373</v>
      </c>
      <c r="C78" s="1131" t="s">
        <v>266</v>
      </c>
      <c r="D78" s="1132">
        <f>('POR AÑOS_OBRA2024'!D78+'POR AÑOS_OBRA2024'!H78+'POR AÑOS_OBRA2024'!L78+'POR AÑOS_OBRA2024'!P78)</f>
        <v>1369</v>
      </c>
      <c r="E78" s="1133">
        <f>+'75'!I51</f>
        <v>81873</v>
      </c>
      <c r="F78" s="1134">
        <f t="shared" si="1"/>
        <v>112084137</v>
      </c>
      <c r="G78" s="733">
        <v>18480</v>
      </c>
    </row>
    <row r="79" spans="1:7" s="727" customFormat="1" ht="54" outlineLevel="1" x14ac:dyDescent="0.2">
      <c r="A79" s="589">
        <v>76</v>
      </c>
      <c r="B79" s="1130" t="s">
        <v>7374</v>
      </c>
      <c r="C79" s="1131" t="s">
        <v>266</v>
      </c>
      <c r="D79" s="1132">
        <f>('POR AÑOS_OBRA2024'!D79+'POR AÑOS_OBRA2024'!H79+'POR AÑOS_OBRA2024'!L79+'POR AÑOS_OBRA2024'!P79)</f>
        <v>18</v>
      </c>
      <c r="E79" s="1133">
        <f>+'76'!I52</f>
        <v>153315</v>
      </c>
      <c r="F79" s="1134">
        <f t="shared" si="1"/>
        <v>2759670</v>
      </c>
      <c r="G79" s="733">
        <v>10</v>
      </c>
    </row>
    <row r="80" spans="1:7" s="727" customFormat="1" ht="67.5" outlineLevel="1" x14ac:dyDescent="0.2">
      <c r="A80" s="589">
        <v>77</v>
      </c>
      <c r="B80" s="1130" t="s">
        <v>7375</v>
      </c>
      <c r="C80" s="1131" t="s">
        <v>266</v>
      </c>
      <c r="D80" s="1132">
        <f>('POR AÑOS_OBRA2024'!D80+'POR AÑOS_OBRA2024'!H80+'POR AÑOS_OBRA2024'!L80+'POR AÑOS_OBRA2024'!P80)</f>
        <v>2669</v>
      </c>
      <c r="E80" s="1133">
        <f>+'77'!I52</f>
        <v>186851</v>
      </c>
      <c r="F80" s="1134">
        <f t="shared" si="1"/>
        <v>498705319</v>
      </c>
      <c r="G80" s="733">
        <v>2728</v>
      </c>
    </row>
    <row r="81" spans="1:7" s="728" customFormat="1" ht="54" x14ac:dyDescent="0.2">
      <c r="A81" s="589">
        <v>78</v>
      </c>
      <c r="B81" s="1130" t="s">
        <v>7352</v>
      </c>
      <c r="C81" s="1131" t="s">
        <v>266</v>
      </c>
      <c r="D81" s="1132">
        <f>('POR AÑOS_OBRA2024'!D81+'POR AÑOS_OBRA2024'!H81+'POR AÑOS_OBRA2024'!L81+'POR AÑOS_OBRA2024'!P81)</f>
        <v>245</v>
      </c>
      <c r="E81" s="1133">
        <f>+'78'!I52</f>
        <v>38479</v>
      </c>
      <c r="F81" s="1134">
        <f t="shared" si="1"/>
        <v>9427355</v>
      </c>
      <c r="G81" s="734">
        <v>20</v>
      </c>
    </row>
    <row r="82" spans="1:7" s="727" customFormat="1" ht="54" x14ac:dyDescent="0.2">
      <c r="A82" s="589">
        <v>79</v>
      </c>
      <c r="B82" s="1130" t="s">
        <v>7353</v>
      </c>
      <c r="C82" s="1131" t="s">
        <v>266</v>
      </c>
      <c r="D82" s="1132">
        <f>('POR AÑOS_OBRA2024'!D82+'POR AÑOS_OBRA2024'!H82+'POR AÑOS_OBRA2024'!L82+'POR AÑOS_OBRA2024'!P82)</f>
        <v>246</v>
      </c>
      <c r="E82" s="1133">
        <f>+'79'!I52</f>
        <v>29227</v>
      </c>
      <c r="F82" s="1134">
        <f t="shared" si="1"/>
        <v>7189842</v>
      </c>
      <c r="G82" s="733">
        <v>20</v>
      </c>
    </row>
    <row r="83" spans="1:7" s="727" customFormat="1" ht="67.5" x14ac:dyDescent="0.2">
      <c r="A83" s="589">
        <v>80</v>
      </c>
      <c r="B83" s="1130" t="s">
        <v>7351</v>
      </c>
      <c r="C83" s="1131" t="s">
        <v>266</v>
      </c>
      <c r="D83" s="1132">
        <f>('POR AÑOS_OBRA2024'!D83+'POR AÑOS_OBRA2024'!H83+'POR AÑOS_OBRA2024'!L83+'POR AÑOS_OBRA2024'!P83)</f>
        <v>1515</v>
      </c>
      <c r="E83" s="1133">
        <f>+'80'!I50</f>
        <v>51524</v>
      </c>
      <c r="F83" s="1134">
        <f t="shared" si="1"/>
        <v>78058860</v>
      </c>
      <c r="G83" s="733">
        <v>1855</v>
      </c>
    </row>
    <row r="84" spans="1:7" s="727" customFormat="1" ht="67.5" x14ac:dyDescent="0.2">
      <c r="A84" s="589">
        <v>81</v>
      </c>
      <c r="B84" s="1130" t="s">
        <v>7354</v>
      </c>
      <c r="C84" s="1131" t="s">
        <v>266</v>
      </c>
      <c r="D84" s="1132">
        <f>('POR AÑOS_OBRA2024'!D84+'POR AÑOS_OBRA2024'!H84+'POR AÑOS_OBRA2024'!L84+'POR AÑOS_OBRA2024'!P84)</f>
        <v>330</v>
      </c>
      <c r="E84" s="1133">
        <f>+'81'!I52</f>
        <v>75074</v>
      </c>
      <c r="F84" s="1134">
        <f t="shared" si="1"/>
        <v>24774420</v>
      </c>
      <c r="G84" s="733">
        <v>0</v>
      </c>
    </row>
    <row r="85" spans="1:7" s="727" customFormat="1" ht="27" x14ac:dyDescent="0.2">
      <c r="A85" s="589">
        <v>82</v>
      </c>
      <c r="B85" s="1130" t="s">
        <v>7313</v>
      </c>
      <c r="C85" s="1131" t="s">
        <v>12</v>
      </c>
      <c r="D85" s="1132">
        <f>('POR AÑOS_OBRA2024'!D85+'POR AÑOS_OBRA2024'!H85+'POR AÑOS_OBRA2024'!L85+'POR AÑOS_OBRA2024'!P85)</f>
        <v>410</v>
      </c>
      <c r="E85" s="1133">
        <f>+'82'!I51</f>
        <v>326989</v>
      </c>
      <c r="F85" s="1134">
        <f t="shared" si="1"/>
        <v>134065490</v>
      </c>
      <c r="G85" s="733">
        <v>65</v>
      </c>
    </row>
    <row r="86" spans="1:7" s="727" customFormat="1" ht="27" x14ac:dyDescent="0.2">
      <c r="A86" s="589">
        <v>83</v>
      </c>
      <c r="B86" s="1130" t="s">
        <v>231</v>
      </c>
      <c r="C86" s="1131" t="s">
        <v>12</v>
      </c>
      <c r="D86" s="1132">
        <f>('POR AÑOS_OBRA2024'!D86+'POR AÑOS_OBRA2024'!H86+'POR AÑOS_OBRA2024'!L86+'POR AÑOS_OBRA2024'!P86)</f>
        <v>923</v>
      </c>
      <c r="E86" s="1133">
        <f>+'83'!I51</f>
        <v>325248</v>
      </c>
      <c r="F86" s="1134">
        <f t="shared" si="1"/>
        <v>300203904</v>
      </c>
      <c r="G86" s="733">
        <v>3406</v>
      </c>
    </row>
    <row r="87" spans="1:7" s="727" customFormat="1" ht="27" x14ac:dyDescent="0.2">
      <c r="A87" s="589">
        <v>84</v>
      </c>
      <c r="B87" s="1130" t="s">
        <v>7314</v>
      </c>
      <c r="C87" s="1131" t="s">
        <v>12</v>
      </c>
      <c r="D87" s="1132">
        <f>('POR AÑOS_OBRA2024'!D87+'POR AÑOS_OBRA2024'!H87+'POR AÑOS_OBRA2024'!L87+'POR AÑOS_OBRA2024'!P87)</f>
        <v>40</v>
      </c>
      <c r="E87" s="1133">
        <f>+'84'!I51</f>
        <v>329705</v>
      </c>
      <c r="F87" s="1134">
        <f t="shared" si="1"/>
        <v>13188200</v>
      </c>
      <c r="G87" s="733">
        <v>1269</v>
      </c>
    </row>
    <row r="88" spans="1:7" s="727" customFormat="1" ht="27" x14ac:dyDescent="0.2">
      <c r="A88" s="589">
        <v>85</v>
      </c>
      <c r="B88" s="1130" t="s">
        <v>232</v>
      </c>
      <c r="C88" s="1131" t="s">
        <v>3488</v>
      </c>
      <c r="D88" s="1132">
        <f>('POR AÑOS_OBRA2024'!D88+'POR AÑOS_OBRA2024'!H88+'POR AÑOS_OBRA2024'!L88+'POR AÑOS_OBRA2024'!P88)</f>
        <v>205</v>
      </c>
      <c r="E88" s="1133">
        <f>+'85'!I51</f>
        <v>359035</v>
      </c>
      <c r="F88" s="1134">
        <f t="shared" si="1"/>
        <v>73602175</v>
      </c>
      <c r="G88" s="733">
        <v>208</v>
      </c>
    </row>
    <row r="89" spans="1:7" s="727" customFormat="1" ht="40.5" x14ac:dyDescent="0.2">
      <c r="A89" s="589">
        <v>86</v>
      </c>
      <c r="B89" s="1130" t="s">
        <v>7365</v>
      </c>
      <c r="C89" s="1131" t="s">
        <v>3488</v>
      </c>
      <c r="D89" s="1132">
        <f>('POR AÑOS_OBRA2024'!D89+'POR AÑOS_OBRA2024'!H89+'POR AÑOS_OBRA2024'!L89+'POR AÑOS_OBRA2024'!P89)</f>
        <v>653</v>
      </c>
      <c r="E89" s="1133">
        <f>+'86'!I51</f>
        <v>301236</v>
      </c>
      <c r="F89" s="1134">
        <f t="shared" si="1"/>
        <v>196707108</v>
      </c>
      <c r="G89" s="733">
        <v>659</v>
      </c>
    </row>
    <row r="90" spans="1:7" s="727" customFormat="1" ht="67.5" x14ac:dyDescent="0.2">
      <c r="A90" s="589">
        <v>87</v>
      </c>
      <c r="B90" s="1130" t="s">
        <v>7355</v>
      </c>
      <c r="C90" s="1131" t="s">
        <v>266</v>
      </c>
      <c r="D90" s="1132">
        <f>('POR AÑOS_OBRA2024'!D90+'POR AÑOS_OBRA2024'!H90+'POR AÑOS_OBRA2024'!L90+'POR AÑOS_OBRA2024'!P90)</f>
        <v>6</v>
      </c>
      <c r="E90" s="1133">
        <f>+'87'!I51</f>
        <v>2860829</v>
      </c>
      <c r="F90" s="1134">
        <f t="shared" si="1"/>
        <v>17164974</v>
      </c>
      <c r="G90" s="733">
        <v>5</v>
      </c>
    </row>
    <row r="91" spans="1:7" s="727" customFormat="1" ht="40.5" x14ac:dyDescent="0.2">
      <c r="A91" s="589">
        <v>88</v>
      </c>
      <c r="B91" s="1130" t="s">
        <v>7364</v>
      </c>
      <c r="C91" s="1131" t="s">
        <v>266</v>
      </c>
      <c r="D91" s="1132">
        <f>('POR AÑOS_OBRA2024'!D91+'POR AÑOS_OBRA2024'!H91+'POR AÑOS_OBRA2024'!L91+'POR AÑOS_OBRA2024'!P91)</f>
        <v>12</v>
      </c>
      <c r="E91" s="1133">
        <f>+'88'!I51</f>
        <v>397849</v>
      </c>
      <c r="F91" s="1134">
        <f t="shared" si="1"/>
        <v>4774188</v>
      </c>
      <c r="G91" s="733">
        <v>5</v>
      </c>
    </row>
    <row r="92" spans="1:7" s="727" customFormat="1" ht="40.5" x14ac:dyDescent="0.2">
      <c r="A92" s="589">
        <v>89</v>
      </c>
      <c r="B92" s="1130" t="s">
        <v>3338</v>
      </c>
      <c r="C92" s="1131" t="s">
        <v>266</v>
      </c>
      <c r="D92" s="1132">
        <f>('POR AÑOS_OBRA2024'!D92+'POR AÑOS_OBRA2024'!H92+'POR AÑOS_OBRA2024'!L92+'POR AÑOS_OBRA2024'!P92)</f>
        <v>87</v>
      </c>
      <c r="E92" s="1133">
        <f>+'89'!I51</f>
        <v>474306</v>
      </c>
      <c r="F92" s="1134">
        <f t="shared" si="1"/>
        <v>41264622</v>
      </c>
      <c r="G92" s="733">
        <v>89</v>
      </c>
    </row>
    <row r="93" spans="1:7" s="727" customFormat="1" ht="40.5" x14ac:dyDescent="0.2">
      <c r="A93" s="589">
        <v>90</v>
      </c>
      <c r="B93" s="1130" t="s">
        <v>233</v>
      </c>
      <c r="C93" s="1131" t="s">
        <v>266</v>
      </c>
      <c r="D93" s="1132">
        <f>('POR AÑOS_OBRA2024'!D93+'POR AÑOS_OBRA2024'!H93+'POR AÑOS_OBRA2024'!L93+'POR AÑOS_OBRA2024'!P93)</f>
        <v>100</v>
      </c>
      <c r="E93" s="1133">
        <f>+'90'!I51</f>
        <v>56806</v>
      </c>
      <c r="F93" s="1134">
        <f t="shared" si="1"/>
        <v>5680600</v>
      </c>
      <c r="G93" s="733">
        <v>100</v>
      </c>
    </row>
    <row r="94" spans="1:7" s="727" customFormat="1" ht="27" x14ac:dyDescent="0.2">
      <c r="A94" s="589">
        <v>91</v>
      </c>
      <c r="B94" s="1130" t="s">
        <v>234</v>
      </c>
      <c r="C94" s="1131" t="s">
        <v>3488</v>
      </c>
      <c r="D94" s="1132">
        <f>('POR AÑOS_OBRA2024'!D94+'POR AÑOS_OBRA2024'!H94+'POR AÑOS_OBRA2024'!L94+'POR AÑOS_OBRA2024'!P94)</f>
        <v>11369.006000000001</v>
      </c>
      <c r="E94" s="1133">
        <f>+'91'!I52</f>
        <v>90</v>
      </c>
      <c r="F94" s="1134">
        <f t="shared" si="1"/>
        <v>1023211</v>
      </c>
      <c r="G94" s="733">
        <v>10</v>
      </c>
    </row>
    <row r="95" spans="1:7" s="727" customFormat="1" ht="15" x14ac:dyDescent="0.2">
      <c r="A95" s="589">
        <v>92</v>
      </c>
      <c r="B95" s="1130" t="s">
        <v>235</v>
      </c>
      <c r="C95" s="1131" t="s">
        <v>12</v>
      </c>
      <c r="D95" s="1132">
        <f>('POR AÑOS_OBRA2024'!D95+'POR AÑOS_OBRA2024'!H95+'POR AÑOS_OBRA2024'!L95+'POR AÑOS_OBRA2024'!P95)</f>
        <v>436</v>
      </c>
      <c r="E95" s="1133">
        <f>+'92'!I51</f>
        <v>118696</v>
      </c>
      <c r="F95" s="1134">
        <f t="shared" si="1"/>
        <v>51751456</v>
      </c>
      <c r="G95" s="733">
        <v>445</v>
      </c>
    </row>
    <row r="96" spans="1:7" s="727" customFormat="1" ht="27" x14ac:dyDescent="0.2">
      <c r="A96" s="589">
        <v>93</v>
      </c>
      <c r="B96" s="1130" t="s">
        <v>236</v>
      </c>
      <c r="C96" s="1131" t="s">
        <v>12</v>
      </c>
      <c r="D96" s="1132">
        <f>('POR AÑOS_OBRA2024'!D96+'POR AÑOS_OBRA2024'!H96+'POR AÑOS_OBRA2024'!L96+'POR AÑOS_OBRA2024'!P96)</f>
        <v>27</v>
      </c>
      <c r="E96" s="1133">
        <f>+'93'!I52</f>
        <v>22491</v>
      </c>
      <c r="F96" s="1134">
        <f t="shared" si="1"/>
        <v>607257</v>
      </c>
      <c r="G96" s="733">
        <v>20</v>
      </c>
    </row>
    <row r="97" spans="1:7" s="727" customFormat="1" ht="27" x14ac:dyDescent="0.2">
      <c r="A97" s="589">
        <v>94</v>
      </c>
      <c r="B97" s="1130" t="s">
        <v>237</v>
      </c>
      <c r="C97" s="1131" t="s">
        <v>266</v>
      </c>
      <c r="D97" s="1132">
        <f>('POR AÑOS_OBRA2024'!D97+'POR AÑOS_OBRA2024'!H97+'POR AÑOS_OBRA2024'!L97+'POR AÑOS_OBRA2024'!P97)</f>
        <v>523</v>
      </c>
      <c r="E97" s="1133">
        <f>+'94'!I51</f>
        <v>6324</v>
      </c>
      <c r="F97" s="1134">
        <f t="shared" si="1"/>
        <v>3307452</v>
      </c>
      <c r="G97" s="733">
        <v>530</v>
      </c>
    </row>
    <row r="98" spans="1:7" s="727" customFormat="1" ht="27" x14ac:dyDescent="0.2">
      <c r="A98" s="589">
        <v>95</v>
      </c>
      <c r="B98" s="1130" t="s">
        <v>238</v>
      </c>
      <c r="C98" s="1131" t="s">
        <v>266</v>
      </c>
      <c r="D98" s="1436">
        <f>('POR AÑOS_OBRA2024'!D98+'POR AÑOS_OBRA2024'!H98+'POR AÑOS_OBRA2024'!L98+'POR AÑOS_OBRA2024'!P98)</f>
        <v>4491</v>
      </c>
      <c r="E98" s="1133">
        <f>+'95'!I52</f>
        <v>2837</v>
      </c>
      <c r="F98" s="1134">
        <f t="shared" si="1"/>
        <v>12740967</v>
      </c>
      <c r="G98" s="733">
        <v>4055</v>
      </c>
    </row>
    <row r="99" spans="1:7" s="727" customFormat="1" ht="15" x14ac:dyDescent="0.2">
      <c r="A99" s="589">
        <v>96</v>
      </c>
      <c r="B99" s="1130" t="s">
        <v>239</v>
      </c>
      <c r="C99" s="1131" t="s">
        <v>12</v>
      </c>
      <c r="D99" s="1132">
        <f>('POR AÑOS_OBRA2024'!D99+'POR AÑOS_OBRA2024'!H99+'POR AÑOS_OBRA2024'!L99+'POR AÑOS_OBRA2024'!P99)</f>
        <v>56</v>
      </c>
      <c r="E99" s="1133">
        <f>+'96N'!I51</f>
        <v>15339</v>
      </c>
      <c r="F99" s="1134">
        <f t="shared" si="1"/>
        <v>858984</v>
      </c>
      <c r="G99" s="733">
        <v>44</v>
      </c>
    </row>
    <row r="100" spans="1:7" s="727" customFormat="1" ht="15" x14ac:dyDescent="0.2">
      <c r="A100" s="589">
        <v>97</v>
      </c>
      <c r="B100" s="1130" t="s">
        <v>240</v>
      </c>
      <c r="C100" s="1131" t="s">
        <v>266</v>
      </c>
      <c r="D100" s="1132">
        <f>('POR AÑOS_OBRA2024'!D100+'POR AÑOS_OBRA2024'!H100+'POR AÑOS_OBRA2024'!L100+'POR AÑOS_OBRA2024'!P100)</f>
        <v>26</v>
      </c>
      <c r="E100" s="1133">
        <f>+'97'!I51</f>
        <v>42459</v>
      </c>
      <c r="F100" s="1134">
        <f t="shared" si="1"/>
        <v>1103934</v>
      </c>
      <c r="G100" s="733">
        <v>17</v>
      </c>
    </row>
    <row r="101" spans="1:7" ht="27" x14ac:dyDescent="0.25">
      <c r="A101" s="589">
        <v>98</v>
      </c>
      <c r="B101" s="1130" t="s">
        <v>241</v>
      </c>
      <c r="C101" s="1131" t="s">
        <v>266</v>
      </c>
      <c r="D101" s="1132">
        <f>('POR AÑOS_OBRA2024'!D101+'POR AÑOS_OBRA2024'!H101+'POR AÑOS_OBRA2024'!L101+'POR AÑOS_OBRA2024'!P101)</f>
        <v>6</v>
      </c>
      <c r="E101" s="1133">
        <f>+'98'!I58</f>
        <v>844187</v>
      </c>
      <c r="F101" s="1134">
        <f t="shared" si="1"/>
        <v>5065122</v>
      </c>
      <c r="G101" s="733">
        <v>3</v>
      </c>
    </row>
    <row r="102" spans="1:7" ht="15" x14ac:dyDescent="0.25">
      <c r="A102" s="589">
        <v>99</v>
      </c>
      <c r="B102" s="1130" t="s">
        <v>242</v>
      </c>
      <c r="C102" s="1131" t="s">
        <v>266</v>
      </c>
      <c r="D102" s="1132">
        <f>('POR AÑOS_OBRA2024'!D102+'POR AÑOS_OBRA2024'!H102+'POR AÑOS_OBRA2024'!L102+'POR AÑOS_OBRA2024'!P102)</f>
        <v>524</v>
      </c>
      <c r="E102" s="1133">
        <f>+'99'!I51</f>
        <v>6735</v>
      </c>
      <c r="F102" s="1134">
        <f t="shared" si="1"/>
        <v>3529140</v>
      </c>
      <c r="G102" s="733">
        <v>500</v>
      </c>
    </row>
    <row r="103" spans="1:7" ht="15" x14ac:dyDescent="0.25">
      <c r="A103" s="589">
        <v>100</v>
      </c>
      <c r="B103" s="1130" t="s">
        <v>243</v>
      </c>
      <c r="C103" s="1131" t="s">
        <v>12</v>
      </c>
      <c r="D103" s="1132">
        <f>('POR AÑOS_OBRA2024'!D103+'POR AÑOS_OBRA2024'!H103+'POR AÑOS_OBRA2024'!L103+'POR AÑOS_OBRA2024'!P103)</f>
        <v>301</v>
      </c>
      <c r="E103" s="1133">
        <f>+'100'!I51</f>
        <v>34201</v>
      </c>
      <c r="F103" s="1134">
        <f t="shared" si="1"/>
        <v>10294501</v>
      </c>
      <c r="G103" s="733">
        <v>20265.96</v>
      </c>
    </row>
    <row r="104" spans="1:7" ht="15" x14ac:dyDescent="0.25">
      <c r="A104" s="589">
        <v>101</v>
      </c>
      <c r="B104" s="1130" t="s">
        <v>3339</v>
      </c>
      <c r="C104" s="1131" t="s">
        <v>3032</v>
      </c>
      <c r="D104" s="1132">
        <f>('POR AÑOS_OBRA2024'!D104+'POR AÑOS_OBRA2024'!H104+'POR AÑOS_OBRA2024'!L104+'POR AÑOS_OBRA2024'!P104)</f>
        <v>1408</v>
      </c>
      <c r="E104" s="1133">
        <f>+'101'!I52</f>
        <v>65453</v>
      </c>
      <c r="F104" s="1134">
        <f t="shared" si="1"/>
        <v>92157824</v>
      </c>
      <c r="G104" s="733">
        <v>1440</v>
      </c>
    </row>
    <row r="105" spans="1:7" ht="27" x14ac:dyDescent="0.25">
      <c r="A105" s="589">
        <v>102</v>
      </c>
      <c r="B105" s="1130" t="s">
        <v>3261</v>
      </c>
      <c r="C105" s="1131" t="s">
        <v>3</v>
      </c>
      <c r="D105" s="1132">
        <f>('POR AÑOS_OBRA2024'!D105+'POR AÑOS_OBRA2024'!H105+'POR AÑOS_OBRA2024'!L105+'POR AÑOS_OBRA2024'!P105)</f>
        <v>602</v>
      </c>
      <c r="E105" s="1133">
        <f>+'102'!I51</f>
        <v>149941</v>
      </c>
      <c r="F105" s="1134">
        <f t="shared" si="1"/>
        <v>90264482</v>
      </c>
      <c r="G105" s="733">
        <v>613</v>
      </c>
    </row>
    <row r="106" spans="1:7" ht="54" x14ac:dyDescent="0.25">
      <c r="A106" s="589">
        <v>103</v>
      </c>
      <c r="B106" s="1130" t="s">
        <v>7356</v>
      </c>
      <c r="C106" s="1131" t="s">
        <v>12</v>
      </c>
      <c r="D106" s="1132">
        <f>('POR AÑOS_OBRA2024'!D106+'POR AÑOS_OBRA2024'!H106+'POR AÑOS_OBRA2024'!L106+'POR AÑOS_OBRA2024'!P106)</f>
        <v>18</v>
      </c>
      <c r="E106" s="1133">
        <f>+'103'!I52</f>
        <v>3985041</v>
      </c>
      <c r="F106" s="1134">
        <f t="shared" si="1"/>
        <v>71730738</v>
      </c>
      <c r="G106" s="733">
        <v>15</v>
      </c>
    </row>
    <row r="107" spans="1:7" ht="67.5" x14ac:dyDescent="0.25">
      <c r="A107" s="589">
        <v>104</v>
      </c>
      <c r="B107" s="1130" t="s">
        <v>7385</v>
      </c>
      <c r="C107" s="1136" t="s">
        <v>266</v>
      </c>
      <c r="D107" s="1132">
        <f>('POR AÑOS_OBRA2024'!D107+'POR AÑOS_OBRA2024'!H107+'POR AÑOS_OBRA2024'!L107+'POR AÑOS_OBRA2024'!P107)</f>
        <v>33</v>
      </c>
      <c r="E107" s="1133">
        <f>+'104'!I50</f>
        <v>130365</v>
      </c>
      <c r="F107" s="1134">
        <f t="shared" si="1"/>
        <v>4302045</v>
      </c>
      <c r="G107" s="733">
        <v>20</v>
      </c>
    </row>
    <row r="108" spans="1:7" ht="54" x14ac:dyDescent="0.25">
      <c r="A108" s="589">
        <v>105</v>
      </c>
      <c r="B108" s="1130" t="s">
        <v>7357</v>
      </c>
      <c r="C108" s="1131" t="s">
        <v>12</v>
      </c>
      <c r="D108" s="1132">
        <f>('POR AÑOS_OBRA2024'!D108+'POR AÑOS_OBRA2024'!H108+'POR AÑOS_OBRA2024'!L108+'POR AÑOS_OBRA2024'!P108)</f>
        <v>18</v>
      </c>
      <c r="E108" s="1133">
        <f>+'105'!I52</f>
        <v>3526842</v>
      </c>
      <c r="F108" s="1134">
        <f t="shared" si="1"/>
        <v>63483156</v>
      </c>
      <c r="G108" s="733">
        <v>15</v>
      </c>
    </row>
    <row r="109" spans="1:7" ht="54" x14ac:dyDescent="0.25">
      <c r="A109" s="589">
        <v>106</v>
      </c>
      <c r="B109" s="1130" t="s">
        <v>7366</v>
      </c>
      <c r="C109" s="1131" t="s">
        <v>12</v>
      </c>
      <c r="D109" s="1132">
        <f>('POR AÑOS_OBRA2024'!D109+'POR AÑOS_OBRA2024'!H109+'POR AÑOS_OBRA2024'!L109+'POR AÑOS_OBRA2024'!P109)</f>
        <v>6</v>
      </c>
      <c r="E109" s="1133">
        <f>+'106'!I51</f>
        <v>1061365</v>
      </c>
      <c r="F109" s="1134">
        <f t="shared" si="1"/>
        <v>6368190</v>
      </c>
      <c r="G109" s="733">
        <v>11</v>
      </c>
    </row>
    <row r="110" spans="1:7" ht="54" x14ac:dyDescent="0.25">
      <c r="A110" s="589">
        <v>107</v>
      </c>
      <c r="B110" s="1130" t="s">
        <v>7367</v>
      </c>
      <c r="C110" s="1131" t="s">
        <v>12</v>
      </c>
      <c r="D110" s="1132">
        <f>('POR AÑOS_OBRA2024'!D110+'POR AÑOS_OBRA2024'!H110+'POR AÑOS_OBRA2024'!L110+'POR AÑOS_OBRA2024'!P110)</f>
        <v>18</v>
      </c>
      <c r="E110" s="1133">
        <f>+'107'!I51</f>
        <v>2574573</v>
      </c>
      <c r="F110" s="1134">
        <f t="shared" si="1"/>
        <v>46342314</v>
      </c>
      <c r="G110" s="733">
        <v>10</v>
      </c>
    </row>
    <row r="111" spans="1:7" ht="40.5" x14ac:dyDescent="0.25">
      <c r="A111" s="589">
        <v>108</v>
      </c>
      <c r="B111" s="1130" t="s">
        <v>7358</v>
      </c>
      <c r="C111" s="1131" t="s">
        <v>266</v>
      </c>
      <c r="D111" s="1132">
        <f>('POR AÑOS_OBRA2024'!D111+'POR AÑOS_OBRA2024'!H111+'POR AÑOS_OBRA2024'!L111+'POR AÑOS_OBRA2024'!P111)</f>
        <v>12</v>
      </c>
      <c r="E111" s="1133">
        <f>+'108'!I51</f>
        <v>11515659</v>
      </c>
      <c r="F111" s="1134">
        <f t="shared" si="1"/>
        <v>138187908</v>
      </c>
      <c r="G111" s="733">
        <v>5</v>
      </c>
    </row>
    <row r="112" spans="1:7" ht="40.5" x14ac:dyDescent="0.25">
      <c r="A112" s="589">
        <v>109</v>
      </c>
      <c r="B112" s="1130" t="s">
        <v>7359</v>
      </c>
      <c r="C112" s="1131" t="s">
        <v>266</v>
      </c>
      <c r="D112" s="1132">
        <f>('POR AÑOS_OBRA2024'!D112+'POR AÑOS_OBRA2024'!H112+'POR AÑOS_OBRA2024'!L112+'POR AÑOS_OBRA2024'!P112)</f>
        <v>6</v>
      </c>
      <c r="E112" s="1133">
        <f>+'109'!I51</f>
        <v>23918767</v>
      </c>
      <c r="F112" s="1134">
        <f t="shared" si="1"/>
        <v>143512602</v>
      </c>
      <c r="G112" s="733">
        <v>4</v>
      </c>
    </row>
    <row r="113" spans="1:28" ht="54" x14ac:dyDescent="0.25">
      <c r="A113" s="589">
        <v>110</v>
      </c>
      <c r="B113" s="1130" t="s">
        <v>7360</v>
      </c>
      <c r="C113" s="1131" t="s">
        <v>266</v>
      </c>
      <c r="D113" s="1132">
        <f>('POR AÑOS_OBRA2024'!D113+'POR AÑOS_OBRA2024'!H113+'POR AÑOS_OBRA2024'!L113+'POR AÑOS_OBRA2024'!P113)</f>
        <v>27</v>
      </c>
      <c r="E113" s="1133">
        <f>+'110'!I51</f>
        <v>269472</v>
      </c>
      <c r="F113" s="1134">
        <f t="shared" si="1"/>
        <v>7275744</v>
      </c>
      <c r="G113" s="733">
        <v>20</v>
      </c>
    </row>
    <row r="114" spans="1:28" ht="27" x14ac:dyDescent="0.25">
      <c r="A114" s="589">
        <v>111</v>
      </c>
      <c r="B114" s="1130" t="s">
        <v>7372</v>
      </c>
      <c r="C114" s="1131" t="s">
        <v>266</v>
      </c>
      <c r="D114" s="1132">
        <f>('POR AÑOS_OBRA2024'!D114+'POR AÑOS_OBRA2024'!H114+'POR AÑOS_OBRA2024'!L114+'POR AÑOS_OBRA2024'!P114)</f>
        <v>13</v>
      </c>
      <c r="E114" s="1133">
        <f>+'111'!I51</f>
        <v>217296</v>
      </c>
      <c r="F114" s="1134">
        <f t="shared" si="1"/>
        <v>2824848</v>
      </c>
      <c r="G114" s="733">
        <v>5</v>
      </c>
    </row>
    <row r="115" spans="1:28" ht="54" x14ac:dyDescent="0.25">
      <c r="A115" s="589">
        <v>112</v>
      </c>
      <c r="B115" s="1417" t="s">
        <v>7361</v>
      </c>
      <c r="C115" s="1131" t="s">
        <v>266</v>
      </c>
      <c r="D115" s="1132">
        <f>('POR AÑOS_OBRA2024'!D115+'POR AÑOS_OBRA2024'!H115+'POR AÑOS_OBRA2024'!L115+'POR AÑOS_OBRA2024'!P115)</f>
        <v>28</v>
      </c>
      <c r="E115" s="1133">
        <f>+'112'!I51</f>
        <v>112178</v>
      </c>
      <c r="F115" s="1134">
        <f t="shared" si="1"/>
        <v>3140984</v>
      </c>
      <c r="G115" s="733">
        <v>20</v>
      </c>
    </row>
    <row r="116" spans="1:28" ht="40.5" x14ac:dyDescent="0.25">
      <c r="A116" s="589">
        <v>113</v>
      </c>
      <c r="B116" s="1417" t="s">
        <v>7362</v>
      </c>
      <c r="C116" s="1131" t="s">
        <v>266</v>
      </c>
      <c r="D116" s="1132">
        <f>('POR AÑOS_OBRA2024'!D116+'POR AÑOS_OBRA2024'!H116+'POR AÑOS_OBRA2024'!L116+'POR AÑOS_OBRA2024'!P116)</f>
        <v>6</v>
      </c>
      <c r="E116" s="1133">
        <f>+'113'!I51</f>
        <v>24999277</v>
      </c>
      <c r="F116" s="1134">
        <f t="shared" si="1"/>
        <v>149995662</v>
      </c>
      <c r="G116" s="733">
        <v>4</v>
      </c>
    </row>
    <row r="117" spans="1:28" s="1466" customFormat="1" ht="27" x14ac:dyDescent="0.25">
      <c r="A117" s="1467">
        <v>114</v>
      </c>
      <c r="B117" s="1414" t="s">
        <v>7346</v>
      </c>
      <c r="C117" s="1462" t="s">
        <v>12</v>
      </c>
      <c r="D117" s="1463">
        <f>('POR AÑOS_OBRA2024'!D117+'POR AÑOS_OBRA2024'!H117+'POR AÑOS_OBRA2024'!L117+'POR AÑOS_OBRA2024'!P117)</f>
        <v>47</v>
      </c>
      <c r="E117" s="1464">
        <f>+'114'!I51</f>
        <v>334062</v>
      </c>
      <c r="F117" s="1134">
        <f t="shared" si="1"/>
        <v>15700914</v>
      </c>
      <c r="G117" s="733">
        <v>50</v>
      </c>
      <c r="H117" s="1465"/>
      <c r="I117" s="1465"/>
      <c r="J117" s="1465"/>
      <c r="K117" s="1465"/>
      <c r="L117" s="1465"/>
      <c r="M117" s="1465"/>
      <c r="N117" s="1465"/>
      <c r="O117" s="1465"/>
      <c r="P117" s="1465"/>
      <c r="Q117" s="1465"/>
      <c r="R117" s="1465"/>
      <c r="S117" s="1465"/>
      <c r="T117" s="1465"/>
      <c r="U117" s="1465"/>
      <c r="V117" s="1465"/>
      <c r="W117" s="1465"/>
      <c r="X117" s="1465"/>
      <c r="Y117" s="1465"/>
      <c r="Z117" s="1465"/>
      <c r="AA117" s="1465"/>
      <c r="AB117" s="1465"/>
    </row>
    <row r="118" spans="1:28" s="1466" customFormat="1" ht="27" x14ac:dyDescent="0.25">
      <c r="A118" s="1467">
        <v>115</v>
      </c>
      <c r="B118" s="1414" t="s">
        <v>7347</v>
      </c>
      <c r="C118" s="1462" t="s">
        <v>12</v>
      </c>
      <c r="D118" s="1463">
        <f>('POR AÑOS_OBRA2024'!D118+'POR AÑOS_OBRA2024'!H118+'POR AÑOS_OBRA2024'!L118+'POR AÑOS_OBRA2024'!P118)</f>
        <v>26</v>
      </c>
      <c r="E118" s="1464">
        <f>+'115'!I51</f>
        <v>401985</v>
      </c>
      <c r="F118" s="1134">
        <f t="shared" si="1"/>
        <v>10451610</v>
      </c>
      <c r="G118" s="733">
        <v>20</v>
      </c>
      <c r="H118" s="1465"/>
      <c r="I118" s="1465"/>
      <c r="J118" s="1465"/>
      <c r="K118" s="1465"/>
      <c r="L118" s="1465"/>
      <c r="M118" s="1465"/>
      <c r="N118" s="1465"/>
      <c r="O118" s="1465"/>
      <c r="P118" s="1465"/>
      <c r="Q118" s="1465"/>
      <c r="R118" s="1465"/>
      <c r="S118" s="1465"/>
      <c r="T118" s="1465"/>
      <c r="U118" s="1465"/>
      <c r="V118" s="1465"/>
      <c r="W118" s="1465"/>
      <c r="X118" s="1465"/>
      <c r="Y118" s="1465"/>
      <c r="Z118" s="1465"/>
      <c r="AA118" s="1465"/>
      <c r="AB118" s="1465"/>
    </row>
    <row r="119" spans="1:28" s="1466" customFormat="1" ht="40.5" x14ac:dyDescent="0.25">
      <c r="A119" s="1467">
        <v>116</v>
      </c>
      <c r="B119" s="1414" t="s">
        <v>7363</v>
      </c>
      <c r="C119" s="1462" t="s">
        <v>266</v>
      </c>
      <c r="D119" s="1463">
        <f>('POR AÑOS_OBRA2024'!D119+'POR AÑOS_OBRA2024'!H119+'POR AÑOS_OBRA2024'!L119+'POR AÑOS_OBRA2024'!P119)</f>
        <v>37</v>
      </c>
      <c r="E119" s="1464">
        <f>+'116'!I51</f>
        <v>1271610</v>
      </c>
      <c r="F119" s="1134">
        <f t="shared" si="1"/>
        <v>47049570</v>
      </c>
      <c r="G119" s="733">
        <v>50</v>
      </c>
      <c r="H119" s="1465"/>
      <c r="I119" s="1465"/>
      <c r="J119" s="1465"/>
      <c r="K119" s="1465"/>
      <c r="L119" s="1465"/>
      <c r="M119" s="1465"/>
      <c r="N119" s="1465"/>
      <c r="O119" s="1465"/>
      <c r="P119" s="1465"/>
      <c r="Q119" s="1465"/>
      <c r="R119" s="1465"/>
      <c r="S119" s="1465"/>
      <c r="T119" s="1465"/>
      <c r="U119" s="1465"/>
      <c r="V119" s="1465"/>
      <c r="W119" s="1465"/>
      <c r="X119" s="1465"/>
      <c r="Y119" s="1465"/>
      <c r="Z119" s="1465"/>
      <c r="AA119" s="1465"/>
      <c r="AB119" s="1465"/>
    </row>
    <row r="120" spans="1:28" s="1466" customFormat="1" ht="54" x14ac:dyDescent="0.25">
      <c r="A120" s="1467">
        <v>117</v>
      </c>
      <c r="B120" s="1414" t="s">
        <v>7348</v>
      </c>
      <c r="C120" s="1462" t="s">
        <v>266</v>
      </c>
      <c r="D120" s="1463">
        <f>('POR AÑOS_OBRA2024'!D120+'POR AÑOS_OBRA2024'!H120+'POR AÑOS_OBRA2024'!L120+'POR AÑOS_OBRA2024'!P120)</f>
        <v>1497</v>
      </c>
      <c r="E120" s="1464">
        <f>+'117'!I52</f>
        <v>297639</v>
      </c>
      <c r="F120" s="1134">
        <f t="shared" si="1"/>
        <v>445565583</v>
      </c>
      <c r="G120" s="733">
        <v>2479.8500000000004</v>
      </c>
      <c r="H120" s="1465"/>
      <c r="I120" s="1465"/>
      <c r="J120" s="1465"/>
      <c r="K120" s="1465"/>
      <c r="L120" s="1465"/>
      <c r="M120" s="1465"/>
      <c r="N120" s="1465"/>
      <c r="O120" s="1465"/>
      <c r="P120" s="1465"/>
      <c r="Q120" s="1465"/>
      <c r="R120" s="1465"/>
      <c r="S120" s="1465"/>
      <c r="T120" s="1465"/>
      <c r="U120" s="1465"/>
      <c r="V120" s="1465"/>
      <c r="W120" s="1465"/>
      <c r="X120" s="1465"/>
      <c r="Y120" s="1465"/>
      <c r="Z120" s="1465"/>
      <c r="AA120" s="1465"/>
      <c r="AB120" s="1465"/>
    </row>
    <row r="121" spans="1:28" ht="27" x14ac:dyDescent="0.25">
      <c r="A121" s="589">
        <v>118</v>
      </c>
      <c r="B121" s="1130" t="s">
        <v>3340</v>
      </c>
      <c r="C121" s="1131" t="s">
        <v>12</v>
      </c>
      <c r="D121" s="1132">
        <f>('POR AÑOS_OBRA2024'!D121+'POR AÑOS_OBRA2024'!H121+'POR AÑOS_OBRA2024'!L121+'POR AÑOS_OBRA2024'!P121)</f>
        <v>103</v>
      </c>
      <c r="E121" s="1133">
        <f>+'118'!I51</f>
        <v>334062</v>
      </c>
      <c r="F121" s="1134">
        <f t="shared" si="1"/>
        <v>34408386</v>
      </c>
      <c r="G121" s="733">
        <v>50</v>
      </c>
    </row>
    <row r="122" spans="1:28" ht="27" x14ac:dyDescent="0.25">
      <c r="A122" s="589">
        <v>119</v>
      </c>
      <c r="B122" s="1130" t="s">
        <v>3341</v>
      </c>
      <c r="C122" s="1131" t="s">
        <v>12</v>
      </c>
      <c r="D122" s="1132">
        <f>('POR AÑOS_OBRA2024'!D122+'POR AÑOS_OBRA2024'!H122+'POR AÑOS_OBRA2024'!L122+'POR AÑOS_OBRA2024'!P122)</f>
        <v>103</v>
      </c>
      <c r="E122" s="1133">
        <f>+'119'!I51</f>
        <v>402062</v>
      </c>
      <c r="F122" s="1134">
        <f t="shared" si="1"/>
        <v>41412386</v>
      </c>
      <c r="G122" s="733">
        <v>50</v>
      </c>
    </row>
    <row r="123" spans="1:28" ht="27" x14ac:dyDescent="0.25">
      <c r="A123" s="589">
        <v>120</v>
      </c>
      <c r="B123" s="1130" t="s">
        <v>3342</v>
      </c>
      <c r="C123" s="1131" t="s">
        <v>12</v>
      </c>
      <c r="D123" s="1132">
        <f>('POR AÑOS_OBRA2024'!D123+'POR AÑOS_OBRA2024'!H123+'POR AÑOS_OBRA2024'!L123+'POR AÑOS_OBRA2024'!P123)</f>
        <v>103</v>
      </c>
      <c r="E123" s="1133">
        <f>+'120'!I51</f>
        <v>382409</v>
      </c>
      <c r="F123" s="1134">
        <f t="shared" si="1"/>
        <v>39388127</v>
      </c>
      <c r="G123" s="733">
        <v>50</v>
      </c>
    </row>
    <row r="124" spans="1:28" ht="27" x14ac:dyDescent="0.25">
      <c r="A124" s="589">
        <v>121</v>
      </c>
      <c r="B124" s="1130" t="s">
        <v>3343</v>
      </c>
      <c r="C124" s="1131" t="s">
        <v>12</v>
      </c>
      <c r="D124" s="1132">
        <f>('POR AÑOS_OBRA2024'!D124+'POR AÑOS_OBRA2024'!H124+'POR AÑOS_OBRA2024'!L124+'POR AÑOS_OBRA2024'!P124)</f>
        <v>103</v>
      </c>
      <c r="E124" s="1133">
        <f>+'121'!I51</f>
        <v>447062</v>
      </c>
      <c r="F124" s="1134">
        <f t="shared" si="1"/>
        <v>46047386</v>
      </c>
      <c r="G124" s="733">
        <v>50</v>
      </c>
    </row>
    <row r="125" spans="1:28" ht="27" x14ac:dyDescent="0.25">
      <c r="A125" s="589">
        <v>122</v>
      </c>
      <c r="B125" s="1130" t="s">
        <v>3344</v>
      </c>
      <c r="C125" s="1131" t="s">
        <v>12</v>
      </c>
      <c r="D125" s="1132">
        <f>('POR AÑOS_OBRA2024'!D125+'POR AÑOS_OBRA2024'!H125+'POR AÑOS_OBRA2024'!L125+'POR AÑOS_OBRA2024'!P125)</f>
        <v>103</v>
      </c>
      <c r="E125" s="1133">
        <f>+'122'!I51</f>
        <v>374062</v>
      </c>
      <c r="F125" s="1134">
        <f t="shared" si="1"/>
        <v>38528386</v>
      </c>
      <c r="G125" s="733">
        <v>50</v>
      </c>
    </row>
    <row r="126" spans="1:28" ht="27" x14ac:dyDescent="0.25">
      <c r="A126" s="589">
        <v>123</v>
      </c>
      <c r="B126" s="1130" t="s">
        <v>3345</v>
      </c>
      <c r="C126" s="1131" t="s">
        <v>12</v>
      </c>
      <c r="D126" s="1132">
        <f>('POR AÑOS_OBRA2024'!D126+'POR AÑOS_OBRA2024'!H126+'POR AÑOS_OBRA2024'!L126+'POR AÑOS_OBRA2024'!P126)</f>
        <v>103</v>
      </c>
      <c r="E126" s="1133">
        <f>+'123'!I51</f>
        <v>423713</v>
      </c>
      <c r="F126" s="1134">
        <f t="shared" si="1"/>
        <v>43642439</v>
      </c>
      <c r="G126" s="733">
        <v>50</v>
      </c>
    </row>
    <row r="127" spans="1:28" ht="27" x14ac:dyDescent="0.25">
      <c r="A127" s="589">
        <v>124</v>
      </c>
      <c r="B127" s="1130" t="s">
        <v>3346</v>
      </c>
      <c r="C127" s="1131" t="s">
        <v>12</v>
      </c>
      <c r="D127" s="1132">
        <f>('POR AÑOS_OBRA2024'!D127+'POR AÑOS_OBRA2024'!H127+'POR AÑOS_OBRA2024'!L127+'POR AÑOS_OBRA2024'!P127)</f>
        <v>331</v>
      </c>
      <c r="E127" s="1133">
        <f>+'124'!I51</f>
        <v>608590</v>
      </c>
      <c r="F127" s="1134">
        <f t="shared" si="1"/>
        <v>201443290</v>
      </c>
      <c r="G127" s="733">
        <v>50</v>
      </c>
    </row>
    <row r="128" spans="1:28" ht="27" x14ac:dyDescent="0.25">
      <c r="A128" s="589">
        <v>125</v>
      </c>
      <c r="B128" s="1130" t="s">
        <v>3347</v>
      </c>
      <c r="C128" s="1131" t="s">
        <v>12</v>
      </c>
      <c r="D128" s="1132">
        <f>('POR AÑOS_OBRA2024'!D128+'POR AÑOS_OBRA2024'!H128+'POR AÑOS_OBRA2024'!L128+'POR AÑOS_OBRA2024'!P128)</f>
        <v>569</v>
      </c>
      <c r="E128" s="1140">
        <f>+'125'!I51</f>
        <v>548201</v>
      </c>
      <c r="F128" s="1134">
        <f t="shared" si="1"/>
        <v>311926369</v>
      </c>
      <c r="G128" s="733">
        <v>190</v>
      </c>
    </row>
    <row r="129" spans="1:7" ht="90.6" customHeight="1" x14ac:dyDescent="0.25">
      <c r="A129" s="589">
        <v>126</v>
      </c>
      <c r="B129" s="1130" t="s">
        <v>7349</v>
      </c>
      <c r="C129" s="1141" t="s">
        <v>266</v>
      </c>
      <c r="D129" s="1132">
        <f>('POR AÑOS_OBRA2024'!D129+'POR AÑOS_OBRA2024'!H129+'POR AÑOS_OBRA2024'!L129+'POR AÑOS_OBRA2024'!P129)</f>
        <v>1013</v>
      </c>
      <c r="E129" s="1142">
        <f>'126'!I51</f>
        <v>80856</v>
      </c>
      <c r="F129" s="1134">
        <f t="shared" si="1"/>
        <v>81907128</v>
      </c>
      <c r="G129" s="733"/>
    </row>
    <row r="130" spans="1:7" ht="40.5" x14ac:dyDescent="0.25">
      <c r="A130" s="589">
        <v>127</v>
      </c>
      <c r="B130" s="1130" t="s">
        <v>3524</v>
      </c>
      <c r="C130" s="1131" t="s">
        <v>12</v>
      </c>
      <c r="D130" s="1132">
        <f>('POR AÑOS_OBRA2024'!D130+'POR AÑOS_OBRA2024'!H130+'POR AÑOS_OBRA2024'!L130+'POR AÑOS_OBRA2024'!P130)</f>
        <v>5525</v>
      </c>
      <c r="E130" s="1140">
        <f>'127'!I51</f>
        <v>38028</v>
      </c>
      <c r="F130" s="1134">
        <f t="shared" si="1"/>
        <v>210104700</v>
      </c>
      <c r="G130" s="733"/>
    </row>
    <row r="131" spans="1:7" ht="67.5" x14ac:dyDescent="0.25">
      <c r="A131" s="589">
        <v>128</v>
      </c>
      <c r="B131" s="1130" t="s">
        <v>7350</v>
      </c>
      <c r="C131" s="1131" t="s">
        <v>12</v>
      </c>
      <c r="D131" s="1132">
        <f>('POR AÑOS_OBRA2024'!D131+'POR AÑOS_OBRA2024'!H131+'POR AÑOS_OBRA2024'!L131+'POR AÑOS_OBRA2024'!P131)</f>
        <v>4973</v>
      </c>
      <c r="E131" s="1140">
        <f>'128'!I50</f>
        <v>80567</v>
      </c>
      <c r="F131" s="1134">
        <f t="shared" ref="F131:F132" si="2">+ROUND(D131*E131,0)</f>
        <v>400659691</v>
      </c>
      <c r="G131" s="733"/>
    </row>
    <row r="132" spans="1:7" ht="41.25" thickBot="1" x14ac:dyDescent="0.3">
      <c r="A132" s="1468">
        <v>129</v>
      </c>
      <c r="B132" s="1420" t="s">
        <v>3533</v>
      </c>
      <c r="C132" s="1144" t="s">
        <v>12</v>
      </c>
      <c r="D132" s="1138">
        <f>('POR AÑOS_OBRA2024'!D132+'POR AÑOS_OBRA2024'!H132+'POR AÑOS_OBRA2024'!L132+'POR AÑOS_OBRA2024'!P132)*7</f>
        <v>987</v>
      </c>
      <c r="E132" s="1145">
        <f>'129'!I53</f>
        <v>552880</v>
      </c>
      <c r="F132" s="1139">
        <f t="shared" si="2"/>
        <v>545692560</v>
      </c>
      <c r="G132" s="733"/>
    </row>
    <row r="133" spans="1:7" ht="19.149999999999999" customHeight="1" x14ac:dyDescent="0.25">
      <c r="A133" s="1146"/>
      <c r="B133" s="1146"/>
      <c r="C133" s="1146"/>
      <c r="D133" s="1146"/>
      <c r="E133" s="1319" t="s">
        <v>213</v>
      </c>
      <c r="F133" s="1320">
        <f>ROUND(SUM(F4:F132),0)</f>
        <v>13640278535</v>
      </c>
      <c r="G133" s="733"/>
    </row>
    <row r="134" spans="1:7" ht="19.149999999999999" customHeight="1" x14ac:dyDescent="0.25">
      <c r="A134" s="1146"/>
      <c r="B134" s="1146"/>
      <c r="C134" s="1146"/>
      <c r="D134" s="1146"/>
      <c r="E134" s="1151" t="s">
        <v>214</v>
      </c>
      <c r="F134" s="1147">
        <f>+AIU!I51</f>
        <v>0.26129999999999998</v>
      </c>
      <c r="G134" s="733"/>
    </row>
    <row r="135" spans="1:7" ht="19.149999999999999" customHeight="1" x14ac:dyDescent="0.25">
      <c r="A135" s="1146"/>
      <c r="B135" s="1146"/>
      <c r="C135" s="1146"/>
      <c r="D135" s="1146"/>
      <c r="E135" s="1151" t="s">
        <v>215</v>
      </c>
      <c r="F135" s="1147">
        <v>0.02</v>
      </c>
      <c r="G135" s="733"/>
    </row>
    <row r="136" spans="1:7" ht="19.149999999999999" customHeight="1" x14ac:dyDescent="0.25">
      <c r="A136" s="1146"/>
      <c r="B136" s="1146"/>
      <c r="C136" s="1146"/>
      <c r="D136" s="1146"/>
      <c r="E136" s="1151" t="s">
        <v>216</v>
      </c>
      <c r="F136" s="1147">
        <v>0.04</v>
      </c>
      <c r="G136" s="736"/>
    </row>
    <row r="137" spans="1:7" ht="19.149999999999999" customHeight="1" x14ac:dyDescent="0.2">
      <c r="A137" s="1146"/>
      <c r="B137" s="1146"/>
      <c r="C137" s="1146"/>
      <c r="D137" s="1146"/>
      <c r="E137" s="1152" t="s">
        <v>217</v>
      </c>
      <c r="F137" s="1148">
        <f>ROUND(F133*(1+F134+F135+F136),0)</f>
        <v>18022900028</v>
      </c>
      <c r="G137" s="737"/>
    </row>
    <row r="138" spans="1:7" ht="19.149999999999999" customHeight="1" thickBot="1" x14ac:dyDescent="0.25">
      <c r="A138" s="1146"/>
      <c r="B138" s="1146"/>
      <c r="C138" s="1146"/>
      <c r="D138" s="1146"/>
      <c r="E138" s="1149" t="s">
        <v>3356</v>
      </c>
      <c r="F138" s="1150">
        <f>+F134+F135+F136</f>
        <v>0.32129999999999997</v>
      </c>
      <c r="G138" s="737"/>
    </row>
  </sheetData>
  <sheetProtection algorithmName="SHA-512" hashValue="WeYQ6N7yzW6pwBwLsFhoJMB3Pqf4xWwxCooQSRVkWfuhmLPXMIkNtCFP8f5n2HAHkI7mTHaPNCSDA58Ghu/bfw==" saltValue="ss6FHzpzsl1pBr+GzIlDUg==" spinCount="100000" sheet="1" objects="1" scenarios="1" autoFilter="0"/>
  <autoFilter ref="A3:F138" xr:uid="{00000000-0009-0000-0000-00000D000000}"/>
  <mergeCells count="2">
    <mergeCell ref="A1:F1"/>
    <mergeCell ref="A2:F2"/>
  </mergeCells>
  <conditionalFormatting sqref="B4:B132">
    <cfRule type="expression" dxfId="11" priority="149">
      <formula>#REF!&gt;0</formula>
    </cfRule>
  </conditionalFormatting>
  <conditionalFormatting sqref="B88:B89">
    <cfRule type="dataBar" priority="31">
      <dataBar>
        <cfvo type="min"/>
        <cfvo type="max"/>
        <color theme="6" tint="0.39997558519241921"/>
      </dataBar>
      <extLst>
        <ext xmlns:x14="http://schemas.microsoft.com/office/spreadsheetml/2009/9/main" uri="{B025F937-C7B1-47D3-B67F-A62EFF666E3E}">
          <x14:id>{09B93266-E493-493B-8F0B-87F43FF032CD}</x14:id>
        </ext>
      </extLst>
    </cfRule>
  </conditionalFormatting>
  <conditionalFormatting sqref="B107">
    <cfRule type="duplicateValues" dxfId="10" priority="30"/>
  </conditionalFormatting>
  <conditionalFormatting sqref="B120">
    <cfRule type="duplicateValues" dxfId="9" priority="29"/>
  </conditionalFormatting>
  <conditionalFormatting sqref="E4:E132">
    <cfRule type="cellIs" dxfId="8" priority="28" operator="equal">
      <formula>0</formula>
    </cfRule>
  </conditionalFormatting>
  <hyperlinks>
    <hyperlink ref="A7" location="'4'!A1" display="'4'!A1" xr:uid="{00000000-0004-0000-0D00-000000000000}"/>
    <hyperlink ref="A8" location="'5'!A1" display="'5'!A1" xr:uid="{00000000-0004-0000-0D00-000001000000}"/>
    <hyperlink ref="A9" location="'6'!A1" display="'6'!A1" xr:uid="{00000000-0004-0000-0D00-000002000000}"/>
    <hyperlink ref="A10" location="'7'!A1" display="'7'!A1" xr:uid="{00000000-0004-0000-0D00-000003000000}"/>
    <hyperlink ref="A11" location="'8'!A1" display="'8'!A1" xr:uid="{00000000-0004-0000-0D00-000004000000}"/>
    <hyperlink ref="A12" location="'9'!A1" display="'9'!A1" xr:uid="{00000000-0004-0000-0D00-000005000000}"/>
    <hyperlink ref="A13" location="'10'!A1" display="'10'!A1" xr:uid="{00000000-0004-0000-0D00-000006000000}"/>
    <hyperlink ref="A14" location="'11'!A1" display="'11'!A1" xr:uid="{00000000-0004-0000-0D00-000007000000}"/>
    <hyperlink ref="A15" location="'12'!A1" display="'12'!A1" xr:uid="{00000000-0004-0000-0D00-000008000000}"/>
    <hyperlink ref="A4" location="'1'!A1" display="'1'!A1" xr:uid="{00000000-0004-0000-0D00-000009000000}"/>
    <hyperlink ref="A5" location="'2'!A1" display="'2'!A1" xr:uid="{00000000-0004-0000-0D00-00000A000000}"/>
    <hyperlink ref="A6" location="'3'!A1" display="'3'!A1" xr:uid="{00000000-0004-0000-0D00-00000B000000}"/>
    <hyperlink ref="A16" location="'13'!A1" display="'13'!A1" xr:uid="{00000000-0004-0000-0D00-00000C000000}"/>
    <hyperlink ref="A17" location="'14'!A1" display="'14'!A1" xr:uid="{00000000-0004-0000-0D00-00000D000000}"/>
    <hyperlink ref="A18" location="'15'!A1" display="'15'!A1" xr:uid="{00000000-0004-0000-0D00-00000E000000}"/>
    <hyperlink ref="A19" location="'16'!A1" display="'16'!A1" xr:uid="{00000000-0004-0000-0D00-00000F000000}"/>
    <hyperlink ref="A23" location="'20'!A1" display="'20'!A1" xr:uid="{00000000-0004-0000-0D00-000010000000}"/>
    <hyperlink ref="A24" location="'21'!A1" display="'21'!A1" xr:uid="{00000000-0004-0000-0D00-000011000000}"/>
    <hyperlink ref="A22" location="'19'!A1" display="'19'!A1" xr:uid="{00000000-0004-0000-0D00-00007E000000}"/>
    <hyperlink ref="A20" location="'17'!Área_de_impresión" display="'17'!Área_de_impresión" xr:uid="{00000000-0004-0000-0D00-00007F000000}"/>
    <hyperlink ref="A21" location="'18'!Área_de_impresión" display="'18'!Área_de_impresión" xr:uid="{00000000-0004-0000-0D00-000080000000}"/>
    <hyperlink ref="A25" location="'22N'!Print_Area" display="'22N'!Print_Area" xr:uid="{8A328C57-81CE-4117-B702-DEA3A46C7BD5}"/>
    <hyperlink ref="A26" location="'23'!Print_Area" display="'23'!Print_Area" xr:uid="{16F48D41-1D2A-4B95-B765-546D2B16C58F}"/>
    <hyperlink ref="A27" location="'24'!Print_Area" display="'24'!Print_Area" xr:uid="{94642EC5-FFD3-44DC-A2CD-72095E1D977F}"/>
    <hyperlink ref="A28" location="'25'!Print_Area" display="'25'!Print_Area" xr:uid="{10BC23B7-1176-4149-914E-7D207A982FB7}"/>
    <hyperlink ref="A29" location="'26'!Print_Area" display="'26'!Print_Area" xr:uid="{AAFE3106-652B-45D6-A751-E247541F67F4}"/>
    <hyperlink ref="A30" location="'27'!Print_Area" display="'27'!Print_Area" xr:uid="{0380B662-C72E-4031-9831-A3F936BF0008}"/>
    <hyperlink ref="A31" location="'28'!Print_Area" display="'28'!Print_Area" xr:uid="{CEF73772-6C7A-4F98-AF8C-85FF41C28512}"/>
    <hyperlink ref="A32" location="'29'!Print_Area" display="'29'!Print_Area" xr:uid="{7A8BFD59-83C6-4951-A71C-23D10623E1BB}"/>
    <hyperlink ref="A33" location="'30'!Print_Area" display="'30'!Print_Area" xr:uid="{6618FA51-39D9-4E8D-8F2E-B7813A97DB2C}"/>
    <hyperlink ref="A34" location="'31'!Print_Area" display="'31'!Print_Area" xr:uid="{16C81768-4D0B-49CD-B670-D54373386D21}"/>
    <hyperlink ref="A35" location="'32'!Print_Area" display="'32'!Print_Area" xr:uid="{49C8F4E7-8971-4410-8942-20D0D392F00D}"/>
    <hyperlink ref="A36" location="'33'!Print_Area" display="'33'!Print_Area" xr:uid="{8D18FD60-767A-41DE-BB06-CD2687866943}"/>
    <hyperlink ref="A37" location="'34'!Print_Area" display="'34'!Print_Area" xr:uid="{CDC54014-538A-4882-B395-DE3C4C06919B}"/>
    <hyperlink ref="A38" location="'35'!Print_Area" display="'35'!Print_Area" xr:uid="{6A17908C-85D4-484D-9494-74610D17D6F2}"/>
    <hyperlink ref="A39" location="'36'!Print_Area" display="'36'!Print_Area" xr:uid="{3E2C3EF8-BEB8-4BFC-B99D-D16EB6D12610}"/>
    <hyperlink ref="A40" location="'37'!Print_Area" display="'37'!Print_Area" xr:uid="{78F3B0A0-AB76-4C2D-A82F-AE437953FE53}"/>
    <hyperlink ref="A41" location="'38'!Print_Area" display="'38'!Print_Area" xr:uid="{86C89900-F48D-4586-A6F6-9EF48D00F783}"/>
    <hyperlink ref="A42" location="'39'!Print_Area" display="'39'!Print_Area" xr:uid="{F804000C-344C-4FDD-A974-0562DD04A26A}"/>
    <hyperlink ref="A43" location="'40'!Print_Area" display="'40'!Print_Area" xr:uid="{2A38723E-60AD-490E-8354-703E4795D0DF}"/>
    <hyperlink ref="A44" location="'41'!Print_Area" display="'41'!Print_Area" xr:uid="{5ED9C934-6CB6-4354-A06A-30EEB3BEE8C2}"/>
    <hyperlink ref="A45" location="'42'!Print_Area" display="'42'!Print_Area" xr:uid="{737EC7F5-997D-48BE-96C7-6769E6C1070A}"/>
    <hyperlink ref="A46" location="'43'!Print_Area" display="'43'!Print_Area" xr:uid="{8421F3D4-1ADA-44E8-A0BA-5C60BB44C907}"/>
    <hyperlink ref="A47" location="'44'!Print_Area" display="'44'!Print_Area" xr:uid="{8E7F6541-4D14-4F46-8277-39B745A12526}"/>
    <hyperlink ref="A48" location="'45'!Print_Area" display="'45'!Print_Area" xr:uid="{48AC8A57-D825-4F8B-82BC-C043848A5041}"/>
    <hyperlink ref="A49" location="'46'!Print_Area" display="'46'!Print_Area" xr:uid="{5A0564E4-FA5C-42EB-B86E-A5E5ADE723B0}"/>
    <hyperlink ref="A50" location="'47'!Print_Area" display="'47'!Print_Area" xr:uid="{15C9AEBE-7732-42E7-A7DC-5C6393C400E9}"/>
    <hyperlink ref="A51" location="'48'!Print_Area" display="'48'!Print_Area" xr:uid="{DD5D34A5-527E-4011-8136-3071FBDD5252}"/>
    <hyperlink ref="A52" location="'49'!Print_Area" display="'49'!Print_Area" xr:uid="{FEDA1DCA-193A-4F54-876E-C89865682B58}"/>
    <hyperlink ref="A53" location="'50'!Print_Area" display="'50'!Print_Area" xr:uid="{DC3CE1F3-8394-4FD6-817C-BD189F2CB6A4}"/>
    <hyperlink ref="A54" location="'51'!Print_Area" display="'51'!Print_Area" xr:uid="{70F94FE0-530A-4BC8-9351-963640D61B3C}"/>
    <hyperlink ref="A55" location="'52'!Print_Area" display="'52'!Print_Area" xr:uid="{F6417936-F98D-474B-829B-85393788F954}"/>
    <hyperlink ref="A56" location="'53'!Print_Area" display="'53'!Print_Area" xr:uid="{15F3F27A-4B0B-4F77-A873-B7F5067E5547}"/>
    <hyperlink ref="A57" location="'54'!Print_Area" display="'54'!Print_Area" xr:uid="{ED0F7CEF-142E-4853-9B06-582B1AAAD83D}"/>
    <hyperlink ref="A58" location="'55'!Print_Area" display="'55'!Print_Area" xr:uid="{748FCB17-25D0-41B0-A0F1-1A0BB0FFF2F0}"/>
    <hyperlink ref="A59" location="'56'!Print_Area" display="'56'!Print_Area" xr:uid="{9E5A3456-BB0E-490A-BB8E-353BC7F7CA7E}"/>
    <hyperlink ref="A60" location="'57'!Print_Area" display="'57'!Print_Area" xr:uid="{8862B51C-A749-4DB5-ACD7-020103B77251}"/>
    <hyperlink ref="A61" location="'58'!Print_Area" display="'58'!Print_Area" xr:uid="{11CDB4D9-C98A-4B30-B56A-8E89BCAA692E}"/>
    <hyperlink ref="A62" location="'59'!Print_Area" display="'59'!Print_Area" xr:uid="{8B3A57FF-9524-4138-89A5-9AB189584C3A}"/>
    <hyperlink ref="A63" location="'60'!Print_Area" display="'60'!Print_Area" xr:uid="{0ABC6FC2-BE1A-45EB-8496-5BF03F569D3C}"/>
    <hyperlink ref="A64" location="'61'!Print_Area" display="'61'!Print_Area" xr:uid="{D407205C-9367-44F8-B277-2670B827964C}"/>
    <hyperlink ref="A65" location="'62'!Print_Area" display="'62'!Print_Area" xr:uid="{CB430B06-F02F-4FE6-A390-EDB091E4190A}"/>
    <hyperlink ref="A66" location="'63'!Print_Area" display="'63'!Print_Area" xr:uid="{82D71A9C-9052-4FCA-8008-45593B788D62}"/>
    <hyperlink ref="A67" location="'64'!Print_Area" display="'64'!Print_Area" xr:uid="{92C28148-F63B-440C-95F3-F6970D96254E}"/>
    <hyperlink ref="A68" location="'65'!Print_Area" display="'65'!Print_Area" xr:uid="{D039D710-32EA-42AD-BE15-74227296BC8F}"/>
    <hyperlink ref="A69" location="'66'!Print_Area" display="'66'!Print_Area" xr:uid="{FCF7B216-F4EC-41D5-A732-DF039E53DF1B}"/>
    <hyperlink ref="A70" location="'67'!Print_Area" display="'67'!Print_Area" xr:uid="{44606E85-4503-4B9D-A7EE-E7EC9AE6A733}"/>
    <hyperlink ref="A71" location="'68'!Print_Area" display="'68'!Print_Area" xr:uid="{9C2582A4-CCA4-45B5-8071-C7354304B21A}"/>
    <hyperlink ref="A72" location="'69'!Print_Area" display="'69'!Print_Area" xr:uid="{5415E0B9-3F1C-4F00-BC7F-47A503BE8D53}"/>
    <hyperlink ref="A73" location="'70'!Print_Area" display="'70'!Print_Area" xr:uid="{9C84BA82-1C34-4EB2-B763-DDBB4E0EB875}"/>
    <hyperlink ref="A74" location="'71'!Print_Area" display="'71'!Print_Area" xr:uid="{EA58D2DA-86AD-41F9-8FDD-9CE7FABED927}"/>
    <hyperlink ref="A132" location="SECRETARÍA_DISTRITAL_DE_MOVILIDAD_SDM" display="SECRETARÍA_DISTRITAL_DE_MOVILIDAD_SDM" xr:uid="{4BEFA95A-89CB-4AD7-BE5F-A2AE570DA47E}"/>
    <hyperlink ref="A75" location="'72'!Print_Area" display="'72'!Print_Area" xr:uid="{E3C66902-BB4A-480B-A1D6-CA6DF3AE2086}"/>
    <hyperlink ref="A76" location="'73'!Print_Area" display="'73'!Print_Area" xr:uid="{3B9FA0C0-AE6C-4024-9D6A-E054C5B205B1}"/>
    <hyperlink ref="A77" location="'74'!Print_Area" display="'74'!Print_Area" xr:uid="{43B5C7DC-EBAB-4B2B-8627-D9BBAD25FB35}"/>
    <hyperlink ref="A78" location="'75N'!Print_Area" display="'75N'!Print_Area" xr:uid="{8E3CCC9D-AC30-4660-AB60-0D14DA822DC1}"/>
    <hyperlink ref="A79" location="'76'!Print_Area" display="'76'!Print_Area" xr:uid="{120F58CC-D46F-4EAE-B94B-965B5267E393}"/>
    <hyperlink ref="A80" location="'77'!Print_Area" display="'77'!Print_Area" xr:uid="{23850F11-8920-4268-B125-D79BEED9F915}"/>
    <hyperlink ref="A81" location="'78'!Print_Area" display="'78'!Print_Area" xr:uid="{3AFBC989-4650-441F-8084-5FF104D24B7B}"/>
    <hyperlink ref="A82" location="'79'!Print_Area" display="'79'!Print_Area" xr:uid="{BB045028-AC68-4627-A284-D26B3A3E83AE}"/>
    <hyperlink ref="A83" location="'80'!Print_Area" display="'80'!Print_Area" xr:uid="{7CBAD3FE-C3D2-40C5-9C41-00F1854589EB}"/>
    <hyperlink ref="A84" location="'81'!Print_Area" display="'81'!Print_Area" xr:uid="{8663753E-713B-49CF-A5D3-23294D487685}"/>
    <hyperlink ref="A85" location="'82'!Print_Area" display="'82'!Print_Area" xr:uid="{A993C896-B810-4DD2-94DC-C31B43FB2FB9}"/>
    <hyperlink ref="A86" location="'83'!Print_Area" display="'83'!Print_Area" xr:uid="{4D37348F-1834-4F1A-873A-FCA2000D2078}"/>
    <hyperlink ref="A87" location="'84'!Print_Area" display="'84'!Print_Area" xr:uid="{C1CE7795-E39E-409C-81DF-2FE101DBD671}"/>
    <hyperlink ref="A88" location="'85'!Print_Area" display="'85'!Print_Area" xr:uid="{E35A361C-9000-4A26-8DB5-9E95069E14FF}"/>
    <hyperlink ref="A89" location="'86'!Print_Area" display="'86'!Print_Area" xr:uid="{977A79AE-F6D2-4BA2-8AD6-14A6B548A4A5}"/>
    <hyperlink ref="A90" location="'87'!Print_Area" display="'87'!Print_Area" xr:uid="{932F4027-F9D7-4C79-9668-E4302A43A6B3}"/>
    <hyperlink ref="A91" location="'88'!Print_Area" display="'88'!Print_Area" xr:uid="{C1D13540-582E-48B5-A7B2-ED196313298B}"/>
    <hyperlink ref="A92" location="'89'!Print_Area" display="'89'!Print_Area" xr:uid="{C3F2533E-37A7-4EF2-B0B3-52EC06E632F2}"/>
    <hyperlink ref="A93" location="'90'!Print_Area" display="'90'!Print_Area" xr:uid="{456C1BAE-7C6C-4C21-8410-A00B408F311C}"/>
    <hyperlink ref="A94" location="'91'!Print_Area" display="'91'!Print_Area" xr:uid="{BD2DA01C-8130-4B49-95B0-274BF892535D}"/>
    <hyperlink ref="A95" location="'92'!Print_Area" display="'92'!Print_Area" xr:uid="{19819B55-D53C-4882-A8F4-ABDF8BBE817D}"/>
    <hyperlink ref="A96" location="'93'!Print_Area" display="'93'!Print_Area" xr:uid="{8F81CBE3-AEBC-414D-A626-B353FB8CFD40}"/>
    <hyperlink ref="A97" location="'94'!Print_Area" display="'94'!Print_Area" xr:uid="{A6D4CEF7-C476-455F-B609-4E00317682B6}"/>
    <hyperlink ref="A98" location="'95'!Print_Area" display="'95'!Print_Area" xr:uid="{4843F43C-96F2-4E5D-97B3-DF06B130B048}"/>
    <hyperlink ref="A99" location="'96'!Print_Area" display="'96'!Print_Area" xr:uid="{B357303B-F4C9-474A-AC87-A140A93A0BB0}"/>
    <hyperlink ref="A100" location="'97'!Print_Area" display="'97'!Print_Area" xr:uid="{55002CC8-A70E-4124-ADCF-6B4F9A1D7E95}"/>
    <hyperlink ref="A101" location="'98'!Print_Area" display="'98'!Print_Area" xr:uid="{A06FC0F7-AC3D-463D-8D62-EDB19D3893F7}"/>
    <hyperlink ref="A102" location="'99'!Print_Area" display="'99'!Print_Area" xr:uid="{2FE95079-9843-4CFA-8906-A98B84730808}"/>
    <hyperlink ref="A103" location="'100'!Print_Area" display="'100'!Print_Area" xr:uid="{D72EE0F9-2E11-4242-9F55-9FB404A0FE38}"/>
    <hyperlink ref="A104" location="'101'!Print_Area" display="'101'!Print_Area" xr:uid="{A809C334-F530-4A1C-80B9-71C829F06598}"/>
    <hyperlink ref="A105" location="'102'!Print_Area" display="'102'!Print_Area" xr:uid="{A0D4CEE9-1B17-4927-BD76-416E69006711}"/>
    <hyperlink ref="A106" location="'103'!Print_Area" display="'103'!Print_Area" xr:uid="{C60102A6-F12E-4225-B25A-717E8FB4829A}"/>
    <hyperlink ref="A107" location="'104'!Print_Area" display="'104'!Print_Area" xr:uid="{406ED265-6687-4458-94D2-77F73A29BCD7}"/>
    <hyperlink ref="A108" location="'105'!Print_Area" display="'105'!Print_Area" xr:uid="{E86D703B-C95F-492B-AE76-58C56B396ED5}"/>
    <hyperlink ref="A109" location="'106'!Print_Area" display="'106'!Print_Area" xr:uid="{D6E43B58-0EC6-43BA-B5CC-62172A4AE98D}"/>
    <hyperlink ref="A110" location="'107'!Print_Area" display="'107'!Print_Area" xr:uid="{B381A624-8275-4330-A42C-FA23C3F5DEB5}"/>
    <hyperlink ref="A111" location="'108'!Print_Area" display="'108'!Print_Area" xr:uid="{446A8669-8A87-458D-AAD4-6BAD3F47B2E1}"/>
    <hyperlink ref="A112" location="'109'!Print_Area" display="'109'!Print_Area" xr:uid="{D359A65E-5D39-4145-BF08-08FFCEE211E1}"/>
    <hyperlink ref="A113" location="'110'!Print_Area" display="'110'!Print_Area" xr:uid="{39D5E34B-A347-4926-9BB5-86086119370E}"/>
    <hyperlink ref="A114" location="'111'!Print_Area" display="'111'!Print_Area" xr:uid="{CDAA5A1A-CEE8-4EC6-9C9A-9899DE7B8C81}"/>
    <hyperlink ref="A115" location="'112'!Print_Area" display="'112'!Print_Area" xr:uid="{04265E65-5A69-423A-93C7-246480D196FC}"/>
    <hyperlink ref="A116" location="'113'!Print_Area" display="'113'!Print_Area" xr:uid="{C860BC68-8EDC-4832-A2F3-F2A4315FF7DB}"/>
    <hyperlink ref="A117" location="'114'!Print_Area" display="'114'!Print_Area" xr:uid="{28BA8EE0-8717-45D6-B56B-B73BEE7C39FF}"/>
    <hyperlink ref="A118" location="'115'!Print_Area" display="'115'!Print_Area" xr:uid="{68365CC6-EFE7-45BF-8C60-D5D1DDBE6413}"/>
    <hyperlink ref="A119" location="'116'!Print_Area" display="'116'!Print_Area" xr:uid="{A08513D8-5A38-4EF5-87F0-3B522BC8E182}"/>
    <hyperlink ref="A120" location="'117'!Print_Area" display="'117'!Print_Area" xr:uid="{E2DF319E-0F46-4142-9C96-DDCB2B744A35}"/>
    <hyperlink ref="A121" location="'118'!Print_Area" display="'118'!Print_Area" xr:uid="{90AD27A6-FE07-4A9F-BFEC-71018D399DBB}"/>
    <hyperlink ref="A122" location="'119'!Print_Area" display="'119'!Print_Area" xr:uid="{8F954B81-64FC-44CC-8C0D-74240BF6C70C}"/>
    <hyperlink ref="A123" location="'120'!Print_Area" display="'120'!Print_Area" xr:uid="{61A4523E-E0A9-4C48-9E8F-7A0160FFB406}"/>
    <hyperlink ref="A124" location="'121'!Print_Area" display="'121'!Print_Area" xr:uid="{E8B59395-CB6B-45B7-9CD8-2CD249910653}"/>
    <hyperlink ref="A125" location="'122'!Print_Area" display="'122'!Print_Area" xr:uid="{6AFBBF31-EF5A-4474-B637-DA50A387CF33}"/>
    <hyperlink ref="A126" location="'123'!Print_Area" display="'123'!Print_Area" xr:uid="{4AAAFED7-05A8-4D25-ABE8-89D3DFFFAA7D}"/>
    <hyperlink ref="A127" location="'124'!Print_Area" display="'124'!Print_Area" xr:uid="{DD07D730-2B32-4F68-8CD3-D9D511D0E166}"/>
    <hyperlink ref="A128" location="'125'!Print_Area" display="'125'!Print_Area" xr:uid="{05DF715C-4985-4EB6-AC59-A2AA96F52EFE}"/>
    <hyperlink ref="A129" location="'126'!Print_Area" display="'126'!Print_Area" xr:uid="{660B5035-3D73-401B-A411-F0416DA519B5}"/>
    <hyperlink ref="A130" location="'127'!Print_Area" display="'127'!Print_Area" xr:uid="{AC43BF3B-601C-45A4-82FC-82D0DC442BEA}"/>
    <hyperlink ref="A131" location="'128'!Print_Area" display="'128'!Print_Area" xr:uid="{8EFBBA4D-5C6D-4CB8-B821-E5EE83289878}"/>
  </hyperlinks>
  <printOptions horizontalCentered="1"/>
  <pageMargins left="0.78740157480314965" right="0.78740157480314965" top="0.78740157480314965" bottom="0.78740157480314965" header="0.31496062992125984" footer="0.31496062992125984"/>
  <pageSetup scale="41" fitToHeight="0" orientation="portrait" r:id="rId1"/>
  <headerFooter>
    <oddFooter>&amp;L&amp;P DE &amp;N</oddFooter>
  </headerFooter>
  <rowBreaks count="2" manualBreakCount="2">
    <brk id="32" max="9" man="1"/>
    <brk id="68" max="9" man="1"/>
  </rowBreaks>
  <ignoredErrors>
    <ignoredError sqref="D22:F22 D25:D28 D29:D95 F25:F28 F29:F95 E29:E95 F23:F24 E23:E24 D23:D24 F133:F134 D4:F6 D96:F116 D8:F19 E7:F7 D118:F132 D117 F117" unlockedFormula="1"/>
  </ignoredErrors>
  <extLst>
    <ext xmlns:x14="http://schemas.microsoft.com/office/spreadsheetml/2009/9/main" uri="{78C0D931-6437-407d-A8EE-F0AAD7539E65}">
      <x14:conditionalFormattings>
        <x14:conditionalFormatting xmlns:xm="http://schemas.microsoft.com/office/excel/2006/main">
          <x14:cfRule type="dataBar" id="{09B93266-E493-493B-8F0B-87F43FF032CD}">
            <x14:dataBar minLength="0" maxLength="100">
              <x14:cfvo type="autoMin"/>
              <x14:cfvo type="autoMax"/>
              <x14:negativeFillColor rgb="FFFF0000"/>
              <x14:axisColor rgb="FF000000"/>
            </x14:dataBar>
          </x14:cfRule>
          <xm:sqref>B88:B89</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69">
    <tabColor rgb="FFFF00FF"/>
  </sheetPr>
  <dimension ref="A1:AD155"/>
  <sheetViews>
    <sheetView zoomScale="80" zoomScaleNormal="80" workbookViewId="0">
      <pane xSplit="3" ySplit="3" topLeftCell="D4" activePane="bottomRight" state="frozen"/>
      <selection pane="topRight" activeCell="D1" sqref="D1"/>
      <selection pane="bottomLeft" activeCell="A4" sqref="A4"/>
      <selection pane="bottomRight" activeCell="R78" sqref="R78"/>
    </sheetView>
  </sheetViews>
  <sheetFormatPr baseColWidth="10" defaultColWidth="10" defaultRowHeight="24" customHeight="1" outlineLevelRow="1" x14ac:dyDescent="0.25"/>
  <cols>
    <col min="1" max="1" width="6.140625" style="447" customWidth="1"/>
    <col min="2" max="2" width="76.42578125" style="448" customWidth="1"/>
    <col min="3" max="3" width="26.7109375" style="1175" customWidth="1"/>
    <col min="4" max="4" width="21" style="1173" customWidth="1"/>
    <col min="5" max="5" width="21" style="1176" customWidth="1"/>
    <col min="6" max="6" width="22.5703125" style="447" customWidth="1"/>
    <col min="7" max="7" width="1.7109375" style="445" customWidth="1"/>
    <col min="8" max="8" width="21" style="448" customWidth="1"/>
    <col min="9" max="9" width="23.5703125" style="448" customWidth="1"/>
    <col min="10" max="10" width="22.5703125" style="448" customWidth="1"/>
    <col min="11" max="11" width="1.7109375" style="445" customWidth="1"/>
    <col min="12" max="13" width="21" style="447" customWidth="1"/>
    <col min="14" max="14" width="22.5703125" style="448" customWidth="1"/>
    <col min="15" max="15" width="1.7109375" style="448" customWidth="1"/>
    <col min="16" max="17" width="21" style="448" customWidth="1"/>
    <col min="18" max="18" width="22.5703125" style="448" customWidth="1"/>
    <col min="19" max="19" width="1.7109375" style="448" customWidth="1"/>
    <col min="20" max="23" width="21" style="448" customWidth="1"/>
    <col min="24" max="24" width="21.42578125" style="447" customWidth="1"/>
    <col min="25" max="29" width="10" style="447"/>
    <col min="30" max="30" width="60.7109375" style="1424" customWidth="1"/>
    <col min="31" max="16384" width="10" style="447"/>
  </cols>
  <sheetData>
    <row r="1" spans="1:30" ht="29.25" customHeight="1" thickBot="1" x14ac:dyDescent="0.3">
      <c r="A1" s="1182" t="s">
        <v>207</v>
      </c>
      <c r="B1" s="1183"/>
      <c r="C1" s="1183"/>
      <c r="D1" s="1184"/>
      <c r="E1" s="1183"/>
      <c r="F1" s="1185"/>
      <c r="H1" s="1159"/>
      <c r="I1" s="1159"/>
      <c r="J1" s="1159"/>
      <c r="L1" s="446"/>
      <c r="T1" s="448" t="s">
        <v>3357</v>
      </c>
      <c r="U1" s="448">
        <v>1.0572999999999999</v>
      </c>
      <c r="V1" s="448">
        <v>1.0323</v>
      </c>
      <c r="W1" s="448">
        <v>1.03</v>
      </c>
    </row>
    <row r="2" spans="1:30" ht="36" customHeight="1" thickBot="1" x14ac:dyDescent="0.3">
      <c r="A2" s="1186" t="s">
        <v>208</v>
      </c>
      <c r="B2" s="1187"/>
      <c r="C2" s="1187"/>
      <c r="D2" s="1599">
        <v>2024</v>
      </c>
      <c r="E2" s="1599"/>
      <c r="F2" s="1600"/>
      <c r="G2" s="446"/>
      <c r="H2" s="1601">
        <v>2025</v>
      </c>
      <c r="I2" s="1601"/>
      <c r="J2" s="1601"/>
      <c r="K2" s="446"/>
      <c r="L2" s="1602">
        <v>2026</v>
      </c>
      <c r="M2" s="1602"/>
      <c r="N2" s="1602"/>
      <c r="O2" s="446"/>
      <c r="P2" s="1602">
        <v>2027</v>
      </c>
      <c r="Q2" s="1602"/>
      <c r="R2" s="1602"/>
      <c r="S2" s="446"/>
      <c r="T2" s="1603" t="s">
        <v>6881</v>
      </c>
      <c r="U2" s="1604"/>
      <c r="V2" s="1604"/>
      <c r="W2" s="1605"/>
    </row>
    <row r="3" spans="1:30" ht="34.5" customHeight="1" thickBot="1" x14ac:dyDescent="0.3">
      <c r="A3" s="1160" t="s">
        <v>209</v>
      </c>
      <c r="B3" s="619" t="s">
        <v>210</v>
      </c>
      <c r="C3" s="1161" t="s">
        <v>2</v>
      </c>
      <c r="D3" s="618" t="s">
        <v>211</v>
      </c>
      <c r="E3" s="619" t="s">
        <v>6880</v>
      </c>
      <c r="F3" s="620" t="s">
        <v>213</v>
      </c>
      <c r="G3" s="1079"/>
      <c r="H3" s="618" t="s">
        <v>211</v>
      </c>
      <c r="I3" s="619" t="s">
        <v>6880</v>
      </c>
      <c r="J3" s="620" t="s">
        <v>213</v>
      </c>
      <c r="K3" s="617"/>
      <c r="L3" s="987" t="s">
        <v>211</v>
      </c>
      <c r="M3" s="1192" t="s">
        <v>6880</v>
      </c>
      <c r="N3" s="988" t="s">
        <v>213</v>
      </c>
      <c r="O3" s="617"/>
      <c r="P3" s="987" t="s">
        <v>211</v>
      </c>
      <c r="Q3" s="1192" t="s">
        <v>6880</v>
      </c>
      <c r="R3" s="988" t="s">
        <v>213</v>
      </c>
      <c r="S3" s="617"/>
      <c r="T3" s="1218">
        <v>2024</v>
      </c>
      <c r="U3" s="1219">
        <v>2025</v>
      </c>
      <c r="V3" s="1219">
        <v>2026</v>
      </c>
      <c r="W3" s="1220">
        <v>2027</v>
      </c>
    </row>
    <row r="4" spans="1:30" s="1080" customFormat="1" ht="40.5" customHeight="1" outlineLevel="1" x14ac:dyDescent="0.25">
      <c r="A4" s="1461">
        <v>1</v>
      </c>
      <c r="B4" s="1162" t="str">
        <f>VLOOKUP(A4,'ANEXO PLIEGO_1'!$A$4:$C$132,2)</f>
        <v>Fabricación y suministro de tableros en lámina galvanizada C-16 E=1,5 mm, material reflectivo Tipo XI , película antigraffiti, para señales SP-SR-SI cumpliendo normatividad vigente. (Incluye elementos de fijación)</v>
      </c>
      <c r="C4" s="1163" t="str">
        <f>VLOOKUP(A4,'ANEXO PLIEGO_1'!$A$4:$C$132,3)</f>
        <v>M2</v>
      </c>
      <c r="D4" s="1164">
        <v>46</v>
      </c>
      <c r="E4" s="1077">
        <f>+T4</f>
        <v>469590</v>
      </c>
      <c r="F4" s="1471">
        <f>+ROUND(D4*E4,0)</f>
        <v>21601140</v>
      </c>
      <c r="G4" s="1189"/>
      <c r="H4" s="1164">
        <v>90</v>
      </c>
      <c r="I4" s="1077">
        <f>+U4</f>
        <v>496498</v>
      </c>
      <c r="J4" s="1471">
        <f>+ROUND(H4*I4,0)</f>
        <v>44684820</v>
      </c>
      <c r="K4" s="590"/>
      <c r="L4" s="1200">
        <v>90</v>
      </c>
      <c r="M4" s="1077">
        <f>+V4</f>
        <v>512535</v>
      </c>
      <c r="N4" s="1471">
        <f>+ROUND(L4*M4,0)</f>
        <v>46128150</v>
      </c>
      <c r="O4" s="522"/>
      <c r="P4" s="1200">
        <v>45</v>
      </c>
      <c r="Q4" s="1077">
        <f>+W4</f>
        <v>527911</v>
      </c>
      <c r="R4" s="1471">
        <f>+ROUND(P4*Q4,0)</f>
        <v>23755995</v>
      </c>
      <c r="S4" s="522"/>
      <c r="T4" s="1153">
        <f>+ROUND(VLOOKUP(A4,'ANEXO PLIEGO_1'!$A$4:$E$128,5,FALSE)*(1+'ANEXO PLIEGO_1'!$F$138),0)</f>
        <v>469590</v>
      </c>
      <c r="U4" s="1154">
        <f>+ROUND(T4*$U$1,0)</f>
        <v>496498</v>
      </c>
      <c r="V4" s="1154">
        <f>+ROUND(U4*$V$1,0)</f>
        <v>512535</v>
      </c>
      <c r="W4" s="1165">
        <f>+ROUND(V4*$W$1,0)</f>
        <v>527911</v>
      </c>
      <c r="X4" s="447"/>
      <c r="Y4" s="1129">
        <v>1</v>
      </c>
      <c r="Z4" s="1080">
        <f t="shared" ref="Z4:Z35" si="0">IF(Y4=A4,1,"")</f>
        <v>1</v>
      </c>
      <c r="AD4" s="1425" t="str">
        <f>B4</f>
        <v>Fabricación y suministro de tableros en lámina galvanizada C-16 E=1,5 mm, material reflectivo Tipo XI , película antigraffiti, para señales SP-SR-SI cumpliendo normatividad vigente. (Incluye elementos de fijación)</v>
      </c>
    </row>
    <row r="5" spans="1:30" s="1080" customFormat="1" ht="40.5" customHeight="1" outlineLevel="1" x14ac:dyDescent="0.25">
      <c r="A5" s="1461">
        <v>2</v>
      </c>
      <c r="B5" s="1162" t="str">
        <f>VLOOKUP(A5,'ANEXO PLIEGO_1'!$A$4:$C$132,2)</f>
        <v>Fabricación y suministro de pedestal sencillo en tubo galvanizado de sección circular con diametro interior de  2" y e=2mm para señales SP-SR-SI (para tableros iguales a 60 cm) cumpliendo normatividad vigente.</v>
      </c>
      <c r="C5" s="1163" t="str">
        <f>VLOOKUP(A5,'ANEXO PLIEGO_1'!$A$4:$C$132,3)</f>
        <v>UN</v>
      </c>
      <c r="D5" s="1166">
        <v>28</v>
      </c>
      <c r="E5" s="1078">
        <f t="shared" ref="E5:E68" si="1">+T5</f>
        <v>149368</v>
      </c>
      <c r="F5" s="1472">
        <f t="shared" ref="F5:F65" si="2">+ROUND(D5*E5,0)</f>
        <v>4182304</v>
      </c>
      <c r="G5" s="1189"/>
      <c r="H5" s="1166">
        <v>54</v>
      </c>
      <c r="I5" s="1078">
        <f t="shared" ref="I5:I68" si="3">+U5</f>
        <v>157927</v>
      </c>
      <c r="J5" s="1472">
        <f t="shared" ref="J5:J68" si="4">+ROUND(H5*I5,0)</f>
        <v>8528058</v>
      </c>
      <c r="K5" s="590"/>
      <c r="L5" s="1193">
        <v>54</v>
      </c>
      <c r="M5" s="1078">
        <f t="shared" ref="M5:M68" si="5">+V5</f>
        <v>163028</v>
      </c>
      <c r="N5" s="1472">
        <f>+ROUND(L5*M5,0)</f>
        <v>8803512</v>
      </c>
      <c r="O5" s="522"/>
      <c r="P5" s="1193">
        <v>27</v>
      </c>
      <c r="Q5" s="1078">
        <f t="shared" ref="Q5:Q68" si="6">+W5</f>
        <v>167919</v>
      </c>
      <c r="R5" s="1472">
        <f>+ROUND(P5*Q5,0)</f>
        <v>4533813</v>
      </c>
      <c r="S5" s="522"/>
      <c r="T5" s="1155">
        <f>+ROUND(VLOOKUP(A5,'ANEXO PLIEGO_1'!$A$4:$E$128,5,FALSE)*(1+'ANEXO PLIEGO_1'!$F$138),0)</f>
        <v>149368</v>
      </c>
      <c r="U5" s="1154">
        <f t="shared" ref="U5:U68" si="7">+ROUND(T5*$U$1,0)</f>
        <v>157927</v>
      </c>
      <c r="V5" s="1154">
        <f t="shared" ref="V5:V68" si="8">+ROUND(U5*$V$1,0)</f>
        <v>163028</v>
      </c>
      <c r="W5" s="1165">
        <f t="shared" ref="W5:W68" si="9">+ROUND(V5*$W$1,0)</f>
        <v>167919</v>
      </c>
      <c r="X5" s="447"/>
      <c r="Y5" s="1129">
        <v>2</v>
      </c>
      <c r="Z5" s="1080">
        <f t="shared" si="0"/>
        <v>1</v>
      </c>
      <c r="AD5" s="1425" t="str">
        <f t="shared" ref="AD5:AD68" si="10">B5</f>
        <v>Fabricación y suministro de pedestal sencillo en tubo galvanizado de sección circular con diametro interior de  2" y e=2mm para señales SP-SR-SI (para tableros iguales a 60 cm) cumpliendo normatividad vigente.</v>
      </c>
    </row>
    <row r="6" spans="1:30" s="1080" customFormat="1" ht="54" customHeight="1" outlineLevel="1" x14ac:dyDescent="0.25">
      <c r="A6" s="1461">
        <v>3</v>
      </c>
      <c r="B6" s="1162" t="str">
        <f>VLOOKUP(A6,'ANEXO PLIEGO_1'!$A$4:$C$132,2)</f>
        <v>Fabricación y suministro de pedestal doble en tubo galvanizado de sección circular con diametro interior de  2" y e=2mm para señales tipo dúplex SR/SP - SR/SR - SR/Plaqueta - SP/SP - SP/Plaqueta (para tableros iguales a 60 cm) cumpliendo normatividad vigente.</v>
      </c>
      <c r="C6" s="1163" t="str">
        <f>VLOOKUP(A6,'ANEXO PLIEGO_1'!$A$4:$C$132,3)</f>
        <v>UN</v>
      </c>
      <c r="D6" s="1166">
        <v>121</v>
      </c>
      <c r="E6" s="1078">
        <f t="shared" si="1"/>
        <v>206682</v>
      </c>
      <c r="F6" s="1472">
        <f t="shared" si="2"/>
        <v>25008522</v>
      </c>
      <c r="G6" s="1189"/>
      <c r="H6" s="1166">
        <v>235</v>
      </c>
      <c r="I6" s="1078">
        <f t="shared" si="3"/>
        <v>218525</v>
      </c>
      <c r="J6" s="1472">
        <f t="shared" si="4"/>
        <v>51353375</v>
      </c>
      <c r="K6" s="590"/>
      <c r="L6" s="1194">
        <v>236</v>
      </c>
      <c r="M6" s="1195">
        <f t="shared" si="5"/>
        <v>225583</v>
      </c>
      <c r="N6" s="1472">
        <f t="shared" ref="N6:N69" si="11">+ROUND(L6*M6,0)</f>
        <v>53237588</v>
      </c>
      <c r="O6" s="522"/>
      <c r="P6" s="1194">
        <v>117</v>
      </c>
      <c r="Q6" s="1195">
        <f t="shared" si="6"/>
        <v>232350</v>
      </c>
      <c r="R6" s="1472">
        <f t="shared" ref="R6:R69" si="12">+ROUND(P6*Q6,0)</f>
        <v>27184950</v>
      </c>
      <c r="S6" s="522"/>
      <c r="T6" s="1155">
        <f>+ROUND(VLOOKUP(A6,'ANEXO PLIEGO_1'!$A$4:$E$128,5,FALSE)*(1+'ANEXO PLIEGO_1'!$F$138),0)</f>
        <v>206682</v>
      </c>
      <c r="U6" s="1154">
        <f t="shared" si="7"/>
        <v>218525</v>
      </c>
      <c r="V6" s="1154">
        <f t="shared" si="8"/>
        <v>225583</v>
      </c>
      <c r="W6" s="1165">
        <f t="shared" si="9"/>
        <v>232350</v>
      </c>
      <c r="X6" s="447"/>
      <c r="Y6" s="1129">
        <v>3</v>
      </c>
      <c r="Z6" s="1080">
        <f t="shared" si="0"/>
        <v>1</v>
      </c>
      <c r="AD6" s="1425" t="str">
        <f t="shared" si="10"/>
        <v>Fabricación y suministro de pedestal doble en tubo galvanizado de sección circular con diametro interior de  2" y e=2mm para señales tipo dúplex SR/SP - SR/SR - SR/Plaqueta - SP/SP - SP/Plaqueta (para tableros iguales a 60 cm) cumpliendo normatividad vigente.</v>
      </c>
    </row>
    <row r="7" spans="1:30" s="1080" customFormat="1" ht="81" customHeight="1" outlineLevel="1" x14ac:dyDescent="0.25">
      <c r="A7" s="1461">
        <v>4</v>
      </c>
      <c r="B7" s="1162" t="str">
        <f>VLOOKUP(A7,'ANEXO PLIEGO_1'!$A$4:$C$132,2)</f>
        <v>Fabricación, suministro e instalación de señal preventiva, reglamentaría ó informativa de 60 cm, lámina galvanizada C-16 E=1,5mm y material reflectivo Tipo XI, película antigraffiti, poste de tubo galvanizado de sección circular con diámetro interior de 2" y e=2 mm con brazo variable desde 70cm hasta 120 cm, cumpliendo normatividad vigente. (Incluye la cimentación del soporte para la señal).</v>
      </c>
      <c r="C7" s="1163" t="str">
        <f>VLOOKUP(A7,'ANEXO PLIEGO_1'!$A$4:$C$132,3)</f>
        <v>UN</v>
      </c>
      <c r="D7" s="1166">
        <v>51</v>
      </c>
      <c r="E7" s="1078">
        <f t="shared" si="1"/>
        <v>470351</v>
      </c>
      <c r="F7" s="1472">
        <f t="shared" si="2"/>
        <v>23987901</v>
      </c>
      <c r="G7" s="1189"/>
      <c r="H7" s="1166">
        <v>95</v>
      </c>
      <c r="I7" s="1078">
        <f t="shared" si="3"/>
        <v>497302</v>
      </c>
      <c r="J7" s="1472">
        <f t="shared" si="4"/>
        <v>47243690</v>
      </c>
      <c r="K7" s="1439"/>
      <c r="L7" s="1193">
        <v>94</v>
      </c>
      <c r="M7" s="1078">
        <f t="shared" si="5"/>
        <v>513365</v>
      </c>
      <c r="N7" s="1472">
        <f t="shared" si="11"/>
        <v>48256310</v>
      </c>
      <c r="O7" s="1440"/>
      <c r="P7" s="1193">
        <v>46</v>
      </c>
      <c r="Q7" s="1078">
        <f t="shared" si="6"/>
        <v>528766</v>
      </c>
      <c r="R7" s="1472">
        <f t="shared" si="12"/>
        <v>24323236</v>
      </c>
      <c r="S7" s="522"/>
      <c r="T7" s="1155">
        <f>+ROUND(VLOOKUP(A7,'ANEXO PLIEGO_1'!$A$4:$E$128,5,FALSE)*(1+'ANEXO PLIEGO_1'!$F$138),0)</f>
        <v>470351</v>
      </c>
      <c r="U7" s="1154">
        <f t="shared" si="7"/>
        <v>497302</v>
      </c>
      <c r="V7" s="1154">
        <f t="shared" si="8"/>
        <v>513365</v>
      </c>
      <c r="W7" s="1165">
        <f t="shared" si="9"/>
        <v>528766</v>
      </c>
      <c r="X7" s="447"/>
      <c r="Y7" s="1129">
        <v>4</v>
      </c>
      <c r="Z7" s="1080">
        <f t="shared" si="0"/>
        <v>1</v>
      </c>
      <c r="AD7" s="1425" t="str">
        <f t="shared" si="10"/>
        <v>Fabricación, suministro e instalación de señal preventiva, reglamentaría ó informativa de 60 cm, lámina galvanizada C-16 E=1,5mm y material reflectivo Tipo XI, película antigraffiti, poste de tubo galvanizado de sección circular con diámetro interior de 2" y e=2 mm con brazo variable desde 70cm hasta 120 cm, cumpliendo normatividad vigente. (Incluye la cimentación del soporte para la señal).</v>
      </c>
    </row>
    <row r="8" spans="1:30" s="1080" customFormat="1" ht="63" customHeight="1" outlineLevel="1" x14ac:dyDescent="0.25">
      <c r="A8" s="1461">
        <v>5</v>
      </c>
      <c r="B8" s="1162" t="str">
        <f>VLOOKUP(A8,'ANEXO PLIEGO_1'!$A$4:$C$132,2)</f>
        <v>Fabricación, suministro e instalación de Señal Reglamentaria, Preventiva o informativa de 60 cm, material reflectivo Tipo XI , película antigraffiti, en lámina  galvanizada C-16, E=1,5 mm, pedestal en tubo galvanizado de sección circular con diámetro interior de 2" y e=2 mm para SR - SP cumpliendo con normatividad vigente.</v>
      </c>
      <c r="C8" s="1163" t="str">
        <f>VLOOKUP(A8,'ANEXO PLIEGO_1'!$A$4:$C$132,3)</f>
        <v>UN</v>
      </c>
      <c r="D8" s="1166">
        <v>193</v>
      </c>
      <c r="E8" s="1078">
        <f t="shared" si="1"/>
        <v>354341</v>
      </c>
      <c r="F8" s="1472">
        <f t="shared" si="2"/>
        <v>68387813</v>
      </c>
      <c r="G8" s="1189"/>
      <c r="H8" s="1166">
        <v>372</v>
      </c>
      <c r="I8" s="1078">
        <f t="shared" si="3"/>
        <v>374645</v>
      </c>
      <c r="J8" s="1472">
        <f t="shared" si="4"/>
        <v>139367940</v>
      </c>
      <c r="K8" s="590"/>
      <c r="L8" s="1194">
        <v>373</v>
      </c>
      <c r="M8" s="1078">
        <f t="shared" si="5"/>
        <v>386746</v>
      </c>
      <c r="N8" s="1472">
        <f t="shared" si="11"/>
        <v>144256258</v>
      </c>
      <c r="O8" s="522"/>
      <c r="P8" s="1194">
        <v>187</v>
      </c>
      <c r="Q8" s="1078">
        <f t="shared" si="6"/>
        <v>398348</v>
      </c>
      <c r="R8" s="1472">
        <f t="shared" si="12"/>
        <v>74491076</v>
      </c>
      <c r="S8" s="522"/>
      <c r="T8" s="1155">
        <f>+ROUND(VLOOKUP(A8,'ANEXO PLIEGO_1'!$A$4:$E$128,5,FALSE)*(1+'ANEXO PLIEGO_1'!$F$138),0)</f>
        <v>354341</v>
      </c>
      <c r="U8" s="1154">
        <f t="shared" si="7"/>
        <v>374645</v>
      </c>
      <c r="V8" s="1154">
        <f t="shared" si="8"/>
        <v>386746</v>
      </c>
      <c r="W8" s="1165">
        <f t="shared" si="9"/>
        <v>398348</v>
      </c>
      <c r="X8" s="447"/>
      <c r="Y8" s="1129">
        <v>5</v>
      </c>
      <c r="Z8" s="1080">
        <f t="shared" si="0"/>
        <v>1</v>
      </c>
      <c r="AD8" s="1425" t="str">
        <f t="shared" si="10"/>
        <v>Fabricación, suministro e instalación de Señal Reglamentaria, Preventiva o informativa de 60 cm, material reflectivo Tipo XI , película antigraffiti, en lámina  galvanizada C-16, E=1,5 mm, pedestal en tubo galvanizado de sección circular con diámetro interior de 2" y e=2 mm para SR - SP cumpliendo con normatividad vigente.</v>
      </c>
    </row>
    <row r="9" spans="1:30" s="1080" customFormat="1" ht="60.75" customHeight="1" outlineLevel="1" x14ac:dyDescent="0.25">
      <c r="A9" s="1461">
        <v>6</v>
      </c>
      <c r="B9" s="1162" t="str">
        <f>VLOOKUP(A9,'ANEXO PLIEGO_1'!$A$4:$C$132,2)</f>
        <v>Fabricación, suministro e instalación de Señal doble de 60 cm, material reflectivo Tipo XI , película antigraffiti, en lámina  galvanizada C-16 E=1,5 mm, pedestal en tubo galvanizado de sección circular con diámetro interior de 2" y e=2 mm para SP/SR-SI/SR cumpliendo con normatividad vigente.</v>
      </c>
      <c r="C9" s="1163" t="str">
        <f>VLOOKUP(A9,'ANEXO PLIEGO_1'!$A$4:$C$132,3)</f>
        <v>UN</v>
      </c>
      <c r="D9" s="1166">
        <v>101</v>
      </c>
      <c r="E9" s="1078">
        <f t="shared" si="1"/>
        <v>560935</v>
      </c>
      <c r="F9" s="1472">
        <f t="shared" si="2"/>
        <v>56654435</v>
      </c>
      <c r="G9" s="1189"/>
      <c r="H9" s="1166">
        <v>196</v>
      </c>
      <c r="I9" s="1078">
        <f t="shared" si="3"/>
        <v>593077</v>
      </c>
      <c r="J9" s="1472">
        <f t="shared" si="4"/>
        <v>116243092</v>
      </c>
      <c r="K9" s="590"/>
      <c r="L9" s="1193">
        <v>196</v>
      </c>
      <c r="M9" s="1078">
        <f t="shared" si="5"/>
        <v>612233</v>
      </c>
      <c r="N9" s="1472">
        <f t="shared" si="11"/>
        <v>119997668</v>
      </c>
      <c r="O9" s="522"/>
      <c r="P9" s="1193">
        <v>97</v>
      </c>
      <c r="Q9" s="1078">
        <f t="shared" si="6"/>
        <v>630600</v>
      </c>
      <c r="R9" s="1472">
        <f t="shared" si="12"/>
        <v>61168200</v>
      </c>
      <c r="S9" s="522"/>
      <c r="T9" s="1155">
        <f>+ROUND(VLOOKUP(A9,'ANEXO PLIEGO_1'!$A$4:$E$128,5,FALSE)*(1+'ANEXO PLIEGO_1'!$F$138),0)</f>
        <v>560935</v>
      </c>
      <c r="U9" s="1154">
        <f t="shared" si="7"/>
        <v>593077</v>
      </c>
      <c r="V9" s="1154">
        <f t="shared" si="8"/>
        <v>612233</v>
      </c>
      <c r="W9" s="1165">
        <f t="shared" si="9"/>
        <v>630600</v>
      </c>
      <c r="X9" s="447"/>
      <c r="Y9" s="1129">
        <v>6</v>
      </c>
      <c r="Z9" s="1080">
        <f t="shared" si="0"/>
        <v>1</v>
      </c>
      <c r="AD9" s="1425" t="str">
        <f t="shared" si="10"/>
        <v>Fabricación, suministro e instalación de Señal doble de 60 cm, material reflectivo Tipo XI , película antigraffiti, en lámina  galvanizada C-16 E=1,5 mm, pedestal en tubo galvanizado de sección circular con diámetro interior de 2" y e=2 mm para SP/SR-SI/SR cumpliendo con normatividad vigente.</v>
      </c>
    </row>
    <row r="10" spans="1:30" s="1080" customFormat="1" ht="67.5" customHeight="1" outlineLevel="1" x14ac:dyDescent="0.25">
      <c r="A10" s="1461">
        <v>7</v>
      </c>
      <c r="B10" s="1162" t="str">
        <f>VLOOKUP(A10,'ANEXO PLIEGO_1'!$A$4:$C$132,2)</f>
        <v>Fabricación, suministro e instalación de Señal doble SP47 ó SP47A/SR de 60 cm , material reflectivo Tipo Tipo XI amarillo/verde fluorescente, película antigraffiti, en lámina  galvanizada C-16 E=1,5 mm, pedestal en tubo galvanizado de sección circular con diámetro interior de 2" y e=2 mm. cumpliendo con normatividad vigente.</v>
      </c>
      <c r="C10" s="1163" t="str">
        <f>VLOOKUP(A10,'ANEXO PLIEGO_1'!$A$4:$C$132,3)</f>
        <v>UN</v>
      </c>
      <c r="D10" s="1166">
        <v>152</v>
      </c>
      <c r="E10" s="1078">
        <f t="shared" si="1"/>
        <v>708464</v>
      </c>
      <c r="F10" s="1472">
        <f t="shared" si="2"/>
        <v>107686528</v>
      </c>
      <c r="G10" s="1189"/>
      <c r="H10" s="1166">
        <v>292</v>
      </c>
      <c r="I10" s="1078">
        <f t="shared" si="3"/>
        <v>749059</v>
      </c>
      <c r="J10" s="1472">
        <f t="shared" si="4"/>
        <v>218725228</v>
      </c>
      <c r="K10" s="590"/>
      <c r="L10" s="1193">
        <v>294</v>
      </c>
      <c r="M10" s="1195">
        <f t="shared" si="5"/>
        <v>773254</v>
      </c>
      <c r="N10" s="1472">
        <f t="shared" si="11"/>
        <v>227336676</v>
      </c>
      <c r="O10" s="522"/>
      <c r="P10" s="1193">
        <v>146</v>
      </c>
      <c r="Q10" s="1195">
        <f t="shared" si="6"/>
        <v>796452</v>
      </c>
      <c r="R10" s="1472">
        <f t="shared" si="12"/>
        <v>116281992</v>
      </c>
      <c r="S10" s="522"/>
      <c r="T10" s="1155">
        <f>+ROUND(VLOOKUP(A10,'ANEXO PLIEGO_1'!$A$4:$E$128,5,FALSE)*(1+'ANEXO PLIEGO_1'!$F$138),0)</f>
        <v>708464</v>
      </c>
      <c r="U10" s="1154">
        <f t="shared" si="7"/>
        <v>749059</v>
      </c>
      <c r="V10" s="1154">
        <f t="shared" si="8"/>
        <v>773254</v>
      </c>
      <c r="W10" s="1165">
        <f t="shared" si="9"/>
        <v>796452</v>
      </c>
      <c r="X10" s="447"/>
      <c r="Y10" s="1129">
        <v>7</v>
      </c>
      <c r="Z10" s="1080">
        <f t="shared" si="0"/>
        <v>1</v>
      </c>
      <c r="AD10" s="1425" t="str">
        <f t="shared" si="10"/>
        <v>Fabricación, suministro e instalación de Señal doble SP47 ó SP47A/SR de 60 cm , material reflectivo Tipo Tipo XI amarillo/verde fluorescente, película antigraffiti, en lámina  galvanizada C-16 E=1,5 mm, pedestal en tubo galvanizado de sección circular con diámetro interior de 2" y e=2 mm. cumpliendo con normatividad vigente.</v>
      </c>
    </row>
    <row r="11" spans="1:30" s="1080" customFormat="1" ht="39" customHeight="1" outlineLevel="1" x14ac:dyDescent="0.25">
      <c r="A11" s="1461">
        <v>8</v>
      </c>
      <c r="B11" s="1162" t="str">
        <f>VLOOKUP(A11,'ANEXO PLIEGO_1'!$A$4:$C$132,2)</f>
        <v>Fabricación de plaquetas, suministro e instalación para señal SR - SP - SI - ST (alto mínimo de 23 cm) material reflectivo Tipo XI, película antigraffiti, en lámina galvanizada C-16 E=1,5 mm, cumpliendo normatividad vigente.</v>
      </c>
      <c r="C11" s="1163" t="str">
        <f>VLOOKUP(A11,'ANEXO PLIEGO_1'!$A$4:$C$132,3)</f>
        <v>M2</v>
      </c>
      <c r="D11" s="1166">
        <v>100</v>
      </c>
      <c r="E11" s="1078">
        <f t="shared" si="1"/>
        <v>494228</v>
      </c>
      <c r="F11" s="1472">
        <f t="shared" si="2"/>
        <v>49422800</v>
      </c>
      <c r="G11" s="1189"/>
      <c r="H11" s="1166">
        <v>193</v>
      </c>
      <c r="I11" s="1078">
        <f t="shared" si="3"/>
        <v>522547</v>
      </c>
      <c r="J11" s="1472">
        <f t="shared" si="4"/>
        <v>100851571</v>
      </c>
      <c r="K11" s="590"/>
      <c r="L11" s="1193">
        <v>193</v>
      </c>
      <c r="M11" s="1078">
        <f t="shared" si="5"/>
        <v>539425</v>
      </c>
      <c r="N11" s="1472">
        <f t="shared" si="11"/>
        <v>104109025</v>
      </c>
      <c r="O11" s="522"/>
      <c r="P11" s="1193">
        <v>96</v>
      </c>
      <c r="Q11" s="1078">
        <f t="shared" si="6"/>
        <v>555608</v>
      </c>
      <c r="R11" s="1472">
        <f t="shared" si="12"/>
        <v>53338368</v>
      </c>
      <c r="S11" s="522"/>
      <c r="T11" s="1155">
        <f>+ROUND(VLOOKUP(A11,'ANEXO PLIEGO_1'!$A$4:$E$128,5,FALSE)*(1+'ANEXO PLIEGO_1'!$F$138),0)</f>
        <v>494228</v>
      </c>
      <c r="U11" s="1154">
        <f t="shared" si="7"/>
        <v>522547</v>
      </c>
      <c r="V11" s="1154">
        <f t="shared" si="8"/>
        <v>539425</v>
      </c>
      <c r="W11" s="1165">
        <f t="shared" si="9"/>
        <v>555608</v>
      </c>
      <c r="X11" s="447"/>
      <c r="Y11" s="1129">
        <v>8</v>
      </c>
      <c r="Z11" s="1080">
        <f t="shared" si="0"/>
        <v>1</v>
      </c>
      <c r="AD11" s="1425" t="str">
        <f t="shared" si="10"/>
        <v>Fabricación de plaquetas, suministro e instalación para señal SR - SP - SI - ST (alto mínimo de 23 cm) material reflectivo Tipo XI, película antigraffiti, en lámina galvanizada C-16 E=1,5 mm, cumpliendo normatividad vigente.</v>
      </c>
    </row>
    <row r="12" spans="1:30" s="1080" customFormat="1" ht="54" customHeight="1" outlineLevel="1" x14ac:dyDescent="0.25">
      <c r="A12" s="1461">
        <v>9</v>
      </c>
      <c r="B12" s="1162" t="str">
        <f>VLOOKUP(A12,'ANEXO PLIEGO_1'!$A$4:$C$132,2)</f>
        <v>Fabricación, suministro e instalación de Señal SP-47 B, material reflectivo Tipo XI amarillo/verde fluorescente, película antigraffiti, en lámina  galvanizada C-16 E=1,5 mm, pedestal  de sección circular con diámetro interior de 2" y e=2 mm. cumpliendo con normatividad vigente.</v>
      </c>
      <c r="C12" s="1163" t="str">
        <f>VLOOKUP(A12,'ANEXO PLIEGO_1'!$A$4:$C$132,3)</f>
        <v>UN</v>
      </c>
      <c r="D12" s="1166">
        <v>193</v>
      </c>
      <c r="E12" s="1078">
        <f t="shared" si="1"/>
        <v>642960</v>
      </c>
      <c r="F12" s="1472">
        <f t="shared" si="2"/>
        <v>124091280</v>
      </c>
      <c r="G12" s="1189"/>
      <c r="H12" s="1166">
        <v>372</v>
      </c>
      <c r="I12" s="1078">
        <f t="shared" si="3"/>
        <v>679802</v>
      </c>
      <c r="J12" s="1472">
        <f t="shared" si="4"/>
        <v>252886344</v>
      </c>
      <c r="K12" s="590"/>
      <c r="L12" s="1193">
        <v>373</v>
      </c>
      <c r="M12" s="1078">
        <f t="shared" si="5"/>
        <v>701760</v>
      </c>
      <c r="N12" s="1472">
        <f t="shared" si="11"/>
        <v>261756480</v>
      </c>
      <c r="O12" s="522"/>
      <c r="P12" s="1193">
        <v>187</v>
      </c>
      <c r="Q12" s="1078">
        <f t="shared" si="6"/>
        <v>722813</v>
      </c>
      <c r="R12" s="1472">
        <f t="shared" si="12"/>
        <v>135166031</v>
      </c>
      <c r="S12" s="522"/>
      <c r="T12" s="1155">
        <f>+ROUND(VLOOKUP(A12,'ANEXO PLIEGO_1'!$A$4:$E$128,5,FALSE)*(1+'ANEXO PLIEGO_1'!$F$138),0)</f>
        <v>642960</v>
      </c>
      <c r="U12" s="1154">
        <f t="shared" si="7"/>
        <v>679802</v>
      </c>
      <c r="V12" s="1154">
        <f t="shared" si="8"/>
        <v>701760</v>
      </c>
      <c r="W12" s="1165">
        <f t="shared" si="9"/>
        <v>722813</v>
      </c>
      <c r="X12" s="447"/>
      <c r="Y12" s="1129">
        <v>9</v>
      </c>
      <c r="Z12" s="1080">
        <f t="shared" si="0"/>
        <v>1</v>
      </c>
      <c r="AD12" s="1425" t="str">
        <f t="shared" si="10"/>
        <v>Fabricación, suministro e instalación de Señal SP-47 B, material reflectivo Tipo XI amarillo/verde fluorescente, película antigraffiti, en lámina  galvanizada C-16 E=1,5 mm, pedestal  de sección circular con diámetro interior de 2" y e=2 mm. cumpliendo con normatividad vigente.</v>
      </c>
    </row>
    <row r="13" spans="1:30" s="1080" customFormat="1" ht="67.5" customHeight="1" outlineLevel="1" x14ac:dyDescent="0.25">
      <c r="A13" s="1461">
        <v>10</v>
      </c>
      <c r="B13" s="1162" t="str">
        <f>VLOOKUP(A13,'ANEXO PLIEGO_1'!$A$4:$C$132,2)</f>
        <v xml:space="preserve">Fabricación, suministro e instalación de Señal Reglamentaria, Preventiva ó informativa de 75 cm, material reflectivo Tipo XI , película antigraffiti, en lámina  galvanizada C-16 E=1,5mm, pedestal en tubo galvanizado de sección circular con diámetro interior de 2" y e=2 mm cumpliendo con normatividad vigente. </v>
      </c>
      <c r="C13" s="1163" t="str">
        <f>VLOOKUP(A13,'ANEXO PLIEGO_1'!$A$4:$C$132,3)</f>
        <v>UN</v>
      </c>
      <c r="D13" s="1166">
        <v>62</v>
      </c>
      <c r="E13" s="1078">
        <f t="shared" si="1"/>
        <v>458713</v>
      </c>
      <c r="F13" s="1472">
        <f t="shared" si="2"/>
        <v>28440206</v>
      </c>
      <c r="G13" s="1189"/>
      <c r="H13" s="1166">
        <v>122</v>
      </c>
      <c r="I13" s="1078">
        <f t="shared" si="3"/>
        <v>484997</v>
      </c>
      <c r="J13" s="1472">
        <f t="shared" si="4"/>
        <v>59169634</v>
      </c>
      <c r="K13" s="590"/>
      <c r="L13" s="1193">
        <v>122</v>
      </c>
      <c r="M13" s="1195">
        <f t="shared" si="5"/>
        <v>500662</v>
      </c>
      <c r="N13" s="1472">
        <f t="shared" si="11"/>
        <v>61080764</v>
      </c>
      <c r="O13" s="522"/>
      <c r="P13" s="1193">
        <v>61</v>
      </c>
      <c r="Q13" s="1195">
        <f t="shared" si="6"/>
        <v>515682</v>
      </c>
      <c r="R13" s="1472">
        <f t="shared" si="12"/>
        <v>31456602</v>
      </c>
      <c r="S13" s="522"/>
      <c r="T13" s="1155">
        <f>+ROUND(VLOOKUP(A13,'ANEXO PLIEGO_1'!$A$4:$E$128,5,FALSE)*(1+'ANEXO PLIEGO_1'!$F$138),0)</f>
        <v>458713</v>
      </c>
      <c r="U13" s="1154">
        <f t="shared" si="7"/>
        <v>484997</v>
      </c>
      <c r="V13" s="1154">
        <f t="shared" si="8"/>
        <v>500662</v>
      </c>
      <c r="W13" s="1165">
        <f t="shared" si="9"/>
        <v>515682</v>
      </c>
      <c r="X13" s="447"/>
      <c r="Y13" s="1129">
        <v>10</v>
      </c>
      <c r="Z13" s="1080">
        <f t="shared" si="0"/>
        <v>1</v>
      </c>
      <c r="AD13" s="1425" t="str">
        <f t="shared" si="10"/>
        <v xml:space="preserve">Fabricación, suministro e instalación de Señal Reglamentaria, Preventiva ó informativa de 75 cm, material reflectivo Tipo XI , película antigraffiti, en lámina  galvanizada C-16 E=1,5mm, pedestal en tubo galvanizado de sección circular con diámetro interior de 2" y e=2 mm cumpliendo con normatividad vigente. </v>
      </c>
    </row>
    <row r="14" spans="1:30" s="1080" customFormat="1" ht="55.5" customHeight="1" outlineLevel="1" x14ac:dyDescent="0.25">
      <c r="A14" s="1461">
        <v>11</v>
      </c>
      <c r="B14" s="1162" t="str">
        <f>VLOOKUP(A14,'ANEXO PLIEGO_1'!$A$4:$C$132,2)</f>
        <v xml:space="preserve">Fabricación, suministro e instalación de Señal doble de 75cm, material reflectivo Tipo XI, película antigraffiti, en lámina  galvanizada C-16 E=1.5mm, pedestal en tubo galvanizado  de sección circular con diámetro interior de 2" y e=2 mm para SP/SR - SI/SR cumpliendo normatividad vigente. </v>
      </c>
      <c r="C14" s="1163" t="str">
        <f>VLOOKUP(A14,'ANEXO PLIEGO_1'!$A$4:$C$132,3)</f>
        <v>UN</v>
      </c>
      <c r="D14" s="1166">
        <v>22</v>
      </c>
      <c r="E14" s="1078">
        <f t="shared" si="1"/>
        <v>796932</v>
      </c>
      <c r="F14" s="1472">
        <f t="shared" si="2"/>
        <v>17532504</v>
      </c>
      <c r="G14" s="1189"/>
      <c r="H14" s="1166">
        <v>44</v>
      </c>
      <c r="I14" s="1078">
        <f t="shared" si="3"/>
        <v>842596</v>
      </c>
      <c r="J14" s="1472">
        <f t="shared" si="4"/>
        <v>37074224</v>
      </c>
      <c r="K14" s="590"/>
      <c r="L14" s="1193">
        <v>46</v>
      </c>
      <c r="M14" s="1078">
        <f t="shared" si="5"/>
        <v>869812</v>
      </c>
      <c r="N14" s="1472">
        <f t="shared" si="11"/>
        <v>40011352</v>
      </c>
      <c r="O14" s="522"/>
      <c r="P14" s="1193">
        <v>22</v>
      </c>
      <c r="Q14" s="1078">
        <f t="shared" si="6"/>
        <v>895906</v>
      </c>
      <c r="R14" s="1472">
        <f t="shared" si="12"/>
        <v>19709932</v>
      </c>
      <c r="S14" s="522"/>
      <c r="T14" s="1155">
        <f>+ROUND(VLOOKUP(A14,'ANEXO PLIEGO_1'!$A$4:$E$128,5,FALSE)*(1+'ANEXO PLIEGO_1'!$F$138),0)</f>
        <v>796932</v>
      </c>
      <c r="U14" s="1154">
        <f t="shared" si="7"/>
        <v>842596</v>
      </c>
      <c r="V14" s="1154">
        <f t="shared" si="8"/>
        <v>869812</v>
      </c>
      <c r="W14" s="1165">
        <f t="shared" si="9"/>
        <v>895906</v>
      </c>
      <c r="X14" s="447"/>
      <c r="Y14" s="1129">
        <v>11</v>
      </c>
      <c r="Z14" s="1080">
        <f t="shared" si="0"/>
        <v>1</v>
      </c>
      <c r="AD14" s="1425" t="str">
        <f>B14</f>
        <v xml:space="preserve">Fabricación, suministro e instalación de Señal doble de 75cm, material reflectivo Tipo XI, película antigraffiti, en lámina  galvanizada C-16 E=1.5mm, pedestal en tubo galvanizado  de sección circular con diámetro interior de 2" y e=2 mm para SP/SR - SI/SR cumpliendo normatividad vigente. </v>
      </c>
    </row>
    <row r="15" spans="1:30" s="1080" customFormat="1" ht="54" customHeight="1" outlineLevel="1" x14ac:dyDescent="0.25">
      <c r="A15" s="1461">
        <v>12</v>
      </c>
      <c r="B15" s="1162" t="str">
        <f>VLOOKUP(A15,'ANEXO PLIEGO_1'!$A$4:$C$132,2)</f>
        <v>Fabricación, suministro e instalación de Señal Reglamentaria, Preventiva ó Informativa de 90 cm, material reflectivoTipo XI , película antigraffiti, en lámina galvanizada C-16 E=1,5 mm, pedestal en tubo gavanizado de 2" SR - SP cumpliendo normatividad vigente.</v>
      </c>
      <c r="C15" s="1163" t="str">
        <f>VLOOKUP(A15,'ANEXO PLIEGO_1'!$A$4:$C$132,3)</f>
        <v>UN</v>
      </c>
      <c r="D15" s="1166">
        <v>2</v>
      </c>
      <c r="E15" s="1078">
        <f t="shared" si="1"/>
        <v>586211</v>
      </c>
      <c r="F15" s="1472">
        <f t="shared" si="2"/>
        <v>1172422</v>
      </c>
      <c r="G15" s="1189"/>
      <c r="H15" s="1166">
        <v>4</v>
      </c>
      <c r="I15" s="1078">
        <f t="shared" si="3"/>
        <v>619801</v>
      </c>
      <c r="J15" s="1472">
        <f t="shared" si="4"/>
        <v>2479204</v>
      </c>
      <c r="K15" s="590"/>
      <c r="L15" s="1193">
        <v>4</v>
      </c>
      <c r="M15" s="1078">
        <f t="shared" si="5"/>
        <v>639821</v>
      </c>
      <c r="N15" s="1472">
        <f t="shared" si="11"/>
        <v>2559284</v>
      </c>
      <c r="O15" s="522"/>
      <c r="P15" s="1193">
        <v>2</v>
      </c>
      <c r="Q15" s="1078">
        <f t="shared" si="6"/>
        <v>659016</v>
      </c>
      <c r="R15" s="1472">
        <f t="shared" si="12"/>
        <v>1318032</v>
      </c>
      <c r="S15" s="522"/>
      <c r="T15" s="1155">
        <f>+ROUND(VLOOKUP(A15,'ANEXO PLIEGO_1'!$A$4:$E$128,5,FALSE)*(1+'ANEXO PLIEGO_1'!$F$138),0)</f>
        <v>586211</v>
      </c>
      <c r="U15" s="1154">
        <f t="shared" si="7"/>
        <v>619801</v>
      </c>
      <c r="V15" s="1154">
        <f t="shared" si="8"/>
        <v>639821</v>
      </c>
      <c r="W15" s="1165">
        <f t="shared" si="9"/>
        <v>659016</v>
      </c>
      <c r="X15" s="447"/>
      <c r="Y15" s="1129">
        <v>12</v>
      </c>
      <c r="Z15" s="1080">
        <f t="shared" si="0"/>
        <v>1</v>
      </c>
      <c r="AD15" s="1425" t="str">
        <f t="shared" si="10"/>
        <v>Fabricación, suministro e instalación de Señal Reglamentaria, Preventiva ó Informativa de 90 cm, material reflectivoTipo XI , película antigraffiti, en lámina galvanizada C-16 E=1,5 mm, pedestal en tubo gavanizado de 2" SR - SP cumpliendo normatividad vigente.</v>
      </c>
    </row>
    <row r="16" spans="1:30" s="1080" customFormat="1" ht="67.5" customHeight="1" outlineLevel="1" x14ac:dyDescent="0.25">
      <c r="A16" s="1461">
        <v>13</v>
      </c>
      <c r="B16" s="1162" t="str">
        <f>VLOOKUP(A16,'ANEXO PLIEGO_1'!$A$4:$C$132,2)</f>
        <v>Fabricación, suministro e instalación de delineador de curva horizontal de 51 x 36 cm  (figura 5-14 Resolución 20243040045005 de 17 de septiembre de 2024), material reflectivo Tipo XI amarillo/verde fluorescente, película antigraffiti, en lámina galvanizada C-16 E=1,5 mm, pedestal en tubo galvanizado 2" cumpliendo normatividad vigente.</v>
      </c>
      <c r="C16" s="1163" t="str">
        <f>VLOOKUP(A16,'ANEXO PLIEGO_1'!$A$4:$C$132,3)</f>
        <v>UN</v>
      </c>
      <c r="D16" s="1166">
        <v>33</v>
      </c>
      <c r="E16" s="1078">
        <f t="shared" si="1"/>
        <v>260887</v>
      </c>
      <c r="F16" s="1472">
        <f t="shared" si="2"/>
        <v>8609271</v>
      </c>
      <c r="G16" s="1189"/>
      <c r="H16" s="1166">
        <v>63</v>
      </c>
      <c r="I16" s="1078">
        <f t="shared" si="3"/>
        <v>275836</v>
      </c>
      <c r="J16" s="1472">
        <f t="shared" si="4"/>
        <v>17377668</v>
      </c>
      <c r="K16" s="590"/>
      <c r="L16" s="1194">
        <v>63</v>
      </c>
      <c r="M16" s="1195">
        <f t="shared" si="5"/>
        <v>284746</v>
      </c>
      <c r="N16" s="1472">
        <f t="shared" si="11"/>
        <v>17938998</v>
      </c>
      <c r="O16" s="522"/>
      <c r="P16" s="1194">
        <v>32</v>
      </c>
      <c r="Q16" s="1195">
        <f t="shared" si="6"/>
        <v>293288</v>
      </c>
      <c r="R16" s="1472">
        <f t="shared" si="12"/>
        <v>9385216</v>
      </c>
      <c r="S16" s="522"/>
      <c r="T16" s="1155">
        <f>+ROUND(VLOOKUP(A16,'ANEXO PLIEGO_1'!$A$4:$E$128,5,FALSE)*(1+'ANEXO PLIEGO_1'!$F$138),0)</f>
        <v>260887</v>
      </c>
      <c r="U16" s="1154">
        <f t="shared" si="7"/>
        <v>275836</v>
      </c>
      <c r="V16" s="1154">
        <f t="shared" si="8"/>
        <v>284746</v>
      </c>
      <c r="W16" s="1165">
        <f t="shared" si="9"/>
        <v>293288</v>
      </c>
      <c r="X16" s="447"/>
      <c r="Y16" s="1129">
        <v>13</v>
      </c>
      <c r="Z16" s="1080">
        <f t="shared" si="0"/>
        <v>1</v>
      </c>
      <c r="AD16" s="1425" t="str">
        <f t="shared" si="10"/>
        <v>Fabricación, suministro e instalación de delineador de curva horizontal de 51 x 36 cm  (figura 5-14 Resolución 20243040045005 de 17 de septiembre de 2024), material reflectivo Tipo XI amarillo/verde fluorescente, película antigraffiti, en lámina galvanizada C-16 E=1,5 mm, pedestal en tubo galvanizado 2" cumpliendo normatividad vigente.</v>
      </c>
    </row>
    <row r="17" spans="1:30" s="1080" customFormat="1" ht="81" customHeight="1" outlineLevel="1" x14ac:dyDescent="0.25">
      <c r="A17" s="1461">
        <v>14</v>
      </c>
      <c r="B17" s="1162" t="str">
        <f>VLOOKUP(A17,'ANEXO PLIEGO_1'!$A$4:$C$132,2)</f>
        <v>Fabricación, suministro e instalación de delineador doble de curva horizontal de  51 x 66 cm (figura 5-14 Resolución 20243040045005 de 17 de septiembre de 2024), material reflectivo Tipo XI amarillo / verde fluorescente, película antigraffiti, en lámina galvanizada C-16 E=1,5 mm, pedestal en tubo galvanizado  de sección circular con diámetro interior de 2" y e=2 mm cumpliendo normatividad vigente.</v>
      </c>
      <c r="C17" s="1163" t="str">
        <f>VLOOKUP(A17,'ANEXO PLIEGO_1'!$A$4:$C$132,3)</f>
        <v>UN</v>
      </c>
      <c r="D17" s="1166">
        <v>63</v>
      </c>
      <c r="E17" s="1078">
        <f t="shared" si="1"/>
        <v>351191</v>
      </c>
      <c r="F17" s="1472">
        <f t="shared" si="2"/>
        <v>22125033</v>
      </c>
      <c r="G17" s="1189"/>
      <c r="H17" s="1166">
        <v>122</v>
      </c>
      <c r="I17" s="1078">
        <f t="shared" si="3"/>
        <v>371314</v>
      </c>
      <c r="J17" s="1472">
        <f t="shared" si="4"/>
        <v>45300308</v>
      </c>
      <c r="K17" s="590"/>
      <c r="L17" s="1196">
        <v>122</v>
      </c>
      <c r="M17" s="1197">
        <f t="shared" si="5"/>
        <v>383307</v>
      </c>
      <c r="N17" s="1472">
        <f t="shared" si="11"/>
        <v>46763454</v>
      </c>
      <c r="O17" s="522"/>
      <c r="P17" s="1196">
        <v>61</v>
      </c>
      <c r="Q17" s="1197">
        <f t="shared" si="6"/>
        <v>394806</v>
      </c>
      <c r="R17" s="1472">
        <f t="shared" si="12"/>
        <v>24083166</v>
      </c>
      <c r="S17" s="522"/>
      <c r="T17" s="1155">
        <f>+ROUND(VLOOKUP(A17,'ANEXO PLIEGO_1'!$A$4:$E$128,5,FALSE)*(1+'ANEXO PLIEGO_1'!$F$138),0)</f>
        <v>351191</v>
      </c>
      <c r="U17" s="1154">
        <f t="shared" si="7"/>
        <v>371314</v>
      </c>
      <c r="V17" s="1154">
        <f t="shared" si="8"/>
        <v>383307</v>
      </c>
      <c r="W17" s="1165">
        <f t="shared" si="9"/>
        <v>394806</v>
      </c>
      <c r="X17" s="447"/>
      <c r="Y17" s="1129">
        <v>14</v>
      </c>
      <c r="Z17" s="1080">
        <f t="shared" si="0"/>
        <v>1</v>
      </c>
      <c r="AD17" s="1425" t="str">
        <f t="shared" si="10"/>
        <v>Fabricación, suministro e instalación de delineador doble de curva horizontal de  51 x 66 cm (figura 5-14 Resolución 20243040045005 de 17 de septiembre de 2024), material reflectivo Tipo XI amarillo / verde fluorescente, película antigraffiti, en lámina galvanizada C-16 E=1,5 mm, pedestal en tubo galvanizado  de sección circular con diámetro interior de 2" y e=2 mm cumpliendo normatividad vigente.</v>
      </c>
    </row>
    <row r="18" spans="1:30" s="1080" customFormat="1" ht="81" customHeight="1" outlineLevel="1" x14ac:dyDescent="0.25">
      <c r="A18" s="1461">
        <v>15</v>
      </c>
      <c r="B18" s="1162" t="str">
        <f>VLOOKUP(A18,'ANEXO PLIEGO_1'!$A$4:$C$132,2)</f>
        <v>Fabricación, suministro e instalación de marcador de obstáculo vertical doble plano (figura 5-23 Resolución 20243040045005 de 17 de septiembre de 2024) 90X45 cm, material reflectivo Tipo XI Amarillo /verde fluorescente, película antigraffiti, en lámina galvanizada C-16 E=1,5 mm, pedestal en tubo galvanizado  de sección circular con diámetro interior de 2" y e=2 mm cumpliendo normatividad vigente.</v>
      </c>
      <c r="C18" s="1163" t="str">
        <f>VLOOKUP(A18,'ANEXO PLIEGO_1'!$A$4:$C$132,3)</f>
        <v>UN</v>
      </c>
      <c r="D18" s="1166">
        <v>7</v>
      </c>
      <c r="E18" s="1078">
        <f t="shared" si="1"/>
        <v>383254</v>
      </c>
      <c r="F18" s="1472">
        <f t="shared" si="2"/>
        <v>2682778</v>
      </c>
      <c r="G18" s="1189"/>
      <c r="H18" s="1166">
        <v>14</v>
      </c>
      <c r="I18" s="1078">
        <f t="shared" si="3"/>
        <v>405214</v>
      </c>
      <c r="J18" s="1472">
        <f t="shared" si="4"/>
        <v>5672996</v>
      </c>
      <c r="K18" s="590"/>
      <c r="L18" s="1193">
        <v>14</v>
      </c>
      <c r="M18" s="1078">
        <f t="shared" si="5"/>
        <v>418302</v>
      </c>
      <c r="N18" s="1472">
        <f t="shared" si="11"/>
        <v>5856228</v>
      </c>
      <c r="O18" s="522"/>
      <c r="P18" s="1193">
        <v>8</v>
      </c>
      <c r="Q18" s="1078">
        <f t="shared" si="6"/>
        <v>430851</v>
      </c>
      <c r="R18" s="1472">
        <f t="shared" si="12"/>
        <v>3446808</v>
      </c>
      <c r="S18" s="522"/>
      <c r="T18" s="1155">
        <f>+ROUND(VLOOKUP(A18,'ANEXO PLIEGO_1'!$A$4:$E$128,5,FALSE)*(1+'ANEXO PLIEGO_1'!$F$138),0)</f>
        <v>383254</v>
      </c>
      <c r="U18" s="1154">
        <f t="shared" si="7"/>
        <v>405214</v>
      </c>
      <c r="V18" s="1154">
        <f t="shared" si="8"/>
        <v>418302</v>
      </c>
      <c r="W18" s="1165">
        <f t="shared" si="9"/>
        <v>430851</v>
      </c>
      <c r="X18" s="447"/>
      <c r="Y18" s="1129">
        <v>15</v>
      </c>
      <c r="Z18" s="1080">
        <f t="shared" si="0"/>
        <v>1</v>
      </c>
      <c r="AD18" s="1425" t="str">
        <f t="shared" si="10"/>
        <v>Fabricación, suministro e instalación de marcador de obstáculo vertical doble plano (figura 5-23 Resolución 20243040045005 de 17 de septiembre de 2024) 90X45 cm, material reflectivo Tipo XI Amarillo /verde fluorescente, película antigraffiti, en lámina galvanizada C-16 E=1,5 mm, pedestal en tubo galvanizado  de sección circular con diámetro interior de 2" y e=2 mm cumpliendo normatividad vigente.</v>
      </c>
    </row>
    <row r="19" spans="1:30" s="1080" customFormat="1" ht="81" customHeight="1" outlineLevel="1" collapsed="1" x14ac:dyDescent="0.25">
      <c r="A19" s="1461">
        <v>16</v>
      </c>
      <c r="B19" s="1162" t="str">
        <f>VLOOKUP(A19,'ANEXO PLIEGO_1'!$A$4:$C$132,2)</f>
        <v>Fabricación, suministro e instalación de marcador de obstáculo vertical sencillo plano (figura 5-23 Resolución 20243040045005 de 17 de septiembre de 2024) 90X30 cm,material reflectivoTipo XI Amarillo /verde fluorescente, película antigraffiti, en lámina galvanizada C-16 E=1,5 mm, pedestal en tubo galvanizado  de sección circular con diámetro interior de 2" y e=2 mm  cumpliendo normatividad vigente.</v>
      </c>
      <c r="C19" s="1163" t="str">
        <f>VLOOKUP(A19,'ANEXO PLIEGO_1'!$A$4:$C$132,3)</f>
        <v>UN</v>
      </c>
      <c r="D19" s="1166">
        <v>1</v>
      </c>
      <c r="E19" s="1078">
        <f t="shared" si="1"/>
        <v>302784</v>
      </c>
      <c r="F19" s="1472">
        <f t="shared" si="2"/>
        <v>302784</v>
      </c>
      <c r="G19" s="1189"/>
      <c r="H19" s="1166">
        <v>2</v>
      </c>
      <c r="I19" s="1078">
        <f t="shared" si="3"/>
        <v>320134</v>
      </c>
      <c r="J19" s="1472">
        <f t="shared" si="4"/>
        <v>640268</v>
      </c>
      <c r="K19" s="590"/>
      <c r="L19" s="1193">
        <v>2</v>
      </c>
      <c r="M19" s="1195">
        <f t="shared" si="5"/>
        <v>330474</v>
      </c>
      <c r="N19" s="1472">
        <f t="shared" si="11"/>
        <v>660948</v>
      </c>
      <c r="O19" s="522"/>
      <c r="P19" s="1193">
        <v>4</v>
      </c>
      <c r="Q19" s="1195">
        <f t="shared" si="6"/>
        <v>340388</v>
      </c>
      <c r="R19" s="1472">
        <f t="shared" si="12"/>
        <v>1361552</v>
      </c>
      <c r="S19" s="522"/>
      <c r="T19" s="1155">
        <f>+ROUND(VLOOKUP(A19,'ANEXO PLIEGO_1'!$A$4:$E$128,5,FALSE)*(1+'ANEXO PLIEGO_1'!$F$138),0)</f>
        <v>302784</v>
      </c>
      <c r="U19" s="1154">
        <f t="shared" si="7"/>
        <v>320134</v>
      </c>
      <c r="V19" s="1154">
        <f t="shared" si="8"/>
        <v>330474</v>
      </c>
      <c r="W19" s="1165">
        <f t="shared" si="9"/>
        <v>340388</v>
      </c>
      <c r="X19" s="447"/>
      <c r="Y19" s="1129">
        <v>16</v>
      </c>
      <c r="Z19" s="1080">
        <f t="shared" si="0"/>
        <v>1</v>
      </c>
      <c r="AD19" s="1425" t="str">
        <f t="shared" si="10"/>
        <v>Fabricación, suministro e instalación de marcador de obstáculo vertical sencillo plano (figura 5-23 Resolución 20243040045005 de 17 de septiembre de 2024) 90X30 cm,material reflectivoTipo XI Amarillo /verde fluorescente, película antigraffiti, en lámina galvanizada C-16 E=1,5 mm, pedestal en tubo galvanizado  de sección circular con diámetro interior de 2" y e=2 mm  cumpliendo normatividad vigente.</v>
      </c>
    </row>
    <row r="20" spans="1:30" s="1080" customFormat="1" ht="67.5" customHeight="1" outlineLevel="1" x14ac:dyDescent="0.25">
      <c r="A20" s="1461">
        <v>17</v>
      </c>
      <c r="B20" s="1162" t="str">
        <f>VLOOKUP(A20,'ANEXO PLIEGO_1'!$A$4:$C$132,2)</f>
        <v>Fabricación, suministro e instalación de Señal SP-46 ó SP-46A, material reflectivo Tipo XI amarillo / verde fluorescente, película antigraffiti, en lámina  galvanizada C-16 E=1,5 mm, pedestal en tubo galvanizado de sección circular con diámetro interior de 2" y e=2 mm cumpliendo con normatividad vigente.</v>
      </c>
      <c r="C20" s="1163" t="str">
        <f>VLOOKUP(A20,'ANEXO PLIEGO_1'!$A$4:$C$132,3)</f>
        <v>UN</v>
      </c>
      <c r="D20" s="1166">
        <v>49</v>
      </c>
      <c r="E20" s="1078">
        <f t="shared" si="1"/>
        <v>375778</v>
      </c>
      <c r="F20" s="1472">
        <f t="shared" si="2"/>
        <v>18413122</v>
      </c>
      <c r="G20" s="1189"/>
      <c r="H20" s="1166">
        <v>2</v>
      </c>
      <c r="I20" s="1078">
        <f t="shared" si="3"/>
        <v>397310</v>
      </c>
      <c r="J20" s="1472">
        <f t="shared" si="4"/>
        <v>794620</v>
      </c>
      <c r="K20" s="590"/>
      <c r="L20" s="1193">
        <v>2</v>
      </c>
      <c r="M20" s="1197">
        <f t="shared" si="5"/>
        <v>410143</v>
      </c>
      <c r="N20" s="1472">
        <f t="shared" si="11"/>
        <v>820286</v>
      </c>
      <c r="O20" s="522"/>
      <c r="P20" s="1193">
        <v>1</v>
      </c>
      <c r="Q20" s="1197">
        <f t="shared" si="6"/>
        <v>422447</v>
      </c>
      <c r="R20" s="1472">
        <f t="shared" si="12"/>
        <v>422447</v>
      </c>
      <c r="S20" s="522"/>
      <c r="T20" s="1155">
        <f>+ROUND(VLOOKUP(A20,'ANEXO PLIEGO_1'!$A$4:$E$128,5,FALSE)*(1+'ANEXO PLIEGO_1'!$F$138),0)</f>
        <v>375778</v>
      </c>
      <c r="U20" s="1154">
        <f t="shared" si="7"/>
        <v>397310</v>
      </c>
      <c r="V20" s="1154">
        <f t="shared" si="8"/>
        <v>410143</v>
      </c>
      <c r="W20" s="1165">
        <f t="shared" si="9"/>
        <v>422447</v>
      </c>
      <c r="X20" s="447"/>
      <c r="Y20" s="1129">
        <v>17</v>
      </c>
      <c r="Z20" s="1080">
        <f t="shared" si="0"/>
        <v>1</v>
      </c>
      <c r="AD20" s="1425" t="str">
        <f t="shared" si="10"/>
        <v>Fabricación, suministro e instalación de Señal SP-46 ó SP-46A, material reflectivo Tipo XI amarillo / verde fluorescente, película antigraffiti, en lámina  galvanizada C-16 E=1,5 mm, pedestal en tubo galvanizado de sección circular con diámetro interior de 2" y e=2 mm cumpliendo con normatividad vigente.</v>
      </c>
    </row>
    <row r="21" spans="1:30" s="1080" customFormat="1" ht="54" customHeight="1" outlineLevel="1" x14ac:dyDescent="0.25">
      <c r="A21" s="1461">
        <v>18</v>
      </c>
      <c r="B21" s="1162" t="str">
        <f>VLOOKUP(A21,'ANEXO PLIEGO_1'!$A$4:$C$132,2)</f>
        <v>Fabricación, suministro e instalación de Señal SP-46 B, material reflectivo Tipo XI amarillo/verde fluorescente, película antigraffiti, en lámina  galvanizada C-16 E=1,5 mm, pedestal en tubo galvanizado de 2" cumpliendo con normatividad vigente.</v>
      </c>
      <c r="C21" s="1163" t="str">
        <f>VLOOKUP(A21,'ANEXO PLIEGO_1'!$A$4:$C$132,3)</f>
        <v>UN</v>
      </c>
      <c r="D21" s="1166">
        <v>49</v>
      </c>
      <c r="E21" s="1078">
        <f t="shared" si="1"/>
        <v>498878</v>
      </c>
      <c r="F21" s="1472">
        <f t="shared" si="2"/>
        <v>24445022</v>
      </c>
      <c r="G21" s="1189"/>
      <c r="H21" s="1166">
        <v>31</v>
      </c>
      <c r="I21" s="1078">
        <f t="shared" si="3"/>
        <v>527464</v>
      </c>
      <c r="J21" s="1472">
        <f t="shared" si="4"/>
        <v>16351384</v>
      </c>
      <c r="K21" s="590"/>
      <c r="L21" s="1193">
        <v>31</v>
      </c>
      <c r="M21" s="1078">
        <f t="shared" si="5"/>
        <v>544501</v>
      </c>
      <c r="N21" s="1472">
        <f t="shared" si="11"/>
        <v>16879531</v>
      </c>
      <c r="O21" s="522"/>
      <c r="P21" s="1193">
        <v>15</v>
      </c>
      <c r="Q21" s="1078">
        <f t="shared" si="6"/>
        <v>560836</v>
      </c>
      <c r="R21" s="1472">
        <f t="shared" si="12"/>
        <v>8412540</v>
      </c>
      <c r="S21" s="522"/>
      <c r="T21" s="1155">
        <f>+ROUND(VLOOKUP(A21,'ANEXO PLIEGO_1'!$A$4:$E$128,5,FALSE)*(1+'ANEXO PLIEGO_1'!$F$138),0)</f>
        <v>498878</v>
      </c>
      <c r="U21" s="1154">
        <f t="shared" si="7"/>
        <v>527464</v>
      </c>
      <c r="V21" s="1154">
        <f t="shared" si="8"/>
        <v>544501</v>
      </c>
      <c r="W21" s="1165">
        <f t="shared" si="9"/>
        <v>560836</v>
      </c>
      <c r="X21" s="447"/>
      <c r="Y21" s="1129">
        <v>18</v>
      </c>
      <c r="Z21" s="1080">
        <f t="shared" si="0"/>
        <v>1</v>
      </c>
      <c r="AD21" s="1425" t="str">
        <f t="shared" si="10"/>
        <v>Fabricación, suministro e instalación de Señal SP-46 B, material reflectivo Tipo XI amarillo/verde fluorescente, película antigraffiti, en lámina  galvanizada C-16 E=1,5 mm, pedestal en tubo galvanizado de 2" cumpliendo con normatividad vigente.</v>
      </c>
    </row>
    <row r="22" spans="1:30" s="1080" customFormat="1" ht="54" customHeight="1" outlineLevel="1" x14ac:dyDescent="0.25">
      <c r="A22" s="1461">
        <v>19</v>
      </c>
      <c r="B22" s="1162" t="str">
        <f>VLOOKUP(A22,'ANEXO PLIEGO_1'!$A$4:$C$132,2)</f>
        <v>Fabricación, suministro e instalación de Señal SR-38 o SR-39 de 75 x 25 cm, material reflectivo tipo XI, película antigraffiti, en lámina galvanizada C-16 E=1,5 mm, pedestal en tubo galvanizado  de sección circular con diámetro interior de 2" y e=2 mm cumpliendo normatividad vigente.</v>
      </c>
      <c r="C22" s="1163" t="str">
        <f>VLOOKUP(A22,'ANEXO PLIEGO_1'!$A$4:$C$132,3)</f>
        <v>UN</v>
      </c>
      <c r="D22" s="1166">
        <v>25</v>
      </c>
      <c r="E22" s="1078">
        <f t="shared" si="1"/>
        <v>259979</v>
      </c>
      <c r="F22" s="1472">
        <f t="shared" si="2"/>
        <v>6499475</v>
      </c>
      <c r="G22" s="1189"/>
      <c r="H22" s="1166">
        <v>48</v>
      </c>
      <c r="I22" s="1078">
        <f t="shared" si="3"/>
        <v>274876</v>
      </c>
      <c r="J22" s="1472">
        <f t="shared" si="4"/>
        <v>13194048</v>
      </c>
      <c r="K22" s="590"/>
      <c r="L22" s="1193">
        <v>49</v>
      </c>
      <c r="M22" s="1078">
        <f t="shared" si="5"/>
        <v>283754</v>
      </c>
      <c r="N22" s="1472">
        <f t="shared" si="11"/>
        <v>13903946</v>
      </c>
      <c r="O22" s="522"/>
      <c r="P22" s="1193">
        <v>25</v>
      </c>
      <c r="Q22" s="1078">
        <f t="shared" si="6"/>
        <v>292267</v>
      </c>
      <c r="R22" s="1472">
        <f t="shared" si="12"/>
        <v>7306675</v>
      </c>
      <c r="S22" s="522"/>
      <c r="T22" s="1155">
        <f>+ROUND(VLOOKUP(A22,'ANEXO PLIEGO_1'!$A$4:$E$128,5,FALSE)*(1+'ANEXO PLIEGO_1'!$F$138),0)</f>
        <v>259979</v>
      </c>
      <c r="U22" s="1154">
        <f t="shared" si="7"/>
        <v>274876</v>
      </c>
      <c r="V22" s="1154">
        <f t="shared" si="8"/>
        <v>283754</v>
      </c>
      <c r="W22" s="1165">
        <f t="shared" si="9"/>
        <v>292267</v>
      </c>
      <c r="X22" s="447"/>
      <c r="Y22" s="1129">
        <v>19</v>
      </c>
      <c r="Z22" s="1080">
        <f t="shared" si="0"/>
        <v>1</v>
      </c>
      <c r="AD22" s="1425" t="str">
        <f t="shared" si="10"/>
        <v>Fabricación, suministro e instalación de Señal SR-38 o SR-39 de 75 x 25 cm, material reflectivo tipo XI, película antigraffiti, en lámina galvanizada C-16 E=1,5 mm, pedestal en tubo galvanizado  de sección circular con diámetro interior de 2" y e=2 mm cumpliendo normatividad vigente.</v>
      </c>
    </row>
    <row r="23" spans="1:30" s="1080" customFormat="1" ht="67.5" customHeight="1" outlineLevel="1" x14ac:dyDescent="0.25">
      <c r="A23" s="1461">
        <v>20</v>
      </c>
      <c r="B23" s="1162" t="str">
        <f>VLOOKUP(A23,'ANEXO PLIEGO_1'!$A$4:$C$132,2)</f>
        <v>Fabricación, suministro e instalación de señal preventiva, reglamentaría e informativa de 45 cm, lámina galvanizada C-16 E=1,5 mm y material reflectivoTipo IV o superior, película antigraffiti, con tubo galvanizado de 2" de diámetro interno y espesor de 2.0 mm  cumpliendo normatividad vigente.</v>
      </c>
      <c r="C23" s="1163" t="str">
        <f>VLOOKUP(A23,'ANEXO PLIEGO_1'!$A$4:$C$132,3)</f>
        <v>UN</v>
      </c>
      <c r="D23" s="1166">
        <v>33</v>
      </c>
      <c r="E23" s="1078">
        <f t="shared" si="1"/>
        <v>304644</v>
      </c>
      <c r="F23" s="1472">
        <f t="shared" si="2"/>
        <v>10053252</v>
      </c>
      <c r="G23" s="1189"/>
      <c r="H23" s="1166">
        <v>63</v>
      </c>
      <c r="I23" s="1078">
        <f t="shared" si="3"/>
        <v>322100</v>
      </c>
      <c r="J23" s="1472">
        <f t="shared" si="4"/>
        <v>20292300</v>
      </c>
      <c r="K23" s="590"/>
      <c r="L23" s="1194">
        <v>62</v>
      </c>
      <c r="M23" s="1078">
        <f t="shared" si="5"/>
        <v>332504</v>
      </c>
      <c r="N23" s="1472">
        <f t="shared" si="11"/>
        <v>20615248</v>
      </c>
      <c r="O23" s="522"/>
      <c r="P23" s="1194">
        <v>32</v>
      </c>
      <c r="Q23" s="1078">
        <f t="shared" si="6"/>
        <v>342479</v>
      </c>
      <c r="R23" s="1472">
        <f t="shared" si="12"/>
        <v>10959328</v>
      </c>
      <c r="S23" s="522"/>
      <c r="T23" s="1155">
        <f>+ROUND(VLOOKUP(A23,'ANEXO PLIEGO_1'!$A$4:$E$128,5,FALSE)*(1+'ANEXO PLIEGO_1'!$F$138),0)</f>
        <v>304644</v>
      </c>
      <c r="U23" s="1154">
        <f t="shared" si="7"/>
        <v>322100</v>
      </c>
      <c r="V23" s="1154">
        <f t="shared" si="8"/>
        <v>332504</v>
      </c>
      <c r="W23" s="1165">
        <f t="shared" si="9"/>
        <v>342479</v>
      </c>
      <c r="X23" s="447"/>
      <c r="Y23" s="1129">
        <v>20</v>
      </c>
      <c r="Z23" s="1080">
        <f t="shared" si="0"/>
        <v>1</v>
      </c>
      <c r="AD23" s="1425" t="str">
        <f t="shared" si="10"/>
        <v>Fabricación, suministro e instalación de señal preventiva, reglamentaría e informativa de 45 cm, lámina galvanizada C-16 E=1,5 mm y material reflectivoTipo IV o superior, película antigraffiti, con tubo galvanizado de 2" de diámetro interno y espesor de 2.0 mm  cumpliendo normatividad vigente.</v>
      </c>
    </row>
    <row r="24" spans="1:30" s="1080" customFormat="1" ht="81" customHeight="1" outlineLevel="1" x14ac:dyDescent="0.25">
      <c r="A24" s="1461">
        <v>21</v>
      </c>
      <c r="B24" s="1162" t="str">
        <f>VLOOKUP(A24,'ANEXO PLIEGO_1'!$A$4:$C$132,2)</f>
        <v>Fabricación, suministro e instalación de señal preventiva, Reglamentaria  e informativa de 45 cm con tablero doble en lámina galvanizada C-16 E=1,5mm y material reflectivoTipo IV o superior, película antigraffiti, con tubo galvanizado de 2" de diámetro interno y espesor de 3.9 mm  cumpliendo normatividad vigente. (Incluye la cimentación del soporte para la señal)</v>
      </c>
      <c r="C24" s="1163" t="str">
        <f>VLOOKUP(A24,'ANEXO PLIEGO_1'!$A$4:$C$132,3)</f>
        <v>UN</v>
      </c>
      <c r="D24" s="1166">
        <v>18</v>
      </c>
      <c r="E24" s="1078">
        <f t="shared" si="1"/>
        <v>448867</v>
      </c>
      <c r="F24" s="1472">
        <f t="shared" si="2"/>
        <v>8079606</v>
      </c>
      <c r="G24" s="1189"/>
      <c r="H24" s="1166">
        <v>34</v>
      </c>
      <c r="I24" s="1078">
        <f t="shared" si="3"/>
        <v>474587</v>
      </c>
      <c r="J24" s="1472">
        <f t="shared" si="4"/>
        <v>16135958</v>
      </c>
      <c r="K24" s="590"/>
      <c r="L24" s="1193">
        <v>34</v>
      </c>
      <c r="M24" s="1078">
        <f t="shared" si="5"/>
        <v>489916</v>
      </c>
      <c r="N24" s="1472">
        <f t="shared" si="11"/>
        <v>16657144</v>
      </c>
      <c r="O24" s="522"/>
      <c r="P24" s="1193">
        <v>17</v>
      </c>
      <c r="Q24" s="1078">
        <f t="shared" si="6"/>
        <v>504613</v>
      </c>
      <c r="R24" s="1472">
        <f t="shared" si="12"/>
        <v>8578421</v>
      </c>
      <c r="S24" s="522"/>
      <c r="T24" s="1155">
        <f>+ROUND(VLOOKUP(A24,'ANEXO PLIEGO_1'!$A$4:$E$128,5,FALSE)*(1+'ANEXO PLIEGO_1'!$F$138),0)</f>
        <v>448867</v>
      </c>
      <c r="U24" s="1154">
        <f t="shared" si="7"/>
        <v>474587</v>
      </c>
      <c r="V24" s="1154">
        <f t="shared" si="8"/>
        <v>489916</v>
      </c>
      <c r="W24" s="1165">
        <f t="shared" si="9"/>
        <v>504613</v>
      </c>
      <c r="X24" s="447"/>
      <c r="Y24" s="1129">
        <v>21</v>
      </c>
      <c r="Z24" s="1080">
        <f t="shared" si="0"/>
        <v>1</v>
      </c>
      <c r="AD24" s="1425" t="str">
        <f t="shared" si="10"/>
        <v>Fabricación, suministro e instalación de señal preventiva, Reglamentaria  e informativa de 45 cm con tablero doble en lámina galvanizada C-16 E=1,5mm y material reflectivoTipo IV o superior, película antigraffiti, con tubo galvanizado de 2" de diámetro interno y espesor de 3.9 mm  cumpliendo normatividad vigente. (Incluye la cimentación del soporte para la señal)</v>
      </c>
    </row>
    <row r="25" spans="1:30" s="1080" customFormat="1" ht="54" customHeight="1" outlineLevel="1" x14ac:dyDescent="0.25">
      <c r="A25" s="1461">
        <v>22</v>
      </c>
      <c r="B25" s="1162" t="str">
        <f>VLOOKUP(A25,'ANEXO PLIEGO_1'!$A$4:$C$132,2)</f>
        <v>Fabricación, suministro e instalación de tablero de 60 cm, señal Reglamentaria, preventiva o informativa, material reflectivo tipo XI, película antigraffiti, en lámina galvanizada C16 E=1,5 mm, cumpliendo normatividad vigente. (Incluye elementos de fijación)</v>
      </c>
      <c r="C25" s="1163" t="str">
        <f>VLOOKUP(A25,'ANEXO PLIEGO_1'!$A$4:$C$132,3)</f>
        <v>UN</v>
      </c>
      <c r="D25" s="1166">
        <v>37</v>
      </c>
      <c r="E25" s="1078">
        <f t="shared" si="1"/>
        <v>200552</v>
      </c>
      <c r="F25" s="1472">
        <f t="shared" si="2"/>
        <v>7420424</v>
      </c>
      <c r="G25" s="1189"/>
      <c r="H25" s="1166">
        <v>74</v>
      </c>
      <c r="I25" s="1078">
        <f t="shared" si="3"/>
        <v>212044</v>
      </c>
      <c r="J25" s="1472">
        <f t="shared" si="4"/>
        <v>15691256</v>
      </c>
      <c r="K25" s="590"/>
      <c r="L25" s="1194">
        <v>74</v>
      </c>
      <c r="M25" s="1195">
        <f t="shared" si="5"/>
        <v>218893</v>
      </c>
      <c r="N25" s="1472">
        <f t="shared" si="11"/>
        <v>16198082</v>
      </c>
      <c r="O25" s="522"/>
      <c r="P25" s="1194">
        <v>37</v>
      </c>
      <c r="Q25" s="1195">
        <f t="shared" si="6"/>
        <v>225460</v>
      </c>
      <c r="R25" s="1472">
        <f t="shared" si="12"/>
        <v>8342020</v>
      </c>
      <c r="S25" s="522"/>
      <c r="T25" s="1155">
        <f>+ROUND(VLOOKUP(A25,'ANEXO PLIEGO_1'!$A$4:$E$128,5,FALSE)*(1+'ANEXO PLIEGO_1'!$F$138),0)</f>
        <v>200552</v>
      </c>
      <c r="U25" s="1154">
        <f t="shared" si="7"/>
        <v>212044</v>
      </c>
      <c r="V25" s="1154">
        <f t="shared" si="8"/>
        <v>218893</v>
      </c>
      <c r="W25" s="1165">
        <f t="shared" si="9"/>
        <v>225460</v>
      </c>
      <c r="X25" s="447"/>
      <c r="Y25" s="1129">
        <v>23</v>
      </c>
      <c r="Z25" s="1080" t="str">
        <f t="shared" si="0"/>
        <v/>
      </c>
      <c r="AD25" s="1425" t="str">
        <f t="shared" si="10"/>
        <v>Fabricación, suministro e instalación de tablero de 60 cm, señal Reglamentaria, preventiva o informativa, material reflectivo tipo XI, película antigraffiti, en lámina galvanizada C16 E=1,5 mm, cumpliendo normatividad vigente. (Incluye elementos de fijación)</v>
      </c>
    </row>
    <row r="26" spans="1:30" s="1080" customFormat="1" ht="54" customHeight="1" outlineLevel="1" x14ac:dyDescent="0.25">
      <c r="A26" s="1461">
        <v>23</v>
      </c>
      <c r="B26" s="1162" t="str">
        <f>VLOOKUP(A26,'ANEXO PLIEGO_1'!$A$4:$C$132,2)</f>
        <v>Fabricación, suministro e instalación de tablero de 75 cm, señal Reglamentaria, preventiva o informativa, material reflectivo tipo XI, película antigraffiti, en lámina galvanizada C16 E=1,5 mm, cumpliendo normatividad vigente. (Incluye elementos de fijación)</v>
      </c>
      <c r="C26" s="1163" t="str">
        <f>VLOOKUP(A26,'ANEXO PLIEGO_1'!$A$4:$C$132,3)</f>
        <v>UN</v>
      </c>
      <c r="D26" s="1166">
        <v>20</v>
      </c>
      <c r="E26" s="1078">
        <f t="shared" si="1"/>
        <v>291448</v>
      </c>
      <c r="F26" s="1472">
        <f t="shared" si="2"/>
        <v>5828960</v>
      </c>
      <c r="G26" s="1189"/>
      <c r="H26" s="1166">
        <v>39</v>
      </c>
      <c r="I26" s="1078">
        <f t="shared" si="3"/>
        <v>308148</v>
      </c>
      <c r="J26" s="1472">
        <f t="shared" si="4"/>
        <v>12017772</v>
      </c>
      <c r="K26" s="590"/>
      <c r="L26" s="1193">
        <v>39</v>
      </c>
      <c r="M26" s="1078">
        <f t="shared" si="5"/>
        <v>318101</v>
      </c>
      <c r="N26" s="1472">
        <f t="shared" si="11"/>
        <v>12405939</v>
      </c>
      <c r="O26" s="522"/>
      <c r="P26" s="1193">
        <v>20</v>
      </c>
      <c r="Q26" s="1078">
        <f t="shared" si="6"/>
        <v>327644</v>
      </c>
      <c r="R26" s="1472">
        <f t="shared" si="12"/>
        <v>6552880</v>
      </c>
      <c r="S26" s="522"/>
      <c r="T26" s="1155">
        <f>+ROUND(VLOOKUP(A26,'ANEXO PLIEGO_1'!$A$4:$E$128,5,FALSE)*(1+'ANEXO PLIEGO_1'!$F$138),0)</f>
        <v>291448</v>
      </c>
      <c r="U26" s="1154">
        <f t="shared" si="7"/>
        <v>308148</v>
      </c>
      <c r="V26" s="1154">
        <f t="shared" si="8"/>
        <v>318101</v>
      </c>
      <c r="W26" s="1165">
        <f t="shared" si="9"/>
        <v>327644</v>
      </c>
      <c r="X26" s="447"/>
      <c r="Y26" s="1129">
        <v>24</v>
      </c>
      <c r="Z26" s="1080" t="str">
        <f t="shared" si="0"/>
        <v/>
      </c>
      <c r="AD26" s="1425" t="str">
        <f t="shared" si="10"/>
        <v>Fabricación, suministro e instalación de tablero de 75 cm, señal Reglamentaria, preventiva o informativa, material reflectivo tipo XI, película antigraffiti, en lámina galvanizada C16 E=1,5 mm, cumpliendo normatividad vigente. (Incluye elementos de fijación)</v>
      </c>
    </row>
    <row r="27" spans="1:30" s="1080" customFormat="1" ht="54" customHeight="1" outlineLevel="1" x14ac:dyDescent="0.25">
      <c r="A27" s="1461">
        <v>24</v>
      </c>
      <c r="B27" s="1162" t="str">
        <f>VLOOKUP(A27,'ANEXO PLIEGO_1'!$A$4:$C$132,2)</f>
        <v>Fabricación, suministro e instalación de tablero de 90 cm, señal Reglamentaria, preventiva o informativa, material reflectivo tipo XI, película antigraffiti,  en lámina galvanizada C16 E=1,5 mm, cumpliendo normatividad vigente. (Incluye elementos de fijación)</v>
      </c>
      <c r="C27" s="1163" t="str">
        <f>VLOOKUP(A27,'ANEXO PLIEGO_1'!$A$4:$C$132,3)</f>
        <v>UN</v>
      </c>
      <c r="D27" s="1166">
        <v>4</v>
      </c>
      <c r="E27" s="1078">
        <f t="shared" si="1"/>
        <v>402008</v>
      </c>
      <c r="F27" s="1472">
        <f t="shared" si="2"/>
        <v>1608032</v>
      </c>
      <c r="G27" s="1189"/>
      <c r="H27" s="1166">
        <v>9</v>
      </c>
      <c r="I27" s="1078">
        <f t="shared" si="3"/>
        <v>425043</v>
      </c>
      <c r="J27" s="1472">
        <f t="shared" si="4"/>
        <v>3825387</v>
      </c>
      <c r="K27" s="590"/>
      <c r="L27" s="1193">
        <v>9</v>
      </c>
      <c r="M27" s="1078">
        <f t="shared" si="5"/>
        <v>438772</v>
      </c>
      <c r="N27" s="1472">
        <f t="shared" si="11"/>
        <v>3948948</v>
      </c>
      <c r="O27" s="522"/>
      <c r="P27" s="1193">
        <v>5</v>
      </c>
      <c r="Q27" s="1078">
        <f t="shared" si="6"/>
        <v>451935</v>
      </c>
      <c r="R27" s="1472">
        <f t="shared" si="12"/>
        <v>2259675</v>
      </c>
      <c r="S27" s="522"/>
      <c r="T27" s="1155">
        <f>+ROUND(VLOOKUP(A27,'ANEXO PLIEGO_1'!$A$4:$E$128,5,FALSE)*(1+'ANEXO PLIEGO_1'!$F$138),0)</f>
        <v>402008</v>
      </c>
      <c r="U27" s="1154">
        <f t="shared" si="7"/>
        <v>425043</v>
      </c>
      <c r="V27" s="1154">
        <f t="shared" si="8"/>
        <v>438772</v>
      </c>
      <c r="W27" s="1165">
        <f t="shared" si="9"/>
        <v>451935</v>
      </c>
      <c r="X27" s="447"/>
      <c r="Y27" s="1129">
        <v>25</v>
      </c>
      <c r="Z27" s="1080" t="str">
        <f t="shared" si="0"/>
        <v/>
      </c>
      <c r="AD27" s="1425" t="str">
        <f t="shared" si="10"/>
        <v>Fabricación, suministro e instalación de tablero de 90 cm, señal Reglamentaria, preventiva o informativa, material reflectivo tipo XI, película antigraffiti,  en lámina galvanizada C16 E=1,5 mm, cumpliendo normatividad vigente. (Incluye elementos de fijación)</v>
      </c>
    </row>
    <row r="28" spans="1:30" s="1080" customFormat="1" ht="54" customHeight="1" outlineLevel="1" collapsed="1" x14ac:dyDescent="0.25">
      <c r="A28" s="1461">
        <v>25</v>
      </c>
      <c r="B28" s="1162" t="str">
        <f>VLOOKUP(A28,'ANEXO PLIEGO_1'!$A$4:$C$132,2)</f>
        <v>Fabricación, suministro e instalación de tablero de 45 cm, señal preventiva, reglamentaría e informativa, lámina galvanizada C-16 E=1,5 mm y material reflectivotipo IV o superior, película antigraffiti, cumpliendo normatividad vigente. (Incluye elementos de fijación)</v>
      </c>
      <c r="C28" s="1163" t="str">
        <f>VLOOKUP(A28,'ANEXO PLIEGO_1'!$A$4:$C$132,3)</f>
        <v>UN</v>
      </c>
      <c r="D28" s="1166">
        <v>11</v>
      </c>
      <c r="E28" s="1078">
        <f t="shared" si="1"/>
        <v>148028</v>
      </c>
      <c r="F28" s="1472">
        <f t="shared" si="2"/>
        <v>1628308</v>
      </c>
      <c r="G28" s="1189"/>
      <c r="H28" s="1166">
        <v>23</v>
      </c>
      <c r="I28" s="1078">
        <f t="shared" si="3"/>
        <v>156510</v>
      </c>
      <c r="J28" s="1472">
        <f t="shared" si="4"/>
        <v>3599730</v>
      </c>
      <c r="K28" s="590"/>
      <c r="L28" s="1194">
        <v>23</v>
      </c>
      <c r="M28" s="1195">
        <f t="shared" si="5"/>
        <v>161565</v>
      </c>
      <c r="N28" s="1472">
        <f t="shared" si="11"/>
        <v>3715995</v>
      </c>
      <c r="O28" s="522"/>
      <c r="P28" s="1194">
        <v>11</v>
      </c>
      <c r="Q28" s="1195">
        <f t="shared" si="6"/>
        <v>166412</v>
      </c>
      <c r="R28" s="1472">
        <f t="shared" si="12"/>
        <v>1830532</v>
      </c>
      <c r="S28" s="522"/>
      <c r="T28" s="1155">
        <f>+ROUND(VLOOKUP(A28,'ANEXO PLIEGO_1'!$A$4:$E$128,5,FALSE)*(1+'ANEXO PLIEGO_1'!$F$138),0)</f>
        <v>148028</v>
      </c>
      <c r="U28" s="1154">
        <f t="shared" si="7"/>
        <v>156510</v>
      </c>
      <c r="V28" s="1154">
        <f t="shared" si="8"/>
        <v>161565</v>
      </c>
      <c r="W28" s="1165">
        <f t="shared" si="9"/>
        <v>166412</v>
      </c>
      <c r="X28" s="447"/>
      <c r="Y28" s="1129">
        <v>26</v>
      </c>
      <c r="Z28" s="1080" t="str">
        <f t="shared" si="0"/>
        <v/>
      </c>
      <c r="AD28" s="1425" t="str">
        <f t="shared" si="10"/>
        <v>Fabricación, suministro e instalación de tablero de 45 cm, señal preventiva, reglamentaría e informativa, lámina galvanizada C-16 E=1,5 mm y material reflectivotipo IV o superior, película antigraffiti, cumpliendo normatividad vigente. (Incluye elementos de fijación)</v>
      </c>
    </row>
    <row r="29" spans="1:30" s="1080" customFormat="1" ht="54" customHeight="1" outlineLevel="1" x14ac:dyDescent="0.25">
      <c r="A29" s="1461">
        <v>26</v>
      </c>
      <c r="B29" s="1162" t="str">
        <f>VLOOKUP(A29,'ANEXO PLIEGO_1'!$A$4:$C$132,2)</f>
        <v>Instalación de Señales Verticales de Pedestal (incluye Señales Sencillas tipo preventiva, Reglamentaria  o informativa, Dúplex, Chevrones y Delineadores de todas las dimensiones) cumpliendo normatividad vigente.</v>
      </c>
      <c r="C29" s="1163" t="str">
        <f>VLOOKUP(A29,'ANEXO PLIEGO_1'!$A$4:$C$132,3)</f>
        <v>UN</v>
      </c>
      <c r="D29" s="1166">
        <v>30</v>
      </c>
      <c r="E29" s="1078">
        <f t="shared" si="1"/>
        <v>56295</v>
      </c>
      <c r="F29" s="1472">
        <f t="shared" si="2"/>
        <v>1688850</v>
      </c>
      <c r="G29" s="1189"/>
      <c r="H29" s="1166">
        <v>57</v>
      </c>
      <c r="I29" s="1078">
        <f t="shared" si="3"/>
        <v>59521</v>
      </c>
      <c r="J29" s="1472">
        <f t="shared" si="4"/>
        <v>3392697</v>
      </c>
      <c r="K29" s="590"/>
      <c r="L29" s="1193">
        <v>57</v>
      </c>
      <c r="M29" s="1078">
        <f t="shared" si="5"/>
        <v>61444</v>
      </c>
      <c r="N29" s="1472">
        <f t="shared" si="11"/>
        <v>3502308</v>
      </c>
      <c r="O29" s="522"/>
      <c r="P29" s="1193">
        <v>29</v>
      </c>
      <c r="Q29" s="1078">
        <f t="shared" si="6"/>
        <v>63287</v>
      </c>
      <c r="R29" s="1472">
        <f t="shared" si="12"/>
        <v>1835323</v>
      </c>
      <c r="S29" s="522"/>
      <c r="T29" s="1155">
        <f>+ROUND(VLOOKUP(A29,'ANEXO PLIEGO_1'!$A$4:$E$128,5,FALSE)*(1+'ANEXO PLIEGO_1'!$F$138),0)</f>
        <v>56295</v>
      </c>
      <c r="U29" s="1154">
        <f t="shared" si="7"/>
        <v>59521</v>
      </c>
      <c r="V29" s="1154">
        <f t="shared" si="8"/>
        <v>61444</v>
      </c>
      <c r="W29" s="1165">
        <f t="shared" si="9"/>
        <v>63287</v>
      </c>
      <c r="X29" s="447"/>
      <c r="Y29" s="1129">
        <v>28</v>
      </c>
      <c r="Z29" s="1080" t="str">
        <f t="shared" si="0"/>
        <v/>
      </c>
      <c r="AD29" s="1425" t="str">
        <f t="shared" si="10"/>
        <v>Instalación de Señales Verticales de Pedestal (incluye Señales Sencillas tipo preventiva, Reglamentaria  o informativa, Dúplex, Chevrones y Delineadores de todas las dimensiones) cumpliendo normatividad vigente.</v>
      </c>
    </row>
    <row r="30" spans="1:30" s="1080" customFormat="1" ht="27" customHeight="1" outlineLevel="1" x14ac:dyDescent="0.25">
      <c r="A30" s="1461">
        <v>27</v>
      </c>
      <c r="B30" s="1162" t="str">
        <f>VLOOKUP(A30,'ANEXO PLIEGO_1'!$A$4:$C$132,2)</f>
        <v xml:space="preserve">Instalación y/o retiro de Tableros para Señales Verticales. (Incluye señal adosada, Dúplex y todos los tamaños) </v>
      </c>
      <c r="C30" s="1163" t="str">
        <f>VLOOKUP(A30,'ANEXO PLIEGO_1'!$A$4:$C$132,3)</f>
        <v>UN</v>
      </c>
      <c r="D30" s="1166">
        <v>9</v>
      </c>
      <c r="E30" s="1078">
        <f t="shared" si="1"/>
        <v>29449</v>
      </c>
      <c r="F30" s="1472">
        <f t="shared" si="2"/>
        <v>265041</v>
      </c>
      <c r="G30" s="1189"/>
      <c r="H30" s="1166">
        <v>18</v>
      </c>
      <c r="I30" s="1078">
        <f t="shared" si="3"/>
        <v>31136</v>
      </c>
      <c r="J30" s="1472">
        <f t="shared" si="4"/>
        <v>560448</v>
      </c>
      <c r="K30" s="590"/>
      <c r="L30" s="1194">
        <v>18</v>
      </c>
      <c r="M30" s="1195">
        <f t="shared" si="5"/>
        <v>32142</v>
      </c>
      <c r="N30" s="1472">
        <f t="shared" si="11"/>
        <v>578556</v>
      </c>
      <c r="O30" s="522"/>
      <c r="P30" s="1194">
        <v>9</v>
      </c>
      <c r="Q30" s="1195">
        <f t="shared" si="6"/>
        <v>33106</v>
      </c>
      <c r="R30" s="1472">
        <f t="shared" si="12"/>
        <v>297954</v>
      </c>
      <c r="S30" s="522"/>
      <c r="T30" s="1155">
        <f>+ROUND(VLOOKUP(A30,'ANEXO PLIEGO_1'!$A$4:$E$128,5,FALSE)*(1+'ANEXO PLIEGO_1'!$F$138),0)</f>
        <v>29449</v>
      </c>
      <c r="U30" s="1154">
        <f t="shared" si="7"/>
        <v>31136</v>
      </c>
      <c r="V30" s="1154">
        <f t="shared" si="8"/>
        <v>32142</v>
      </c>
      <c r="W30" s="1165">
        <f t="shared" si="9"/>
        <v>33106</v>
      </c>
      <c r="X30" s="447"/>
      <c r="Y30" s="1129">
        <v>29</v>
      </c>
      <c r="Z30" s="1080" t="str">
        <f t="shared" si="0"/>
        <v/>
      </c>
      <c r="AD30" s="1425" t="str">
        <f t="shared" si="10"/>
        <v xml:space="preserve">Instalación y/o retiro de Tableros para Señales Verticales. (Incluye señal adosada, Dúplex y todos los tamaños) </v>
      </c>
    </row>
    <row r="31" spans="1:30" ht="27" customHeight="1" outlineLevel="1" x14ac:dyDescent="0.25">
      <c r="A31" s="1461">
        <v>28</v>
      </c>
      <c r="B31" s="1162" t="str">
        <f>VLOOKUP(A31,'ANEXO PLIEGO_1'!$A$4:$C$132,2)</f>
        <v>Retiro de Señales Verticales (Incluye pedestal y tablero) con entrega a almacén de la SDM (incluye señales sencillas y Dúplex)</v>
      </c>
      <c r="C31" s="1163" t="str">
        <f>VLOOKUP(A31,'ANEXO PLIEGO_1'!$A$4:$C$132,3)</f>
        <v>UN</v>
      </c>
      <c r="D31" s="1166">
        <v>215</v>
      </c>
      <c r="E31" s="1078">
        <f t="shared" si="1"/>
        <v>30189</v>
      </c>
      <c r="F31" s="1472">
        <f t="shared" si="2"/>
        <v>6490635</v>
      </c>
      <c r="G31" s="1189"/>
      <c r="H31" s="1166">
        <v>416</v>
      </c>
      <c r="I31" s="1078">
        <f t="shared" si="3"/>
        <v>31919</v>
      </c>
      <c r="J31" s="1472">
        <f t="shared" si="4"/>
        <v>13278304</v>
      </c>
      <c r="K31" s="1439"/>
      <c r="L31" s="1193">
        <v>417</v>
      </c>
      <c r="M31" s="1078">
        <f t="shared" si="5"/>
        <v>32950</v>
      </c>
      <c r="N31" s="1472">
        <f t="shared" si="11"/>
        <v>13740150</v>
      </c>
      <c r="O31" s="1440"/>
      <c r="P31" s="1193">
        <v>210</v>
      </c>
      <c r="Q31" s="1078">
        <f t="shared" si="6"/>
        <v>33939</v>
      </c>
      <c r="R31" s="1472">
        <f t="shared" si="12"/>
        <v>7127190</v>
      </c>
      <c r="S31" s="522"/>
      <c r="T31" s="1155">
        <f>+ROUND(VLOOKUP(A31,'ANEXO PLIEGO_1'!$A$4:$E$128,5,FALSE)*(1+'ANEXO PLIEGO_1'!$F$138),0)</f>
        <v>30189</v>
      </c>
      <c r="U31" s="1154">
        <f t="shared" si="7"/>
        <v>31919</v>
      </c>
      <c r="V31" s="1154">
        <f t="shared" si="8"/>
        <v>32950</v>
      </c>
      <c r="W31" s="1165">
        <f t="shared" si="9"/>
        <v>33939</v>
      </c>
      <c r="Y31" s="1129">
        <v>30</v>
      </c>
      <c r="Z31" s="1080" t="str">
        <f t="shared" si="0"/>
        <v/>
      </c>
      <c r="AD31" s="1425" t="str">
        <f t="shared" si="10"/>
        <v>Retiro de Señales Verticales (Incluye pedestal y tablero) con entrega a almacén de la SDM (incluye señales sencillas y Dúplex)</v>
      </c>
    </row>
    <row r="32" spans="1:30" ht="23.25" customHeight="1" outlineLevel="1" x14ac:dyDescent="0.25">
      <c r="A32" s="1461">
        <v>29</v>
      </c>
      <c r="B32" s="1162" t="str">
        <f>VLOOKUP(A32,'ANEXO PLIEGO_1'!$A$4:$C$132,2)</f>
        <v>Reubicación de señales verticales  (incluye señales sencillas y Dúplex)</v>
      </c>
      <c r="C32" s="1163" t="str">
        <f>VLOOKUP(A32,'ANEXO PLIEGO_1'!$A$4:$C$132,3)</f>
        <v>UN</v>
      </c>
      <c r="D32" s="1166">
        <v>13</v>
      </c>
      <c r="E32" s="1078">
        <f t="shared" si="1"/>
        <v>66794</v>
      </c>
      <c r="F32" s="1472">
        <f t="shared" si="2"/>
        <v>868322</v>
      </c>
      <c r="G32" s="1189"/>
      <c r="H32" s="1166">
        <v>25</v>
      </c>
      <c r="I32" s="1078">
        <f t="shared" si="3"/>
        <v>70621</v>
      </c>
      <c r="J32" s="1472">
        <f t="shared" si="4"/>
        <v>1765525</v>
      </c>
      <c r="K32" s="1439"/>
      <c r="L32" s="1194">
        <v>25</v>
      </c>
      <c r="M32" s="1195">
        <f t="shared" si="5"/>
        <v>72902</v>
      </c>
      <c r="N32" s="1472">
        <f t="shared" si="11"/>
        <v>1822550</v>
      </c>
      <c r="O32" s="1440"/>
      <c r="P32" s="1194">
        <v>12</v>
      </c>
      <c r="Q32" s="1195">
        <f t="shared" si="6"/>
        <v>75089</v>
      </c>
      <c r="R32" s="1472">
        <f t="shared" si="12"/>
        <v>901068</v>
      </c>
      <c r="S32" s="522"/>
      <c r="T32" s="1155">
        <f>+ROUND(VLOOKUP(A32,'ANEXO PLIEGO_1'!$A$4:$E$128,5,FALSE)*(1+'ANEXO PLIEGO_1'!$F$138),0)</f>
        <v>66794</v>
      </c>
      <c r="U32" s="1154">
        <f t="shared" si="7"/>
        <v>70621</v>
      </c>
      <c r="V32" s="1154">
        <f t="shared" si="8"/>
        <v>72902</v>
      </c>
      <c r="W32" s="1165">
        <f t="shared" si="9"/>
        <v>75089</v>
      </c>
      <c r="Y32" s="1129">
        <v>31</v>
      </c>
      <c r="Z32" s="1080" t="str">
        <f t="shared" si="0"/>
        <v/>
      </c>
      <c r="AD32" s="1425" t="str">
        <f t="shared" si="10"/>
        <v>Reubicación de señales verticales  (incluye señales sencillas y Dúplex)</v>
      </c>
    </row>
    <row r="33" spans="1:30" ht="36.75" customHeight="1" outlineLevel="1" x14ac:dyDescent="0.25">
      <c r="A33" s="1461">
        <v>30</v>
      </c>
      <c r="B33" s="1162" t="str">
        <f>VLOOKUP(A33,'ANEXO PLIEGO_1'!$A$4:$C$132,2)</f>
        <v>Suministro y aplicación imprimante acrílico negro 12 cm, espesor seco 4 mils y 50% de solidos por volumen</v>
      </c>
      <c r="C33" s="1163" t="str">
        <f>VLOOKUP(A33,'ANEXO PLIEGO_1'!$A$4:$C$132,3)</f>
        <v>M</v>
      </c>
      <c r="D33" s="1166">
        <v>706</v>
      </c>
      <c r="E33" s="1078">
        <f>+T33</f>
        <v>1944</v>
      </c>
      <c r="F33" s="1472">
        <f t="shared" si="2"/>
        <v>1372464</v>
      </c>
      <c r="G33" s="1189"/>
      <c r="H33" s="1166">
        <v>1376</v>
      </c>
      <c r="I33" s="1078">
        <f t="shared" si="3"/>
        <v>2055</v>
      </c>
      <c r="J33" s="1472">
        <f t="shared" si="4"/>
        <v>2827680</v>
      </c>
      <c r="K33" s="1439"/>
      <c r="L33" s="1193">
        <v>1380</v>
      </c>
      <c r="M33" s="1197">
        <f t="shared" si="5"/>
        <v>2121</v>
      </c>
      <c r="N33" s="1472">
        <f t="shared" si="11"/>
        <v>2926980</v>
      </c>
      <c r="O33" s="1440"/>
      <c r="P33" s="1193">
        <v>692</v>
      </c>
      <c r="Q33" s="1197">
        <f t="shared" si="6"/>
        <v>2185</v>
      </c>
      <c r="R33" s="1472">
        <f t="shared" si="12"/>
        <v>1512020</v>
      </c>
      <c r="S33" s="522"/>
      <c r="T33" s="1153">
        <f>+ROUND(VLOOKUP(A33,'ANEXO PLIEGO_1'!$A$4:$E$128,5,FALSE)*(1+'ANEXO PLIEGO_1'!$F$138),0)</f>
        <v>1944</v>
      </c>
      <c r="U33" s="1154">
        <f t="shared" si="7"/>
        <v>2055</v>
      </c>
      <c r="V33" s="1154">
        <f t="shared" si="8"/>
        <v>2121</v>
      </c>
      <c r="W33" s="1165">
        <f t="shared" si="9"/>
        <v>2185</v>
      </c>
      <c r="Y33" s="1129">
        <v>32</v>
      </c>
      <c r="Z33" s="1080" t="str">
        <f t="shared" si="0"/>
        <v/>
      </c>
      <c r="AD33" s="1425" t="str">
        <f t="shared" si="10"/>
        <v>Suministro y aplicación imprimante acrílico negro 12 cm, espesor seco 4 mils y 50% de solidos por volumen</v>
      </c>
    </row>
    <row r="34" spans="1:30" s="1080" customFormat="1" ht="38.25" customHeight="1" outlineLevel="1" x14ac:dyDescent="0.25">
      <c r="A34" s="1461">
        <v>31</v>
      </c>
      <c r="B34" s="1162" t="str">
        <f>VLOOKUP(A34,'ANEXO PLIEGO_1'!$A$4:$C$132,2)</f>
        <v>Suministro y aplicación imprimante acrílico negro 15 cm, espesor seco 4 mils y 50% de solidos por volumen</v>
      </c>
      <c r="C34" s="1163" t="str">
        <f>VLOOKUP(A34,'ANEXO PLIEGO_1'!$A$4:$C$132,3)</f>
        <v>M</v>
      </c>
      <c r="D34" s="1166">
        <v>1930</v>
      </c>
      <c r="E34" s="1078">
        <f t="shared" si="1"/>
        <v>2361</v>
      </c>
      <c r="F34" s="1472">
        <f t="shared" si="2"/>
        <v>4556730</v>
      </c>
      <c r="G34" s="1189"/>
      <c r="H34" s="1166">
        <v>3723</v>
      </c>
      <c r="I34" s="1078">
        <f t="shared" si="3"/>
        <v>2496</v>
      </c>
      <c r="J34" s="1472">
        <f t="shared" si="4"/>
        <v>9292608</v>
      </c>
      <c r="K34" s="1439"/>
      <c r="L34" s="1194">
        <v>3734</v>
      </c>
      <c r="M34" s="1078">
        <f t="shared" si="5"/>
        <v>2577</v>
      </c>
      <c r="N34" s="1472">
        <f t="shared" si="11"/>
        <v>9622518</v>
      </c>
      <c r="O34" s="1440"/>
      <c r="P34" s="1194">
        <v>1874</v>
      </c>
      <c r="Q34" s="1078">
        <f t="shared" si="6"/>
        <v>2654</v>
      </c>
      <c r="R34" s="1472">
        <f t="shared" si="12"/>
        <v>4973596</v>
      </c>
      <c r="S34" s="522"/>
      <c r="T34" s="1155">
        <f>+ROUND(VLOOKUP(A34,'ANEXO PLIEGO_1'!$A$4:$E$128,5,FALSE)*(1+'ANEXO PLIEGO_1'!$F$138),0)</f>
        <v>2361</v>
      </c>
      <c r="U34" s="1154">
        <f t="shared" si="7"/>
        <v>2496</v>
      </c>
      <c r="V34" s="1154">
        <f t="shared" si="8"/>
        <v>2577</v>
      </c>
      <c r="W34" s="1165">
        <f t="shared" si="9"/>
        <v>2654</v>
      </c>
      <c r="X34" s="447"/>
      <c r="Y34" s="1129">
        <v>33</v>
      </c>
      <c r="Z34" s="1080" t="str">
        <f t="shared" si="0"/>
        <v/>
      </c>
      <c r="AD34" s="1425" t="str">
        <f t="shared" si="10"/>
        <v>Suministro y aplicación imprimante acrílico negro 15 cm, espesor seco 4 mils y 50% de solidos por volumen</v>
      </c>
    </row>
    <row r="35" spans="1:30" s="1080" customFormat="1" ht="45.75" customHeight="1" outlineLevel="1" x14ac:dyDescent="0.25">
      <c r="A35" s="1461">
        <v>32</v>
      </c>
      <c r="B35" s="1162" t="str">
        <f>VLOOKUP(A35,'ANEXO PLIEGO_1'!$A$4:$C$132,2)</f>
        <v>Suministro y aplicación imprimante acrílico negro 20 cm, espesor seco 4 mils y 50% de solidos por volumen</v>
      </c>
      <c r="C35" s="1163" t="str">
        <f>VLOOKUP(A35,'ANEXO PLIEGO_1'!$A$4:$C$132,3)</f>
        <v>M</v>
      </c>
      <c r="D35" s="1166">
        <v>287</v>
      </c>
      <c r="E35" s="1078">
        <f t="shared" si="1"/>
        <v>3069</v>
      </c>
      <c r="F35" s="1472">
        <f t="shared" si="2"/>
        <v>880803</v>
      </c>
      <c r="G35" s="1189"/>
      <c r="H35" s="1166">
        <v>558</v>
      </c>
      <c r="I35" s="1078">
        <f t="shared" si="3"/>
        <v>3245</v>
      </c>
      <c r="J35" s="1472">
        <f t="shared" si="4"/>
        <v>1810710</v>
      </c>
      <c r="K35" s="1439"/>
      <c r="L35" s="1193">
        <v>559</v>
      </c>
      <c r="M35" s="1195">
        <f t="shared" si="5"/>
        <v>3350</v>
      </c>
      <c r="N35" s="1472">
        <f t="shared" si="11"/>
        <v>1872650</v>
      </c>
      <c r="O35" s="1440"/>
      <c r="P35" s="1193">
        <v>280</v>
      </c>
      <c r="Q35" s="1195">
        <f t="shared" si="6"/>
        <v>3451</v>
      </c>
      <c r="R35" s="1472">
        <f t="shared" si="12"/>
        <v>966280</v>
      </c>
      <c r="S35" s="522"/>
      <c r="T35" s="1155">
        <f>+ROUND(VLOOKUP(A35,'ANEXO PLIEGO_1'!$A$4:$E$128,5,FALSE)*(1+'ANEXO PLIEGO_1'!$F$138),0)</f>
        <v>3069</v>
      </c>
      <c r="U35" s="1154">
        <f t="shared" si="7"/>
        <v>3245</v>
      </c>
      <c r="V35" s="1154">
        <f t="shared" si="8"/>
        <v>3350</v>
      </c>
      <c r="W35" s="1165">
        <f t="shared" si="9"/>
        <v>3451</v>
      </c>
      <c r="X35" s="447"/>
      <c r="Y35" s="1129">
        <v>34</v>
      </c>
      <c r="Z35" s="1080" t="str">
        <f t="shared" si="0"/>
        <v/>
      </c>
      <c r="AD35" s="1425" t="str">
        <f t="shared" si="10"/>
        <v>Suministro y aplicación imprimante acrílico negro 20 cm, espesor seco 4 mils y 50% de solidos por volumen</v>
      </c>
    </row>
    <row r="36" spans="1:30" s="1080" customFormat="1" ht="37.5" customHeight="1" outlineLevel="1" x14ac:dyDescent="0.25">
      <c r="A36" s="1461">
        <v>33</v>
      </c>
      <c r="B36" s="1162" t="str">
        <f>VLOOKUP(A36,'ANEXO PLIEGO_1'!$A$4:$C$132,2)</f>
        <v>Suministro y aplicación imprimante acrílico negro 25 cm, espesor seco 4 mils y 50% de solidos por volumen</v>
      </c>
      <c r="C36" s="1163" t="str">
        <f>VLOOKUP(A36,'ANEXO PLIEGO_1'!$A$4:$C$132,3)</f>
        <v>M</v>
      </c>
      <c r="D36" s="1166">
        <v>4219</v>
      </c>
      <c r="E36" s="1078">
        <f t="shared" si="1"/>
        <v>3586</v>
      </c>
      <c r="F36" s="1472">
        <f t="shared" si="2"/>
        <v>15129334</v>
      </c>
      <c r="G36" s="1189"/>
      <c r="H36" s="1166">
        <v>8153</v>
      </c>
      <c r="I36" s="1078">
        <f t="shared" si="3"/>
        <v>3791</v>
      </c>
      <c r="J36" s="1472">
        <f t="shared" si="4"/>
        <v>30908023</v>
      </c>
      <c r="K36" s="1439"/>
      <c r="L36" s="1194">
        <v>8176</v>
      </c>
      <c r="M36" s="1197">
        <f t="shared" si="5"/>
        <v>3913</v>
      </c>
      <c r="N36" s="1472">
        <f t="shared" si="11"/>
        <v>31992688</v>
      </c>
      <c r="O36" s="1440"/>
      <c r="P36" s="1194">
        <v>4102</v>
      </c>
      <c r="Q36" s="1197">
        <f t="shared" si="6"/>
        <v>4030</v>
      </c>
      <c r="R36" s="1472">
        <f t="shared" si="12"/>
        <v>16531060</v>
      </c>
      <c r="S36" s="522"/>
      <c r="T36" s="1155">
        <f>+ROUND(VLOOKUP(A36,'ANEXO PLIEGO_1'!$A$4:$E$128,5,FALSE)*(1+'ANEXO PLIEGO_1'!$F$138),0)</f>
        <v>3586</v>
      </c>
      <c r="U36" s="1154">
        <f t="shared" si="7"/>
        <v>3791</v>
      </c>
      <c r="V36" s="1154">
        <f t="shared" si="8"/>
        <v>3913</v>
      </c>
      <c r="W36" s="1165">
        <f t="shared" si="9"/>
        <v>4030</v>
      </c>
      <c r="X36" s="447"/>
      <c r="Y36" s="1129">
        <v>35</v>
      </c>
      <c r="Z36" s="1080" t="str">
        <f t="shared" ref="Z36:Z67" si="13">IF(Y36=A36,1,"")</f>
        <v/>
      </c>
      <c r="AD36" s="1425" t="str">
        <f t="shared" si="10"/>
        <v>Suministro y aplicación imprimante acrílico negro 25 cm, espesor seco 4 mils y 50% de solidos por volumen</v>
      </c>
    </row>
    <row r="37" spans="1:30" ht="36" customHeight="1" outlineLevel="1" x14ac:dyDescent="0.25">
      <c r="A37" s="1461">
        <v>34</v>
      </c>
      <c r="B37" s="1162" t="str">
        <f>VLOOKUP(A37,'ANEXO PLIEGO_1'!$A$4:$C$132,2)</f>
        <v>Suministro y aplicación imprimante acrílico negro, espesor seco 4 mils y 50% de solidos por volumen</v>
      </c>
      <c r="C37" s="1163" t="str">
        <f>VLOOKUP(A37,'ANEXO PLIEGO_1'!$A$4:$C$132,3)</f>
        <v>M2</v>
      </c>
      <c r="D37" s="1166">
        <v>7140</v>
      </c>
      <c r="E37" s="1078">
        <f t="shared" si="1"/>
        <v>16601</v>
      </c>
      <c r="F37" s="1472">
        <f t="shared" si="2"/>
        <v>118531140</v>
      </c>
      <c r="G37" s="1189"/>
      <c r="H37" s="1455">
        <f>13571+350+556</f>
        <v>14477</v>
      </c>
      <c r="I37" s="1078">
        <f t="shared" si="3"/>
        <v>17552</v>
      </c>
      <c r="J37" s="1472">
        <f t="shared" si="4"/>
        <v>254100304</v>
      </c>
      <c r="K37" s="1439"/>
      <c r="L37" s="1456">
        <v>14516</v>
      </c>
      <c r="M37" s="1078">
        <f t="shared" si="5"/>
        <v>18119</v>
      </c>
      <c r="N37" s="1472">
        <f t="shared" si="11"/>
        <v>263015404</v>
      </c>
      <c r="O37" s="1440"/>
      <c r="P37" s="1456">
        <v>7276</v>
      </c>
      <c r="Q37" s="1078">
        <f t="shared" si="6"/>
        <v>18663</v>
      </c>
      <c r="R37" s="1472">
        <f t="shared" si="12"/>
        <v>135791988</v>
      </c>
      <c r="S37" s="522"/>
      <c r="T37" s="1155">
        <f>+ROUND(VLOOKUP(A37,'ANEXO PLIEGO_1'!$A$4:$E$128,5,FALSE)*(1+'ANEXO PLIEGO_1'!$F$138),0)</f>
        <v>16601</v>
      </c>
      <c r="U37" s="1154">
        <f t="shared" si="7"/>
        <v>17552</v>
      </c>
      <c r="V37" s="1154">
        <f t="shared" si="8"/>
        <v>18119</v>
      </c>
      <c r="W37" s="1165">
        <f t="shared" si="9"/>
        <v>18663</v>
      </c>
      <c r="Y37" s="1129">
        <v>36</v>
      </c>
      <c r="Z37" s="1080" t="str">
        <f t="shared" si="13"/>
        <v/>
      </c>
      <c r="AD37" s="1425" t="str">
        <f t="shared" si="10"/>
        <v>Suministro y aplicación imprimante acrílico negro, espesor seco 4 mils y 50% de solidos por volumen</v>
      </c>
    </row>
    <row r="38" spans="1:30" s="1167" customFormat="1" ht="33.75" customHeight="1" outlineLevel="1" x14ac:dyDescent="0.25">
      <c r="A38" s="1461">
        <v>35</v>
      </c>
      <c r="B38" s="1162" t="str">
        <f>VLOOKUP(A38,'ANEXO PLIEGO_1'!$A$4:$C$132,2)</f>
        <v>Suministro y Aplicación de Pintura de tráfico base agua negra m2. espesor seco 9 mils y 60% de solidos por volumen</v>
      </c>
      <c r="C38" s="1163" t="str">
        <f>VLOOKUP(A38,'ANEXO PLIEGO_1'!$A$4:$C$132,3)</f>
        <v>M2</v>
      </c>
      <c r="D38" s="1166">
        <v>503</v>
      </c>
      <c r="E38" s="1078">
        <f t="shared" si="1"/>
        <v>29461</v>
      </c>
      <c r="F38" s="1472">
        <f t="shared" si="2"/>
        <v>14818883</v>
      </c>
      <c r="G38" s="1189"/>
      <c r="H38" s="1455">
        <v>974</v>
      </c>
      <c r="I38" s="1078">
        <f t="shared" si="3"/>
        <v>31149</v>
      </c>
      <c r="J38" s="1472">
        <f t="shared" si="4"/>
        <v>30339126</v>
      </c>
      <c r="K38" s="590"/>
      <c r="L38" s="1456">
        <v>976</v>
      </c>
      <c r="M38" s="1195">
        <f t="shared" si="5"/>
        <v>32155</v>
      </c>
      <c r="N38" s="1472">
        <f t="shared" si="11"/>
        <v>31383280</v>
      </c>
      <c r="O38" s="522"/>
      <c r="P38" s="1193">
        <v>488</v>
      </c>
      <c r="Q38" s="1195">
        <f t="shared" si="6"/>
        <v>33120</v>
      </c>
      <c r="R38" s="1472">
        <f t="shared" si="12"/>
        <v>16162560</v>
      </c>
      <c r="S38" s="522"/>
      <c r="T38" s="1155">
        <f>+ROUND(VLOOKUP(A38,'ANEXO PLIEGO_1'!$A$4:$E$128,5,FALSE)*(1+'ANEXO PLIEGO_1'!$F$138),0)</f>
        <v>29461</v>
      </c>
      <c r="U38" s="1154">
        <f t="shared" si="7"/>
        <v>31149</v>
      </c>
      <c r="V38" s="1154">
        <f t="shared" si="8"/>
        <v>32155</v>
      </c>
      <c r="W38" s="1165">
        <f t="shared" si="9"/>
        <v>33120</v>
      </c>
      <c r="X38" s="447"/>
      <c r="Y38" s="1129">
        <v>38</v>
      </c>
      <c r="Z38" s="1080" t="str">
        <f t="shared" si="13"/>
        <v/>
      </c>
      <c r="AD38" s="1425" t="str">
        <f t="shared" si="10"/>
        <v>Suministro y Aplicación de Pintura de tráfico base agua negra m2. espesor seco 9 mils y 60% de solidos por volumen</v>
      </c>
    </row>
    <row r="39" spans="1:30" s="1167" customFormat="1" ht="40.5" customHeight="1" outlineLevel="1" x14ac:dyDescent="0.25">
      <c r="A39" s="1461">
        <v>36</v>
      </c>
      <c r="B39" s="1162" t="str">
        <f>VLOOKUP(A39,'ANEXO PLIEGO_1'!$A$4:$C$132,2)</f>
        <v>Suministro y Aplicación de pintura Acrílica base solvente 12 cm para líneas de demarcación, con microesfera, con antideslizante, espesor seco 9 mils y 51% de sólidos por volumen</v>
      </c>
      <c r="C39" s="1163" t="str">
        <f>VLOOKUP(A39,'ANEXO PLIEGO_1'!$A$4:$C$132,3)</f>
        <v>M</v>
      </c>
      <c r="D39" s="1166">
        <v>3416</v>
      </c>
      <c r="E39" s="1078">
        <f t="shared" si="1"/>
        <v>5600</v>
      </c>
      <c r="F39" s="1472">
        <f t="shared" si="2"/>
        <v>19129600</v>
      </c>
      <c r="G39" s="1189"/>
      <c r="H39" s="1455">
        <v>6596</v>
      </c>
      <c r="I39" s="1078">
        <f t="shared" si="3"/>
        <v>5921</v>
      </c>
      <c r="J39" s="1472">
        <f t="shared" si="4"/>
        <v>39054916</v>
      </c>
      <c r="K39" s="590"/>
      <c r="L39" s="1457">
        <v>6614</v>
      </c>
      <c r="M39" s="1197">
        <f t="shared" si="5"/>
        <v>6112</v>
      </c>
      <c r="N39" s="1472">
        <f t="shared" si="11"/>
        <v>40424768</v>
      </c>
      <c r="O39" s="522"/>
      <c r="P39" s="1194">
        <v>3320</v>
      </c>
      <c r="Q39" s="1197">
        <f t="shared" si="6"/>
        <v>6295</v>
      </c>
      <c r="R39" s="1472">
        <f t="shared" si="12"/>
        <v>20899400</v>
      </c>
      <c r="S39" s="522"/>
      <c r="T39" s="1155">
        <f>+ROUND(VLOOKUP(A39,'ANEXO PLIEGO_1'!$A$4:$E$128,5,FALSE)*(1+'ANEXO PLIEGO_1'!$F$138),0)</f>
        <v>5600</v>
      </c>
      <c r="U39" s="1154">
        <f t="shared" si="7"/>
        <v>5921</v>
      </c>
      <c r="V39" s="1154">
        <f t="shared" si="8"/>
        <v>6112</v>
      </c>
      <c r="W39" s="1165">
        <f t="shared" si="9"/>
        <v>6295</v>
      </c>
      <c r="X39" s="447"/>
      <c r="Y39" s="1129">
        <v>39</v>
      </c>
      <c r="Z39" s="1080" t="str">
        <f t="shared" si="13"/>
        <v/>
      </c>
      <c r="AD39" s="1425" t="str">
        <f t="shared" si="10"/>
        <v>Suministro y Aplicación de pintura Acrílica base solvente 12 cm para líneas de demarcación, con microesfera, con antideslizante, espesor seco 9 mils y 51% de sólidos por volumen</v>
      </c>
    </row>
    <row r="40" spans="1:30" s="1167" customFormat="1" ht="40.5" outlineLevel="1" x14ac:dyDescent="0.25">
      <c r="A40" s="1461">
        <v>37</v>
      </c>
      <c r="B40" s="1162" t="str">
        <f>VLOOKUP(A40,'ANEXO PLIEGO_1'!$A$4:$C$132,2)</f>
        <v>Suministro y Aplicación de pintura Acrílica solvente 15 cm para líneas de demarcación, con microesfera, con antideslizante, espesor seco 9 mils y 51% sólidos por volumen</v>
      </c>
      <c r="C40" s="1163" t="str">
        <f>VLOOKUP(A40,'ANEXO PLIEGO_1'!$A$4:$C$132,3)</f>
        <v>M</v>
      </c>
      <c r="D40" s="1455">
        <v>443</v>
      </c>
      <c r="E40" s="1078">
        <f t="shared" si="1"/>
        <v>6822</v>
      </c>
      <c r="F40" s="1472">
        <f t="shared" si="2"/>
        <v>3022146</v>
      </c>
      <c r="G40" s="1189"/>
      <c r="H40" s="1455">
        <v>859</v>
      </c>
      <c r="I40" s="1078">
        <f t="shared" si="3"/>
        <v>7213</v>
      </c>
      <c r="J40" s="1472">
        <f t="shared" si="4"/>
        <v>6195967</v>
      </c>
      <c r="K40" s="590"/>
      <c r="L40" s="1456">
        <v>861</v>
      </c>
      <c r="M40" s="1078">
        <f t="shared" si="5"/>
        <v>7446</v>
      </c>
      <c r="N40" s="1472">
        <f t="shared" si="11"/>
        <v>6411006</v>
      </c>
      <c r="O40" s="522"/>
      <c r="P40" s="1456">
        <v>433</v>
      </c>
      <c r="Q40" s="1078">
        <f t="shared" si="6"/>
        <v>7669</v>
      </c>
      <c r="R40" s="1472">
        <f t="shared" si="12"/>
        <v>3320677</v>
      </c>
      <c r="S40" s="522"/>
      <c r="T40" s="1155">
        <f>+ROUND(VLOOKUP(A40,'ANEXO PLIEGO_1'!$A$4:$E$128,5,FALSE)*(1+'ANEXO PLIEGO_1'!$F$138),0)</f>
        <v>6822</v>
      </c>
      <c r="U40" s="1154">
        <f t="shared" si="7"/>
        <v>7213</v>
      </c>
      <c r="V40" s="1154">
        <f t="shared" si="8"/>
        <v>7446</v>
      </c>
      <c r="W40" s="1165">
        <f t="shared" si="9"/>
        <v>7669</v>
      </c>
      <c r="X40" s="447"/>
      <c r="Y40" s="1129">
        <v>40</v>
      </c>
      <c r="Z40" s="1080" t="str">
        <f t="shared" si="13"/>
        <v/>
      </c>
      <c r="AD40" s="1425" t="str">
        <f t="shared" si="10"/>
        <v>Suministro y Aplicación de pintura Acrílica solvente 15 cm para líneas de demarcación, con microesfera, con antideslizante, espesor seco 9 mils y 51% sólidos por volumen</v>
      </c>
    </row>
    <row r="41" spans="1:30" s="1167" customFormat="1" ht="40.5" customHeight="1" outlineLevel="1" collapsed="1" x14ac:dyDescent="0.25">
      <c r="A41" s="1461">
        <v>38</v>
      </c>
      <c r="B41" s="1162" t="str">
        <f>VLOOKUP(A41,'ANEXO PLIEGO_1'!$A$4:$C$132,2)</f>
        <v>Suministro y Aplicación de pintura Acrílica base solvente 20 cm para líneas de demarcación, con microesfera, con antideslizante, espesor seco 9 mils y 51% de solidos por volumen</v>
      </c>
      <c r="C41" s="1163" t="str">
        <f>VLOOKUP(A41,'ANEXO PLIEGO_1'!$A$4:$C$132,3)</f>
        <v>M</v>
      </c>
      <c r="D41" s="1166">
        <v>290</v>
      </c>
      <c r="E41" s="1078">
        <f t="shared" si="1"/>
        <v>8965</v>
      </c>
      <c r="F41" s="1472">
        <f t="shared" si="2"/>
        <v>2599850</v>
      </c>
      <c r="G41" s="1189"/>
      <c r="H41" s="1455">
        <v>563</v>
      </c>
      <c r="I41" s="1078">
        <f t="shared" si="3"/>
        <v>9479</v>
      </c>
      <c r="J41" s="1472">
        <f t="shared" si="4"/>
        <v>5336677</v>
      </c>
      <c r="K41" s="590"/>
      <c r="L41" s="1457">
        <v>565</v>
      </c>
      <c r="M41" s="1198">
        <f t="shared" si="5"/>
        <v>9785</v>
      </c>
      <c r="N41" s="1472">
        <f t="shared" si="11"/>
        <v>5528525</v>
      </c>
      <c r="O41" s="522"/>
      <c r="P41" s="1194">
        <v>282</v>
      </c>
      <c r="Q41" s="1198">
        <f t="shared" si="6"/>
        <v>10079</v>
      </c>
      <c r="R41" s="1472">
        <f t="shared" si="12"/>
        <v>2842278</v>
      </c>
      <c r="S41" s="522"/>
      <c r="T41" s="1155">
        <f>+ROUND(VLOOKUP(A41,'ANEXO PLIEGO_1'!$A$4:$E$128,5,FALSE)*(1+'ANEXO PLIEGO_1'!$F$138),0)</f>
        <v>8965</v>
      </c>
      <c r="U41" s="1154">
        <f t="shared" si="7"/>
        <v>9479</v>
      </c>
      <c r="V41" s="1154">
        <f t="shared" si="8"/>
        <v>9785</v>
      </c>
      <c r="W41" s="1165">
        <f t="shared" si="9"/>
        <v>10079</v>
      </c>
      <c r="X41" s="447"/>
      <c r="Y41" s="1129">
        <v>41</v>
      </c>
      <c r="Z41" s="1080" t="str">
        <f t="shared" si="13"/>
        <v/>
      </c>
      <c r="AD41" s="1425" t="str">
        <f t="shared" si="10"/>
        <v>Suministro y Aplicación de pintura Acrílica base solvente 20 cm para líneas de demarcación, con microesfera, con antideslizante, espesor seco 9 mils y 51% de solidos por volumen</v>
      </c>
    </row>
    <row r="42" spans="1:30" s="1167" customFormat="1" ht="40.5" customHeight="1" outlineLevel="1" x14ac:dyDescent="0.25">
      <c r="A42" s="1461">
        <v>39</v>
      </c>
      <c r="B42" s="1162" t="str">
        <f>VLOOKUP(A42,'ANEXO PLIEGO_1'!$A$4:$C$132,2)</f>
        <v xml:space="preserve">Suministro y Aplicación de pintura Acrílica base solvente marcas viales con microesfera, con antideslizante, espesor seco 9 mils y 51% de solidos por volumen, incluye pictogramas. </v>
      </c>
      <c r="C42" s="1163" t="str">
        <f>VLOOKUP(A42,'ANEXO PLIEGO_1'!$A$4:$C$132,3)</f>
        <v>M2</v>
      </c>
      <c r="D42" s="1166">
        <v>882</v>
      </c>
      <c r="E42" s="1078">
        <f t="shared" si="1"/>
        <v>52834</v>
      </c>
      <c r="F42" s="1472">
        <f t="shared" si="2"/>
        <v>46599588</v>
      </c>
      <c r="G42" s="1189"/>
      <c r="H42" s="1455">
        <v>1704</v>
      </c>
      <c r="I42" s="1078">
        <f t="shared" si="3"/>
        <v>55861</v>
      </c>
      <c r="J42" s="1472">
        <f t="shared" si="4"/>
        <v>95187144</v>
      </c>
      <c r="K42" s="590"/>
      <c r="L42" s="1456">
        <v>1709</v>
      </c>
      <c r="M42" s="1195">
        <f t="shared" si="5"/>
        <v>57665</v>
      </c>
      <c r="N42" s="1472">
        <f t="shared" si="11"/>
        <v>98549485</v>
      </c>
      <c r="O42" s="522"/>
      <c r="P42" s="1193">
        <v>857</v>
      </c>
      <c r="Q42" s="1195">
        <f t="shared" si="6"/>
        <v>59395</v>
      </c>
      <c r="R42" s="1472">
        <f t="shared" si="12"/>
        <v>50901515</v>
      </c>
      <c r="S42" s="522"/>
      <c r="T42" s="1155">
        <f>+ROUND(VLOOKUP(A42,'ANEXO PLIEGO_1'!$A$4:$E$128,5,FALSE)*(1+'ANEXO PLIEGO_1'!$F$138),0)</f>
        <v>52834</v>
      </c>
      <c r="U42" s="1154">
        <f t="shared" si="7"/>
        <v>55861</v>
      </c>
      <c r="V42" s="1154">
        <f t="shared" si="8"/>
        <v>57665</v>
      </c>
      <c r="W42" s="1165">
        <f t="shared" si="9"/>
        <v>59395</v>
      </c>
      <c r="X42" s="447"/>
      <c r="Y42" s="1129">
        <v>42</v>
      </c>
      <c r="Z42" s="1080" t="str">
        <f t="shared" si="13"/>
        <v/>
      </c>
      <c r="AD42" s="1425" t="str">
        <f t="shared" si="10"/>
        <v xml:space="preserve">Suministro y Aplicación de pintura Acrílica base solvente marcas viales con microesfera, con antideslizante, espesor seco 9 mils y 51% de solidos por volumen, incluye pictogramas. </v>
      </c>
    </row>
    <row r="43" spans="1:30" s="1167" customFormat="1" ht="40.5" customHeight="1" outlineLevel="1" x14ac:dyDescent="0.25">
      <c r="A43" s="1461">
        <v>40</v>
      </c>
      <c r="B43" s="1162" t="str">
        <f>VLOOKUP(A43,'ANEXO PLIEGO_1'!$A$4:$C$132,2)</f>
        <v>Suministro y Aplicación de pintura Acrílica base solvente marcas viales sin microesfera, con antideslizante, espesor seco 9 mils y 51% de solidos por volumen, incluye pictogramas</v>
      </c>
      <c r="C43" s="1163" t="str">
        <f>VLOOKUP(A43,'ANEXO PLIEGO_1'!$A$4:$C$132,3)</f>
        <v>M2</v>
      </c>
      <c r="D43" s="1166">
        <v>61</v>
      </c>
      <c r="E43" s="1078">
        <f t="shared" si="1"/>
        <v>57138</v>
      </c>
      <c r="F43" s="1472">
        <f t="shared" si="2"/>
        <v>3485418</v>
      </c>
      <c r="G43" s="1189"/>
      <c r="H43" s="1455">
        <v>117</v>
      </c>
      <c r="I43" s="1078">
        <f t="shared" si="3"/>
        <v>60412</v>
      </c>
      <c r="J43" s="1472">
        <f t="shared" si="4"/>
        <v>7068204</v>
      </c>
      <c r="K43" s="590"/>
      <c r="L43" s="1457">
        <v>118</v>
      </c>
      <c r="M43" s="1078">
        <f t="shared" si="5"/>
        <v>62363</v>
      </c>
      <c r="N43" s="1472">
        <f t="shared" si="11"/>
        <v>7358834</v>
      </c>
      <c r="O43" s="522"/>
      <c r="P43" s="1194">
        <v>59</v>
      </c>
      <c r="Q43" s="1078">
        <f t="shared" si="6"/>
        <v>64234</v>
      </c>
      <c r="R43" s="1472">
        <f t="shared" si="12"/>
        <v>3789806</v>
      </c>
      <c r="S43" s="522"/>
      <c r="T43" s="1155">
        <f>+ROUND(VLOOKUP(A43,'ANEXO PLIEGO_1'!$A$4:$E$128,5,FALSE)*(1+'ANEXO PLIEGO_1'!$F$138),0)</f>
        <v>57138</v>
      </c>
      <c r="U43" s="1154">
        <f t="shared" si="7"/>
        <v>60412</v>
      </c>
      <c r="V43" s="1154">
        <f t="shared" si="8"/>
        <v>62363</v>
      </c>
      <c r="W43" s="1165">
        <f t="shared" si="9"/>
        <v>64234</v>
      </c>
      <c r="X43" s="447"/>
      <c r="Y43" s="1129">
        <v>43</v>
      </c>
      <c r="Z43" s="1080" t="str">
        <f t="shared" si="13"/>
        <v/>
      </c>
      <c r="AD43" s="1425" t="str">
        <f t="shared" si="10"/>
        <v>Suministro y Aplicación de pintura Acrílica base solvente marcas viales sin microesfera, con antideslizante, espesor seco 9 mils y 51% de solidos por volumen, incluye pictogramas</v>
      </c>
    </row>
    <row r="44" spans="1:30" s="1167" customFormat="1" ht="67.5" customHeight="1" outlineLevel="1" x14ac:dyDescent="0.25">
      <c r="A44" s="1461">
        <v>41</v>
      </c>
      <c r="B44" s="1162" t="str">
        <f>VLOOKUP(A44,'ANEXO PLIEGO_1'!$A$4:$C$132,2)</f>
        <v>Suministro y Aplicación de pintura Acrílica base solvente pigmentada (Multicolor según 3.7.3. Color de las demarcaciones planas para urbanismos tácticos u otras intervenciones tácticas urbanas) marcas viales sin microesfera, Incluye antideslizante, espesor seco 9 mils y 51% de solidos por volumen, incluye pictogramas</v>
      </c>
      <c r="C44" s="1163" t="str">
        <f>VLOOKUP(A44,'ANEXO PLIEGO_1'!$A$4:$C$132,3)</f>
        <v>M2</v>
      </c>
      <c r="D44" s="1166">
        <v>124</v>
      </c>
      <c r="E44" s="1078">
        <f t="shared" si="1"/>
        <v>54550</v>
      </c>
      <c r="F44" s="1472">
        <f t="shared" si="2"/>
        <v>6764200</v>
      </c>
      <c r="G44" s="1189"/>
      <c r="H44" s="1455">
        <v>242</v>
      </c>
      <c r="I44" s="1078">
        <f t="shared" si="3"/>
        <v>57676</v>
      </c>
      <c r="J44" s="1472">
        <f t="shared" si="4"/>
        <v>13957592</v>
      </c>
      <c r="K44" s="590"/>
      <c r="L44" s="1456">
        <v>243</v>
      </c>
      <c r="M44" s="1078">
        <f t="shared" si="5"/>
        <v>59539</v>
      </c>
      <c r="N44" s="1472">
        <f t="shared" si="11"/>
        <v>14467977</v>
      </c>
      <c r="O44" s="522"/>
      <c r="P44" s="1193">
        <v>121</v>
      </c>
      <c r="Q44" s="1078">
        <f t="shared" si="6"/>
        <v>61325</v>
      </c>
      <c r="R44" s="1472">
        <f t="shared" si="12"/>
        <v>7420325</v>
      </c>
      <c r="S44" s="522"/>
      <c r="T44" s="1155">
        <f>+ROUND(VLOOKUP(A44,'ANEXO PLIEGO_1'!$A$4:$E$128,5,FALSE)*(1+'ANEXO PLIEGO_1'!$F$138),0)</f>
        <v>54550</v>
      </c>
      <c r="U44" s="1154">
        <f t="shared" si="7"/>
        <v>57676</v>
      </c>
      <c r="V44" s="1154">
        <f t="shared" si="8"/>
        <v>59539</v>
      </c>
      <c r="W44" s="1165">
        <f t="shared" si="9"/>
        <v>61325</v>
      </c>
      <c r="X44" s="447"/>
      <c r="Y44" s="1129">
        <v>44</v>
      </c>
      <c r="Z44" s="1080" t="str">
        <f t="shared" si="13"/>
        <v/>
      </c>
      <c r="AD44" s="1425" t="str">
        <f t="shared" si="10"/>
        <v>Suministro y Aplicación de pintura Acrílica base solvente pigmentada (Multicolor según 3.7.3. Color de las demarcaciones planas para urbanismos tácticos u otras intervenciones tácticas urbanas) marcas viales sin microesfera, Incluye antideslizante, espesor seco 9 mils y 51% de solidos por volumen, incluye pictogramas</v>
      </c>
    </row>
    <row r="45" spans="1:30" s="1167" customFormat="1" ht="40.5" customHeight="1" outlineLevel="1" x14ac:dyDescent="0.25">
      <c r="A45" s="1461">
        <v>42</v>
      </c>
      <c r="B45" s="1162" t="str">
        <f>VLOOKUP(A45,'ANEXO PLIEGO_1'!$A$4:$C$132,2)</f>
        <v>Suministro y Aplicación de pintura Acrílica base agua 12 cm para líneas de demarcación, con microesfera,con antideslizante, espesor seco de 9 mils y 60% de sólidos por volumen</v>
      </c>
      <c r="C45" s="1163" t="str">
        <f>VLOOKUP(A45,'ANEXO PLIEGO_1'!$A$4:$C$132,3)</f>
        <v>M</v>
      </c>
      <c r="D45" s="1166">
        <v>5329</v>
      </c>
      <c r="E45" s="1078">
        <f t="shared" si="1"/>
        <v>3910</v>
      </c>
      <c r="F45" s="1472">
        <f t="shared" si="2"/>
        <v>20836390</v>
      </c>
      <c r="G45" s="1189"/>
      <c r="H45" s="1455">
        <v>10291</v>
      </c>
      <c r="I45" s="1078">
        <f t="shared" si="3"/>
        <v>4134</v>
      </c>
      <c r="J45" s="1472">
        <f t="shared" si="4"/>
        <v>42542994</v>
      </c>
      <c r="K45" s="590"/>
      <c r="L45" s="1456">
        <v>10318</v>
      </c>
      <c r="M45" s="1078">
        <f t="shared" si="5"/>
        <v>4268</v>
      </c>
      <c r="N45" s="1472">
        <f t="shared" si="11"/>
        <v>44037224</v>
      </c>
      <c r="O45" s="522"/>
      <c r="P45" s="1193">
        <v>5181</v>
      </c>
      <c r="Q45" s="1078">
        <f t="shared" si="6"/>
        <v>4396</v>
      </c>
      <c r="R45" s="1472">
        <f t="shared" si="12"/>
        <v>22775676</v>
      </c>
      <c r="S45" s="522"/>
      <c r="T45" s="1155">
        <f>+ROUND(VLOOKUP(A45,'ANEXO PLIEGO_1'!$A$4:$E$128,5,FALSE)*(1+'ANEXO PLIEGO_1'!$F$138),0)</f>
        <v>3910</v>
      </c>
      <c r="U45" s="1154">
        <f t="shared" si="7"/>
        <v>4134</v>
      </c>
      <c r="V45" s="1154">
        <f t="shared" si="8"/>
        <v>4268</v>
      </c>
      <c r="W45" s="1165">
        <f t="shared" si="9"/>
        <v>4396</v>
      </c>
      <c r="X45" s="447"/>
      <c r="Y45" s="1129">
        <v>45</v>
      </c>
      <c r="Z45" s="1080" t="str">
        <f t="shared" si="13"/>
        <v/>
      </c>
      <c r="AD45" s="1425" t="str">
        <f t="shared" si="10"/>
        <v>Suministro y Aplicación de pintura Acrílica base agua 12 cm para líneas de demarcación, con microesfera,con antideslizante, espesor seco de 9 mils y 60% de sólidos por volumen</v>
      </c>
    </row>
    <row r="46" spans="1:30" s="1167" customFormat="1" ht="40.5" customHeight="1" outlineLevel="1" collapsed="1" x14ac:dyDescent="0.25">
      <c r="A46" s="1461">
        <v>43</v>
      </c>
      <c r="B46" s="1162" t="str">
        <f>VLOOKUP(A46,'ANEXO PLIEGO_1'!$A$4:$C$132,2)</f>
        <v>Suministro y Aplicación de pintura Acrílica base agua 15 cm para líneas de demarcación, con microesfera, con antideslizante, espesor seco de 9 mils y 60% de solidos por volumen</v>
      </c>
      <c r="C46" s="1163" t="str">
        <f>VLOOKUP(A46,'ANEXO PLIEGO_1'!$A$4:$C$132,3)</f>
        <v>M</v>
      </c>
      <c r="D46" s="1166">
        <v>2510</v>
      </c>
      <c r="E46" s="1078">
        <f t="shared" si="1"/>
        <v>4832</v>
      </c>
      <c r="F46" s="1472">
        <f>+ROUND(D46*E46,0)</f>
        <v>12128320</v>
      </c>
      <c r="G46" s="1189"/>
      <c r="H46" s="1455">
        <v>4846</v>
      </c>
      <c r="I46" s="1078">
        <f t="shared" si="3"/>
        <v>5109</v>
      </c>
      <c r="J46" s="1472">
        <f t="shared" si="4"/>
        <v>24758214</v>
      </c>
      <c r="K46" s="590"/>
      <c r="L46" s="1456">
        <v>4859</v>
      </c>
      <c r="M46" s="1195">
        <f t="shared" si="5"/>
        <v>5274</v>
      </c>
      <c r="N46" s="1472">
        <f t="shared" si="11"/>
        <v>25626366</v>
      </c>
      <c r="O46" s="522"/>
      <c r="P46" s="1193">
        <v>2438</v>
      </c>
      <c r="Q46" s="1195">
        <f t="shared" si="6"/>
        <v>5432</v>
      </c>
      <c r="R46" s="1472">
        <f t="shared" si="12"/>
        <v>13243216</v>
      </c>
      <c r="S46" s="522"/>
      <c r="T46" s="1155">
        <f>+ROUND(VLOOKUP(A46,'ANEXO PLIEGO_1'!$A$4:$E$128,5,FALSE)*(1+'ANEXO PLIEGO_1'!$F$138),0)</f>
        <v>4832</v>
      </c>
      <c r="U46" s="1154">
        <f t="shared" si="7"/>
        <v>5109</v>
      </c>
      <c r="V46" s="1154">
        <f t="shared" si="8"/>
        <v>5274</v>
      </c>
      <c r="W46" s="1165">
        <f t="shared" si="9"/>
        <v>5432</v>
      </c>
      <c r="X46" s="447"/>
      <c r="Y46" s="1129">
        <v>46</v>
      </c>
      <c r="Z46" s="1080" t="str">
        <f t="shared" si="13"/>
        <v/>
      </c>
      <c r="AD46" s="1425" t="str">
        <f t="shared" si="10"/>
        <v>Suministro y Aplicación de pintura Acrílica base agua 15 cm para líneas de demarcación, con microesfera, con antideslizante, espesor seco de 9 mils y 60% de solidos por volumen</v>
      </c>
    </row>
    <row r="47" spans="1:30" s="1167" customFormat="1" ht="40.5" outlineLevel="1" x14ac:dyDescent="0.25">
      <c r="A47" s="1461">
        <v>44</v>
      </c>
      <c r="B47" s="1162" t="str">
        <f>VLOOKUP(A47,'ANEXO PLIEGO_1'!$A$4:$C$132,2)</f>
        <v>Suministro y Aplicación de pintura Acrílica base agua 20 cm para líneas de demarcación, con microesfera, con antideslizante, espesor seco de 9 mils y 60% de sólidos por volumen</v>
      </c>
      <c r="C47" s="1163" t="str">
        <f>VLOOKUP(A47,'ANEXO PLIEGO_1'!$A$4:$C$132,3)</f>
        <v>M</v>
      </c>
      <c r="D47" s="1455">
        <v>1254</v>
      </c>
      <c r="E47" s="1078">
        <f t="shared" si="1"/>
        <v>6370</v>
      </c>
      <c r="F47" s="1472">
        <f t="shared" si="2"/>
        <v>7987980</v>
      </c>
      <c r="G47" s="1189"/>
      <c r="H47" s="1455">
        <v>2424</v>
      </c>
      <c r="I47" s="1078">
        <f t="shared" si="3"/>
        <v>6735</v>
      </c>
      <c r="J47" s="1472">
        <f t="shared" si="4"/>
        <v>16325640</v>
      </c>
      <c r="K47" s="590"/>
      <c r="L47" s="1457">
        <v>2431</v>
      </c>
      <c r="M47" s="1078">
        <f t="shared" si="5"/>
        <v>6953</v>
      </c>
      <c r="N47" s="1472">
        <f t="shared" si="11"/>
        <v>16902743</v>
      </c>
      <c r="O47" s="522"/>
      <c r="P47" s="1194">
        <v>1220</v>
      </c>
      <c r="Q47" s="1078">
        <f t="shared" si="6"/>
        <v>7162</v>
      </c>
      <c r="R47" s="1472">
        <f t="shared" si="12"/>
        <v>8737640</v>
      </c>
      <c r="S47" s="522"/>
      <c r="T47" s="1155">
        <f>+ROUND(VLOOKUP(A47,'ANEXO PLIEGO_1'!$A$4:$E$128,5,FALSE)*(1+'ANEXO PLIEGO_1'!$F$138),0)</f>
        <v>6370</v>
      </c>
      <c r="U47" s="1154">
        <f t="shared" si="7"/>
        <v>6735</v>
      </c>
      <c r="V47" s="1154">
        <f t="shared" si="8"/>
        <v>6953</v>
      </c>
      <c r="W47" s="1165">
        <f t="shared" si="9"/>
        <v>7162</v>
      </c>
      <c r="X47" s="447"/>
      <c r="Y47" s="1129">
        <v>47</v>
      </c>
      <c r="Z47" s="1080" t="str">
        <f t="shared" si="13"/>
        <v/>
      </c>
      <c r="AD47" s="1425" t="str">
        <f t="shared" si="10"/>
        <v>Suministro y Aplicación de pintura Acrílica base agua 20 cm para líneas de demarcación, con microesfera, con antideslizante, espesor seco de 9 mils y 60% de sólidos por volumen</v>
      </c>
    </row>
    <row r="48" spans="1:30" s="1167" customFormat="1" ht="40.5" customHeight="1" outlineLevel="1" x14ac:dyDescent="0.25">
      <c r="A48" s="1461">
        <v>45</v>
      </c>
      <c r="B48" s="1162" t="str">
        <f>VLOOKUP(A48,'ANEXO PLIEGO_1'!$A$4:$C$132,2)</f>
        <v xml:space="preserve">Suministro y Aplicación de pintura Acrílica base agua para marcas viales con microesfera, antideslizante, espesor seco de 9 mils y 60% de solidos por volumen, incluye pictogramas. </v>
      </c>
      <c r="C48" s="1163" t="str">
        <f>VLOOKUP(A48,'ANEXO PLIEGO_1'!$A$4:$C$132,3)</f>
        <v>M2</v>
      </c>
      <c r="D48" s="1166">
        <v>71</v>
      </c>
      <c r="E48" s="1078">
        <f t="shared" si="1"/>
        <v>37895</v>
      </c>
      <c r="F48" s="1472">
        <f t="shared" si="2"/>
        <v>2690545</v>
      </c>
      <c r="G48" s="1189"/>
      <c r="H48" s="1455">
        <v>139</v>
      </c>
      <c r="I48" s="1078">
        <f t="shared" si="3"/>
        <v>40066</v>
      </c>
      <c r="J48" s="1472">
        <f t="shared" si="4"/>
        <v>5569174</v>
      </c>
      <c r="K48" s="590"/>
      <c r="L48" s="1456">
        <v>139</v>
      </c>
      <c r="M48" s="1078">
        <f t="shared" si="5"/>
        <v>41360</v>
      </c>
      <c r="N48" s="1472">
        <f t="shared" si="11"/>
        <v>5749040</v>
      </c>
      <c r="O48" s="522"/>
      <c r="P48" s="1193">
        <v>70</v>
      </c>
      <c r="Q48" s="1078">
        <f t="shared" si="6"/>
        <v>42601</v>
      </c>
      <c r="R48" s="1472">
        <f t="shared" si="12"/>
        <v>2982070</v>
      </c>
      <c r="S48" s="522"/>
      <c r="T48" s="1155">
        <f>+ROUND(VLOOKUP(A48,'ANEXO PLIEGO_1'!$A$4:$E$128,5,FALSE)*(1+'ANEXO PLIEGO_1'!$F$138),0)</f>
        <v>37895</v>
      </c>
      <c r="U48" s="1154">
        <f t="shared" si="7"/>
        <v>40066</v>
      </c>
      <c r="V48" s="1154">
        <f t="shared" si="8"/>
        <v>41360</v>
      </c>
      <c r="W48" s="1165">
        <f t="shared" si="9"/>
        <v>42601</v>
      </c>
      <c r="X48" s="447"/>
      <c r="Y48" s="1129">
        <v>48</v>
      </c>
      <c r="Z48" s="1080" t="str">
        <f t="shared" si="13"/>
        <v/>
      </c>
      <c r="AD48" s="1425" t="str">
        <f t="shared" si="10"/>
        <v xml:space="preserve">Suministro y Aplicación de pintura Acrílica base agua para marcas viales con microesfera, antideslizante, espesor seco de 9 mils y 60% de solidos por volumen, incluye pictogramas. </v>
      </c>
    </row>
    <row r="49" spans="1:30" s="1167" customFormat="1" ht="40.5" customHeight="1" outlineLevel="1" x14ac:dyDescent="0.25">
      <c r="A49" s="1461">
        <v>46</v>
      </c>
      <c r="B49" s="1162" t="str">
        <f>VLOOKUP(A49,'ANEXO PLIEGO_1'!$A$4:$C$132,2)</f>
        <v xml:space="preserve">Suministro y Aplicación de pintura Acrílica base agua para marcas viales sin microesfera, con antideslizante espesor seco de 9 mils y 60% de solidos por volumen, incluye pictogramas. </v>
      </c>
      <c r="C49" s="1163" t="str">
        <f>VLOOKUP(A49,'ANEXO PLIEGO_1'!$A$4:$C$132,3)</f>
        <v>M2</v>
      </c>
      <c r="D49" s="1166">
        <v>60</v>
      </c>
      <c r="E49" s="1078">
        <f t="shared" si="1"/>
        <v>45022</v>
      </c>
      <c r="F49" s="1472">
        <f t="shared" si="2"/>
        <v>2701320</v>
      </c>
      <c r="G49" s="1189"/>
      <c r="H49" s="1455">
        <v>116</v>
      </c>
      <c r="I49" s="1078">
        <f t="shared" si="3"/>
        <v>47602</v>
      </c>
      <c r="J49" s="1472">
        <f t="shared" si="4"/>
        <v>5521832</v>
      </c>
      <c r="K49" s="590"/>
      <c r="L49" s="1456">
        <v>116</v>
      </c>
      <c r="M49" s="1078">
        <f t="shared" si="5"/>
        <v>49140</v>
      </c>
      <c r="N49" s="1472">
        <f t="shared" si="11"/>
        <v>5700240</v>
      </c>
      <c r="O49" s="522"/>
      <c r="P49" s="1193">
        <v>58</v>
      </c>
      <c r="Q49" s="1078">
        <f t="shared" si="6"/>
        <v>50614</v>
      </c>
      <c r="R49" s="1472">
        <f t="shared" si="12"/>
        <v>2935612</v>
      </c>
      <c r="S49" s="522"/>
      <c r="T49" s="1155">
        <f>+ROUND(VLOOKUP(A49,'ANEXO PLIEGO_1'!$A$4:$E$128,5,FALSE)*(1+'ANEXO PLIEGO_1'!$F$138),0)</f>
        <v>45022</v>
      </c>
      <c r="U49" s="1154">
        <f t="shared" si="7"/>
        <v>47602</v>
      </c>
      <c r="V49" s="1154">
        <f t="shared" si="8"/>
        <v>49140</v>
      </c>
      <c r="W49" s="1165">
        <f t="shared" si="9"/>
        <v>50614</v>
      </c>
      <c r="X49" s="447"/>
      <c r="Y49" s="1129">
        <v>49</v>
      </c>
      <c r="Z49" s="1080" t="str">
        <f t="shared" si="13"/>
        <v/>
      </c>
      <c r="AD49" s="1425" t="str">
        <f t="shared" si="10"/>
        <v xml:space="preserve">Suministro y Aplicación de pintura Acrílica base agua para marcas viales sin microesfera, con antideslizante espesor seco de 9 mils y 60% de solidos por volumen, incluye pictogramas. </v>
      </c>
    </row>
    <row r="50" spans="1:30" s="1167" customFormat="1" ht="67.5" customHeight="1" outlineLevel="1" x14ac:dyDescent="0.25">
      <c r="A50" s="1461">
        <v>47</v>
      </c>
      <c r="B50" s="1162" t="str">
        <f>VLOOKUP(A50,'ANEXO PLIEGO_1'!$A$4:$C$132,2)</f>
        <v>Suministro y Aplicación de pintura Acrílica base agua pigmentada, con antideslizante, (Multicolor según 3.7.3. Color de las demarcaciones planas para urbanismos tácticos u otras intervenciones tácticas urbanas) para marcas viales sin microesfera, espesor seco de 9 mils y 60% de solidos por volumen, incluye pictogramas</v>
      </c>
      <c r="C50" s="1163" t="str">
        <f>VLOOKUP(A50,'ANEXO PLIEGO_1'!$A$4:$C$132,3)</f>
        <v>M2</v>
      </c>
      <c r="D50" s="1166">
        <v>810</v>
      </c>
      <c r="E50" s="1078">
        <f t="shared" si="1"/>
        <v>46129</v>
      </c>
      <c r="F50" s="1472">
        <f t="shared" si="2"/>
        <v>37364490</v>
      </c>
      <c r="G50" s="1189"/>
      <c r="H50" s="1455">
        <v>1568</v>
      </c>
      <c r="I50" s="1078">
        <f t="shared" si="3"/>
        <v>48772</v>
      </c>
      <c r="J50" s="1472">
        <f t="shared" si="4"/>
        <v>76474496</v>
      </c>
      <c r="K50" s="590"/>
      <c r="L50" s="1456">
        <v>1572</v>
      </c>
      <c r="M50" s="1078">
        <f t="shared" si="5"/>
        <v>50347</v>
      </c>
      <c r="N50" s="1472">
        <f t="shared" si="11"/>
        <v>79145484</v>
      </c>
      <c r="O50" s="522"/>
      <c r="P50" s="1193">
        <v>788</v>
      </c>
      <c r="Q50" s="1078">
        <f t="shared" si="6"/>
        <v>51857</v>
      </c>
      <c r="R50" s="1472">
        <f t="shared" si="12"/>
        <v>40863316</v>
      </c>
      <c r="S50" s="522"/>
      <c r="T50" s="1155">
        <f>+ROUND(VLOOKUP(A50,'ANEXO PLIEGO_1'!$A$4:$E$128,5,FALSE)*(1+'ANEXO PLIEGO_1'!$F$138),0)</f>
        <v>46129</v>
      </c>
      <c r="U50" s="1154">
        <f t="shared" si="7"/>
        <v>48772</v>
      </c>
      <c r="V50" s="1154">
        <f t="shared" si="8"/>
        <v>50347</v>
      </c>
      <c r="W50" s="1165">
        <f t="shared" si="9"/>
        <v>51857</v>
      </c>
      <c r="X50" s="447"/>
      <c r="Y50" s="1129">
        <v>50</v>
      </c>
      <c r="Z50" s="1080" t="str">
        <f t="shared" si="13"/>
        <v/>
      </c>
      <c r="AD50" s="1425" t="str">
        <f t="shared" si="10"/>
        <v>Suministro y Aplicación de pintura Acrílica base agua pigmentada, con antideslizante, (Multicolor según 3.7.3. Color de las demarcaciones planas para urbanismos tácticos u otras intervenciones tácticas urbanas) para marcas viales sin microesfera, espesor seco de 9 mils y 60% de solidos por volumen, incluye pictogramas</v>
      </c>
    </row>
    <row r="51" spans="1:30" s="1167" customFormat="1" ht="40.5" outlineLevel="1" x14ac:dyDescent="0.25">
      <c r="A51" s="1461">
        <v>48</v>
      </c>
      <c r="B51" s="1162" t="str">
        <f>VLOOKUP(A51,'ANEXO PLIEGO_1'!$A$4:$C$132,2)</f>
        <v>Suministro y Aplicación de pintura Acrílica base agua 10 cm para líneas de demarcación en ciclorruta, sin microesfera, con antideslizante, espesor seco de 9 mils y 60% de sólidos por volumen</v>
      </c>
      <c r="C51" s="1163" t="str">
        <f>VLOOKUP(A51,'ANEXO PLIEGO_1'!$A$4:$C$132,3)</f>
        <v>M</v>
      </c>
      <c r="D51" s="1455">
        <f>2205+296-14-30</f>
        <v>2457</v>
      </c>
      <c r="E51" s="1078">
        <f t="shared" si="1"/>
        <v>3755</v>
      </c>
      <c r="F51" s="1472">
        <f t="shared" si="2"/>
        <v>9226035</v>
      </c>
      <c r="G51" s="1189"/>
      <c r="H51" s="1455">
        <v>3847</v>
      </c>
      <c r="I51" s="1078">
        <f t="shared" si="3"/>
        <v>3970</v>
      </c>
      <c r="J51" s="1472">
        <f t="shared" si="4"/>
        <v>15272590</v>
      </c>
      <c r="K51" s="590"/>
      <c r="L51" s="1457">
        <v>4166</v>
      </c>
      <c r="M51" s="1078">
        <f t="shared" si="5"/>
        <v>4098</v>
      </c>
      <c r="N51" s="1472">
        <f t="shared" si="11"/>
        <v>17072268</v>
      </c>
      <c r="O51" s="522"/>
      <c r="P51" s="1457">
        <v>2183</v>
      </c>
      <c r="Q51" s="1078">
        <f t="shared" si="6"/>
        <v>4221</v>
      </c>
      <c r="R51" s="1472">
        <f t="shared" si="12"/>
        <v>9214443</v>
      </c>
      <c r="S51" s="522"/>
      <c r="T51" s="1155">
        <f>+ROUND(VLOOKUP(A51,'ANEXO PLIEGO_1'!$A$4:$E$128,5,FALSE)*(1+'ANEXO PLIEGO_1'!$F$138),0)</f>
        <v>3755</v>
      </c>
      <c r="U51" s="1154">
        <f t="shared" si="7"/>
        <v>3970</v>
      </c>
      <c r="V51" s="1154">
        <f t="shared" si="8"/>
        <v>4098</v>
      </c>
      <c r="W51" s="1165">
        <f t="shared" si="9"/>
        <v>4221</v>
      </c>
      <c r="X51" s="447"/>
      <c r="Y51" s="1129">
        <v>51</v>
      </c>
      <c r="Z51" s="1080" t="str">
        <f t="shared" si="13"/>
        <v/>
      </c>
      <c r="AD51" s="1425" t="str">
        <f t="shared" si="10"/>
        <v>Suministro y Aplicación de pintura Acrílica base agua 10 cm para líneas de demarcación en ciclorruta, sin microesfera, con antideslizante, espesor seco de 9 mils y 60% de sólidos por volumen</v>
      </c>
    </row>
    <row r="52" spans="1:30" s="1167" customFormat="1" ht="40.5" customHeight="1" outlineLevel="1" x14ac:dyDescent="0.25">
      <c r="A52" s="1461">
        <v>49</v>
      </c>
      <c r="B52" s="1162" t="str">
        <f>VLOOKUP(A52,'ANEXO PLIEGO_1'!$A$4:$C$132,2)</f>
        <v>Suministro y Aplicación de pintura Acrílica base agua marcas viales, con antideslizante, sin microesferde demarcación de bahías, espesor seco de 9 mils y 60% de sólidos por volumen</v>
      </c>
      <c r="C52" s="1163" t="str">
        <f>VLOOKUP(A52,'ANEXO PLIEGO_1'!$A$4:$C$132,3)</f>
        <v>M2</v>
      </c>
      <c r="D52" s="1166">
        <v>294</v>
      </c>
      <c r="E52" s="1078">
        <f t="shared" si="1"/>
        <v>50849</v>
      </c>
      <c r="F52" s="1472">
        <f t="shared" si="2"/>
        <v>14949606</v>
      </c>
      <c r="G52" s="1189"/>
      <c r="H52" s="1455">
        <v>567</v>
      </c>
      <c r="I52" s="1078">
        <f t="shared" si="3"/>
        <v>53763</v>
      </c>
      <c r="J52" s="1472">
        <f t="shared" si="4"/>
        <v>30483621</v>
      </c>
      <c r="K52" s="590"/>
      <c r="L52" s="1456">
        <v>568</v>
      </c>
      <c r="M52" s="1195">
        <f t="shared" si="5"/>
        <v>55500</v>
      </c>
      <c r="N52" s="1472">
        <f t="shared" si="11"/>
        <v>31524000</v>
      </c>
      <c r="O52" s="522"/>
      <c r="P52" s="1193">
        <v>286</v>
      </c>
      <c r="Q52" s="1195">
        <f t="shared" si="6"/>
        <v>57165</v>
      </c>
      <c r="R52" s="1472">
        <f t="shared" si="12"/>
        <v>16349190</v>
      </c>
      <c r="S52" s="522"/>
      <c r="T52" s="1155">
        <f>+ROUND(VLOOKUP(A52,'ANEXO PLIEGO_1'!$A$4:$E$128,5,FALSE)*(1+'ANEXO PLIEGO_1'!$F$138),0)</f>
        <v>50849</v>
      </c>
      <c r="U52" s="1154">
        <f t="shared" si="7"/>
        <v>53763</v>
      </c>
      <c r="V52" s="1154">
        <f t="shared" si="8"/>
        <v>55500</v>
      </c>
      <c r="W52" s="1165">
        <f t="shared" si="9"/>
        <v>57165</v>
      </c>
      <c r="X52" s="447"/>
      <c r="Y52" s="1129">
        <v>52</v>
      </c>
      <c r="Z52" s="1080" t="str">
        <f t="shared" si="13"/>
        <v/>
      </c>
      <c r="AD52" s="1425" t="str">
        <f t="shared" si="10"/>
        <v>Suministro y Aplicación de pintura Acrílica base agua marcas viales, con antideslizante, sin microesferde demarcación de bahías, espesor seco de 9 mils y 60% de sólidos por volumen</v>
      </c>
    </row>
    <row r="53" spans="1:30" s="1167" customFormat="1" ht="40.5" customHeight="1" outlineLevel="1" x14ac:dyDescent="0.25">
      <c r="A53" s="1461">
        <v>50</v>
      </c>
      <c r="B53" s="1162" t="str">
        <f>VLOOKUP(A53,'ANEXO PLIEGO_1'!$A$4:$C$132,2)</f>
        <v>Suministro y Aplicación de resina Termoplástica a = 12 cm, para líneas de demarcación,con antideslizante, incluye microesfera y espesor seco 90 mils (2.3mm)</v>
      </c>
      <c r="C53" s="1163" t="str">
        <f>VLOOKUP(A53,'ANEXO PLIEGO_1'!$A$4:$C$132,3)</f>
        <v>M</v>
      </c>
      <c r="D53" s="1166">
        <v>2269</v>
      </c>
      <c r="E53" s="1078">
        <f t="shared" si="1"/>
        <v>21212</v>
      </c>
      <c r="F53" s="1472">
        <f t="shared" si="2"/>
        <v>48130028</v>
      </c>
      <c r="G53" s="1189"/>
      <c r="H53" s="1455">
        <v>4382</v>
      </c>
      <c r="I53" s="1078">
        <f t="shared" si="3"/>
        <v>22427</v>
      </c>
      <c r="J53" s="1472">
        <f t="shared" si="4"/>
        <v>98275114</v>
      </c>
      <c r="K53" s="590"/>
      <c r="L53" s="1456">
        <v>4393</v>
      </c>
      <c r="M53" s="1078">
        <f t="shared" si="5"/>
        <v>23151</v>
      </c>
      <c r="N53" s="1472">
        <f t="shared" si="11"/>
        <v>101702343</v>
      </c>
      <c r="O53" s="522"/>
      <c r="P53" s="1193">
        <v>2202</v>
      </c>
      <c r="Q53" s="1078">
        <f t="shared" si="6"/>
        <v>23846</v>
      </c>
      <c r="R53" s="1472">
        <f t="shared" si="12"/>
        <v>52508892</v>
      </c>
      <c r="S53" s="522"/>
      <c r="T53" s="1155">
        <f>+ROUND(VLOOKUP(A53,'ANEXO PLIEGO_1'!$A$4:$E$128,5,FALSE)*(1+'ANEXO PLIEGO_1'!$F$138),0)</f>
        <v>21212</v>
      </c>
      <c r="U53" s="1154">
        <f t="shared" si="7"/>
        <v>22427</v>
      </c>
      <c r="V53" s="1154">
        <f t="shared" si="8"/>
        <v>23151</v>
      </c>
      <c r="W53" s="1165">
        <f t="shared" si="9"/>
        <v>23846</v>
      </c>
      <c r="X53" s="447"/>
      <c r="Y53" s="1129">
        <v>53</v>
      </c>
      <c r="Z53" s="1080" t="str">
        <f t="shared" si="13"/>
        <v/>
      </c>
      <c r="AD53" s="1425" t="str">
        <f t="shared" si="10"/>
        <v>Suministro y Aplicación de resina Termoplástica a = 12 cm, para líneas de demarcación,con antideslizante, incluye microesfera y espesor seco 90 mils (2.3mm)</v>
      </c>
    </row>
    <row r="54" spans="1:30" s="1167" customFormat="1" ht="40.5" customHeight="1" outlineLevel="1" x14ac:dyDescent="0.25">
      <c r="A54" s="1461">
        <v>51</v>
      </c>
      <c r="B54" s="1162" t="str">
        <f>VLOOKUP(A54,'ANEXO PLIEGO_1'!$A$4:$C$132,2)</f>
        <v>Suministro y Aplicación de resina Termoplástica a = 15 cm, para líneas de demarcación,con antideslizante, incluye microesfera y espesor seco 90 mils (2.3mm)</v>
      </c>
      <c r="C54" s="1163" t="str">
        <f>VLOOKUP(A54,'ANEXO PLIEGO_1'!$A$4:$C$132,3)</f>
        <v>M</v>
      </c>
      <c r="D54" s="1166">
        <v>353</v>
      </c>
      <c r="E54" s="1078">
        <f t="shared" si="1"/>
        <v>26410</v>
      </c>
      <c r="F54" s="1472">
        <f t="shared" si="2"/>
        <v>9322730</v>
      </c>
      <c r="G54" s="1189"/>
      <c r="H54" s="1455">
        <v>682</v>
      </c>
      <c r="I54" s="1078">
        <f t="shared" si="3"/>
        <v>27923</v>
      </c>
      <c r="J54" s="1472">
        <f t="shared" si="4"/>
        <v>19043486</v>
      </c>
      <c r="K54" s="590"/>
      <c r="L54" s="1457">
        <v>683</v>
      </c>
      <c r="M54" s="1195">
        <f t="shared" si="5"/>
        <v>28825</v>
      </c>
      <c r="N54" s="1472">
        <f t="shared" si="11"/>
        <v>19687475</v>
      </c>
      <c r="O54" s="522"/>
      <c r="P54" s="1194">
        <v>343</v>
      </c>
      <c r="Q54" s="1195">
        <f t="shared" si="6"/>
        <v>29690</v>
      </c>
      <c r="R54" s="1472">
        <f t="shared" si="12"/>
        <v>10183670</v>
      </c>
      <c r="S54" s="522"/>
      <c r="T54" s="1155">
        <f>+ROUND(VLOOKUP(A54,'ANEXO PLIEGO_1'!$A$4:$E$128,5,FALSE)*(1+'ANEXO PLIEGO_1'!$F$138),0)</f>
        <v>26410</v>
      </c>
      <c r="U54" s="1154">
        <f t="shared" si="7"/>
        <v>27923</v>
      </c>
      <c r="V54" s="1154">
        <f t="shared" si="8"/>
        <v>28825</v>
      </c>
      <c r="W54" s="1165">
        <f t="shared" si="9"/>
        <v>29690</v>
      </c>
      <c r="X54" s="447"/>
      <c r="Y54" s="1129">
        <v>54</v>
      </c>
      <c r="Z54" s="1080" t="str">
        <f t="shared" si="13"/>
        <v/>
      </c>
      <c r="AD54" s="1425" t="str">
        <f t="shared" si="10"/>
        <v>Suministro y Aplicación de resina Termoplástica a = 15 cm, para líneas de demarcación,con antideslizante, incluye microesfera y espesor seco 90 mils (2.3mm)</v>
      </c>
    </row>
    <row r="55" spans="1:30" s="1167" customFormat="1" ht="40.5" customHeight="1" outlineLevel="1" x14ac:dyDescent="0.25">
      <c r="A55" s="1461">
        <v>52</v>
      </c>
      <c r="B55" s="1162" t="str">
        <f>VLOOKUP(A55,'ANEXO PLIEGO_1'!$A$4:$C$132,2)</f>
        <v>Suministro y Aplicación de resina Termoplástica a = 15 cm, para líneas de demarcación,con antideslizante, incluye microesfera y espesor seco 90 mils (2.3mm)</v>
      </c>
      <c r="C55" s="1163" t="str">
        <f>VLOOKUP(A55,'ANEXO PLIEGO_1'!$A$4:$C$132,3)</f>
        <v>M</v>
      </c>
      <c r="D55" s="1166">
        <v>173</v>
      </c>
      <c r="E55" s="1078">
        <f t="shared" si="1"/>
        <v>34910</v>
      </c>
      <c r="F55" s="1472">
        <f t="shared" si="2"/>
        <v>6039430</v>
      </c>
      <c r="G55" s="1189"/>
      <c r="H55" s="1455">
        <v>332</v>
      </c>
      <c r="I55" s="1078">
        <f t="shared" si="3"/>
        <v>36910</v>
      </c>
      <c r="J55" s="1472">
        <f t="shared" si="4"/>
        <v>12254120</v>
      </c>
      <c r="K55" s="590"/>
      <c r="L55" s="1458">
        <v>333</v>
      </c>
      <c r="M55" s="1197">
        <f t="shared" si="5"/>
        <v>38102</v>
      </c>
      <c r="N55" s="1472">
        <f t="shared" si="11"/>
        <v>12687966</v>
      </c>
      <c r="O55" s="522"/>
      <c r="P55" s="1196">
        <v>166</v>
      </c>
      <c r="Q55" s="1197">
        <f t="shared" si="6"/>
        <v>39245</v>
      </c>
      <c r="R55" s="1472">
        <f t="shared" si="12"/>
        <v>6514670</v>
      </c>
      <c r="S55" s="522"/>
      <c r="T55" s="1155">
        <f>+ROUND(VLOOKUP(A55,'ANEXO PLIEGO_1'!$A$4:$E$128,5,FALSE)*(1+'ANEXO PLIEGO_1'!$F$138),0)</f>
        <v>34910</v>
      </c>
      <c r="U55" s="1154">
        <f t="shared" si="7"/>
        <v>36910</v>
      </c>
      <c r="V55" s="1154">
        <f t="shared" si="8"/>
        <v>38102</v>
      </c>
      <c r="W55" s="1165">
        <f t="shared" si="9"/>
        <v>39245</v>
      </c>
      <c r="X55" s="447"/>
      <c r="Y55" s="1129">
        <v>55</v>
      </c>
      <c r="Z55" s="1080" t="str">
        <f t="shared" si="13"/>
        <v/>
      </c>
      <c r="AD55" s="1425" t="str">
        <f t="shared" si="10"/>
        <v>Suministro y Aplicación de resina Termoplástica a = 15 cm, para líneas de demarcación,con antideslizante, incluye microesfera y espesor seco 90 mils (2.3mm)</v>
      </c>
    </row>
    <row r="56" spans="1:30" s="1167" customFormat="1" ht="40.5" customHeight="1" outlineLevel="1" x14ac:dyDescent="0.25">
      <c r="A56" s="1461">
        <v>53</v>
      </c>
      <c r="B56" s="1162" t="str">
        <f>VLOOKUP(A56,'ANEXO PLIEGO_1'!$A$4:$C$132,2)</f>
        <v>Suministro y Aplicación de resina Termoplástica para marcas viales, sin microesfera, con antideslizante, y espesor seco de 90 mils (2.3mm), incluye pictogramas</v>
      </c>
      <c r="C56" s="1163" t="str">
        <f>VLOOKUP(A56,'ANEXO PLIEGO_1'!$A$4:$C$132,3)</f>
        <v>M2</v>
      </c>
      <c r="D56" s="1166">
        <v>18</v>
      </c>
      <c r="E56" s="1078">
        <f t="shared" si="1"/>
        <v>187515</v>
      </c>
      <c r="F56" s="1472">
        <f t="shared" si="2"/>
        <v>3375270</v>
      </c>
      <c r="G56" s="1189"/>
      <c r="H56" s="1455">
        <v>34</v>
      </c>
      <c r="I56" s="1078">
        <f t="shared" si="3"/>
        <v>198260</v>
      </c>
      <c r="J56" s="1472">
        <f t="shared" si="4"/>
        <v>6740840</v>
      </c>
      <c r="K56" s="590"/>
      <c r="L56" s="1456">
        <v>34</v>
      </c>
      <c r="M56" s="1197">
        <f t="shared" si="5"/>
        <v>204664</v>
      </c>
      <c r="N56" s="1472">
        <f t="shared" si="11"/>
        <v>6958576</v>
      </c>
      <c r="O56" s="522"/>
      <c r="P56" s="1193">
        <v>17</v>
      </c>
      <c r="Q56" s="1197">
        <f t="shared" si="6"/>
        <v>210804</v>
      </c>
      <c r="R56" s="1472">
        <f t="shared" si="12"/>
        <v>3583668</v>
      </c>
      <c r="S56" s="522"/>
      <c r="T56" s="1155">
        <f>+ROUND(VLOOKUP(A56,'ANEXO PLIEGO_1'!$A$4:$E$128,5,FALSE)*(1+'ANEXO PLIEGO_1'!$F$138),0)</f>
        <v>187515</v>
      </c>
      <c r="U56" s="1154">
        <f t="shared" si="7"/>
        <v>198260</v>
      </c>
      <c r="V56" s="1154">
        <f t="shared" si="8"/>
        <v>204664</v>
      </c>
      <c r="W56" s="1165">
        <f t="shared" si="9"/>
        <v>210804</v>
      </c>
      <c r="X56" s="447"/>
      <c r="Y56" s="1129">
        <v>56</v>
      </c>
      <c r="Z56" s="1080" t="str">
        <f t="shared" si="13"/>
        <v/>
      </c>
      <c r="AD56" s="1425" t="str">
        <f t="shared" si="10"/>
        <v>Suministro y Aplicación de resina Termoplástica para marcas viales, sin microesfera, con antideslizante, y espesor seco de 90 mils (2.3mm), incluye pictogramas</v>
      </c>
    </row>
    <row r="57" spans="1:30" s="1167" customFormat="1" ht="40.5" customHeight="1" outlineLevel="1" x14ac:dyDescent="0.25">
      <c r="A57" s="1461">
        <v>54</v>
      </c>
      <c r="B57" s="1162" t="str">
        <f>VLOOKUP(A57,'ANEXO PLIEGO_1'!$A$4:$C$132,2)</f>
        <v>Suministro y Aplicación de resina Termoplástica para marcas viales, con antideslizante, con microesfera y espesor seco de 90 mils (2.3mm), incluye pictogramas</v>
      </c>
      <c r="C57" s="1163" t="str">
        <f>VLOOKUP(A57,'ANEXO PLIEGO_1'!$A$4:$C$132,3)</f>
        <v>M2</v>
      </c>
      <c r="D57" s="1166">
        <v>17</v>
      </c>
      <c r="E57" s="1078">
        <f t="shared" si="1"/>
        <v>187732</v>
      </c>
      <c r="F57" s="1472">
        <f t="shared" si="2"/>
        <v>3191444</v>
      </c>
      <c r="G57" s="1189"/>
      <c r="H57" s="1455">
        <v>34</v>
      </c>
      <c r="I57" s="1078">
        <f t="shared" si="3"/>
        <v>198489</v>
      </c>
      <c r="J57" s="1472">
        <f t="shared" si="4"/>
        <v>6748626</v>
      </c>
      <c r="K57" s="590"/>
      <c r="L57" s="1457">
        <v>34</v>
      </c>
      <c r="M57" s="1197">
        <f t="shared" si="5"/>
        <v>204900</v>
      </c>
      <c r="N57" s="1472">
        <f t="shared" si="11"/>
        <v>6966600</v>
      </c>
      <c r="O57" s="522"/>
      <c r="P57" s="1194">
        <v>17</v>
      </c>
      <c r="Q57" s="1197">
        <f t="shared" si="6"/>
        <v>211047</v>
      </c>
      <c r="R57" s="1472">
        <f t="shared" si="12"/>
        <v>3587799</v>
      </c>
      <c r="S57" s="522"/>
      <c r="T57" s="1155">
        <f>+ROUND(VLOOKUP(A57,'ANEXO PLIEGO_1'!$A$4:$E$128,5,FALSE)*(1+'ANEXO PLIEGO_1'!$F$138),0)</f>
        <v>187732</v>
      </c>
      <c r="U57" s="1154">
        <f t="shared" si="7"/>
        <v>198489</v>
      </c>
      <c r="V57" s="1154">
        <f t="shared" si="8"/>
        <v>204900</v>
      </c>
      <c r="W57" s="1165">
        <f t="shared" si="9"/>
        <v>211047</v>
      </c>
      <c r="X57" s="447"/>
      <c r="Y57" s="1129">
        <v>57</v>
      </c>
      <c r="Z57" s="1080" t="str">
        <f t="shared" si="13"/>
        <v/>
      </c>
      <c r="AD57" s="1425" t="str">
        <f t="shared" si="10"/>
        <v>Suministro y Aplicación de resina Termoplástica para marcas viales, con antideslizante, con microesfera y espesor seco de 90 mils (2.3mm), incluye pictogramas</v>
      </c>
    </row>
    <row r="58" spans="1:30" s="1167" customFormat="1" ht="54" customHeight="1" outlineLevel="1" x14ac:dyDescent="0.25">
      <c r="A58" s="1461">
        <v>55</v>
      </c>
      <c r="B58" s="1162" t="str">
        <f>VLOOKUP(A58,'ANEXO PLIEGO_1'!$A$4:$C$132,2)</f>
        <v>Suministro y Aplicación de pintura en plástico en frio metilmetacrilato de 12 cm para líneas de demarcación, con microesfera, con antideslizante, y espesor seco mínimo de 22 mils (por pulverización o spray)según norma NTC 4744</v>
      </c>
      <c r="C58" s="1163" t="str">
        <f>VLOOKUP(A58,'ANEXO PLIEGO_1'!$A$4:$C$132,3)</f>
        <v>M</v>
      </c>
      <c r="D58" s="1166">
        <v>4711</v>
      </c>
      <c r="E58" s="1078">
        <f t="shared" si="1"/>
        <v>7825</v>
      </c>
      <c r="F58" s="1472">
        <f t="shared" si="2"/>
        <v>36863575</v>
      </c>
      <c r="G58" s="1189"/>
      <c r="H58" s="1455">
        <v>9104</v>
      </c>
      <c r="I58" s="1078">
        <f t="shared" si="3"/>
        <v>8273</v>
      </c>
      <c r="J58" s="1472">
        <f t="shared" si="4"/>
        <v>75317392</v>
      </c>
      <c r="K58" s="590"/>
      <c r="L58" s="1456">
        <v>9129</v>
      </c>
      <c r="M58" s="1197">
        <f t="shared" si="5"/>
        <v>8540</v>
      </c>
      <c r="N58" s="1472">
        <f t="shared" si="11"/>
        <v>77961660</v>
      </c>
      <c r="O58" s="522"/>
      <c r="P58" s="1193">
        <v>4580</v>
      </c>
      <c r="Q58" s="1197">
        <f t="shared" si="6"/>
        <v>8796</v>
      </c>
      <c r="R58" s="1472">
        <f t="shared" si="12"/>
        <v>40285680</v>
      </c>
      <c r="S58" s="522"/>
      <c r="T58" s="1155">
        <f>+ROUND(VLOOKUP(A58,'ANEXO PLIEGO_1'!$A$4:$E$128,5,FALSE)*(1+'ANEXO PLIEGO_1'!$F$138),0)</f>
        <v>7825</v>
      </c>
      <c r="U58" s="1154">
        <f t="shared" si="7"/>
        <v>8273</v>
      </c>
      <c r="V58" s="1154">
        <f t="shared" si="8"/>
        <v>8540</v>
      </c>
      <c r="W58" s="1165">
        <f t="shared" si="9"/>
        <v>8796</v>
      </c>
      <c r="X58" s="447"/>
      <c r="Y58" s="1129">
        <v>58</v>
      </c>
      <c r="Z58" s="1080" t="str">
        <f t="shared" si="13"/>
        <v/>
      </c>
      <c r="AD58" s="1425" t="str">
        <f t="shared" si="10"/>
        <v>Suministro y Aplicación de pintura en plástico en frio metilmetacrilato de 12 cm para líneas de demarcación, con microesfera, con antideslizante, y espesor seco mínimo de 22 mils (por pulverización o spray)según norma NTC 4744</v>
      </c>
    </row>
    <row r="59" spans="1:30" s="1167" customFormat="1" ht="54" customHeight="1" outlineLevel="1" x14ac:dyDescent="0.25">
      <c r="A59" s="1461">
        <v>56</v>
      </c>
      <c r="B59" s="1162" t="str">
        <f>VLOOKUP(A59,'ANEXO PLIEGO_1'!$A$4:$C$132,2)</f>
        <v>Suministro y Aplicación de pintura en plástico en frio metilmetacrilato de 15 cm para líneas de demarcación, con antideslizante, con microesfera y espesor seco mínimo de 22 mils (por pulverización o spray) según norma NTC 4744</v>
      </c>
      <c r="C59" s="1163" t="str">
        <f>VLOOKUP(A59,'ANEXO PLIEGO_1'!$A$4:$C$132,3)</f>
        <v>M</v>
      </c>
      <c r="D59" s="1166">
        <v>2503</v>
      </c>
      <c r="E59" s="1078">
        <f t="shared" si="1"/>
        <v>13838</v>
      </c>
      <c r="F59" s="1472">
        <f t="shared" si="2"/>
        <v>34636514</v>
      </c>
      <c r="G59" s="1189"/>
      <c r="H59" s="1455">
        <v>4837</v>
      </c>
      <c r="I59" s="1078">
        <f t="shared" si="3"/>
        <v>14631</v>
      </c>
      <c r="J59" s="1472">
        <f t="shared" si="4"/>
        <v>70770147</v>
      </c>
      <c r="K59" s="590"/>
      <c r="L59" s="1456">
        <v>4850</v>
      </c>
      <c r="M59" s="1078">
        <f t="shared" si="5"/>
        <v>15104</v>
      </c>
      <c r="N59" s="1472">
        <f t="shared" si="11"/>
        <v>73254400</v>
      </c>
      <c r="O59" s="522"/>
      <c r="P59" s="1193">
        <v>2434</v>
      </c>
      <c r="Q59" s="1078">
        <f t="shared" si="6"/>
        <v>15557</v>
      </c>
      <c r="R59" s="1472">
        <f t="shared" si="12"/>
        <v>37865738</v>
      </c>
      <c r="S59" s="522"/>
      <c r="T59" s="1155">
        <f>+ROUND(VLOOKUP(A59,'ANEXO PLIEGO_1'!$A$4:$E$128,5,FALSE)*(1+'ANEXO PLIEGO_1'!$F$138),0)</f>
        <v>13838</v>
      </c>
      <c r="U59" s="1154">
        <f t="shared" si="7"/>
        <v>14631</v>
      </c>
      <c r="V59" s="1154">
        <f t="shared" si="8"/>
        <v>15104</v>
      </c>
      <c r="W59" s="1165">
        <f t="shared" si="9"/>
        <v>15557</v>
      </c>
      <c r="X59" s="447"/>
      <c r="Y59" s="1129">
        <v>59</v>
      </c>
      <c r="Z59" s="1080" t="str">
        <f t="shared" si="13"/>
        <v/>
      </c>
      <c r="AD59" s="1425" t="str">
        <f t="shared" si="10"/>
        <v>Suministro y Aplicación de pintura en plástico en frio metilmetacrilato de 15 cm para líneas de demarcación, con antideslizante, con microesfera y espesor seco mínimo de 22 mils (por pulverización o spray) según norma NTC 4744</v>
      </c>
    </row>
    <row r="60" spans="1:30" s="1167" customFormat="1" ht="54" outlineLevel="1" x14ac:dyDescent="0.25">
      <c r="A60" s="1461">
        <v>57</v>
      </c>
      <c r="B60" s="1162" t="str">
        <f>VLOOKUP(A60,'ANEXO PLIEGO_1'!$A$4:$C$132,2)</f>
        <v>Suministro y Aplicación de pintura en plástico en frio metilmetacrilato de 20 cm para líneas de demarcación, con antideslizante, con microesfera y espesor seco mínimo de 22 mils (por pulverización o spray) según norma NTC 4744</v>
      </c>
      <c r="C60" s="1163" t="str">
        <f>VLOOKUP(A60,'ANEXO PLIEGO_1'!$A$4:$C$132,3)</f>
        <v>M</v>
      </c>
      <c r="D60" s="1166">
        <f>3449+82+389</f>
        <v>3920</v>
      </c>
      <c r="E60" s="1078">
        <f t="shared" si="1"/>
        <v>16668</v>
      </c>
      <c r="F60" s="1472">
        <f t="shared" si="2"/>
        <v>65338560</v>
      </c>
      <c r="G60" s="1189"/>
      <c r="H60" s="1455">
        <v>6671</v>
      </c>
      <c r="I60" s="1078">
        <f t="shared" si="3"/>
        <v>17623</v>
      </c>
      <c r="J60" s="1472">
        <f t="shared" si="4"/>
        <v>117563033</v>
      </c>
      <c r="K60" s="590"/>
      <c r="L60" s="1456">
        <v>6690</v>
      </c>
      <c r="M60" s="1078">
        <f t="shared" si="5"/>
        <v>18192</v>
      </c>
      <c r="N60" s="1472">
        <f t="shared" si="11"/>
        <v>121704480</v>
      </c>
      <c r="O60" s="522"/>
      <c r="P60" s="1193">
        <v>3358</v>
      </c>
      <c r="Q60" s="1078">
        <f t="shared" si="6"/>
        <v>18738</v>
      </c>
      <c r="R60" s="1472">
        <f t="shared" si="12"/>
        <v>62922204</v>
      </c>
      <c r="S60" s="522"/>
      <c r="T60" s="1155">
        <f>+ROUND(VLOOKUP(A60,'ANEXO PLIEGO_1'!$A$4:$E$128,5,FALSE)*(1+'ANEXO PLIEGO_1'!$F$138),0)</f>
        <v>16668</v>
      </c>
      <c r="U60" s="1154">
        <f t="shared" si="7"/>
        <v>17623</v>
      </c>
      <c r="V60" s="1154">
        <f t="shared" si="8"/>
        <v>18192</v>
      </c>
      <c r="W60" s="1165">
        <f t="shared" si="9"/>
        <v>18738</v>
      </c>
      <c r="X60" s="447"/>
      <c r="Y60" s="1129">
        <v>60</v>
      </c>
      <c r="Z60" s="1080" t="str">
        <f t="shared" si="13"/>
        <v/>
      </c>
      <c r="AD60" s="1425" t="str">
        <f t="shared" si="10"/>
        <v>Suministro y Aplicación de pintura en plástico en frio metilmetacrilato de 20 cm para líneas de demarcación, con antideslizante, con microesfera y espesor seco mínimo de 22 mils (por pulverización o spray) según norma NTC 4744</v>
      </c>
    </row>
    <row r="61" spans="1:30" s="1167" customFormat="1" ht="54" customHeight="1" outlineLevel="1" x14ac:dyDescent="0.25">
      <c r="A61" s="1461">
        <v>58</v>
      </c>
      <c r="B61" s="1162" t="str">
        <f>VLOOKUP(A61,'ANEXO PLIEGO_1'!$A$4:$C$132,2)</f>
        <v>Suministro y aplicación de pintura de plástico en frio metilmetacrilato para marcas viales,con antideslizante, con microesfera y espesor seco mínimo de 22 mils (por pulverización o spray) según norma NTC 4744, incluye pictogramas</v>
      </c>
      <c r="C61" s="1163" t="str">
        <f>VLOOKUP(A61,'ANEXO PLIEGO_1'!$A$4:$C$132,3)</f>
        <v>M2</v>
      </c>
      <c r="D61" s="1166">
        <v>1839</v>
      </c>
      <c r="E61" s="1078">
        <f t="shared" si="1"/>
        <v>70268</v>
      </c>
      <c r="F61" s="1472">
        <f t="shared" si="2"/>
        <v>129222852</v>
      </c>
      <c r="G61" s="1189"/>
      <c r="H61" s="1455">
        <v>3551</v>
      </c>
      <c r="I61" s="1078">
        <f t="shared" si="3"/>
        <v>74294</v>
      </c>
      <c r="J61" s="1472">
        <f t="shared" si="4"/>
        <v>263817994</v>
      </c>
      <c r="K61" s="590"/>
      <c r="L61" s="1456">
        <v>3561</v>
      </c>
      <c r="M61" s="1078">
        <f t="shared" si="5"/>
        <v>76694</v>
      </c>
      <c r="N61" s="1472">
        <f t="shared" si="11"/>
        <v>273107334</v>
      </c>
      <c r="O61" s="522"/>
      <c r="P61" s="1193">
        <v>1786</v>
      </c>
      <c r="Q61" s="1078">
        <f t="shared" si="6"/>
        <v>78995</v>
      </c>
      <c r="R61" s="1472">
        <f t="shared" si="12"/>
        <v>141085070</v>
      </c>
      <c r="S61" s="522"/>
      <c r="T61" s="1155">
        <f>+ROUND(VLOOKUP(A61,'ANEXO PLIEGO_1'!$A$4:$E$128,5,FALSE)*(1+'ANEXO PLIEGO_1'!$F$138),0)</f>
        <v>70268</v>
      </c>
      <c r="U61" s="1154">
        <f t="shared" si="7"/>
        <v>74294</v>
      </c>
      <c r="V61" s="1154">
        <f t="shared" si="8"/>
        <v>76694</v>
      </c>
      <c r="W61" s="1165">
        <f t="shared" si="9"/>
        <v>78995</v>
      </c>
      <c r="X61" s="447"/>
      <c r="Y61" s="1129">
        <v>61</v>
      </c>
      <c r="Z61" s="1080" t="str">
        <f t="shared" si="13"/>
        <v/>
      </c>
      <c r="AD61" s="1425" t="str">
        <f t="shared" si="10"/>
        <v>Suministro y aplicación de pintura de plástico en frio metilmetacrilato para marcas viales,con antideslizante, con microesfera y espesor seco mínimo de 22 mils (por pulverización o spray) según norma NTC 4744, incluye pictogramas</v>
      </c>
    </row>
    <row r="62" spans="1:30" s="1168" customFormat="1" ht="54" customHeight="1" outlineLevel="1" x14ac:dyDescent="0.25">
      <c r="A62" s="1461">
        <v>59</v>
      </c>
      <c r="B62" s="1162" t="str">
        <f>VLOOKUP(A62,'ANEXO PLIEGO_1'!$A$4:$C$132,2)</f>
        <v>Suministro y aplicación de pintura de plástico en frio metilmetacrilato para marcas viales sin microesfera,con antideslizante, y espesor seco de mínimo de 22 mils (por pulverización o spray) según norma NTC 4744, incluye pictogramas</v>
      </c>
      <c r="C62" s="1163" t="str">
        <f>VLOOKUP(A62,'ANEXO PLIEGO_1'!$A$4:$C$132,3)</f>
        <v>M2</v>
      </c>
      <c r="D62" s="1166">
        <v>451</v>
      </c>
      <c r="E62" s="1078">
        <f t="shared" si="1"/>
        <v>72712</v>
      </c>
      <c r="F62" s="1472">
        <f t="shared" si="2"/>
        <v>32793112</v>
      </c>
      <c r="G62" s="1189"/>
      <c r="H62" s="1455">
        <v>874</v>
      </c>
      <c r="I62" s="1078">
        <f t="shared" si="3"/>
        <v>76878</v>
      </c>
      <c r="J62" s="1472">
        <f t="shared" si="4"/>
        <v>67191372</v>
      </c>
      <c r="K62" s="590"/>
      <c r="L62" s="1456">
        <v>876</v>
      </c>
      <c r="M62" s="1078">
        <f t="shared" si="5"/>
        <v>79361</v>
      </c>
      <c r="N62" s="1472">
        <f t="shared" si="11"/>
        <v>69520236</v>
      </c>
      <c r="O62" s="522"/>
      <c r="P62" s="1193">
        <v>439</v>
      </c>
      <c r="Q62" s="1078">
        <f t="shared" si="6"/>
        <v>81742</v>
      </c>
      <c r="R62" s="1472">
        <f t="shared" si="12"/>
        <v>35884738</v>
      </c>
      <c r="S62" s="522"/>
      <c r="T62" s="1155">
        <f>+ROUND(VLOOKUP(A62,'ANEXO PLIEGO_1'!$A$4:$E$128,5,FALSE)*(1+'ANEXO PLIEGO_1'!$F$138),0)</f>
        <v>72712</v>
      </c>
      <c r="U62" s="1154">
        <f t="shared" si="7"/>
        <v>76878</v>
      </c>
      <c r="V62" s="1154">
        <f t="shared" si="8"/>
        <v>79361</v>
      </c>
      <c r="W62" s="1165">
        <f t="shared" si="9"/>
        <v>81742</v>
      </c>
      <c r="X62" s="447"/>
      <c r="Y62" s="1129">
        <v>62</v>
      </c>
      <c r="Z62" s="1080" t="str">
        <f t="shared" si="13"/>
        <v/>
      </c>
      <c r="AD62" s="1425" t="str">
        <f t="shared" si="10"/>
        <v>Suministro y aplicación de pintura de plástico en frio metilmetacrilato para marcas viales sin microesfera,con antideslizante, y espesor seco de mínimo de 22 mils (por pulverización o spray) según norma NTC 4744, incluye pictogramas</v>
      </c>
    </row>
    <row r="63" spans="1:30" s="1168" customFormat="1" ht="40.5" customHeight="1" outlineLevel="1" x14ac:dyDescent="0.25">
      <c r="A63" s="1461">
        <v>60</v>
      </c>
      <c r="B63" s="1162" t="str">
        <f>VLOOKUP(A63,'ANEXO PLIEGO_1'!$A$4:$C$132,2)</f>
        <v>Suministro y Aplicación de pintura en plástico en frio metilmetacrilato de 12 cm para líneas de demarcación, con microesfera, con antideslizante, y espesor seco de 50 mils (extruible) según norma NTC 4744</v>
      </c>
      <c r="C63" s="1163" t="str">
        <f>VLOOKUP(A63,'ANEXO PLIEGO_1'!$A$4:$C$132,3)</f>
        <v>M</v>
      </c>
      <c r="D63" s="1166">
        <v>2658</v>
      </c>
      <c r="E63" s="1078">
        <f t="shared" si="1"/>
        <v>13427</v>
      </c>
      <c r="F63" s="1472">
        <f t="shared" si="2"/>
        <v>35688966</v>
      </c>
      <c r="G63" s="1189"/>
      <c r="H63" s="1455">
        <v>5135</v>
      </c>
      <c r="I63" s="1078">
        <f t="shared" si="3"/>
        <v>14196</v>
      </c>
      <c r="J63" s="1472">
        <f t="shared" si="4"/>
        <v>72896460</v>
      </c>
      <c r="K63" s="590"/>
      <c r="L63" s="1456">
        <v>5148</v>
      </c>
      <c r="M63" s="1078">
        <f t="shared" si="5"/>
        <v>14655</v>
      </c>
      <c r="N63" s="1472">
        <f t="shared" si="11"/>
        <v>75443940</v>
      </c>
      <c r="O63" s="522"/>
      <c r="P63" s="1193">
        <v>2583</v>
      </c>
      <c r="Q63" s="1078">
        <f t="shared" si="6"/>
        <v>15095</v>
      </c>
      <c r="R63" s="1472">
        <f t="shared" si="12"/>
        <v>38990385</v>
      </c>
      <c r="S63" s="522"/>
      <c r="T63" s="1155">
        <f>+ROUND(VLOOKUP(A63,'ANEXO PLIEGO_1'!$A$4:$E$128,5,FALSE)*(1+'ANEXO PLIEGO_1'!$F$138),0)</f>
        <v>13427</v>
      </c>
      <c r="U63" s="1154">
        <f t="shared" si="7"/>
        <v>14196</v>
      </c>
      <c r="V63" s="1154">
        <f t="shared" si="8"/>
        <v>14655</v>
      </c>
      <c r="W63" s="1165">
        <f t="shared" si="9"/>
        <v>15095</v>
      </c>
      <c r="X63" s="447"/>
      <c r="Y63" s="1129">
        <v>63</v>
      </c>
      <c r="Z63" s="1080" t="str">
        <f t="shared" si="13"/>
        <v/>
      </c>
      <c r="AD63" s="1425" t="str">
        <f t="shared" si="10"/>
        <v>Suministro y Aplicación de pintura en plástico en frio metilmetacrilato de 12 cm para líneas de demarcación, con microesfera, con antideslizante, y espesor seco de 50 mils (extruible) según norma NTC 4744</v>
      </c>
    </row>
    <row r="64" spans="1:30" s="1168" customFormat="1" ht="40.5" outlineLevel="1" x14ac:dyDescent="0.25">
      <c r="A64" s="1461">
        <v>61</v>
      </c>
      <c r="B64" s="1162" t="str">
        <f>VLOOKUP(A64,'ANEXO PLIEGO_1'!$A$4:$C$132,2)</f>
        <v>Suministro y Aplicación de pintura en plástico en frio metilmetacrilato de 15 cm para líneas de demarcación, con antideslizante, con microesfera y espesor seco de 50 mils (extruible) según norma NTC 4744</v>
      </c>
      <c r="C64" s="1163" t="str">
        <f>VLOOKUP(A64,'ANEXO PLIEGO_1'!$A$4:$C$132,3)</f>
        <v>M</v>
      </c>
      <c r="D64" s="1166">
        <v>456</v>
      </c>
      <c r="E64" s="1078">
        <f t="shared" si="1"/>
        <v>16126</v>
      </c>
      <c r="F64" s="1472">
        <f t="shared" si="2"/>
        <v>7353456</v>
      </c>
      <c r="G64" s="1189"/>
      <c r="H64" s="1455">
        <v>874</v>
      </c>
      <c r="I64" s="1078">
        <f t="shared" si="3"/>
        <v>17050</v>
      </c>
      <c r="J64" s="1472">
        <f t="shared" si="4"/>
        <v>14901700</v>
      </c>
      <c r="K64" s="590"/>
      <c r="L64" s="1456">
        <v>876</v>
      </c>
      <c r="M64" s="1195">
        <f t="shared" si="5"/>
        <v>17601</v>
      </c>
      <c r="N64" s="1472">
        <f t="shared" si="11"/>
        <v>15418476</v>
      </c>
      <c r="O64" s="522"/>
      <c r="P64" s="1193">
        <v>438</v>
      </c>
      <c r="Q64" s="1195">
        <f t="shared" si="6"/>
        <v>18129</v>
      </c>
      <c r="R64" s="1472">
        <f t="shared" si="12"/>
        <v>7940502</v>
      </c>
      <c r="S64" s="522"/>
      <c r="T64" s="1155">
        <f>+ROUND(VLOOKUP(A64,'ANEXO PLIEGO_1'!$A$4:$E$128,5,FALSE)*(1+'ANEXO PLIEGO_1'!$F$138),0)</f>
        <v>16126</v>
      </c>
      <c r="U64" s="1154">
        <f t="shared" si="7"/>
        <v>17050</v>
      </c>
      <c r="V64" s="1154">
        <f t="shared" si="8"/>
        <v>17601</v>
      </c>
      <c r="W64" s="1165">
        <f t="shared" si="9"/>
        <v>18129</v>
      </c>
      <c r="X64" s="447"/>
      <c r="Y64" s="1129">
        <v>64</v>
      </c>
      <c r="Z64" s="1080" t="str">
        <f t="shared" si="13"/>
        <v/>
      </c>
      <c r="AD64" s="1425" t="str">
        <f t="shared" si="10"/>
        <v>Suministro y Aplicación de pintura en plástico en frio metilmetacrilato de 15 cm para líneas de demarcación, con antideslizante, con microesfera y espesor seco de 50 mils (extruible) según norma NTC 4744</v>
      </c>
    </row>
    <row r="65" spans="1:30" s="1168" customFormat="1" ht="40.5" customHeight="1" outlineLevel="1" x14ac:dyDescent="0.25">
      <c r="A65" s="1461">
        <v>62</v>
      </c>
      <c r="B65" s="1162" t="str">
        <f>VLOOKUP(A65,'ANEXO PLIEGO_1'!$A$4:$C$132,2)</f>
        <v>Suministro y Aplicación de pintura en plástico en frio metilmetacrilato de 20 cm para líneas de demarcación, con microesfera, con antideslizante, y espesor seco de 50 mils (extruible) según norma NTC 4744</v>
      </c>
      <c r="C65" s="1163" t="str">
        <f>VLOOKUP(A65,'ANEXO PLIEGO_1'!$A$4:$C$132,3)</f>
        <v>M</v>
      </c>
      <c r="D65" s="1166">
        <v>105</v>
      </c>
      <c r="E65" s="1078">
        <f t="shared" si="1"/>
        <v>20628</v>
      </c>
      <c r="F65" s="1472">
        <f t="shared" si="2"/>
        <v>2165940</v>
      </c>
      <c r="G65" s="1189"/>
      <c r="H65" s="1455">
        <v>209</v>
      </c>
      <c r="I65" s="1078">
        <f t="shared" si="3"/>
        <v>21810</v>
      </c>
      <c r="J65" s="1472">
        <f t="shared" si="4"/>
        <v>4558290</v>
      </c>
      <c r="K65" s="590"/>
      <c r="L65" s="1457">
        <v>209</v>
      </c>
      <c r="M65" s="1078">
        <f t="shared" si="5"/>
        <v>22514</v>
      </c>
      <c r="N65" s="1472">
        <f t="shared" si="11"/>
        <v>4705426</v>
      </c>
      <c r="O65" s="522"/>
      <c r="P65" s="1194">
        <v>106</v>
      </c>
      <c r="Q65" s="1078">
        <f t="shared" si="6"/>
        <v>23189</v>
      </c>
      <c r="R65" s="1472">
        <f t="shared" si="12"/>
        <v>2458034</v>
      </c>
      <c r="S65" s="522"/>
      <c r="T65" s="1155">
        <f>+ROUND(VLOOKUP(A65,'ANEXO PLIEGO_1'!$A$4:$E$128,5,FALSE)*(1+'ANEXO PLIEGO_1'!$F$138),0)</f>
        <v>20628</v>
      </c>
      <c r="U65" s="1154">
        <f t="shared" si="7"/>
        <v>21810</v>
      </c>
      <c r="V65" s="1154">
        <f t="shared" si="8"/>
        <v>22514</v>
      </c>
      <c r="W65" s="1165">
        <f t="shared" si="9"/>
        <v>23189</v>
      </c>
      <c r="X65" s="447"/>
      <c r="Y65" s="1129">
        <v>65</v>
      </c>
      <c r="Z65" s="1080" t="str">
        <f t="shared" si="13"/>
        <v/>
      </c>
      <c r="AD65" s="1425" t="str">
        <f t="shared" si="10"/>
        <v>Suministro y Aplicación de pintura en plástico en frio metilmetacrilato de 20 cm para líneas de demarcación, con microesfera, con antideslizante, y espesor seco de 50 mils (extruible) según norma NTC 4744</v>
      </c>
    </row>
    <row r="66" spans="1:30" s="1168" customFormat="1" ht="40.5" customHeight="1" outlineLevel="1" collapsed="1" x14ac:dyDescent="0.25">
      <c r="A66" s="1461">
        <v>63</v>
      </c>
      <c r="B66" s="1162" t="str">
        <f>VLOOKUP(A66,'ANEXO PLIEGO_1'!$A$4:$C$132,2)</f>
        <v>Suministro y aplicación de pintura de plástico en frio metilmetacrilato para marcas viales, con antideslizante, con microesfera y espesor seco de 50 mils (extruible) según norma NTC 4744, incluye pictogramas</v>
      </c>
      <c r="C66" s="1163" t="str">
        <f>VLOOKUP(A66,'ANEXO PLIEGO_1'!$A$4:$C$132,3)</f>
        <v>M2</v>
      </c>
      <c r="D66" s="1166">
        <v>224</v>
      </c>
      <c r="E66" s="1078">
        <f t="shared" si="1"/>
        <v>112920</v>
      </c>
      <c r="F66" s="1472">
        <f t="shared" ref="F66:F127" si="14">+ROUND(D66*E66,0)</f>
        <v>25294080</v>
      </c>
      <c r="G66" s="1189"/>
      <c r="H66" s="1455">
        <v>434</v>
      </c>
      <c r="I66" s="1078">
        <f t="shared" si="3"/>
        <v>119390</v>
      </c>
      <c r="J66" s="1472">
        <f t="shared" si="4"/>
        <v>51815260</v>
      </c>
      <c r="K66" s="590"/>
      <c r="L66" s="1456">
        <v>436</v>
      </c>
      <c r="M66" s="1078">
        <f t="shared" si="5"/>
        <v>123246</v>
      </c>
      <c r="N66" s="1472">
        <f t="shared" si="11"/>
        <v>53735256</v>
      </c>
      <c r="O66" s="522"/>
      <c r="P66" s="1193">
        <v>220</v>
      </c>
      <c r="Q66" s="1078">
        <f t="shared" si="6"/>
        <v>126943</v>
      </c>
      <c r="R66" s="1472">
        <f t="shared" si="12"/>
        <v>27927460</v>
      </c>
      <c r="S66" s="522"/>
      <c r="T66" s="1155">
        <f>+ROUND(VLOOKUP(A66,'ANEXO PLIEGO_1'!$A$4:$E$128,5,FALSE)*(1+'ANEXO PLIEGO_1'!$F$138),0)</f>
        <v>112920</v>
      </c>
      <c r="U66" s="1154">
        <f t="shared" si="7"/>
        <v>119390</v>
      </c>
      <c r="V66" s="1154">
        <f t="shared" si="8"/>
        <v>123246</v>
      </c>
      <c r="W66" s="1165">
        <f t="shared" si="9"/>
        <v>126943</v>
      </c>
      <c r="X66" s="447"/>
      <c r="Y66" s="1129">
        <v>66</v>
      </c>
      <c r="Z66" s="1080" t="str">
        <f t="shared" si="13"/>
        <v/>
      </c>
      <c r="AD66" s="1425" t="str">
        <f t="shared" si="10"/>
        <v>Suministro y aplicación de pintura de plástico en frio metilmetacrilato para marcas viales, con antideslizante, con microesfera y espesor seco de 50 mils (extruible) según norma NTC 4744, incluye pictogramas</v>
      </c>
    </row>
    <row r="67" spans="1:30" s="1167" customFormat="1" ht="40.5" customHeight="1" outlineLevel="1" x14ac:dyDescent="0.25">
      <c r="A67" s="1461">
        <v>64</v>
      </c>
      <c r="B67" s="1162" t="str">
        <f>VLOOKUP(A67,'ANEXO PLIEGO_1'!$A$4:$C$132,2)</f>
        <v>Suministro y aplicación de pintura de plástico en frio metilmetacrilato para marcas viales sin microesfera, con antideslizante, y espesor seco de 50 mils (extruible) según norma NTC 4744, incluye pictogramas</v>
      </c>
      <c r="C67" s="1163" t="str">
        <f>VLOOKUP(A67,'ANEXO PLIEGO_1'!$A$4:$C$132,3)</f>
        <v>M2</v>
      </c>
      <c r="D67" s="1166">
        <v>11</v>
      </c>
      <c r="E67" s="1078">
        <f t="shared" si="1"/>
        <v>118601</v>
      </c>
      <c r="F67" s="1472">
        <f t="shared" si="14"/>
        <v>1304611</v>
      </c>
      <c r="G67" s="1189"/>
      <c r="H67" s="1455">
        <v>20</v>
      </c>
      <c r="I67" s="1078">
        <f t="shared" si="3"/>
        <v>125397</v>
      </c>
      <c r="J67" s="1472">
        <f t="shared" si="4"/>
        <v>2507940</v>
      </c>
      <c r="K67" s="590"/>
      <c r="L67" s="1456">
        <v>20</v>
      </c>
      <c r="M67" s="1078">
        <f t="shared" si="5"/>
        <v>129447</v>
      </c>
      <c r="N67" s="1472">
        <f t="shared" si="11"/>
        <v>2588940</v>
      </c>
      <c r="O67" s="522"/>
      <c r="P67" s="1193">
        <v>11</v>
      </c>
      <c r="Q67" s="1078">
        <f t="shared" si="6"/>
        <v>133330</v>
      </c>
      <c r="R67" s="1472">
        <f t="shared" si="12"/>
        <v>1466630</v>
      </c>
      <c r="S67" s="522"/>
      <c r="T67" s="1155">
        <f>+ROUND(VLOOKUP(A67,'ANEXO PLIEGO_1'!$A$4:$E$128,5,FALSE)*(1+'ANEXO PLIEGO_1'!$F$138),0)</f>
        <v>118601</v>
      </c>
      <c r="U67" s="1154">
        <f t="shared" si="7"/>
        <v>125397</v>
      </c>
      <c r="V67" s="1154">
        <f t="shared" si="8"/>
        <v>129447</v>
      </c>
      <c r="W67" s="1165">
        <f t="shared" si="9"/>
        <v>133330</v>
      </c>
      <c r="X67" s="447"/>
      <c r="Y67" s="1129">
        <v>67</v>
      </c>
      <c r="Z67" s="1080" t="str">
        <f t="shared" si="13"/>
        <v/>
      </c>
      <c r="AD67" s="1425" t="str">
        <f t="shared" si="10"/>
        <v>Suministro y aplicación de pintura de plástico en frio metilmetacrilato para marcas viales sin microesfera, con antideslizante, y espesor seco de 50 mils (extruible) según norma NTC 4744, incluye pictogramas</v>
      </c>
    </row>
    <row r="68" spans="1:30" s="1167" customFormat="1" ht="54" customHeight="1" outlineLevel="1" x14ac:dyDescent="0.25">
      <c r="A68" s="1461">
        <v>65</v>
      </c>
      <c r="B68" s="1162" t="str">
        <f>VLOOKUP(A68,'ANEXO PLIEGO_1'!$A$4:$C$132,2)</f>
        <v>Suministro y aplicación manual (método llana) de pintura de plástico en frio metilmetacrilato con microesferas, con antideslizante, para marcas viales de espesor seco de 50 mils según norma NTC 4744, incluye pictogramas.</v>
      </c>
      <c r="C68" s="1163" t="str">
        <f>VLOOKUP(A68,'ANEXO PLIEGO_1'!$A$4:$C$132,3)</f>
        <v>M2</v>
      </c>
      <c r="D68" s="1166">
        <v>215</v>
      </c>
      <c r="E68" s="1078">
        <f t="shared" si="1"/>
        <v>119299</v>
      </c>
      <c r="F68" s="1472">
        <f t="shared" si="14"/>
        <v>25649285</v>
      </c>
      <c r="G68" s="1189"/>
      <c r="H68" s="1455">
        <v>416</v>
      </c>
      <c r="I68" s="1078">
        <f t="shared" si="3"/>
        <v>126135</v>
      </c>
      <c r="J68" s="1472">
        <f t="shared" si="4"/>
        <v>52472160</v>
      </c>
      <c r="K68" s="590"/>
      <c r="L68" s="1456">
        <v>417</v>
      </c>
      <c r="M68" s="1078">
        <f t="shared" si="5"/>
        <v>130209</v>
      </c>
      <c r="N68" s="1472">
        <f t="shared" si="11"/>
        <v>54297153</v>
      </c>
      <c r="O68" s="522"/>
      <c r="P68" s="1193">
        <v>210</v>
      </c>
      <c r="Q68" s="1078">
        <f t="shared" si="6"/>
        <v>134115</v>
      </c>
      <c r="R68" s="1472">
        <f t="shared" si="12"/>
        <v>28164150</v>
      </c>
      <c r="S68" s="522"/>
      <c r="T68" s="1155">
        <f>+ROUND(VLOOKUP(A68,'ANEXO PLIEGO_1'!$A$4:$E$128,5,FALSE)*(1+'ANEXO PLIEGO_1'!$F$138),0)</f>
        <v>119299</v>
      </c>
      <c r="U68" s="1154">
        <f t="shared" si="7"/>
        <v>126135</v>
      </c>
      <c r="V68" s="1154">
        <f t="shared" si="8"/>
        <v>130209</v>
      </c>
      <c r="W68" s="1165">
        <f t="shared" si="9"/>
        <v>134115</v>
      </c>
      <c r="X68" s="447"/>
      <c r="Y68" s="1129">
        <v>68</v>
      </c>
      <c r="Z68" s="1080" t="str">
        <f t="shared" ref="Z68:Z99" si="15">IF(Y68=A68,1,"")</f>
        <v/>
      </c>
      <c r="AD68" s="1425" t="str">
        <f t="shared" si="10"/>
        <v>Suministro y aplicación manual (método llana) de pintura de plástico en frio metilmetacrilato con microesferas, con antideslizante, para marcas viales de espesor seco de 50 mils según norma NTC 4744, incluye pictogramas.</v>
      </c>
    </row>
    <row r="69" spans="1:30" s="1167" customFormat="1" ht="54" customHeight="1" outlineLevel="1" x14ac:dyDescent="0.25">
      <c r="A69" s="1461">
        <v>66</v>
      </c>
      <c r="B69" s="1162" t="str">
        <f>VLOOKUP(A69,'ANEXO PLIEGO_1'!$A$4:$C$132,2)</f>
        <v>Suministro y aplicación manual (método llana) de pintura de plástico en frio metilmetacrilato sin microesferas, con antideslizante, para marcas viales de espesor seco de 50 mils según norma NTC 4744, incluye pictogramas.</v>
      </c>
      <c r="C69" s="1163" t="str">
        <f>VLOOKUP(A69,'ANEXO PLIEGO_1'!$A$4:$C$132,3)</f>
        <v>M2</v>
      </c>
      <c r="D69" s="1166">
        <v>202</v>
      </c>
      <c r="E69" s="1078">
        <f t="shared" ref="E69:E127" si="16">+T69</f>
        <v>123604</v>
      </c>
      <c r="F69" s="1472">
        <f t="shared" si="14"/>
        <v>24968008</v>
      </c>
      <c r="G69" s="1189"/>
      <c r="H69" s="1455">
        <v>391</v>
      </c>
      <c r="I69" s="1078">
        <f t="shared" ref="I69:I131" si="17">+U69</f>
        <v>130687</v>
      </c>
      <c r="J69" s="1472">
        <f t="shared" ref="J69:J132" si="18">+ROUND(H69*I69,0)</f>
        <v>51098617</v>
      </c>
      <c r="K69" s="590"/>
      <c r="L69" s="1457">
        <v>392</v>
      </c>
      <c r="M69" s="1078">
        <f t="shared" ref="M69:M131" si="19">+V69</f>
        <v>134908</v>
      </c>
      <c r="N69" s="1472">
        <f t="shared" si="11"/>
        <v>52883936</v>
      </c>
      <c r="O69" s="522"/>
      <c r="P69" s="1194">
        <v>197</v>
      </c>
      <c r="Q69" s="1078">
        <f t="shared" ref="Q69:Q131" si="20">+W69</f>
        <v>138955</v>
      </c>
      <c r="R69" s="1472">
        <f t="shared" si="12"/>
        <v>27374135</v>
      </c>
      <c r="S69" s="522"/>
      <c r="T69" s="1155">
        <f>+ROUND(VLOOKUP(A69,'ANEXO PLIEGO_1'!$A$4:$E$128,5,FALSE)*(1+'ANEXO PLIEGO_1'!$F$138),0)</f>
        <v>123604</v>
      </c>
      <c r="U69" s="1154">
        <f t="shared" ref="U69:U131" si="21">+ROUND(T69*$U$1,0)</f>
        <v>130687</v>
      </c>
      <c r="V69" s="1154">
        <f t="shared" ref="V69:V128" si="22">+ROUND(U69*$V$1,0)</f>
        <v>134908</v>
      </c>
      <c r="W69" s="1165">
        <f t="shared" ref="W69:W131" si="23">+ROUND(V69*$W$1,0)</f>
        <v>138955</v>
      </c>
      <c r="X69" s="447"/>
      <c r="Y69" s="1129">
        <v>69</v>
      </c>
      <c r="Z69" s="1080" t="str">
        <f t="shared" si="15"/>
        <v/>
      </c>
      <c r="AD69" s="1425" t="str">
        <f t="shared" ref="AD69:AD132" si="24">B69</f>
        <v>Suministro y aplicación manual (método llana) de pintura de plástico en frio metilmetacrilato sin microesferas, con antideslizante, para marcas viales de espesor seco de 50 mils según norma NTC 4744, incluye pictogramas.</v>
      </c>
    </row>
    <row r="70" spans="1:30" s="1167" customFormat="1" ht="67.5" customHeight="1" outlineLevel="1" x14ac:dyDescent="0.25">
      <c r="A70" s="1461">
        <v>67</v>
      </c>
      <c r="B70" s="1162" t="str">
        <f>VLOOKUP(A70,'ANEXO PLIEGO_1'!$A$4:$C$132,2)</f>
        <v>Suministro y aplicación manual (método llana) de pintura de plástico en frio metilmetacrilato  pigmentada (multicolor según 3.7.3. Color de las demarcaciones planas para urbanismos tácticos u otras intervenciones tácticas urbanas) sin microesferas, con antideslizante,  para marcas viales de espesor seco de 50 mils según norma NTC 4744, incluye pictogramas</v>
      </c>
      <c r="C70" s="1163" t="str">
        <f>VLOOKUP(A70,'ANEXO PLIEGO_1'!$A$4:$C$132,3)</f>
        <v>M2</v>
      </c>
      <c r="D70" s="1166">
        <v>1137</v>
      </c>
      <c r="E70" s="1078">
        <f t="shared" si="16"/>
        <v>125402</v>
      </c>
      <c r="F70" s="1472">
        <f t="shared" si="14"/>
        <v>142582074</v>
      </c>
      <c r="G70" s="1189"/>
      <c r="H70" s="1455">
        <v>2197</v>
      </c>
      <c r="I70" s="1078">
        <f t="shared" si="17"/>
        <v>132588</v>
      </c>
      <c r="J70" s="1472">
        <f t="shared" si="18"/>
        <v>291295836</v>
      </c>
      <c r="K70" s="590"/>
      <c r="L70" s="1456">
        <v>2204</v>
      </c>
      <c r="M70" s="1195">
        <f t="shared" si="19"/>
        <v>136871</v>
      </c>
      <c r="N70" s="1472">
        <f t="shared" ref="N70:N132" si="25">+ROUND(L70*M70,0)</f>
        <v>301663684</v>
      </c>
      <c r="O70" s="522"/>
      <c r="P70" s="1193">
        <v>1107</v>
      </c>
      <c r="Q70" s="1195">
        <f t="shared" si="20"/>
        <v>140977</v>
      </c>
      <c r="R70" s="1472">
        <f t="shared" ref="R70:R131" si="26">+ROUND(P70*Q70,0)</f>
        <v>156061539</v>
      </c>
      <c r="S70" s="522"/>
      <c r="T70" s="1155">
        <f>+ROUND(VLOOKUP(A70,'ANEXO PLIEGO_1'!$A$4:$E$128,5,FALSE)*(1+'ANEXO PLIEGO_1'!$F$138),0)</f>
        <v>125402</v>
      </c>
      <c r="U70" s="1154">
        <f t="shared" si="21"/>
        <v>132588</v>
      </c>
      <c r="V70" s="1154">
        <f t="shared" si="22"/>
        <v>136871</v>
      </c>
      <c r="W70" s="1165">
        <f t="shared" si="23"/>
        <v>140977</v>
      </c>
      <c r="X70" s="447"/>
      <c r="Y70" s="1129">
        <v>70</v>
      </c>
      <c r="Z70" s="1080" t="str">
        <f t="shared" si="15"/>
        <v/>
      </c>
      <c r="AD70" s="1425" t="str">
        <f t="shared" si="24"/>
        <v>Suministro y aplicación manual (método llana) de pintura de plástico en frio metilmetacrilato  pigmentada (multicolor según 3.7.3. Color de las demarcaciones planas para urbanismos tácticos u otras intervenciones tácticas urbanas) sin microesferas, con antideslizante,  para marcas viales de espesor seco de 50 mils según norma NTC 4744, incluye pictogramas</v>
      </c>
    </row>
    <row r="71" spans="1:30" s="1167" customFormat="1" ht="29.25" customHeight="1" outlineLevel="1" x14ac:dyDescent="0.25">
      <c r="A71" s="1461">
        <v>68</v>
      </c>
      <c r="B71" s="1162" t="str">
        <f>VLOOKUP(A71,'ANEXO PLIEGO_1'!$A$4:$C$132,2)</f>
        <v>Suministro y aplicación de antideslizante para marcas viales según norma NTC 2072</v>
      </c>
      <c r="C71" s="1163" t="str">
        <f>VLOOKUP(A71,'ANEXO PLIEGO_1'!$A$4:$C$132,3)</f>
        <v>M2</v>
      </c>
      <c r="D71" s="1166">
        <v>10</v>
      </c>
      <c r="E71" s="1078">
        <f t="shared" si="16"/>
        <v>11657</v>
      </c>
      <c r="F71" s="1472">
        <f t="shared" si="14"/>
        <v>116570</v>
      </c>
      <c r="G71" s="1189"/>
      <c r="H71" s="1455">
        <v>16846</v>
      </c>
      <c r="I71" s="1078">
        <f t="shared" si="17"/>
        <v>12325</v>
      </c>
      <c r="J71" s="1472">
        <f t="shared" si="18"/>
        <v>207626950</v>
      </c>
      <c r="K71" s="590"/>
      <c r="L71" s="1456">
        <v>16892</v>
      </c>
      <c r="M71" s="1078">
        <f>+V71</f>
        <v>12723</v>
      </c>
      <c r="N71" s="1472">
        <f t="shared" si="25"/>
        <v>214916916</v>
      </c>
      <c r="O71" s="522"/>
      <c r="P71" s="1193">
        <v>8476</v>
      </c>
      <c r="Q71" s="1078">
        <f>+W71</f>
        <v>13105</v>
      </c>
      <c r="R71" s="1472">
        <f t="shared" si="26"/>
        <v>111077980</v>
      </c>
      <c r="S71" s="522"/>
      <c r="T71" s="1155">
        <f>+ROUND(VLOOKUP(A71,'ANEXO PLIEGO_1'!$A$4:$E$128,5,FALSE)*(1+'ANEXO PLIEGO_1'!$F$138),0)</f>
        <v>11657</v>
      </c>
      <c r="U71" s="1154">
        <f t="shared" si="21"/>
        <v>12325</v>
      </c>
      <c r="V71" s="1154">
        <f t="shared" si="22"/>
        <v>12723</v>
      </c>
      <c r="W71" s="1165">
        <f t="shared" si="23"/>
        <v>13105</v>
      </c>
      <c r="X71" s="447"/>
      <c r="Y71" s="1129">
        <v>71</v>
      </c>
      <c r="Z71" s="1080" t="str">
        <f t="shared" si="15"/>
        <v/>
      </c>
      <c r="AD71" s="1425" t="str">
        <f t="shared" si="24"/>
        <v>Suministro y aplicación de antideslizante para marcas viales según norma NTC 2072</v>
      </c>
    </row>
    <row r="72" spans="1:30" s="1167" customFormat="1" ht="27" customHeight="1" outlineLevel="1" x14ac:dyDescent="0.25">
      <c r="A72" s="1461">
        <v>69</v>
      </c>
      <c r="B72" s="1162" t="str">
        <f>VLOOKUP(A72,'ANEXO PLIEGO_1'!$A$4:$C$132,2)</f>
        <v xml:space="preserve">Suministro e instalación de tachas reflectivas segun diseño. Cumpliendo con los coeficientes de intensidad luminosa de la NTC 4745 (Tabla 1). </v>
      </c>
      <c r="C72" s="1163" t="str">
        <f>VLOOKUP(A72,'ANEXO PLIEGO_1'!$A$4:$C$132,3)</f>
        <v>UN</v>
      </c>
      <c r="D72" s="1166">
        <v>4833</v>
      </c>
      <c r="E72" s="1078">
        <f t="shared" si="16"/>
        <v>11133</v>
      </c>
      <c r="F72" s="1472">
        <f t="shared" si="14"/>
        <v>53805789</v>
      </c>
      <c r="G72" s="1189"/>
      <c r="H72" s="1455">
        <v>9341</v>
      </c>
      <c r="I72" s="1078">
        <f t="shared" si="17"/>
        <v>11771</v>
      </c>
      <c r="J72" s="1472">
        <f t="shared" si="18"/>
        <v>109952911</v>
      </c>
      <c r="K72" s="590"/>
      <c r="L72" s="1457">
        <v>9367</v>
      </c>
      <c r="M72" s="1195">
        <f t="shared" si="19"/>
        <v>12151</v>
      </c>
      <c r="N72" s="1472">
        <f t="shared" si="25"/>
        <v>113818417</v>
      </c>
      <c r="O72" s="522"/>
      <c r="P72" s="1194">
        <v>4698</v>
      </c>
      <c r="Q72" s="1195">
        <f>+W72</f>
        <v>12516</v>
      </c>
      <c r="R72" s="1472">
        <f t="shared" si="26"/>
        <v>58800168</v>
      </c>
      <c r="S72" s="522"/>
      <c r="T72" s="1155">
        <f>+ROUND(VLOOKUP(A72,'ANEXO PLIEGO_1'!$A$4:$E$128,5,FALSE)*(1+'ANEXO PLIEGO_1'!$F$138),0)</f>
        <v>11133</v>
      </c>
      <c r="U72" s="1154">
        <f t="shared" si="21"/>
        <v>11771</v>
      </c>
      <c r="V72" s="1154">
        <f t="shared" si="22"/>
        <v>12151</v>
      </c>
      <c r="W72" s="1165">
        <f t="shared" si="23"/>
        <v>12516</v>
      </c>
      <c r="X72" s="447"/>
      <c r="Y72" s="1129">
        <v>72</v>
      </c>
      <c r="Z72" s="1080" t="str">
        <f t="shared" si="15"/>
        <v/>
      </c>
      <c r="AD72" s="1425" t="str">
        <f t="shared" si="24"/>
        <v xml:space="preserve">Suministro e instalación de tachas reflectivas segun diseño. Cumpliendo con los coeficientes de intensidad luminosa de la NTC 4745 (Tabla 1). </v>
      </c>
    </row>
    <row r="73" spans="1:30" s="1167" customFormat="1" ht="40.5" customHeight="1" outlineLevel="1" x14ac:dyDescent="0.25">
      <c r="A73" s="1461">
        <v>70</v>
      </c>
      <c r="B73" s="1162" t="str">
        <f>VLOOKUP(A73,'ANEXO PLIEGO_1'!$A$4:$C$132,2)</f>
        <v xml:space="preserve">Suministro e instalación de tachas reflectivas según diseño con espigo de mínimo 5 cm. Cumpliendo con los coeficientes de intensidad luminosa de la NTC 4745 (Tabla 1). </v>
      </c>
      <c r="C73" s="1163" t="str">
        <f>VLOOKUP(A73,'ANEXO PLIEGO_1'!$A$4:$C$132,3)</f>
        <v>UN</v>
      </c>
      <c r="D73" s="1166">
        <v>4847</v>
      </c>
      <c r="E73" s="1078">
        <f t="shared" si="16"/>
        <v>15528</v>
      </c>
      <c r="F73" s="1472">
        <f t="shared" si="14"/>
        <v>75264216</v>
      </c>
      <c r="G73" s="1189"/>
      <c r="H73" s="1455">
        <v>9361</v>
      </c>
      <c r="I73" s="1078">
        <f t="shared" si="17"/>
        <v>16418</v>
      </c>
      <c r="J73" s="1472">
        <f t="shared" si="18"/>
        <v>153688898</v>
      </c>
      <c r="K73" s="590"/>
      <c r="L73" s="1458">
        <v>9386</v>
      </c>
      <c r="M73" s="1197">
        <f t="shared" si="19"/>
        <v>16948</v>
      </c>
      <c r="N73" s="1472">
        <f t="shared" si="25"/>
        <v>159073928</v>
      </c>
      <c r="O73" s="522"/>
      <c r="P73" s="1196">
        <v>4706</v>
      </c>
      <c r="Q73" s="1197">
        <f t="shared" si="20"/>
        <v>17456</v>
      </c>
      <c r="R73" s="1472">
        <f t="shared" si="26"/>
        <v>82147936</v>
      </c>
      <c r="S73" s="522"/>
      <c r="T73" s="1155">
        <f>+ROUND(VLOOKUP(A73,'ANEXO PLIEGO_1'!$A$4:$E$128,5,FALSE)*(1+'ANEXO PLIEGO_1'!$F$138),0)</f>
        <v>15528</v>
      </c>
      <c r="U73" s="1154">
        <f t="shared" si="21"/>
        <v>16418</v>
      </c>
      <c r="V73" s="1154">
        <f t="shared" si="22"/>
        <v>16948</v>
      </c>
      <c r="W73" s="1165">
        <f t="shared" si="23"/>
        <v>17456</v>
      </c>
      <c r="X73" s="447"/>
      <c r="Y73" s="1129">
        <v>73</v>
      </c>
      <c r="Z73" s="1080" t="str">
        <f t="shared" si="15"/>
        <v/>
      </c>
      <c r="AD73" s="1425" t="str">
        <f t="shared" si="24"/>
        <v xml:space="preserve">Suministro e instalación de tachas reflectivas según diseño con espigo de mínimo 5 cm. Cumpliendo con los coeficientes de intensidad luminosa de la NTC 4745 (Tabla 1). </v>
      </c>
    </row>
    <row r="74" spans="1:30" s="1167" customFormat="1" ht="40.5" customHeight="1" outlineLevel="1" x14ac:dyDescent="0.25">
      <c r="A74" s="1461">
        <v>71</v>
      </c>
      <c r="B74" s="1162" t="str">
        <f>VLOOKUP(A74,'ANEXO PLIEGO_1'!$A$4:$C$132,2)</f>
        <v>Suministro e instalación de estoperoles plásticos de 10 cm de diámetro y 2 cm de altura (NTC 4745). Figura 5-22 de la Resolución 20243040045005 de 17 de septiembre de 2024</v>
      </c>
      <c r="C74" s="1163" t="str">
        <f>VLOOKUP(A74,'ANEXO PLIEGO_1'!$A$4:$C$132,3)</f>
        <v>UN</v>
      </c>
      <c r="D74" s="1166">
        <v>3278</v>
      </c>
      <c r="E74" s="1078">
        <f t="shared" si="16"/>
        <v>8651</v>
      </c>
      <c r="F74" s="1472">
        <f t="shared" si="14"/>
        <v>28357978</v>
      </c>
      <c r="G74" s="1189"/>
      <c r="H74" s="1455">
        <v>6329</v>
      </c>
      <c r="I74" s="1078">
        <f t="shared" si="17"/>
        <v>9147</v>
      </c>
      <c r="J74" s="1472">
        <f t="shared" si="18"/>
        <v>57891363</v>
      </c>
      <c r="K74" s="590"/>
      <c r="L74" s="1456">
        <v>6347</v>
      </c>
      <c r="M74" s="1197">
        <f t="shared" si="19"/>
        <v>9442</v>
      </c>
      <c r="N74" s="1472">
        <f t="shared" si="25"/>
        <v>59928374</v>
      </c>
      <c r="O74" s="522"/>
      <c r="P74" s="1193">
        <v>3185</v>
      </c>
      <c r="Q74" s="1197">
        <f t="shared" si="20"/>
        <v>9725</v>
      </c>
      <c r="R74" s="1472">
        <f t="shared" si="26"/>
        <v>30974125</v>
      </c>
      <c r="S74" s="522"/>
      <c r="T74" s="1155">
        <f>+ROUND(VLOOKUP(A74,'ANEXO PLIEGO_1'!$A$4:$E$128,5,FALSE)*(1+'ANEXO PLIEGO_1'!$F$138),0)</f>
        <v>8651</v>
      </c>
      <c r="U74" s="1154">
        <f t="shared" si="21"/>
        <v>9147</v>
      </c>
      <c r="V74" s="1154">
        <f t="shared" si="22"/>
        <v>9442</v>
      </c>
      <c r="W74" s="1165">
        <f t="shared" si="23"/>
        <v>9725</v>
      </c>
      <c r="X74" s="447"/>
      <c r="Y74" s="1129">
        <v>74</v>
      </c>
      <c r="Z74" s="1080" t="str">
        <f t="shared" si="15"/>
        <v/>
      </c>
      <c r="AD74" s="1425" t="str">
        <f t="shared" si="24"/>
        <v>Suministro e instalación de estoperoles plásticos de 10 cm de diámetro y 2 cm de altura (NTC 4745). Figura 5-22 de la Resolución 20243040045005 de 17 de septiembre de 2024</v>
      </c>
    </row>
    <row r="75" spans="1:30" s="1167" customFormat="1" ht="54" customHeight="1" outlineLevel="1" x14ac:dyDescent="0.25">
      <c r="A75" s="1461">
        <v>72</v>
      </c>
      <c r="B75" s="1162" t="str">
        <f>VLOOKUP(A75,'ANEXO PLIEGO_1'!$A$4:$C$132,2)</f>
        <v xml:space="preserve">Suministro y anclaje de estoperoles plásticos con espigo, diámetro mínimo 10 cm y altura máxima 2,0 cm de altura con un espigo de mínimo 5 cm (NTC 4745) Incluye elementos de fijación. Figura 5-22 de la Resolución 20243040045005 de 17 de septiembre de 2024 </v>
      </c>
      <c r="C75" s="1163" t="str">
        <f>VLOOKUP(A75,'ANEXO PLIEGO_1'!$A$4:$C$132,3)</f>
        <v>UN</v>
      </c>
      <c r="D75" s="1166">
        <v>3216</v>
      </c>
      <c r="E75" s="1078">
        <f t="shared" si="16"/>
        <v>9194</v>
      </c>
      <c r="F75" s="1472">
        <f t="shared" si="14"/>
        <v>29567904</v>
      </c>
      <c r="G75" s="1189"/>
      <c r="H75" s="1455">
        <v>6208</v>
      </c>
      <c r="I75" s="1078">
        <f t="shared" si="17"/>
        <v>9721</v>
      </c>
      <c r="J75" s="1472">
        <f t="shared" si="18"/>
        <v>60347968</v>
      </c>
      <c r="K75" s="590"/>
      <c r="L75" s="1457">
        <v>6226</v>
      </c>
      <c r="M75" s="1197">
        <f t="shared" si="19"/>
        <v>10035</v>
      </c>
      <c r="N75" s="1472">
        <f t="shared" si="25"/>
        <v>62477910</v>
      </c>
      <c r="O75" s="522"/>
      <c r="P75" s="1194">
        <v>3125</v>
      </c>
      <c r="Q75" s="1201">
        <f t="shared" si="20"/>
        <v>10336</v>
      </c>
      <c r="R75" s="1472">
        <f t="shared" si="26"/>
        <v>32300000</v>
      </c>
      <c r="S75" s="522"/>
      <c r="T75" s="1155">
        <f>+ROUND(VLOOKUP(A75,'ANEXO PLIEGO_1'!$A$4:$E$128,5,FALSE)*(1+'ANEXO PLIEGO_1'!$F$138),0)</f>
        <v>9194</v>
      </c>
      <c r="U75" s="1154">
        <f t="shared" si="21"/>
        <v>9721</v>
      </c>
      <c r="V75" s="1154">
        <f t="shared" si="22"/>
        <v>10035</v>
      </c>
      <c r="W75" s="1165">
        <f t="shared" si="23"/>
        <v>10336</v>
      </c>
      <c r="X75" s="447"/>
      <c r="Y75" s="1129">
        <v>75</v>
      </c>
      <c r="Z75" s="1080" t="str">
        <f t="shared" si="15"/>
        <v/>
      </c>
      <c r="AD75" s="1425" t="str">
        <f t="shared" si="24"/>
        <v xml:space="preserve">Suministro y anclaje de estoperoles plásticos con espigo, diámetro mínimo 10 cm y altura máxima 2,0 cm de altura con un espigo de mínimo 5 cm (NTC 4745) Incluye elementos de fijación. Figura 5-22 de la Resolución 20243040045005 de 17 de septiembre de 2024 </v>
      </c>
    </row>
    <row r="76" spans="1:30" s="1167" customFormat="1" ht="54" customHeight="1" outlineLevel="1" x14ac:dyDescent="0.25">
      <c r="A76" s="1461">
        <v>73</v>
      </c>
      <c r="B76" s="1162" t="str">
        <f>VLOOKUP(A76,'ANEXO PLIEGO_1'!$A$4:$C$132,2)</f>
        <v>Suministro y anclaje de estoperoles metálicos con espigo, diámetro mínimo 10 cm y altura máxima 2,0 cm de altura con un espigo de mínimo 5 cm (NTC 4745) Incluye elementos de fijación. Figura 5-22 de la Resolución 20243040045005 de 17 de septiembre de 2024</v>
      </c>
      <c r="C76" s="1163" t="str">
        <f>VLOOKUP(A76,'ANEXO PLIEGO_1'!$A$4:$C$132,3)</f>
        <v>UN</v>
      </c>
      <c r="D76" s="1166">
        <v>4639</v>
      </c>
      <c r="E76" s="1078">
        <f t="shared" si="16"/>
        <v>15207</v>
      </c>
      <c r="F76" s="1472">
        <f t="shared" si="14"/>
        <v>70545273</v>
      </c>
      <c r="G76" s="1189"/>
      <c r="H76" s="1455">
        <v>8968</v>
      </c>
      <c r="I76" s="1078">
        <f t="shared" si="17"/>
        <v>16078</v>
      </c>
      <c r="J76" s="1472">
        <f t="shared" si="18"/>
        <v>144187504</v>
      </c>
      <c r="K76" s="590"/>
      <c r="L76" s="1456">
        <v>8993</v>
      </c>
      <c r="M76" s="1197">
        <f t="shared" si="19"/>
        <v>16597</v>
      </c>
      <c r="N76" s="1472">
        <f t="shared" si="25"/>
        <v>149256821</v>
      </c>
      <c r="O76" s="522"/>
      <c r="P76" s="1193">
        <v>4510</v>
      </c>
      <c r="Q76" s="1201">
        <f t="shared" si="20"/>
        <v>17095</v>
      </c>
      <c r="R76" s="1472">
        <f t="shared" si="26"/>
        <v>77098450</v>
      </c>
      <c r="S76" s="522"/>
      <c r="T76" s="1155">
        <f>+ROUND(VLOOKUP(A76,'ANEXO PLIEGO_1'!$A$4:$E$128,5,FALSE)*(1+'ANEXO PLIEGO_1'!$F$138),0)</f>
        <v>15207</v>
      </c>
      <c r="U76" s="1154">
        <f t="shared" si="21"/>
        <v>16078</v>
      </c>
      <c r="V76" s="1154">
        <f t="shared" si="22"/>
        <v>16597</v>
      </c>
      <c r="W76" s="1165">
        <f t="shared" si="23"/>
        <v>17095</v>
      </c>
      <c r="X76" s="447"/>
      <c r="Y76" s="1129">
        <v>76</v>
      </c>
      <c r="Z76" s="1080" t="str">
        <f t="shared" si="15"/>
        <v/>
      </c>
      <c r="AD76" s="1425" t="str">
        <f t="shared" si="24"/>
        <v>Suministro y anclaje de estoperoles metálicos con espigo, diámetro mínimo 10 cm y altura máxima 2,0 cm de altura con un espigo de mínimo 5 cm (NTC 4745) Incluye elementos de fijación. Figura 5-22 de la Resolución 20243040045005 de 17 de septiembre de 2024</v>
      </c>
    </row>
    <row r="77" spans="1:30" s="1167" customFormat="1" ht="67.5" customHeight="1" outlineLevel="1" x14ac:dyDescent="0.25">
      <c r="A77" s="1461">
        <v>74</v>
      </c>
      <c r="B77" s="1162" t="str">
        <f>VLOOKUP(A77,'ANEXO PLIEGO_1'!$A$4:$C$132,2)</f>
        <v>Suministro y anclaje de tachón en resina poliéster de color amarillo con alta resistencia al impacto y material retroreflectivo tipo XI en los costados (Tipo piramidal con base rectangular, con incrustación al pavimento, altura máxima de 6 cm, ancho de 15 cm y largo 25 cm). Incluye accesorios y materiales para fijación.</v>
      </c>
      <c r="C77" s="1163" t="str">
        <f>VLOOKUP(A77,'ANEXO PLIEGO_1'!$A$4:$C$132,3)</f>
        <v>UN</v>
      </c>
      <c r="D77" s="1166">
        <v>121</v>
      </c>
      <c r="E77" s="1078">
        <f t="shared" si="16"/>
        <v>107580</v>
      </c>
      <c r="F77" s="1472">
        <f t="shared" si="14"/>
        <v>13017180</v>
      </c>
      <c r="G77" s="1189"/>
      <c r="H77" s="1455">
        <v>235</v>
      </c>
      <c r="I77" s="1078">
        <f t="shared" si="17"/>
        <v>113744</v>
      </c>
      <c r="J77" s="1472">
        <f t="shared" si="18"/>
        <v>26729840</v>
      </c>
      <c r="K77" s="590"/>
      <c r="L77" s="1456">
        <v>236</v>
      </c>
      <c r="M77" s="1078">
        <f t="shared" si="19"/>
        <v>117418</v>
      </c>
      <c r="N77" s="1472">
        <f t="shared" si="25"/>
        <v>27710648</v>
      </c>
      <c r="O77" s="522"/>
      <c r="P77" s="1193">
        <v>117</v>
      </c>
      <c r="Q77" s="1202">
        <f t="shared" si="20"/>
        <v>120941</v>
      </c>
      <c r="R77" s="1472">
        <f t="shared" si="26"/>
        <v>14150097</v>
      </c>
      <c r="S77" s="522"/>
      <c r="T77" s="1155">
        <f>+ROUND(VLOOKUP(A77,'ANEXO PLIEGO_1'!$A$4:$E$128,5,FALSE)*(1+'ANEXO PLIEGO_1'!$F$138),0)</f>
        <v>107580</v>
      </c>
      <c r="U77" s="1154">
        <f t="shared" si="21"/>
        <v>113744</v>
      </c>
      <c r="V77" s="1154">
        <f t="shared" si="22"/>
        <v>117418</v>
      </c>
      <c r="W77" s="1165">
        <f t="shared" si="23"/>
        <v>120941</v>
      </c>
      <c r="X77" s="447"/>
      <c r="Y77" s="1129">
        <v>77</v>
      </c>
      <c r="Z77" s="1080" t="str">
        <f t="shared" si="15"/>
        <v/>
      </c>
      <c r="AD77" s="1425" t="str">
        <f t="shared" si="24"/>
        <v>Suministro y anclaje de tachón en resina poliéster de color amarillo con alta resistencia al impacto y material retroreflectivo tipo XI en los costados (Tipo piramidal con base rectangular, con incrustación al pavimento, altura máxima de 6 cm, ancho de 15 cm y largo 25 cm). Incluye accesorios y materiales para fijación.</v>
      </c>
    </row>
    <row r="78" spans="1:30" s="1167" customFormat="1" ht="67.5" customHeight="1" outlineLevel="1" x14ac:dyDescent="0.25">
      <c r="A78" s="1461">
        <v>75</v>
      </c>
      <c r="B78" s="1162" t="str">
        <f>VLOOKUP(A78,'ANEXO PLIEGO_1'!$A$4:$C$132,2)</f>
        <v>Suministro y anclaje de bordillo traspasable en resina poliéster de color amarillo con alta resistencia al impacto (Tipo piramidal, largo 40 cm, ancho de 15 cm y altura máxima de 8 cm de acuerdo con la figura 5-6 de la Resolución 20243040045005 de 17 de septiembre de 2024). Incluye accesorios y materiales para fijación.</v>
      </c>
      <c r="C78" s="1163" t="str">
        <f>VLOOKUP(A78,'ANEXO PLIEGO_1'!$A$4:$C$132,3)</f>
        <v>UN</v>
      </c>
      <c r="D78" s="1166">
        <v>234</v>
      </c>
      <c r="E78" s="1078">
        <f t="shared" si="16"/>
        <v>108179</v>
      </c>
      <c r="F78" s="1472">
        <f t="shared" si="14"/>
        <v>25313886</v>
      </c>
      <c r="G78" s="1189"/>
      <c r="H78" s="1455">
        <v>453</v>
      </c>
      <c r="I78" s="1078">
        <f t="shared" si="17"/>
        <v>114378</v>
      </c>
      <c r="J78" s="1472">
        <f t="shared" si="18"/>
        <v>51813234</v>
      </c>
      <c r="K78" s="590"/>
      <c r="L78" s="1456">
        <v>454</v>
      </c>
      <c r="M78" s="1078">
        <f t="shared" si="19"/>
        <v>118072</v>
      </c>
      <c r="N78" s="1472">
        <f t="shared" si="25"/>
        <v>53604688</v>
      </c>
      <c r="O78" s="522"/>
      <c r="P78" s="1193">
        <v>228</v>
      </c>
      <c r="Q78" s="1202">
        <f t="shared" si="20"/>
        <v>121614</v>
      </c>
      <c r="R78" s="1472">
        <f t="shared" si="26"/>
        <v>27727992</v>
      </c>
      <c r="S78" s="522"/>
      <c r="T78" s="1155">
        <f>+ROUND(VLOOKUP(A78,'ANEXO PLIEGO_1'!$A$4:$E$128,5,FALSE)*(1+'ANEXO PLIEGO_1'!$F$138),0)</f>
        <v>108179</v>
      </c>
      <c r="U78" s="1154">
        <f t="shared" si="21"/>
        <v>114378</v>
      </c>
      <c r="V78" s="1154">
        <f t="shared" si="22"/>
        <v>118072</v>
      </c>
      <c r="W78" s="1165">
        <f t="shared" si="23"/>
        <v>121614</v>
      </c>
      <c r="X78" s="447"/>
      <c r="Y78" s="1129">
        <v>78</v>
      </c>
      <c r="Z78" s="1080" t="str">
        <f t="shared" si="15"/>
        <v/>
      </c>
      <c r="AD78" s="1425" t="str">
        <f t="shared" si="24"/>
        <v>Suministro y anclaje de bordillo traspasable en resina poliéster de color amarillo con alta resistencia al impacto (Tipo piramidal, largo 40 cm, ancho de 15 cm y altura máxima de 8 cm de acuerdo con la figura 5-6 de la Resolución 20243040045005 de 17 de septiembre de 2024). Incluye accesorios y materiales para fijación.</v>
      </c>
    </row>
    <row r="79" spans="1:30" s="1167" customFormat="1" ht="67.5" customHeight="1" outlineLevel="1" x14ac:dyDescent="0.25">
      <c r="A79" s="1461">
        <v>76</v>
      </c>
      <c r="B79" s="1162" t="str">
        <f>VLOOKUP(A79,'ANEXO PLIEGO_1'!$A$4:$C$132,2)</f>
        <v>Suministro y anclaje de bordillo traspasable metálico de color amarillo con alta resistencia al impacto (Tipo piramidal, largo 40 cm, ancho de 15 cm y altura máxima de 8 cm de acuerdo con figura 5-6 de la Resolución 20243040045005 de 17 de septiembre de 2024). Incluye accesorios y materiales para fijación.</v>
      </c>
      <c r="C79" s="1163" t="str">
        <f>VLOOKUP(A79,'ANEXO PLIEGO_1'!$A$4:$C$132,3)</f>
        <v>UN</v>
      </c>
      <c r="D79" s="1166">
        <v>3</v>
      </c>
      <c r="E79" s="1078">
        <f t="shared" si="16"/>
        <v>202575</v>
      </c>
      <c r="F79" s="1472">
        <f t="shared" si="14"/>
        <v>607725</v>
      </c>
      <c r="G79" s="1189"/>
      <c r="H79" s="1455">
        <v>6</v>
      </c>
      <c r="I79" s="1078">
        <f t="shared" si="17"/>
        <v>214183</v>
      </c>
      <c r="J79" s="1472">
        <f t="shared" si="18"/>
        <v>1285098</v>
      </c>
      <c r="K79" s="590"/>
      <c r="L79" s="1456">
        <v>6</v>
      </c>
      <c r="M79" s="1078">
        <f t="shared" si="19"/>
        <v>221101</v>
      </c>
      <c r="N79" s="1472">
        <f t="shared" si="25"/>
        <v>1326606</v>
      </c>
      <c r="O79" s="522"/>
      <c r="P79" s="1193">
        <v>3</v>
      </c>
      <c r="Q79" s="1202">
        <f t="shared" si="20"/>
        <v>227734</v>
      </c>
      <c r="R79" s="1472">
        <f t="shared" si="26"/>
        <v>683202</v>
      </c>
      <c r="S79" s="522"/>
      <c r="T79" s="1155">
        <f>+ROUND(VLOOKUP(A79,'ANEXO PLIEGO_1'!$A$4:$E$128,5,FALSE)*(1+'ANEXO PLIEGO_1'!$F$138),0)</f>
        <v>202575</v>
      </c>
      <c r="U79" s="1154">
        <f t="shared" si="21"/>
        <v>214183</v>
      </c>
      <c r="V79" s="1154">
        <f t="shared" si="22"/>
        <v>221101</v>
      </c>
      <c r="W79" s="1165">
        <f t="shared" si="23"/>
        <v>227734</v>
      </c>
      <c r="X79" s="447"/>
      <c r="Y79" s="1129">
        <v>79</v>
      </c>
      <c r="Z79" s="1080" t="str">
        <f t="shared" si="15"/>
        <v/>
      </c>
      <c r="AD79" s="1425" t="str">
        <f t="shared" si="24"/>
        <v>Suministro y anclaje de bordillo traspasable metálico de color amarillo con alta resistencia al impacto (Tipo piramidal, largo 40 cm, ancho de 15 cm y altura máxima de 8 cm de acuerdo con figura 5-6 de la Resolución 20243040045005 de 17 de septiembre de 2024). Incluye accesorios y materiales para fijación.</v>
      </c>
    </row>
    <row r="80" spans="1:30" s="1167" customFormat="1" ht="81" customHeight="1" outlineLevel="1" x14ac:dyDescent="0.25">
      <c r="A80" s="1461">
        <v>77</v>
      </c>
      <c r="B80" s="1162" t="str">
        <f>VLOOKUP(A80,'ANEXO PLIEGO_1'!$A$4:$C$132,2)</f>
        <v>Suministro y anclaje de bordillo no traspasable, en concreto de color amarillo con alta resistencia al impacto o concreto de 4000 PSI con varilla de refuerzo de 1/2"(Tipo piramidal con incrustación al pavimento con cuatro anclajes en varilla de 5/8" de diámetro por 4" de longitud, dimensiones: altura máxima de 15 cm, ancho de 20 cm y largo 100 cm). Incluye accesorios y materiales para fijación.</v>
      </c>
      <c r="C80" s="1163" t="str">
        <f>VLOOKUP(A80,'ANEXO PLIEGO_1'!$A$4:$C$132,3)</f>
        <v>UN</v>
      </c>
      <c r="D80" s="1166">
        <v>456</v>
      </c>
      <c r="E80" s="1078">
        <f t="shared" si="16"/>
        <v>246886</v>
      </c>
      <c r="F80" s="1472">
        <f t="shared" si="14"/>
        <v>112580016</v>
      </c>
      <c r="G80" s="1189"/>
      <c r="H80" s="1455">
        <v>884</v>
      </c>
      <c r="I80" s="1078">
        <f t="shared" si="17"/>
        <v>261033</v>
      </c>
      <c r="J80" s="1472">
        <f t="shared" si="18"/>
        <v>230753172</v>
      </c>
      <c r="K80" s="590"/>
      <c r="L80" s="1456">
        <v>886</v>
      </c>
      <c r="M80" s="1078">
        <f t="shared" si="19"/>
        <v>269464</v>
      </c>
      <c r="N80" s="1472">
        <f t="shared" si="25"/>
        <v>238745104</v>
      </c>
      <c r="O80" s="522"/>
      <c r="P80" s="1193">
        <v>443</v>
      </c>
      <c r="Q80" s="1202">
        <f t="shared" si="20"/>
        <v>277548</v>
      </c>
      <c r="R80" s="1472">
        <f t="shared" si="26"/>
        <v>122953764</v>
      </c>
      <c r="S80" s="522"/>
      <c r="T80" s="1155">
        <f>+ROUND(VLOOKUP(A80,'ANEXO PLIEGO_1'!$A$4:$E$128,5,FALSE)*(1+'ANEXO PLIEGO_1'!$F$138),0)</f>
        <v>246886</v>
      </c>
      <c r="U80" s="1154">
        <f t="shared" si="21"/>
        <v>261033</v>
      </c>
      <c r="V80" s="1154">
        <f t="shared" si="22"/>
        <v>269464</v>
      </c>
      <c r="W80" s="1165">
        <f t="shared" si="23"/>
        <v>277548</v>
      </c>
      <c r="X80" s="447"/>
      <c r="Y80" s="1129">
        <v>80</v>
      </c>
      <c r="Z80" s="1080" t="str">
        <f t="shared" si="15"/>
        <v/>
      </c>
      <c r="AD80" s="1425" t="str">
        <f t="shared" si="24"/>
        <v>Suministro y anclaje de bordillo no traspasable, en concreto de color amarillo con alta resistencia al impacto o concreto de 4000 PSI con varilla de refuerzo de 1/2"(Tipo piramidal con incrustación al pavimento con cuatro anclajes en varilla de 5/8" de diámetro por 4" de longitud, dimensiones: altura máxima de 15 cm, ancho de 20 cm y largo 100 cm). Incluye accesorios y materiales para fijación.</v>
      </c>
    </row>
    <row r="81" spans="1:30" s="1168" customFormat="1" ht="54" customHeight="1" x14ac:dyDescent="0.25">
      <c r="A81" s="1461">
        <v>78</v>
      </c>
      <c r="B81" s="1162" t="str">
        <f>VLOOKUP(A81,'ANEXO PLIEGO_1'!$A$4:$C$132,2)</f>
        <v>Suministro e instalación de Boya metálica de color amarillo, con alta resistencia al impacto, con lentes reflectantes (dimensiones máximas: de 7 cm de altura y 24 cm de base según figura 5-3 Resolución 20243040045005 de 17 de septiembre de 2024)</v>
      </c>
      <c r="C81" s="1163" t="str">
        <f>VLOOKUP(A81,'ANEXO PLIEGO_1'!$A$4:$C$132,3)</f>
        <v>UN</v>
      </c>
      <c r="D81" s="1166">
        <v>40</v>
      </c>
      <c r="E81" s="1078">
        <f t="shared" si="16"/>
        <v>50842</v>
      </c>
      <c r="F81" s="1472">
        <f t="shared" si="14"/>
        <v>2033680</v>
      </c>
      <c r="G81" s="1189"/>
      <c r="H81" s="1455">
        <v>82</v>
      </c>
      <c r="I81" s="1078">
        <f t="shared" si="17"/>
        <v>53755</v>
      </c>
      <c r="J81" s="1472">
        <f t="shared" si="18"/>
        <v>4407910</v>
      </c>
      <c r="K81" s="590"/>
      <c r="L81" s="1456">
        <v>82</v>
      </c>
      <c r="M81" s="1078">
        <f t="shared" si="19"/>
        <v>55491</v>
      </c>
      <c r="N81" s="1472">
        <f t="shared" si="25"/>
        <v>4550262</v>
      </c>
      <c r="O81" s="522"/>
      <c r="P81" s="1193">
        <v>41</v>
      </c>
      <c r="Q81" s="1202">
        <f t="shared" si="20"/>
        <v>57156</v>
      </c>
      <c r="R81" s="1472">
        <f t="shared" si="26"/>
        <v>2343396</v>
      </c>
      <c r="S81" s="522"/>
      <c r="T81" s="1155">
        <f>+ROUND(VLOOKUP(A81,'ANEXO PLIEGO_1'!$A$4:$E$128,5,FALSE)*(1+'ANEXO PLIEGO_1'!$F$138),0)</f>
        <v>50842</v>
      </c>
      <c r="U81" s="1154">
        <f t="shared" si="21"/>
        <v>53755</v>
      </c>
      <c r="V81" s="1154">
        <f t="shared" si="22"/>
        <v>55491</v>
      </c>
      <c r="W81" s="1165">
        <f t="shared" si="23"/>
        <v>57156</v>
      </c>
      <c r="X81" s="447"/>
      <c r="Y81" s="1129">
        <v>81</v>
      </c>
      <c r="Z81" s="1080" t="str">
        <f t="shared" si="15"/>
        <v/>
      </c>
      <c r="AD81" s="1425" t="str">
        <f t="shared" si="24"/>
        <v>Suministro e instalación de Boya metálica de color amarillo, con alta resistencia al impacto, con lentes reflectantes (dimensiones máximas: de 7 cm de altura y 24 cm de base según figura 5-3 Resolución 20243040045005 de 17 de septiembre de 2024)</v>
      </c>
    </row>
    <row r="82" spans="1:30" s="1167" customFormat="1" ht="54" customHeight="1" x14ac:dyDescent="0.25">
      <c r="A82" s="1461">
        <v>79</v>
      </c>
      <c r="B82" s="1162" t="str">
        <f>VLOOKUP(A82,'ANEXO PLIEGO_1'!$A$4:$C$132,2)</f>
        <v xml:space="preserve">Suministro e instalación de Boya plástica de color amarillo, con alta resistencia al impacto, con lentes reflectantes (dimensiones máximas: de 7 cm de altura y 24 cm de base según figura 5-3 Resolución 20243040045005 de 17 de septiembre de 2024) </v>
      </c>
      <c r="C82" s="1163" t="str">
        <f>VLOOKUP(A82,'ANEXO PLIEGO_1'!$A$4:$C$132,3)</f>
        <v>UN</v>
      </c>
      <c r="D82" s="1166">
        <v>41</v>
      </c>
      <c r="E82" s="1078">
        <f t="shared" si="16"/>
        <v>38618</v>
      </c>
      <c r="F82" s="1472">
        <f t="shared" si="14"/>
        <v>1583338</v>
      </c>
      <c r="G82" s="1189"/>
      <c r="H82" s="1455">
        <v>82</v>
      </c>
      <c r="I82" s="1078">
        <f t="shared" si="17"/>
        <v>40831</v>
      </c>
      <c r="J82" s="1472">
        <f t="shared" si="18"/>
        <v>3348142</v>
      </c>
      <c r="K82" s="590"/>
      <c r="L82" s="1456">
        <v>82</v>
      </c>
      <c r="M82" s="1195">
        <f t="shared" si="19"/>
        <v>42150</v>
      </c>
      <c r="N82" s="1472">
        <f t="shared" si="25"/>
        <v>3456300</v>
      </c>
      <c r="O82" s="522"/>
      <c r="P82" s="1193">
        <v>41</v>
      </c>
      <c r="Q82" s="1203">
        <f t="shared" si="20"/>
        <v>43415</v>
      </c>
      <c r="R82" s="1472">
        <f t="shared" si="26"/>
        <v>1780015</v>
      </c>
      <c r="S82" s="522"/>
      <c r="T82" s="1155">
        <f>+ROUND(VLOOKUP(A82,'ANEXO PLIEGO_1'!$A$4:$E$128,5,FALSE)*(1+'ANEXO PLIEGO_1'!$F$138),0)</f>
        <v>38618</v>
      </c>
      <c r="U82" s="1154">
        <f t="shared" si="21"/>
        <v>40831</v>
      </c>
      <c r="V82" s="1154">
        <f t="shared" si="22"/>
        <v>42150</v>
      </c>
      <c r="W82" s="1165">
        <f t="shared" si="23"/>
        <v>43415</v>
      </c>
      <c r="X82" s="447"/>
      <c r="Y82" s="1129">
        <v>82</v>
      </c>
      <c r="Z82" s="1080" t="str">
        <f t="shared" si="15"/>
        <v/>
      </c>
      <c r="AD82" s="1425" t="str">
        <f t="shared" si="24"/>
        <v xml:space="preserve">Suministro e instalación de Boya plástica de color amarillo, con alta resistencia al impacto, con lentes reflectantes (dimensiones máximas: de 7 cm de altura y 24 cm de base según figura 5-3 Resolución 20243040045005 de 17 de septiembre de 2024) </v>
      </c>
    </row>
    <row r="83" spans="1:30" s="1169" customFormat="1" ht="67.5" customHeight="1" x14ac:dyDescent="0.25">
      <c r="A83" s="1461">
        <v>80</v>
      </c>
      <c r="B83" s="1162" t="str">
        <f>VLOOKUP(A83,'ANEXO PLIEGO_1'!$A$4:$C$132,2)</f>
        <v>Suministro e instalación de delineador tubular simple (figura 5-19 Resolución 20243040045005 de 17 de septiembre de 2024)  construido en material sintético flexible de color amarillo con tres bandas de 7,5 cm en material reflectivoblanco tipo XI , altura mínima 70 cm, diámetro mínimo de 8 cm. Incluye accesorios y materiales para fijación.</v>
      </c>
      <c r="C83" s="1163" t="str">
        <f>VLOOKUP(A83,'ANEXO PLIEGO_1'!$A$4:$C$132,3)</f>
        <v>UN</v>
      </c>
      <c r="D83" s="1166">
        <v>259</v>
      </c>
      <c r="E83" s="1078">
        <f t="shared" si="16"/>
        <v>68079</v>
      </c>
      <c r="F83" s="1472">
        <f t="shared" si="14"/>
        <v>17632461</v>
      </c>
      <c r="G83" s="1189"/>
      <c r="H83" s="1455">
        <v>501</v>
      </c>
      <c r="I83" s="1078">
        <f t="shared" si="17"/>
        <v>71980</v>
      </c>
      <c r="J83" s="1472">
        <f t="shared" si="18"/>
        <v>36061980</v>
      </c>
      <c r="K83" s="590"/>
      <c r="L83" s="1457">
        <v>502</v>
      </c>
      <c r="M83" s="1078">
        <f t="shared" si="19"/>
        <v>74305</v>
      </c>
      <c r="N83" s="1472">
        <f t="shared" si="25"/>
        <v>37301110</v>
      </c>
      <c r="O83" s="522"/>
      <c r="P83" s="1194">
        <v>253</v>
      </c>
      <c r="Q83" s="1202">
        <f t="shared" si="20"/>
        <v>76534</v>
      </c>
      <c r="R83" s="1472">
        <f t="shared" si="26"/>
        <v>19363102</v>
      </c>
      <c r="S83" s="522"/>
      <c r="T83" s="1155">
        <f>+ROUND(VLOOKUP(A83,'ANEXO PLIEGO_1'!$A$4:$E$128,5,FALSE)*(1+'ANEXO PLIEGO_1'!$F$138),0)</f>
        <v>68079</v>
      </c>
      <c r="U83" s="1154">
        <f t="shared" si="21"/>
        <v>71980</v>
      </c>
      <c r="V83" s="1154">
        <f t="shared" si="22"/>
        <v>74305</v>
      </c>
      <c r="W83" s="1165">
        <f t="shared" si="23"/>
        <v>76534</v>
      </c>
      <c r="X83" s="447"/>
      <c r="Y83" s="1129">
        <v>83</v>
      </c>
      <c r="Z83" s="1080" t="str">
        <f t="shared" si="15"/>
        <v/>
      </c>
      <c r="AD83" s="1425" t="str">
        <f t="shared" si="24"/>
        <v>Suministro e instalación de delineador tubular simple (figura 5-19 Resolución 20243040045005 de 17 de septiembre de 2024)  construido en material sintético flexible de color amarillo con tres bandas de 7,5 cm en material reflectivoblanco tipo XI , altura mínima 70 cm, diámetro mínimo de 8 cm. Incluye accesorios y materiales para fijación.</v>
      </c>
    </row>
    <row r="84" spans="1:30" s="1167" customFormat="1" ht="81" customHeight="1" x14ac:dyDescent="0.25">
      <c r="A84" s="1461">
        <v>81</v>
      </c>
      <c r="B84" s="1162" t="str">
        <f>VLOOKUP(A84,'ANEXO PLIEGO_1'!$A$4:$C$132,2)</f>
        <v>Suministro e instalación de delineador de corona (hitos de arista) construido en material sintético flexible de color blanco, franja negra y material retroflectivo tipo XI  (Tipo "A", fijado en concreto, altura mínima de 75 cm y máxima de 120 cm de acuerdo con la figura 5-11 Resolución 20243040045005 de 17 de septiembre de 2024). Incluye accesorios y materiales para fijación. 8 (SEGUN DISEÑO)</v>
      </c>
      <c r="C84" s="1163" t="str">
        <f>VLOOKUP(A84,'ANEXO PLIEGO_1'!$A$4:$C$132,3)</f>
        <v>UN</v>
      </c>
      <c r="D84" s="1166">
        <v>56</v>
      </c>
      <c r="E84" s="1078">
        <f t="shared" si="16"/>
        <v>99195</v>
      </c>
      <c r="F84" s="1472">
        <f t="shared" si="14"/>
        <v>5554920</v>
      </c>
      <c r="G84" s="1189"/>
      <c r="H84" s="1455">
        <v>110</v>
      </c>
      <c r="I84" s="1078">
        <f t="shared" si="17"/>
        <v>104879</v>
      </c>
      <c r="J84" s="1472">
        <f t="shared" si="18"/>
        <v>11536690</v>
      </c>
      <c r="K84" s="590"/>
      <c r="L84" s="1456">
        <v>110</v>
      </c>
      <c r="M84" s="1078">
        <f t="shared" si="19"/>
        <v>108267</v>
      </c>
      <c r="N84" s="1472">
        <f t="shared" si="25"/>
        <v>11909370</v>
      </c>
      <c r="O84" s="522"/>
      <c r="P84" s="1193">
        <v>54</v>
      </c>
      <c r="Q84" s="1202">
        <f t="shared" si="20"/>
        <v>111515</v>
      </c>
      <c r="R84" s="1472">
        <f t="shared" si="26"/>
        <v>6021810</v>
      </c>
      <c r="S84" s="522"/>
      <c r="T84" s="1155">
        <f>+ROUND(VLOOKUP(A84,'ANEXO PLIEGO_1'!$A$4:$E$128,5,FALSE)*(1+'ANEXO PLIEGO_1'!$F$138),0)</f>
        <v>99195</v>
      </c>
      <c r="U84" s="1154">
        <f t="shared" si="21"/>
        <v>104879</v>
      </c>
      <c r="V84" s="1154">
        <f t="shared" si="22"/>
        <v>108267</v>
      </c>
      <c r="W84" s="1165">
        <f t="shared" si="23"/>
        <v>111515</v>
      </c>
      <c r="X84" s="447"/>
      <c r="Y84" s="1129">
        <v>84</v>
      </c>
      <c r="Z84" s="1080" t="str">
        <f t="shared" si="15"/>
        <v/>
      </c>
      <c r="AD84" s="1425" t="str">
        <f t="shared" si="24"/>
        <v>Suministro e instalación de delineador de corona (hitos de arista) construido en material sintético flexible de color blanco, franja negra y material retroflectivo tipo XI  (Tipo "A", fijado en concreto, altura mínima de 75 cm y máxima de 120 cm de acuerdo con la figura 5-11 Resolución 20243040045005 de 17 de septiembre de 2024). Incluye accesorios y materiales para fijación. 8 (SEGUN DISEÑO)</v>
      </c>
    </row>
    <row r="85" spans="1:30" s="1167" customFormat="1" ht="32.25" customHeight="1" x14ac:dyDescent="0.25">
      <c r="A85" s="1461">
        <v>82</v>
      </c>
      <c r="B85" s="1162" t="str">
        <f>VLOOKUP(A85,'ANEXO PLIEGO_1'!$A$4:$C$132,2)</f>
        <v>Construcción de bandas sonoras reductoras de velocidad de 1 cm de altura, construida con gravilla mona #2", pintura de larga duración blanca y resina epoxica</v>
      </c>
      <c r="C85" s="1163" t="str">
        <f>VLOOKUP(A85,'ANEXO PLIEGO_1'!$A$4:$C$132,3)</f>
        <v>M2</v>
      </c>
      <c r="D85" s="1166">
        <v>20</v>
      </c>
      <c r="E85" s="1078">
        <f t="shared" si="16"/>
        <v>432051</v>
      </c>
      <c r="F85" s="1472">
        <f t="shared" si="14"/>
        <v>8641020</v>
      </c>
      <c r="G85" s="1189"/>
      <c r="H85" s="1455">
        <v>156</v>
      </c>
      <c r="I85" s="1078">
        <f t="shared" si="17"/>
        <v>456808</v>
      </c>
      <c r="J85" s="1472">
        <f t="shared" si="18"/>
        <v>71262048</v>
      </c>
      <c r="K85" s="590"/>
      <c r="L85" s="1456">
        <v>156</v>
      </c>
      <c r="M85" s="1078">
        <f t="shared" si="19"/>
        <v>471563</v>
      </c>
      <c r="N85" s="1472">
        <f t="shared" si="25"/>
        <v>73563828</v>
      </c>
      <c r="O85" s="522"/>
      <c r="P85" s="1193">
        <v>78</v>
      </c>
      <c r="Q85" s="1202">
        <f t="shared" si="20"/>
        <v>485710</v>
      </c>
      <c r="R85" s="1472">
        <f t="shared" si="26"/>
        <v>37885380</v>
      </c>
      <c r="S85" s="522"/>
      <c r="T85" s="1155">
        <f>+ROUND(VLOOKUP(A85,'ANEXO PLIEGO_1'!$A$4:$E$128,5,FALSE)*(1+'ANEXO PLIEGO_1'!$F$138),0)</f>
        <v>432051</v>
      </c>
      <c r="U85" s="1154">
        <f t="shared" si="21"/>
        <v>456808</v>
      </c>
      <c r="V85" s="1154">
        <f t="shared" si="22"/>
        <v>471563</v>
      </c>
      <c r="W85" s="1165">
        <f t="shared" si="23"/>
        <v>485710</v>
      </c>
      <c r="X85" s="447"/>
      <c r="Y85" s="1129">
        <v>85</v>
      </c>
      <c r="Z85" s="1080" t="str">
        <f t="shared" si="15"/>
        <v/>
      </c>
      <c r="AD85" s="1425" t="str">
        <f t="shared" si="24"/>
        <v>Construcción de bandas sonoras reductoras de velocidad de 1 cm de altura, construida con gravilla mona #2", pintura de larga duración blanca y resina epoxica</v>
      </c>
    </row>
    <row r="86" spans="1:30" s="1167" customFormat="1" ht="34.5" customHeight="1" x14ac:dyDescent="0.25">
      <c r="A86" s="1461">
        <v>83</v>
      </c>
      <c r="B86" s="1162" t="str">
        <f>VLOOKUP(A86,'ANEXO PLIEGO_1'!$A$4:$C$132,2)</f>
        <v>Construcción de bandas sonoras reductoras de velocidad de 2 cm de altura, construida con gravilla de 1/2", pintura de larga duración blanca y resina epoxica</v>
      </c>
      <c r="C86" s="1163" t="str">
        <f>VLOOKUP(A86,'ANEXO PLIEGO_1'!$A$4:$C$132,3)</f>
        <v>M2</v>
      </c>
      <c r="D86" s="1166">
        <v>148</v>
      </c>
      <c r="E86" s="1078">
        <f t="shared" si="16"/>
        <v>429750</v>
      </c>
      <c r="F86" s="1472">
        <f t="shared" si="14"/>
        <v>63603000</v>
      </c>
      <c r="G86" s="1189"/>
      <c r="H86" s="1455">
        <v>309</v>
      </c>
      <c r="I86" s="1078">
        <f t="shared" si="17"/>
        <v>454375</v>
      </c>
      <c r="J86" s="1472">
        <f t="shared" si="18"/>
        <v>140401875</v>
      </c>
      <c r="K86" s="590"/>
      <c r="L86" s="1456">
        <v>310</v>
      </c>
      <c r="M86" s="1078">
        <f t="shared" si="19"/>
        <v>469051</v>
      </c>
      <c r="N86" s="1472">
        <f t="shared" si="25"/>
        <v>145405810</v>
      </c>
      <c r="O86" s="522"/>
      <c r="P86" s="1193">
        <v>156</v>
      </c>
      <c r="Q86" s="1202">
        <f t="shared" si="20"/>
        <v>483123</v>
      </c>
      <c r="R86" s="1472">
        <f t="shared" si="26"/>
        <v>75367188</v>
      </c>
      <c r="S86" s="522"/>
      <c r="T86" s="1155">
        <f>+ROUND(VLOOKUP(A86,'ANEXO PLIEGO_1'!$A$4:$E$128,5,FALSE)*(1+'ANEXO PLIEGO_1'!$F$138),0)</f>
        <v>429750</v>
      </c>
      <c r="U86" s="1154">
        <f t="shared" si="21"/>
        <v>454375</v>
      </c>
      <c r="V86" s="1154">
        <f t="shared" si="22"/>
        <v>469051</v>
      </c>
      <c r="W86" s="1165">
        <f t="shared" si="23"/>
        <v>483123</v>
      </c>
      <c r="X86" s="447"/>
      <c r="Y86" s="1129">
        <v>86</v>
      </c>
      <c r="Z86" s="1080" t="str">
        <f t="shared" si="15"/>
        <v/>
      </c>
      <c r="AD86" s="1425" t="str">
        <f t="shared" si="24"/>
        <v>Construcción de bandas sonoras reductoras de velocidad de 2 cm de altura, construida con gravilla de 1/2", pintura de larga duración blanca y resina epoxica</v>
      </c>
    </row>
    <row r="87" spans="1:30" s="1167" customFormat="1" ht="35.25" customHeight="1" x14ac:dyDescent="0.25">
      <c r="A87" s="1461">
        <v>84</v>
      </c>
      <c r="B87" s="1162" t="str">
        <f>VLOOKUP(A87,'ANEXO PLIEGO_1'!$A$4:$C$132,2)</f>
        <v>Construcción de bandas sonoras reductoras de velocidad de 3 cm de altura, construida con gravilla de 3/4", pintura de larga duración blanca y resina epoxica</v>
      </c>
      <c r="C87" s="1163" t="str">
        <f>VLOOKUP(A87,'ANEXO PLIEGO_1'!$A$4:$C$132,3)</f>
        <v>M2</v>
      </c>
      <c r="D87" s="1166">
        <v>15</v>
      </c>
      <c r="E87" s="1078">
        <f t="shared" si="16"/>
        <v>435639</v>
      </c>
      <c r="F87" s="1472">
        <f t="shared" si="14"/>
        <v>6534585</v>
      </c>
      <c r="G87" s="1189"/>
      <c r="H87" s="1455">
        <v>10</v>
      </c>
      <c r="I87" s="1078">
        <f t="shared" si="17"/>
        <v>460601</v>
      </c>
      <c r="J87" s="1472">
        <f t="shared" si="18"/>
        <v>4606010</v>
      </c>
      <c r="K87" s="590"/>
      <c r="L87" s="1457">
        <v>10</v>
      </c>
      <c r="M87" s="1078">
        <f t="shared" si="19"/>
        <v>475478</v>
      </c>
      <c r="N87" s="1472">
        <f t="shared" si="25"/>
        <v>4754780</v>
      </c>
      <c r="O87" s="522"/>
      <c r="P87" s="1194">
        <v>5</v>
      </c>
      <c r="Q87" s="1202">
        <f t="shared" si="20"/>
        <v>489742</v>
      </c>
      <c r="R87" s="1472">
        <f t="shared" si="26"/>
        <v>2448710</v>
      </c>
      <c r="S87" s="522"/>
      <c r="T87" s="1155">
        <f>+ROUND(VLOOKUP(A87,'ANEXO PLIEGO_1'!$A$4:$E$128,5,FALSE)*(1+'ANEXO PLIEGO_1'!$F$138),0)</f>
        <v>435639</v>
      </c>
      <c r="U87" s="1154">
        <f t="shared" si="21"/>
        <v>460601</v>
      </c>
      <c r="V87" s="1154">
        <f t="shared" si="22"/>
        <v>475478</v>
      </c>
      <c r="W87" s="1165">
        <f t="shared" si="23"/>
        <v>489742</v>
      </c>
      <c r="X87" s="447"/>
      <c r="Y87" s="1129">
        <v>87</v>
      </c>
      <c r="Z87" s="1080" t="str">
        <f t="shared" si="15"/>
        <v/>
      </c>
      <c r="AD87" s="1425" t="str">
        <f t="shared" si="24"/>
        <v>Construcción de bandas sonoras reductoras de velocidad de 3 cm de altura, construida con gravilla de 3/4", pintura de larga duración blanca y resina epoxica</v>
      </c>
    </row>
    <row r="88" spans="1:30" s="1167" customFormat="1" ht="40.5" customHeight="1" x14ac:dyDescent="0.25">
      <c r="A88" s="1461">
        <v>85</v>
      </c>
      <c r="B88" s="1162" t="str">
        <f>VLOOKUP(A88,'ANEXO PLIEGO_1'!$A$4:$C$132,2)</f>
        <v>Suministro y anclaje de banda alertadora en resina con alta resistencia al impacto con ancho mínimo de 25 cm y altura máxima de 2 cm. Incluye materiales para la fijación.</v>
      </c>
      <c r="C88" s="1163" t="str">
        <f>VLOOKUP(A88,'ANEXO PLIEGO_1'!$A$4:$C$132,3)</f>
        <v>M</v>
      </c>
      <c r="D88" s="1166">
        <v>35</v>
      </c>
      <c r="E88" s="1078">
        <f t="shared" si="16"/>
        <v>474393</v>
      </c>
      <c r="F88" s="1472">
        <f t="shared" si="14"/>
        <v>16603755</v>
      </c>
      <c r="G88" s="1189"/>
      <c r="H88" s="1455">
        <v>68</v>
      </c>
      <c r="I88" s="1078">
        <f t="shared" si="17"/>
        <v>501576</v>
      </c>
      <c r="J88" s="1472">
        <f t="shared" si="18"/>
        <v>34107168</v>
      </c>
      <c r="K88" s="590"/>
      <c r="L88" s="1456">
        <v>68</v>
      </c>
      <c r="M88" s="1195">
        <f t="shared" si="19"/>
        <v>517777</v>
      </c>
      <c r="N88" s="1472">
        <f t="shared" si="25"/>
        <v>35208836</v>
      </c>
      <c r="O88" s="522"/>
      <c r="P88" s="1193">
        <v>34</v>
      </c>
      <c r="Q88" s="1203">
        <f t="shared" si="20"/>
        <v>533310</v>
      </c>
      <c r="R88" s="1472">
        <f t="shared" si="26"/>
        <v>18132540</v>
      </c>
      <c r="S88" s="522"/>
      <c r="T88" s="1155">
        <f>+ROUND(VLOOKUP(A88,'ANEXO PLIEGO_1'!$A$4:$E$128,5,FALSE)*(1+'ANEXO PLIEGO_1'!$F$138),0)</f>
        <v>474393</v>
      </c>
      <c r="U88" s="1154">
        <f t="shared" si="21"/>
        <v>501576</v>
      </c>
      <c r="V88" s="1154">
        <f t="shared" si="22"/>
        <v>517777</v>
      </c>
      <c r="W88" s="1165">
        <f t="shared" si="23"/>
        <v>533310</v>
      </c>
      <c r="X88" s="447"/>
      <c r="Y88" s="1129">
        <v>88</v>
      </c>
      <c r="Z88" s="1080" t="str">
        <f t="shared" si="15"/>
        <v/>
      </c>
      <c r="AD88" s="1425" t="str">
        <f t="shared" si="24"/>
        <v>Suministro y anclaje de banda alertadora en resina con alta resistencia al impacto con ancho mínimo de 25 cm y altura máxima de 2 cm. Incluye materiales para la fijación.</v>
      </c>
    </row>
    <row r="89" spans="1:30" s="1167" customFormat="1" ht="54" customHeight="1" x14ac:dyDescent="0.25">
      <c r="A89" s="1461">
        <v>86</v>
      </c>
      <c r="B89" s="1162" t="str">
        <f>VLOOKUP(A89,'ANEXO PLIEGO_1'!$A$4:$C$132,2)</f>
        <v>Suministro y anclaje de resalto portátil de caucho con alta resistencia al impacto con ancho mínimo de 30 cm y altura entre 2 y 8 cm. Incluye accesorios y materiales para fijación. Figura 5.32 Resolución 20243040045005 de 17 de septiembre de 2024</v>
      </c>
      <c r="C89" s="1163" t="str">
        <f>VLOOKUP(A89,'ANEXO PLIEGO_1'!$A$4:$C$132,3)</f>
        <v>M</v>
      </c>
      <c r="D89" s="1166">
        <v>113</v>
      </c>
      <c r="E89" s="1078">
        <f t="shared" si="16"/>
        <v>398023</v>
      </c>
      <c r="F89" s="1472">
        <f t="shared" si="14"/>
        <v>44976599</v>
      </c>
      <c r="G89" s="1189"/>
      <c r="H89" s="1455">
        <v>216</v>
      </c>
      <c r="I89" s="1078">
        <f t="shared" si="17"/>
        <v>420830</v>
      </c>
      <c r="J89" s="1472">
        <f t="shared" si="18"/>
        <v>90899280</v>
      </c>
      <c r="K89" s="590"/>
      <c r="L89" s="1456">
        <v>216</v>
      </c>
      <c r="M89" s="1078">
        <f t="shared" si="19"/>
        <v>434423</v>
      </c>
      <c r="N89" s="1472">
        <f t="shared" si="25"/>
        <v>93835368</v>
      </c>
      <c r="O89" s="522"/>
      <c r="P89" s="1193">
        <v>108</v>
      </c>
      <c r="Q89" s="1202">
        <f t="shared" si="20"/>
        <v>447456</v>
      </c>
      <c r="R89" s="1472">
        <f t="shared" si="26"/>
        <v>48325248</v>
      </c>
      <c r="S89" s="522"/>
      <c r="T89" s="1155">
        <f>+ROUND(VLOOKUP(A89,'ANEXO PLIEGO_1'!$A$4:$E$128,5,FALSE)*(1+'ANEXO PLIEGO_1'!$F$138),0)</f>
        <v>398023</v>
      </c>
      <c r="U89" s="1154">
        <f t="shared" si="21"/>
        <v>420830</v>
      </c>
      <c r="V89" s="1154">
        <f t="shared" si="22"/>
        <v>434423</v>
      </c>
      <c r="W89" s="1165">
        <f t="shared" si="23"/>
        <v>447456</v>
      </c>
      <c r="X89" s="447"/>
      <c r="Y89" s="1129">
        <v>89</v>
      </c>
      <c r="Z89" s="1080" t="str">
        <f t="shared" si="15"/>
        <v/>
      </c>
      <c r="AD89" s="1425" t="str">
        <f t="shared" si="24"/>
        <v>Suministro y anclaje de resalto portátil de caucho con alta resistencia al impacto con ancho mínimo de 30 cm y altura entre 2 y 8 cm. Incluye accesorios y materiales para fijación. Figura 5.32 Resolución 20243040045005 de 17 de septiembre de 2024</v>
      </c>
    </row>
    <row r="90" spans="1:30" s="1167" customFormat="1" ht="81" customHeight="1" x14ac:dyDescent="0.25">
      <c r="A90" s="1461">
        <v>87</v>
      </c>
      <c r="B90" s="1162" t="str">
        <f>VLOOKUP(A90,'ANEXO PLIEGO_1'!$A$4:$C$132,2)</f>
        <v>Suministro e instalación de hito de vértice en resina poliéster de color azul con alta resistencia al impacto y material retrorreflectivo tipo XI en la parte superior (Tipo semicilindrico con incrustación al pavimento, altura máxima de 0,90 m ancho de 1,0 m de acuerdo con la figura 5-26 Resolución 20243040045005 de 17 de septiembre de 2024 ). Incluye accesorios y materiales para fijación.</v>
      </c>
      <c r="C90" s="1163" t="str">
        <f>VLOOKUP(A90,'ANEXO PLIEGO_1'!$A$4:$C$132,3)</f>
        <v>UN</v>
      </c>
      <c r="D90" s="1166">
        <v>1</v>
      </c>
      <c r="E90" s="1078">
        <f t="shared" si="16"/>
        <v>3780013</v>
      </c>
      <c r="F90" s="1472">
        <f t="shared" si="14"/>
        <v>3780013</v>
      </c>
      <c r="G90" s="1189"/>
      <c r="H90" s="1455">
        <v>2</v>
      </c>
      <c r="I90" s="1078">
        <f t="shared" si="17"/>
        <v>3996608</v>
      </c>
      <c r="J90" s="1472">
        <f t="shared" si="18"/>
        <v>7993216</v>
      </c>
      <c r="K90" s="590"/>
      <c r="L90" s="1457">
        <v>2</v>
      </c>
      <c r="M90" s="1195">
        <f t="shared" si="19"/>
        <v>4125698</v>
      </c>
      <c r="N90" s="1472">
        <f t="shared" si="25"/>
        <v>8251396</v>
      </c>
      <c r="O90" s="522"/>
      <c r="P90" s="1194">
        <v>1</v>
      </c>
      <c r="Q90" s="1203">
        <f t="shared" si="20"/>
        <v>4249469</v>
      </c>
      <c r="R90" s="1472">
        <f t="shared" si="26"/>
        <v>4249469</v>
      </c>
      <c r="S90" s="522"/>
      <c r="T90" s="1155">
        <f>+ROUND(VLOOKUP(A90,'ANEXO PLIEGO_1'!$A$4:$E$128,5,FALSE)*(1+'ANEXO PLIEGO_1'!$F$138),0)</f>
        <v>3780013</v>
      </c>
      <c r="U90" s="1154">
        <f t="shared" si="21"/>
        <v>3996608</v>
      </c>
      <c r="V90" s="1154">
        <f t="shared" si="22"/>
        <v>4125698</v>
      </c>
      <c r="W90" s="1165">
        <f t="shared" si="23"/>
        <v>4249469</v>
      </c>
      <c r="X90" s="447"/>
      <c r="Y90" s="1129">
        <v>90</v>
      </c>
      <c r="Z90" s="1080" t="str">
        <f t="shared" si="15"/>
        <v/>
      </c>
      <c r="AD90" s="1425" t="str">
        <f t="shared" si="24"/>
        <v>Suministro e instalación de hito de vértice en resina poliéster de color azul con alta resistencia al impacto y material retrorreflectivo tipo XI en la parte superior (Tipo semicilindrico con incrustación al pavimento, altura máxima de 0,90 m ancho de 1,0 m de acuerdo con la figura 5-26 Resolución 20243040045005 de 17 de septiembre de 2024 ). Incluye accesorios y materiales para fijación.</v>
      </c>
    </row>
    <row r="91" spans="1:30" s="1167" customFormat="1" ht="35.25" customHeight="1" x14ac:dyDescent="0.25">
      <c r="A91" s="1461">
        <v>88</v>
      </c>
      <c r="B91" s="1162" t="str">
        <f>VLOOKUP(A91,'ANEXO PLIEGO_1'!$A$4:$C$132,2)</f>
        <v>Suministro e instalación de Baliza iluminada elevada (luz intermitente de color amarillo) dimensiones de acuerdo con la figura  6.4  Resolución 20243040045005 de 17 de septiembre de 2024</v>
      </c>
      <c r="C91" s="1163" t="str">
        <f>VLOOKUP(A91,'ANEXO PLIEGO_1'!$A$4:$C$132,3)</f>
        <v>UN</v>
      </c>
      <c r="D91" s="1166">
        <v>2</v>
      </c>
      <c r="E91" s="1078">
        <f t="shared" si="16"/>
        <v>525678</v>
      </c>
      <c r="F91" s="1472">
        <f t="shared" si="14"/>
        <v>1051356</v>
      </c>
      <c r="G91" s="1189"/>
      <c r="H91" s="1455">
        <v>4</v>
      </c>
      <c r="I91" s="1078">
        <f t="shared" si="17"/>
        <v>555799</v>
      </c>
      <c r="J91" s="1472">
        <f t="shared" si="18"/>
        <v>2223196</v>
      </c>
      <c r="K91" s="590"/>
      <c r="L91" s="1458">
        <v>4</v>
      </c>
      <c r="M91" s="1197">
        <f t="shared" si="19"/>
        <v>573751</v>
      </c>
      <c r="N91" s="1472">
        <f t="shared" si="25"/>
        <v>2295004</v>
      </c>
      <c r="O91" s="522"/>
      <c r="P91" s="1196">
        <v>2</v>
      </c>
      <c r="Q91" s="1201">
        <f t="shared" si="20"/>
        <v>590964</v>
      </c>
      <c r="R91" s="1472">
        <f t="shared" si="26"/>
        <v>1181928</v>
      </c>
      <c r="S91" s="522"/>
      <c r="T91" s="1155">
        <f>+ROUND(VLOOKUP(A91,'ANEXO PLIEGO_1'!$A$4:$E$128,5,FALSE)*(1+'ANEXO PLIEGO_1'!$F$138),0)</f>
        <v>525678</v>
      </c>
      <c r="U91" s="1154">
        <f t="shared" si="21"/>
        <v>555799</v>
      </c>
      <c r="V91" s="1154">
        <f t="shared" si="22"/>
        <v>573751</v>
      </c>
      <c r="W91" s="1165">
        <f t="shared" si="23"/>
        <v>590964</v>
      </c>
      <c r="X91" s="447"/>
      <c r="Y91" s="1129">
        <v>91</v>
      </c>
      <c r="Z91" s="1080" t="str">
        <f t="shared" si="15"/>
        <v/>
      </c>
      <c r="AD91" s="1425" t="str">
        <f t="shared" si="24"/>
        <v>Suministro e instalación de Baliza iluminada elevada (luz intermitente de color amarillo) dimensiones de acuerdo con la figura  6.4  Resolución 20243040045005 de 17 de septiembre de 2024</v>
      </c>
    </row>
    <row r="92" spans="1:30" s="1167" customFormat="1" ht="54" customHeight="1" x14ac:dyDescent="0.25">
      <c r="A92" s="1461">
        <v>89</v>
      </c>
      <c r="B92" s="1162" t="str">
        <f>VLOOKUP(A92,'ANEXO PLIEGO_1'!$A$4:$C$132,2)</f>
        <v>Suministro, instalación y lastrado (con material granular mínimo a ¼ de su altura) de maletín plástico de base mínima de 50 cm por 200 cm y altura mínima de 100 cm, con material reflectivo tipo XI color blanco, incluye transportes, instalación y lastrado.</v>
      </c>
      <c r="C92" s="1163" t="str">
        <f>VLOOKUP(A92,'ANEXO PLIEGO_1'!$A$4:$C$132,3)</f>
        <v>UN</v>
      </c>
      <c r="D92" s="1166">
        <v>15</v>
      </c>
      <c r="E92" s="1078">
        <f t="shared" si="16"/>
        <v>626701</v>
      </c>
      <c r="F92" s="1472">
        <f t="shared" si="14"/>
        <v>9400515</v>
      </c>
      <c r="G92" s="1189"/>
      <c r="H92" s="1455">
        <v>29</v>
      </c>
      <c r="I92" s="1078">
        <f t="shared" si="17"/>
        <v>662611</v>
      </c>
      <c r="J92" s="1472">
        <f t="shared" si="18"/>
        <v>19215719</v>
      </c>
      <c r="K92" s="590"/>
      <c r="L92" s="1456">
        <v>29</v>
      </c>
      <c r="M92" s="1197">
        <f t="shared" si="19"/>
        <v>684013</v>
      </c>
      <c r="N92" s="1472">
        <f t="shared" si="25"/>
        <v>19836377</v>
      </c>
      <c r="O92" s="522"/>
      <c r="P92" s="1193">
        <v>14</v>
      </c>
      <c r="Q92" s="1201">
        <f t="shared" si="20"/>
        <v>704533</v>
      </c>
      <c r="R92" s="1472">
        <f t="shared" si="26"/>
        <v>9863462</v>
      </c>
      <c r="S92" s="522"/>
      <c r="T92" s="1155">
        <f>+ROUND(VLOOKUP(A92,'ANEXO PLIEGO_1'!$A$4:$E$128,5,FALSE)*(1+'ANEXO PLIEGO_1'!$F$138),0)</f>
        <v>626701</v>
      </c>
      <c r="U92" s="1154">
        <f t="shared" si="21"/>
        <v>662611</v>
      </c>
      <c r="V92" s="1154">
        <f t="shared" si="22"/>
        <v>684013</v>
      </c>
      <c r="W92" s="1165">
        <f t="shared" si="23"/>
        <v>704533</v>
      </c>
      <c r="X92" s="447"/>
      <c r="Y92" s="1129">
        <v>92</v>
      </c>
      <c r="Z92" s="1080" t="str">
        <f t="shared" si="15"/>
        <v/>
      </c>
      <c r="AD92" s="1425" t="str">
        <f t="shared" si="24"/>
        <v>Suministro, instalación y lastrado (con material granular mínimo a ¼ de su altura) de maletín plástico de base mínima de 50 cm por 200 cm y altura mínima de 100 cm, con material reflectivo tipo XI color blanco, incluye transportes, instalación y lastrado.</v>
      </c>
    </row>
    <row r="93" spans="1:30" s="1167" customFormat="1" ht="54" customHeight="1" x14ac:dyDescent="0.25">
      <c r="A93" s="1461">
        <v>90</v>
      </c>
      <c r="B93" s="1162" t="str">
        <f>VLOOKUP(A93,'ANEXO PLIEGO_1'!$A$4:$C$132,2)</f>
        <v>Suministro, instalación y lastrado (con material granular al tope de su altura) de delineador Tubular Tipo Canalizador de 129 cm de altura, incluye transportes, instalación y lastrado con material granular al tope de su altura.</v>
      </c>
      <c r="C93" s="1163" t="str">
        <f>VLOOKUP(A93,'ANEXO PLIEGO_1'!$A$4:$C$132,3)</f>
        <v>UN</v>
      </c>
      <c r="D93" s="1166">
        <v>17</v>
      </c>
      <c r="E93" s="1078">
        <f t="shared" si="16"/>
        <v>75058</v>
      </c>
      <c r="F93" s="1472">
        <f t="shared" si="14"/>
        <v>1275986</v>
      </c>
      <c r="G93" s="1189"/>
      <c r="H93" s="1455">
        <v>33</v>
      </c>
      <c r="I93" s="1078">
        <f t="shared" si="17"/>
        <v>79359</v>
      </c>
      <c r="J93" s="1472">
        <f t="shared" si="18"/>
        <v>2618847</v>
      </c>
      <c r="K93" s="590"/>
      <c r="L93" s="1457">
        <v>33</v>
      </c>
      <c r="M93" s="1197">
        <f t="shared" si="19"/>
        <v>81922</v>
      </c>
      <c r="N93" s="1472">
        <f t="shared" si="25"/>
        <v>2703426</v>
      </c>
      <c r="O93" s="522"/>
      <c r="P93" s="1194">
        <v>17</v>
      </c>
      <c r="Q93" s="1201">
        <f t="shared" si="20"/>
        <v>84380</v>
      </c>
      <c r="R93" s="1472">
        <f t="shared" si="26"/>
        <v>1434460</v>
      </c>
      <c r="S93" s="522"/>
      <c r="T93" s="1155">
        <f>+ROUND(VLOOKUP(A93,'ANEXO PLIEGO_1'!$A$4:$E$128,5,FALSE)*(1+'ANEXO PLIEGO_1'!$F$138),0)</f>
        <v>75058</v>
      </c>
      <c r="U93" s="1154">
        <f t="shared" si="21"/>
        <v>79359</v>
      </c>
      <c r="V93" s="1154">
        <f t="shared" si="22"/>
        <v>81922</v>
      </c>
      <c r="W93" s="1165">
        <f t="shared" si="23"/>
        <v>84380</v>
      </c>
      <c r="X93" s="447"/>
      <c r="Y93" s="1129">
        <v>93</v>
      </c>
      <c r="Z93" s="1080" t="str">
        <f t="shared" si="15"/>
        <v/>
      </c>
      <c r="AD93" s="1425" t="str">
        <f t="shared" si="24"/>
        <v>Suministro, instalación y lastrado (con material granular al tope de su altura) de delineador Tubular Tipo Canalizador de 129 cm de altura, incluye transportes, instalación y lastrado con material granular al tope de su altura.</v>
      </c>
    </row>
    <row r="94" spans="1:30" s="1167" customFormat="1" ht="27" x14ac:dyDescent="0.25">
      <c r="A94" s="1461">
        <v>91</v>
      </c>
      <c r="B94" s="1162" t="str">
        <f>VLOOKUP(A94,'ANEXO PLIEGO_1'!$A$4:$C$132,2)</f>
        <v>Suministro e instalación de Cinta de señalización, de calibre mínimo 2 mm de 10 cm de ancho por 500m de longitud por rollo.</v>
      </c>
      <c r="C94" s="1163" t="str">
        <f>VLOOKUP(A94,'ANEXO PLIEGO_1'!$A$4:$C$132,3)</f>
        <v>M</v>
      </c>
      <c r="D94" s="1478">
        <v>2051.36</v>
      </c>
      <c r="E94" s="1078">
        <f t="shared" si="16"/>
        <v>119</v>
      </c>
      <c r="F94" s="1472">
        <f t="shared" si="14"/>
        <v>244112</v>
      </c>
      <c r="G94" s="1189"/>
      <c r="H94" s="1479">
        <v>3418.5540000000001</v>
      </c>
      <c r="I94" s="1078">
        <f t="shared" si="17"/>
        <v>126</v>
      </c>
      <c r="J94" s="1472">
        <f t="shared" si="18"/>
        <v>430738</v>
      </c>
      <c r="K94" s="1439"/>
      <c r="L94" s="1480">
        <v>2054.2460000000001</v>
      </c>
      <c r="M94" s="1197">
        <f t="shared" si="19"/>
        <v>130</v>
      </c>
      <c r="N94" s="1472">
        <f t="shared" si="25"/>
        <v>267052</v>
      </c>
      <c r="O94" s="1440"/>
      <c r="P94" s="1480">
        <v>3844.846</v>
      </c>
      <c r="Q94" s="1201">
        <f t="shared" si="20"/>
        <v>134</v>
      </c>
      <c r="R94" s="1472">
        <f t="shared" si="26"/>
        <v>515209</v>
      </c>
      <c r="S94" s="522"/>
      <c r="T94" s="1155">
        <f>+ROUND(VLOOKUP(A94,'ANEXO PLIEGO_1'!$A$4:$E$128,5,FALSE)*(1+'ANEXO PLIEGO_1'!$F$138),0)</f>
        <v>119</v>
      </c>
      <c r="U94" s="1154">
        <f t="shared" si="21"/>
        <v>126</v>
      </c>
      <c r="V94" s="1154">
        <f t="shared" si="22"/>
        <v>130</v>
      </c>
      <c r="W94" s="1165">
        <f t="shared" si="23"/>
        <v>134</v>
      </c>
      <c r="X94" s="447"/>
      <c r="Y94" s="1129">
        <v>94</v>
      </c>
      <c r="Z94" s="1080" t="str">
        <f t="shared" si="15"/>
        <v/>
      </c>
      <c r="AD94" s="1425" t="str">
        <f t="shared" si="24"/>
        <v>Suministro e instalación de Cinta de señalización, de calibre mínimo 2 mm de 10 cm de ancho por 500m de longitud por rollo.</v>
      </c>
    </row>
    <row r="95" spans="1:30" s="1167" customFormat="1" ht="24.75" customHeight="1" x14ac:dyDescent="0.25">
      <c r="A95" s="1461">
        <v>92</v>
      </c>
      <c r="B95" s="1162" t="str">
        <f>VLOOKUP(A95,'ANEXO PLIEGO_1'!$A$4:$C$132,2)</f>
        <v>Suministro e instalación de pasacalle en tela vendaval.</v>
      </c>
      <c r="C95" s="1163" t="str">
        <f>VLOOKUP(A95,'ANEXO PLIEGO_1'!$A$4:$C$132,3)</f>
        <v>M2</v>
      </c>
      <c r="D95" s="1166">
        <v>74</v>
      </c>
      <c r="E95" s="1191">
        <f t="shared" si="16"/>
        <v>156833</v>
      </c>
      <c r="F95" s="1472">
        <f t="shared" si="14"/>
        <v>11605642</v>
      </c>
      <c r="G95" s="1189"/>
      <c r="H95" s="1455">
        <v>145</v>
      </c>
      <c r="I95" s="1078">
        <f t="shared" si="17"/>
        <v>165820</v>
      </c>
      <c r="J95" s="1472">
        <f t="shared" si="18"/>
        <v>24043900</v>
      </c>
      <c r="K95" s="590"/>
      <c r="L95" s="1456">
        <v>145</v>
      </c>
      <c r="M95" s="1078">
        <f t="shared" si="19"/>
        <v>171176</v>
      </c>
      <c r="N95" s="1472">
        <f t="shared" si="25"/>
        <v>24820520</v>
      </c>
      <c r="O95" s="522"/>
      <c r="P95" s="1456">
        <v>72</v>
      </c>
      <c r="Q95" s="1202">
        <f t="shared" si="20"/>
        <v>176311</v>
      </c>
      <c r="R95" s="1472">
        <f t="shared" si="26"/>
        <v>12694392</v>
      </c>
      <c r="S95" s="522"/>
      <c r="T95" s="1155">
        <f>+ROUND(VLOOKUP(A95,'ANEXO PLIEGO_1'!$A$4:$E$128,5,FALSE)*(1+'ANEXO PLIEGO_1'!$F$138),0)</f>
        <v>156833</v>
      </c>
      <c r="U95" s="1154">
        <f t="shared" si="21"/>
        <v>165820</v>
      </c>
      <c r="V95" s="1154">
        <f t="shared" si="22"/>
        <v>171176</v>
      </c>
      <c r="W95" s="1165">
        <f t="shared" si="23"/>
        <v>176311</v>
      </c>
      <c r="X95" s="447"/>
      <c r="Y95" s="1129">
        <v>95</v>
      </c>
      <c r="Z95" s="1080" t="str">
        <f t="shared" si="15"/>
        <v/>
      </c>
      <c r="AD95" s="1425" t="str">
        <f t="shared" si="24"/>
        <v>Suministro e instalación de pasacalle en tela vendaval.</v>
      </c>
    </row>
    <row r="96" spans="1:30" s="1167" customFormat="1" ht="27" customHeight="1" x14ac:dyDescent="0.25">
      <c r="A96" s="1461">
        <v>93</v>
      </c>
      <c r="B96" s="1162" t="str">
        <f>VLOOKUP(A96,'ANEXO PLIEGO_1'!$A$4:$C$132,2)</f>
        <v>Suministro e instalación  de cierre con polisombra al 65% mixta (azul traslucido-verde) de altura 2,1 metros.</v>
      </c>
      <c r="C96" s="1163" t="str">
        <f>VLOOKUP(A96,'ANEXO PLIEGO_1'!$A$4:$C$132,3)</f>
        <v>M2</v>
      </c>
      <c r="D96" s="1166">
        <v>4</v>
      </c>
      <c r="E96" s="1191">
        <f t="shared" si="16"/>
        <v>29717</v>
      </c>
      <c r="F96" s="1472">
        <f t="shared" si="14"/>
        <v>118868</v>
      </c>
      <c r="G96" s="1189"/>
      <c r="H96" s="1455">
        <v>9</v>
      </c>
      <c r="I96" s="1078">
        <f t="shared" si="17"/>
        <v>31420</v>
      </c>
      <c r="J96" s="1472">
        <f t="shared" si="18"/>
        <v>282780</v>
      </c>
      <c r="K96" s="590"/>
      <c r="L96" s="1456">
        <v>9</v>
      </c>
      <c r="M96" s="1078">
        <f t="shared" si="19"/>
        <v>32435</v>
      </c>
      <c r="N96" s="1472">
        <f t="shared" si="25"/>
        <v>291915</v>
      </c>
      <c r="O96" s="522"/>
      <c r="P96" s="1456">
        <v>5</v>
      </c>
      <c r="Q96" s="1202">
        <f t="shared" si="20"/>
        <v>33408</v>
      </c>
      <c r="R96" s="1472">
        <f t="shared" si="26"/>
        <v>167040</v>
      </c>
      <c r="S96" s="522"/>
      <c r="T96" s="1155">
        <f>+ROUND(VLOOKUP(A96,'ANEXO PLIEGO_1'!$A$4:$E$128,5,FALSE)*(1+'ANEXO PLIEGO_1'!$F$138),0)</f>
        <v>29717</v>
      </c>
      <c r="U96" s="1154">
        <f t="shared" si="21"/>
        <v>31420</v>
      </c>
      <c r="V96" s="1154">
        <f t="shared" si="22"/>
        <v>32435</v>
      </c>
      <c r="W96" s="1165">
        <f t="shared" si="23"/>
        <v>33408</v>
      </c>
      <c r="X96" s="447"/>
      <c r="Y96" s="1129">
        <v>97</v>
      </c>
      <c r="Z96" s="1080" t="str">
        <f t="shared" si="15"/>
        <v/>
      </c>
      <c r="AD96" s="1425" t="str">
        <f t="shared" si="24"/>
        <v>Suministro e instalación  de cierre con polisombra al 65% mixta (azul traslucido-verde) de altura 2,1 metros.</v>
      </c>
    </row>
    <row r="97" spans="1:30" s="1167" customFormat="1" ht="27" customHeight="1" x14ac:dyDescent="0.25">
      <c r="A97" s="1461">
        <v>94</v>
      </c>
      <c r="B97" s="1162" t="str">
        <f>VLOOKUP(A97,'ANEXO PLIEGO_1'!$A$4:$C$132,2)</f>
        <v>Retiro de tachones, hito o resaltos portátiles con su respectivo anclaje, incluye entrega en Patios de la SDM</v>
      </c>
      <c r="C97" s="1163" t="str">
        <f>VLOOKUP(A97,'ANEXO PLIEGO_1'!$A$4:$C$132,3)</f>
        <v>UN</v>
      </c>
      <c r="D97" s="1166">
        <v>87</v>
      </c>
      <c r="E97" s="1191">
        <f t="shared" si="16"/>
        <v>8356</v>
      </c>
      <c r="F97" s="1472">
        <f t="shared" si="14"/>
        <v>726972</v>
      </c>
      <c r="G97" s="1189"/>
      <c r="H97" s="1455">
        <v>172</v>
      </c>
      <c r="I97" s="1078">
        <f t="shared" si="17"/>
        <v>8835</v>
      </c>
      <c r="J97" s="1472">
        <f t="shared" si="18"/>
        <v>1519620</v>
      </c>
      <c r="K97" s="590"/>
      <c r="L97" s="1456">
        <v>172</v>
      </c>
      <c r="M97" s="1078">
        <f t="shared" si="19"/>
        <v>9120</v>
      </c>
      <c r="N97" s="1472">
        <f t="shared" si="25"/>
        <v>1568640</v>
      </c>
      <c r="O97" s="522"/>
      <c r="P97" s="1456">
        <v>92</v>
      </c>
      <c r="Q97" s="1202">
        <f t="shared" si="20"/>
        <v>9394</v>
      </c>
      <c r="R97" s="1472">
        <f t="shared" si="26"/>
        <v>864248</v>
      </c>
      <c r="S97" s="522"/>
      <c r="T97" s="1155">
        <f>+ROUND(VLOOKUP(A97,'ANEXO PLIEGO_1'!$A$4:$E$128,5,FALSE)*(1+'ANEXO PLIEGO_1'!$F$138),0)</f>
        <v>8356</v>
      </c>
      <c r="U97" s="1154">
        <f t="shared" si="21"/>
        <v>8835</v>
      </c>
      <c r="V97" s="1154">
        <f t="shared" si="22"/>
        <v>9120</v>
      </c>
      <c r="W97" s="1165">
        <f t="shared" si="23"/>
        <v>9394</v>
      </c>
      <c r="X97" s="447"/>
      <c r="Y97" s="1129">
        <v>98</v>
      </c>
      <c r="Z97" s="1080" t="str">
        <f t="shared" si="15"/>
        <v/>
      </c>
      <c r="AD97" s="1425" t="str">
        <f t="shared" si="24"/>
        <v>Retiro de tachones, hito o resaltos portátiles con su respectivo anclaje, incluye entrega en Patios de la SDM</v>
      </c>
    </row>
    <row r="98" spans="1:30" s="1167" customFormat="1" ht="27" x14ac:dyDescent="0.25">
      <c r="A98" s="1461">
        <v>95</v>
      </c>
      <c r="B98" s="1162" t="str">
        <f>VLOOKUP(A98,'ANEXO PLIEGO_1'!$A$4:$C$132,2)</f>
        <v>Retiro de tachas reflectivas ó estoperoles con su respectivo anclaje, incluye entrega en Patios de la SDM</v>
      </c>
      <c r="C98" s="1163" t="str">
        <f>VLOOKUP(A98,'ANEXO PLIEGO_1'!$A$4:$C$132,3)</f>
        <v>UN</v>
      </c>
      <c r="D98" s="1166">
        <f>671+28+14+30</f>
        <v>743</v>
      </c>
      <c r="E98" s="1191">
        <f t="shared" si="16"/>
        <v>3749</v>
      </c>
      <c r="F98" s="1472">
        <f t="shared" si="14"/>
        <v>2785507</v>
      </c>
      <c r="G98" s="1189"/>
      <c r="H98" s="1455">
        <v>1727</v>
      </c>
      <c r="I98" s="1078">
        <f t="shared" si="17"/>
        <v>3964</v>
      </c>
      <c r="J98" s="1472">
        <f t="shared" si="18"/>
        <v>6845828</v>
      </c>
      <c r="K98" s="590"/>
      <c r="L98" s="1456">
        <v>1408</v>
      </c>
      <c r="M98" s="1078">
        <f t="shared" si="19"/>
        <v>4092</v>
      </c>
      <c r="N98" s="1472">
        <f t="shared" si="25"/>
        <v>5761536</v>
      </c>
      <c r="O98" s="522"/>
      <c r="P98" s="1456">
        <v>613</v>
      </c>
      <c r="Q98" s="1202">
        <f t="shared" si="20"/>
        <v>4215</v>
      </c>
      <c r="R98" s="1472">
        <f t="shared" si="26"/>
        <v>2583795</v>
      </c>
      <c r="S98" s="522"/>
      <c r="T98" s="1155">
        <f>+ROUND(VLOOKUP(A98,'ANEXO PLIEGO_1'!$A$4:$E$128,5,FALSE)*(1+'ANEXO PLIEGO_1'!$F$138),0)</f>
        <v>3749</v>
      </c>
      <c r="U98" s="1154">
        <f t="shared" si="21"/>
        <v>3964</v>
      </c>
      <c r="V98" s="1154">
        <f t="shared" si="22"/>
        <v>4092</v>
      </c>
      <c r="W98" s="1165">
        <f t="shared" si="23"/>
        <v>4215</v>
      </c>
      <c r="X98" s="447"/>
      <c r="Y98" s="1129">
        <v>99</v>
      </c>
      <c r="Z98" s="1080" t="str">
        <f t="shared" si="15"/>
        <v/>
      </c>
      <c r="AD98" s="1425" t="str">
        <f t="shared" si="24"/>
        <v>Retiro de tachas reflectivas ó estoperoles con su respectivo anclaje, incluye entrega en Patios de la SDM</v>
      </c>
    </row>
    <row r="99" spans="1:30" s="1167" customFormat="1" ht="18.75" customHeight="1" x14ac:dyDescent="0.25">
      <c r="A99" s="1461">
        <v>96</v>
      </c>
      <c r="B99" s="1162" t="str">
        <f>VLOOKUP(A99,'ANEXO PLIEGO_1'!$A$4:$C$132,2)</f>
        <v>Retiro de bandas en agregado.</v>
      </c>
      <c r="C99" s="1163" t="str">
        <f>VLOOKUP(A99,'ANEXO PLIEGO_1'!$A$4:$C$132,3)</f>
        <v>M2</v>
      </c>
      <c r="D99" s="1166">
        <v>10</v>
      </c>
      <c r="E99" s="1191">
        <f t="shared" si="16"/>
        <v>20267</v>
      </c>
      <c r="F99" s="1472">
        <f t="shared" si="14"/>
        <v>202670</v>
      </c>
      <c r="G99" s="1189"/>
      <c r="H99" s="1455">
        <v>18</v>
      </c>
      <c r="I99" s="1078">
        <f t="shared" si="17"/>
        <v>21428</v>
      </c>
      <c r="J99" s="1472">
        <f t="shared" si="18"/>
        <v>385704</v>
      </c>
      <c r="K99" s="590"/>
      <c r="L99" s="1456">
        <v>18</v>
      </c>
      <c r="M99" s="1078">
        <f t="shared" si="19"/>
        <v>22120</v>
      </c>
      <c r="N99" s="1472">
        <f t="shared" si="25"/>
        <v>398160</v>
      </c>
      <c r="O99" s="522"/>
      <c r="P99" s="1193">
        <v>10</v>
      </c>
      <c r="Q99" s="1202">
        <f t="shared" si="20"/>
        <v>22784</v>
      </c>
      <c r="R99" s="1472">
        <f t="shared" si="26"/>
        <v>227840</v>
      </c>
      <c r="S99" s="522"/>
      <c r="T99" s="1155">
        <f>+ROUND(VLOOKUP(A99,'ANEXO PLIEGO_1'!$A$4:$E$128,5,FALSE)*(1+'ANEXO PLIEGO_1'!$F$138),0)</f>
        <v>20267</v>
      </c>
      <c r="U99" s="1154">
        <f t="shared" si="21"/>
        <v>21428</v>
      </c>
      <c r="V99" s="1154">
        <f t="shared" si="22"/>
        <v>22120</v>
      </c>
      <c r="W99" s="1165">
        <f t="shared" si="23"/>
        <v>22784</v>
      </c>
      <c r="X99" s="447"/>
      <c r="Y99" s="1129">
        <v>100</v>
      </c>
      <c r="Z99" s="1080" t="str">
        <f t="shared" si="15"/>
        <v/>
      </c>
      <c r="AD99" s="1425" t="str">
        <f t="shared" si="24"/>
        <v>Retiro de bandas en agregado.</v>
      </c>
    </row>
    <row r="100" spans="1:30" s="1167" customFormat="1" ht="24.75" customHeight="1" x14ac:dyDescent="0.25">
      <c r="A100" s="1461">
        <v>97</v>
      </c>
      <c r="B100" s="1162" t="str">
        <f>VLOOKUP(A100,'ANEXO PLIEGO_1'!$A$4:$C$132,2)</f>
        <v>Retiro de pasacalle, incluye transporte a patios de la SDM</v>
      </c>
      <c r="C100" s="1163" t="str">
        <f>VLOOKUP(A100,'ANEXO PLIEGO_1'!$A$4:$C$132,3)</f>
        <v>UN</v>
      </c>
      <c r="D100" s="1166">
        <v>10</v>
      </c>
      <c r="E100" s="1191">
        <f t="shared" si="16"/>
        <v>56101</v>
      </c>
      <c r="F100" s="1472">
        <f t="shared" si="14"/>
        <v>561010</v>
      </c>
      <c r="G100" s="1189"/>
      <c r="H100" s="1455">
        <v>6</v>
      </c>
      <c r="I100" s="1078">
        <f t="shared" si="17"/>
        <v>59316</v>
      </c>
      <c r="J100" s="1472">
        <f t="shared" si="18"/>
        <v>355896</v>
      </c>
      <c r="K100" s="590"/>
      <c r="L100" s="1456">
        <v>6</v>
      </c>
      <c r="M100" s="1195">
        <f t="shared" si="19"/>
        <v>61232</v>
      </c>
      <c r="N100" s="1472">
        <f t="shared" si="25"/>
        <v>367392</v>
      </c>
      <c r="O100" s="522"/>
      <c r="P100" s="1193">
        <v>4</v>
      </c>
      <c r="Q100" s="1203">
        <f t="shared" si="20"/>
        <v>63069</v>
      </c>
      <c r="R100" s="1472">
        <f t="shared" si="26"/>
        <v>252276</v>
      </c>
      <c r="S100" s="522"/>
      <c r="T100" s="1155">
        <f>+ROUND(VLOOKUP(A100,'ANEXO PLIEGO_1'!$A$4:$E$128,5,FALSE)*(1+'ANEXO PLIEGO_1'!$F$138),0)</f>
        <v>56101</v>
      </c>
      <c r="U100" s="1154">
        <f t="shared" si="21"/>
        <v>59316</v>
      </c>
      <c r="V100" s="1154">
        <f t="shared" si="22"/>
        <v>61232</v>
      </c>
      <c r="W100" s="1165">
        <f t="shared" si="23"/>
        <v>63069</v>
      </c>
      <c r="X100" s="447"/>
      <c r="Y100" s="1129">
        <v>101</v>
      </c>
      <c r="Z100" s="1080" t="str">
        <f t="shared" ref="Z100:Z131" si="27">IF(Y100=A100,1,"")</f>
        <v/>
      </c>
      <c r="AD100" s="1425" t="str">
        <f t="shared" si="24"/>
        <v>Retiro de pasacalle, incluye transporte a patios de la SDM</v>
      </c>
    </row>
    <row r="101" spans="1:30" ht="40.5" x14ac:dyDescent="0.25">
      <c r="A101" s="1461">
        <v>98</v>
      </c>
      <c r="B101" s="1162" t="str">
        <f>VLOOKUP(A101,'ANEXO PLIEGO_1'!$A$4:$C$132,2)</f>
        <v>Desmonte y retiro a nivel de Estructura metálica, tableros y/o lamas existentes de señales con pedestal de 4" a 12" de diámetro, Incluye transporte a patios de la SDM</v>
      </c>
      <c r="C101" s="1163" t="str">
        <f>VLOOKUP(A101,'ANEXO PLIEGO_1'!$A$4:$C$132,3)</f>
        <v>UN</v>
      </c>
      <c r="D101" s="1166">
        <v>1</v>
      </c>
      <c r="E101" s="1191">
        <f t="shared" si="16"/>
        <v>1115424</v>
      </c>
      <c r="F101" s="1472">
        <f t="shared" si="14"/>
        <v>1115424</v>
      </c>
      <c r="G101" s="1189"/>
      <c r="H101" s="1455">
        <v>2</v>
      </c>
      <c r="I101" s="1078">
        <f t="shared" si="17"/>
        <v>1179338</v>
      </c>
      <c r="J101" s="1472">
        <f t="shared" si="18"/>
        <v>2358676</v>
      </c>
      <c r="K101" s="590"/>
      <c r="L101" s="1457">
        <v>2</v>
      </c>
      <c r="M101" s="1078">
        <f t="shared" si="19"/>
        <v>1217431</v>
      </c>
      <c r="N101" s="1472">
        <f t="shared" si="25"/>
        <v>2434862</v>
      </c>
      <c r="O101" s="522"/>
      <c r="P101" s="1194">
        <v>1</v>
      </c>
      <c r="Q101" s="1202">
        <f t="shared" si="20"/>
        <v>1253954</v>
      </c>
      <c r="R101" s="1472">
        <f t="shared" si="26"/>
        <v>1253954</v>
      </c>
      <c r="S101" s="522"/>
      <c r="T101" s="1155">
        <f>+ROUND(VLOOKUP(A101,'ANEXO PLIEGO_1'!$A$4:$E$128,5,FALSE)*(1+'ANEXO PLIEGO_1'!$F$138),0)</f>
        <v>1115424</v>
      </c>
      <c r="U101" s="1154">
        <f t="shared" si="21"/>
        <v>1179338</v>
      </c>
      <c r="V101" s="1154">
        <f t="shared" si="22"/>
        <v>1217431</v>
      </c>
      <c r="W101" s="1165">
        <f t="shared" si="23"/>
        <v>1253954</v>
      </c>
      <c r="Y101" s="1129">
        <v>102</v>
      </c>
      <c r="Z101" s="1080" t="str">
        <f t="shared" si="27"/>
        <v/>
      </c>
      <c r="AD101" s="1425" t="str">
        <f t="shared" si="24"/>
        <v>Desmonte y retiro a nivel de Estructura metálica, tableros y/o lamas existentes de señales con pedestal de 4" a 12" de diámetro, Incluye transporte a patios de la SDM</v>
      </c>
    </row>
    <row r="102" spans="1:30" ht="13.5" x14ac:dyDescent="0.25">
      <c r="A102" s="1461">
        <v>99</v>
      </c>
      <c r="B102" s="1162" t="str">
        <f>VLOOKUP(A102,'ANEXO PLIEGO_1'!$A$4:$C$132,2)</f>
        <v>Limpieza con hidrolavado</v>
      </c>
      <c r="C102" s="1163" t="str">
        <f>VLOOKUP(A102,'ANEXO PLIEGO_1'!$A$4:$C$132,3)</f>
        <v>UN</v>
      </c>
      <c r="D102" s="1166">
        <v>91</v>
      </c>
      <c r="E102" s="1191">
        <f t="shared" si="16"/>
        <v>8899</v>
      </c>
      <c r="F102" s="1472">
        <f t="shared" si="14"/>
        <v>809809</v>
      </c>
      <c r="G102" s="1189"/>
      <c r="H102" s="1455">
        <v>175</v>
      </c>
      <c r="I102" s="1078">
        <f t="shared" si="17"/>
        <v>9409</v>
      </c>
      <c r="J102" s="1472">
        <f t="shared" si="18"/>
        <v>1646575</v>
      </c>
      <c r="K102" s="590"/>
      <c r="L102" s="1456">
        <v>174</v>
      </c>
      <c r="M102" s="1078">
        <f t="shared" si="19"/>
        <v>9713</v>
      </c>
      <c r="N102" s="1472">
        <f t="shared" si="25"/>
        <v>1690062</v>
      </c>
      <c r="O102" s="522"/>
      <c r="P102" s="1193">
        <v>84</v>
      </c>
      <c r="Q102" s="1202">
        <f t="shared" si="20"/>
        <v>10004</v>
      </c>
      <c r="R102" s="1472">
        <f t="shared" si="26"/>
        <v>840336</v>
      </c>
      <c r="S102" s="522"/>
      <c r="T102" s="1155">
        <f>+ROUND(VLOOKUP(A102,'ANEXO PLIEGO_1'!$A$4:$E$128,5,FALSE)*(1+'ANEXO PLIEGO_1'!$F$138),0)</f>
        <v>8899</v>
      </c>
      <c r="U102" s="1154">
        <f t="shared" si="21"/>
        <v>9409</v>
      </c>
      <c r="V102" s="1154">
        <f t="shared" si="22"/>
        <v>9713</v>
      </c>
      <c r="W102" s="1165">
        <f t="shared" si="23"/>
        <v>10004</v>
      </c>
      <c r="Y102" s="1129">
        <v>103</v>
      </c>
      <c r="Z102" s="1080" t="str">
        <f t="shared" si="27"/>
        <v/>
      </c>
      <c r="AD102" s="1425" t="str">
        <f t="shared" si="24"/>
        <v>Limpieza con hidrolavado</v>
      </c>
    </row>
    <row r="103" spans="1:30" ht="21" customHeight="1" x14ac:dyDescent="0.25">
      <c r="A103" s="1461">
        <v>100</v>
      </c>
      <c r="B103" s="1162" t="str">
        <f>VLOOKUP(A103,'ANEXO PLIEGO_1'!$A$4:$C$132,2)</f>
        <v>Borrado mecánico de marcas viales.</v>
      </c>
      <c r="C103" s="1163" t="str">
        <f>VLOOKUP(A103,'ANEXO PLIEGO_1'!$A$4:$C$132,3)</f>
        <v>M2</v>
      </c>
      <c r="D103" s="1166">
        <v>51</v>
      </c>
      <c r="E103" s="1191">
        <f t="shared" si="16"/>
        <v>45190</v>
      </c>
      <c r="F103" s="1472">
        <f t="shared" si="14"/>
        <v>2304690</v>
      </c>
      <c r="G103" s="1189"/>
      <c r="H103" s="1455">
        <v>99</v>
      </c>
      <c r="I103" s="1078">
        <f t="shared" si="17"/>
        <v>47779</v>
      </c>
      <c r="J103" s="1472">
        <f t="shared" si="18"/>
        <v>4730121</v>
      </c>
      <c r="K103" s="590"/>
      <c r="L103" s="1456">
        <v>99</v>
      </c>
      <c r="M103" s="1078">
        <f t="shared" si="19"/>
        <v>49322</v>
      </c>
      <c r="N103" s="1472">
        <f t="shared" si="25"/>
        <v>4882878</v>
      </c>
      <c r="O103" s="522"/>
      <c r="P103" s="1193">
        <v>52</v>
      </c>
      <c r="Q103" s="1202">
        <f t="shared" si="20"/>
        <v>50802</v>
      </c>
      <c r="R103" s="1472">
        <f t="shared" si="26"/>
        <v>2641704</v>
      </c>
      <c r="S103" s="522"/>
      <c r="T103" s="1155">
        <f>+ROUND(VLOOKUP(A103,'ANEXO PLIEGO_1'!$A$4:$E$128,5,FALSE)*(1+'ANEXO PLIEGO_1'!$F$138),0)</f>
        <v>45190</v>
      </c>
      <c r="U103" s="1154">
        <f t="shared" si="21"/>
        <v>47779</v>
      </c>
      <c r="V103" s="1154">
        <f t="shared" si="22"/>
        <v>49322</v>
      </c>
      <c r="W103" s="1165">
        <f t="shared" si="23"/>
        <v>50802</v>
      </c>
      <c r="Y103" s="1129">
        <v>104</v>
      </c>
      <c r="Z103" s="1080" t="str">
        <f t="shared" si="27"/>
        <v/>
      </c>
      <c r="AD103" s="1425" t="str">
        <f t="shared" si="24"/>
        <v>Borrado mecánico de marcas viales.</v>
      </c>
    </row>
    <row r="104" spans="1:30" ht="21" customHeight="1" x14ac:dyDescent="0.25">
      <c r="A104" s="1461">
        <v>101</v>
      </c>
      <c r="B104" s="1162" t="str">
        <f>VLOOKUP(A104,'ANEXO PLIEGO_1'!$A$4:$C$132,2)</f>
        <v>Transporte de materiales</v>
      </c>
      <c r="C104" s="1163" t="str">
        <f>VLOOKUP(A104,'ANEXO PLIEGO_1'!$A$4:$C$132,3)</f>
        <v>TON</v>
      </c>
      <c r="D104" s="1166">
        <v>237</v>
      </c>
      <c r="E104" s="1191">
        <f t="shared" si="16"/>
        <v>86483</v>
      </c>
      <c r="F104" s="1472">
        <f t="shared" si="14"/>
        <v>20496471</v>
      </c>
      <c r="G104" s="1189"/>
      <c r="H104" s="1455">
        <v>467</v>
      </c>
      <c r="I104" s="1078">
        <f t="shared" si="17"/>
        <v>91438</v>
      </c>
      <c r="J104" s="1472">
        <f t="shared" si="18"/>
        <v>42701546</v>
      </c>
      <c r="K104" s="590"/>
      <c r="L104" s="1456">
        <v>468</v>
      </c>
      <c r="M104" s="1078">
        <f t="shared" si="19"/>
        <v>94391</v>
      </c>
      <c r="N104" s="1472">
        <f t="shared" si="25"/>
        <v>44174988</v>
      </c>
      <c r="O104" s="522"/>
      <c r="P104" s="1193">
        <v>236</v>
      </c>
      <c r="Q104" s="1202">
        <f t="shared" si="20"/>
        <v>97223</v>
      </c>
      <c r="R104" s="1472">
        <f t="shared" si="26"/>
        <v>22944628</v>
      </c>
      <c r="S104" s="522"/>
      <c r="T104" s="1155">
        <f>+ROUND(VLOOKUP(A104,'ANEXO PLIEGO_1'!$A$4:$E$128,5,FALSE)*(1+'ANEXO PLIEGO_1'!$F$138),0)</f>
        <v>86483</v>
      </c>
      <c r="U104" s="1154">
        <f t="shared" si="21"/>
        <v>91438</v>
      </c>
      <c r="V104" s="1154">
        <f t="shared" si="22"/>
        <v>94391</v>
      </c>
      <c r="W104" s="1165">
        <f t="shared" si="23"/>
        <v>97223</v>
      </c>
      <c r="Y104" s="1129">
        <v>105</v>
      </c>
      <c r="Z104" s="1080" t="str">
        <f t="shared" si="27"/>
        <v/>
      </c>
      <c r="AD104" s="1425" t="str">
        <f t="shared" si="24"/>
        <v>Transporte de materiales</v>
      </c>
    </row>
    <row r="105" spans="1:30" ht="36.75" customHeight="1" x14ac:dyDescent="0.25">
      <c r="A105" s="1461">
        <v>102</v>
      </c>
      <c r="B105" s="1162" t="str">
        <f>VLOOKUP(A105,'ANEXO PLIEGO_1'!$A$4:$C$132,2)</f>
        <v>Suministro e instalacion de material granular (recebo)para lastrado de dispositivos de señalizacion (incluye transporte)</v>
      </c>
      <c r="C105" s="1163" t="str">
        <f>VLOOKUP(A105,'ANEXO PLIEGO_1'!$A$4:$C$132,3)</f>
        <v>M3</v>
      </c>
      <c r="D105" s="1166">
        <v>103</v>
      </c>
      <c r="E105" s="1191">
        <f t="shared" si="16"/>
        <v>198117</v>
      </c>
      <c r="F105" s="1472">
        <f t="shared" si="14"/>
        <v>20406051</v>
      </c>
      <c r="G105" s="1189"/>
      <c r="H105" s="1166">
        <v>200</v>
      </c>
      <c r="I105" s="1078">
        <f t="shared" si="17"/>
        <v>209469</v>
      </c>
      <c r="J105" s="1472">
        <f t="shared" si="18"/>
        <v>41893800</v>
      </c>
      <c r="K105" s="590"/>
      <c r="L105" s="1457">
        <v>200</v>
      </c>
      <c r="M105" s="1078">
        <f t="shared" si="19"/>
        <v>216235</v>
      </c>
      <c r="N105" s="1472">
        <f t="shared" si="25"/>
        <v>43247000</v>
      </c>
      <c r="O105" s="522"/>
      <c r="P105" s="1194">
        <v>99</v>
      </c>
      <c r="Q105" s="1202">
        <f t="shared" si="20"/>
        <v>222722</v>
      </c>
      <c r="R105" s="1472">
        <f t="shared" si="26"/>
        <v>22049478</v>
      </c>
      <c r="S105" s="522"/>
      <c r="T105" s="1155">
        <f>+ROUND(VLOOKUP(A105,'ANEXO PLIEGO_1'!$A$4:$E$128,5,FALSE)*(1+'ANEXO PLIEGO_1'!$F$138),0)</f>
        <v>198117</v>
      </c>
      <c r="U105" s="1154">
        <f t="shared" si="21"/>
        <v>209469</v>
      </c>
      <c r="V105" s="1154">
        <f t="shared" si="22"/>
        <v>216235</v>
      </c>
      <c r="W105" s="1165">
        <f t="shared" si="23"/>
        <v>222722</v>
      </c>
      <c r="Y105" s="1129">
        <v>106</v>
      </c>
      <c r="Z105" s="1080" t="str">
        <f t="shared" si="27"/>
        <v/>
      </c>
      <c r="AD105" s="1425" t="str">
        <f t="shared" si="24"/>
        <v>Suministro e instalacion de material granular (recebo)para lastrado de dispositivos de señalizacion (incluye transporte)</v>
      </c>
    </row>
    <row r="106" spans="1:30" ht="74.25" customHeight="1" x14ac:dyDescent="0.25">
      <c r="A106" s="1461">
        <v>103</v>
      </c>
      <c r="B106" s="1162" t="str">
        <f>VLOOKUP(A106,'ANEXO PLIEGO_1'!$A$4:$C$132,2)</f>
        <v>Suministro e instalación de resalto trapezoidal o pompeyano, material con alta resistencia al impacto, largo min 2,5 m, 2 rampas de acceso largo 1 m pendiente 15%  máx.  y altura 10 cm, incluye elementos de sujeción (figura 5-30 Resolución 20243040045005 de 17 de septiembre de 2024 ). (Por metro de ancho vial)</v>
      </c>
      <c r="C106" s="1163" t="str">
        <f>VLOOKUP(A106,'ANEXO PLIEGO_1'!$A$4:$C$132,3)</f>
        <v>M2</v>
      </c>
      <c r="D106" s="1166">
        <v>3</v>
      </c>
      <c r="E106" s="1191">
        <f t="shared" si="16"/>
        <v>5265435</v>
      </c>
      <c r="F106" s="1472">
        <f t="shared" si="14"/>
        <v>15796305</v>
      </c>
      <c r="G106" s="1189"/>
      <c r="H106" s="1166">
        <v>6</v>
      </c>
      <c r="I106" s="1078">
        <f t="shared" si="17"/>
        <v>5567144</v>
      </c>
      <c r="J106" s="1472">
        <f t="shared" si="18"/>
        <v>33402864</v>
      </c>
      <c r="K106" s="590"/>
      <c r="L106" s="1456">
        <v>6</v>
      </c>
      <c r="M106" s="1195">
        <f t="shared" si="19"/>
        <v>5746963</v>
      </c>
      <c r="N106" s="1472">
        <f t="shared" si="25"/>
        <v>34481778</v>
      </c>
      <c r="O106" s="522"/>
      <c r="P106" s="1193">
        <v>3</v>
      </c>
      <c r="Q106" s="1203">
        <f t="shared" si="20"/>
        <v>5919372</v>
      </c>
      <c r="R106" s="1472">
        <f t="shared" si="26"/>
        <v>17758116</v>
      </c>
      <c r="S106" s="522"/>
      <c r="T106" s="1155">
        <f>+ROUND(VLOOKUP(A106,'ANEXO PLIEGO_1'!$A$4:$E$128,5,FALSE)*(1+'ANEXO PLIEGO_1'!$F$138),0)</f>
        <v>5265435</v>
      </c>
      <c r="U106" s="1154">
        <f t="shared" si="21"/>
        <v>5567144</v>
      </c>
      <c r="V106" s="1154">
        <f t="shared" si="22"/>
        <v>5746963</v>
      </c>
      <c r="W106" s="1165">
        <f t="shared" si="23"/>
        <v>5919372</v>
      </c>
      <c r="Y106" s="1129">
        <v>107</v>
      </c>
      <c r="Z106" s="1080" t="str">
        <f t="shared" si="27"/>
        <v/>
      </c>
      <c r="AD106" s="1425" t="str">
        <f t="shared" si="24"/>
        <v>Suministro e instalación de resalto trapezoidal o pompeyano, material con alta resistencia al impacto, largo min 2,5 m, 2 rampas de acceso largo 1 m pendiente 15%  máx.  y altura 10 cm, incluye elementos de sujeción (figura 5-30 Resolución 20243040045005 de 17 de septiembre de 2024 ). (Por metro de ancho vial)</v>
      </c>
    </row>
    <row r="107" spans="1:30" ht="66" customHeight="1" x14ac:dyDescent="0.25">
      <c r="A107" s="1461">
        <v>104</v>
      </c>
      <c r="B107" s="1162" t="str">
        <f>VLOOKUP(A107,'ANEXO PLIEGO_1'!$A$4:$C$132,2)</f>
        <v>Suministro e instalación de marcador cilíndrico o hito tubular, color amarillo, material sintético flexible, dos bandas de min 10 cm en material reflectivo blanco tipo IV o superior, altura entre 45 y 80 cm, diámetro entre 9,5 y 21,5 cm (figura 5-23 Resolución 20243040045005 de 17 de septiembre de 2024), incluye elementos de sujeción</v>
      </c>
      <c r="C107" s="1163" t="str">
        <f>VLOOKUP(A107,'ANEXO PLIEGO_1'!$A$4:$C$132,3)</f>
        <v>UN</v>
      </c>
      <c r="D107" s="1166">
        <v>5</v>
      </c>
      <c r="E107" s="1191">
        <f t="shared" si="16"/>
        <v>172251</v>
      </c>
      <c r="F107" s="1472">
        <f t="shared" si="14"/>
        <v>861255</v>
      </c>
      <c r="G107" s="1189"/>
      <c r="H107" s="1166">
        <v>11</v>
      </c>
      <c r="I107" s="1078">
        <f t="shared" si="17"/>
        <v>182121</v>
      </c>
      <c r="J107" s="1472">
        <f t="shared" si="18"/>
        <v>2003331</v>
      </c>
      <c r="K107" s="590"/>
      <c r="L107" s="1456">
        <v>11</v>
      </c>
      <c r="M107" s="1078">
        <f t="shared" si="19"/>
        <v>188004</v>
      </c>
      <c r="N107" s="1472">
        <f t="shared" si="25"/>
        <v>2068044</v>
      </c>
      <c r="O107" s="522"/>
      <c r="P107" s="1193">
        <v>6</v>
      </c>
      <c r="Q107" s="1202">
        <f t="shared" si="20"/>
        <v>193644</v>
      </c>
      <c r="R107" s="1472">
        <f t="shared" si="26"/>
        <v>1161864</v>
      </c>
      <c r="S107" s="522"/>
      <c r="T107" s="1155">
        <f>+ROUND(VLOOKUP(A107,'ANEXO PLIEGO_1'!$A$4:$E$128,5,FALSE)*(1+'ANEXO PLIEGO_1'!$F$138),0)</f>
        <v>172251</v>
      </c>
      <c r="U107" s="1154">
        <f t="shared" si="21"/>
        <v>182121</v>
      </c>
      <c r="V107" s="1154">
        <f t="shared" si="22"/>
        <v>188004</v>
      </c>
      <c r="W107" s="1165">
        <f t="shared" si="23"/>
        <v>193644</v>
      </c>
      <c r="Y107" s="1129">
        <v>108</v>
      </c>
      <c r="Z107" s="1080" t="str">
        <f t="shared" si="27"/>
        <v/>
      </c>
      <c r="AD107" s="1425" t="str">
        <f t="shared" si="24"/>
        <v>Suministro e instalación de marcador cilíndrico o hito tubular, color amarillo, material sintético flexible, dos bandas de min 10 cm en material reflectivo blanco tipo IV o superior, altura entre 45 y 80 cm, diámetro entre 9,5 y 21,5 cm (figura 5-23 Resolución 20243040045005 de 17 de septiembre de 2024), incluye elementos de sujeción</v>
      </c>
    </row>
    <row r="108" spans="1:30" ht="54" x14ac:dyDescent="0.25">
      <c r="A108" s="1461">
        <v>105</v>
      </c>
      <c r="B108" s="1162" t="str">
        <f>VLOOKUP(A108,'ANEXO PLIEGO_1'!$A$4:$C$132,2)</f>
        <v>Suministro e instalación resalto parabólico y circular, material con alta resistencia al impacto, largo entre 3,7 y 6,7 m y altura máx. 10 cm, incluye elementos de sujeción (figura 5-31 Resolución 20243040045005 de 17 de septiembre de 2024) (por metro de ancho vial)</v>
      </c>
      <c r="C108" s="1163" t="str">
        <f>VLOOKUP(A108,'ANEXO PLIEGO_1'!$A$4:$C$132,3)</f>
        <v>M2</v>
      </c>
      <c r="D108" s="1166">
        <v>3</v>
      </c>
      <c r="E108" s="1191">
        <f t="shared" si="16"/>
        <v>4660016</v>
      </c>
      <c r="F108" s="1472">
        <f t="shared" si="14"/>
        <v>13980048</v>
      </c>
      <c r="G108" s="1189"/>
      <c r="H108" s="1166">
        <v>6</v>
      </c>
      <c r="I108" s="1078">
        <f t="shared" si="17"/>
        <v>4927035</v>
      </c>
      <c r="J108" s="1472">
        <f t="shared" si="18"/>
        <v>29562210</v>
      </c>
      <c r="K108" s="590"/>
      <c r="L108" s="1457">
        <v>6</v>
      </c>
      <c r="M108" s="1195">
        <f t="shared" si="19"/>
        <v>5086178</v>
      </c>
      <c r="N108" s="1472">
        <f t="shared" si="25"/>
        <v>30517068</v>
      </c>
      <c r="O108" s="522"/>
      <c r="P108" s="1194">
        <v>3</v>
      </c>
      <c r="Q108" s="1203">
        <f t="shared" si="20"/>
        <v>5238763</v>
      </c>
      <c r="R108" s="1472">
        <f t="shared" si="26"/>
        <v>15716289</v>
      </c>
      <c r="S108" s="522"/>
      <c r="T108" s="1155">
        <f>+ROUND(VLOOKUP(A108,'ANEXO PLIEGO_1'!$A$4:$E$128,5,FALSE)*(1+'ANEXO PLIEGO_1'!$F$138),0)</f>
        <v>4660016</v>
      </c>
      <c r="U108" s="1154">
        <f t="shared" si="21"/>
        <v>4927035</v>
      </c>
      <c r="V108" s="1154">
        <f t="shared" si="22"/>
        <v>5086178</v>
      </c>
      <c r="W108" s="1165">
        <f t="shared" si="23"/>
        <v>5238763</v>
      </c>
      <c r="Y108" s="1129">
        <v>109</v>
      </c>
      <c r="Z108" s="1080" t="str">
        <f t="shared" si="27"/>
        <v/>
      </c>
      <c r="AD108" s="1425" t="str">
        <f t="shared" si="24"/>
        <v>Suministro e instalación resalto parabólico y circular, material con alta resistencia al impacto, largo entre 3,7 y 6,7 m y altura máx. 10 cm, incluye elementos de sujeción (figura 5-31 Resolución 20243040045005 de 17 de septiembre de 2024) (por metro de ancho vial)</v>
      </c>
    </row>
    <row r="109" spans="1:30" ht="45" customHeight="1" x14ac:dyDescent="0.25">
      <c r="A109" s="1461">
        <v>106</v>
      </c>
      <c r="B109" s="1162" t="str">
        <f>VLOOKUP(A109,'ANEXO PLIEGO_1'!$A$4:$C$132,2)</f>
        <v>Suministro e instalación resalto tipo cojín en caucho con alta resistencia al impacto con largo entre 2 y 3 m, ancho entre 1,6 y 1,8 m y altura entre 6 y 7,5 cm (incluye elementos de sujeción). Figura 5-33 Resolución 20243040045005 de 17 de septiembre de 2024</v>
      </c>
      <c r="C109" s="1163" t="str">
        <f>VLOOKUP(A109,'ANEXO PLIEGO_1'!$A$4:$C$132,3)</f>
        <v>M2</v>
      </c>
      <c r="D109" s="1166">
        <v>1</v>
      </c>
      <c r="E109" s="1191">
        <f t="shared" si="16"/>
        <v>1402382</v>
      </c>
      <c r="F109" s="1472">
        <f t="shared" si="14"/>
        <v>1402382</v>
      </c>
      <c r="G109" s="1189"/>
      <c r="H109" s="1166">
        <v>2</v>
      </c>
      <c r="I109" s="1078">
        <f t="shared" si="17"/>
        <v>1482738</v>
      </c>
      <c r="J109" s="1472">
        <f t="shared" si="18"/>
        <v>2965476</v>
      </c>
      <c r="K109" s="590"/>
      <c r="L109" s="1458">
        <v>2</v>
      </c>
      <c r="M109" s="1197">
        <f t="shared" si="19"/>
        <v>1530630</v>
      </c>
      <c r="N109" s="1472">
        <f t="shared" si="25"/>
        <v>3061260</v>
      </c>
      <c r="O109" s="522"/>
      <c r="P109" s="1196">
        <v>1</v>
      </c>
      <c r="Q109" s="1201">
        <f t="shared" si="20"/>
        <v>1576549</v>
      </c>
      <c r="R109" s="1472">
        <f t="shared" si="26"/>
        <v>1576549</v>
      </c>
      <c r="S109" s="522"/>
      <c r="T109" s="1155">
        <f>+ROUND(VLOOKUP(A109,'ANEXO PLIEGO_1'!$A$4:$E$128,5,FALSE)*(1+'ANEXO PLIEGO_1'!$F$138),0)</f>
        <v>1402382</v>
      </c>
      <c r="U109" s="1154">
        <f t="shared" si="21"/>
        <v>1482738</v>
      </c>
      <c r="V109" s="1154">
        <f t="shared" si="22"/>
        <v>1530630</v>
      </c>
      <c r="W109" s="1165">
        <f t="shared" si="23"/>
        <v>1576549</v>
      </c>
      <c r="Y109" s="1129">
        <v>110</v>
      </c>
      <c r="Z109" s="1080" t="str">
        <f t="shared" si="27"/>
        <v/>
      </c>
      <c r="AD109" s="1425" t="str">
        <f t="shared" si="24"/>
        <v>Suministro e instalación resalto tipo cojín en caucho con alta resistencia al impacto con largo entre 2 y 3 m, ancho entre 1,6 y 1,8 m y altura entre 6 y 7,5 cm (incluye elementos de sujeción). Figura 5-33 Resolución 20243040045005 de 17 de septiembre de 2024</v>
      </c>
    </row>
    <row r="110" spans="1:30" ht="54" x14ac:dyDescent="0.25">
      <c r="A110" s="1461">
        <v>107</v>
      </c>
      <c r="B110" s="1162" t="str">
        <f>VLOOKUP(A110,'ANEXO PLIEGO_1'!$A$4:$C$132,2)</f>
        <v>Suministro e instalación resalto tipo cojín en plástico con alta resistencia al impacto con largo entre 2 y 3 m, ancho entre 1,6 y 1,8 m y altura entre 6 y 7,5 cm (incluye elementos de sujeción). Figura 5-33 Resolución 20243040045005 de 17 de septiembre de 2024</v>
      </c>
      <c r="C110" s="1163" t="str">
        <f>VLOOKUP(A110,'ANEXO PLIEGO_1'!$A$4:$C$132,3)</f>
        <v>M2</v>
      </c>
      <c r="D110" s="1166">
        <v>3</v>
      </c>
      <c r="E110" s="1191">
        <f t="shared" si="16"/>
        <v>3401783</v>
      </c>
      <c r="F110" s="1472">
        <f t="shared" si="14"/>
        <v>10205349</v>
      </c>
      <c r="G110" s="1189"/>
      <c r="H110" s="1166">
        <v>6</v>
      </c>
      <c r="I110" s="1078">
        <f t="shared" si="17"/>
        <v>3596705</v>
      </c>
      <c r="J110" s="1472">
        <f t="shared" si="18"/>
        <v>21580230</v>
      </c>
      <c r="K110" s="590"/>
      <c r="L110" s="1456">
        <v>6</v>
      </c>
      <c r="M110" s="1197">
        <f t="shared" si="19"/>
        <v>3712879</v>
      </c>
      <c r="N110" s="1472">
        <f t="shared" si="25"/>
        <v>22277274</v>
      </c>
      <c r="O110" s="522"/>
      <c r="P110" s="1193">
        <v>3</v>
      </c>
      <c r="Q110" s="1201">
        <f t="shared" si="20"/>
        <v>3824265</v>
      </c>
      <c r="R110" s="1472">
        <f t="shared" si="26"/>
        <v>11472795</v>
      </c>
      <c r="S110" s="522"/>
      <c r="T110" s="1155">
        <f>+ROUND(VLOOKUP(A110,'ANEXO PLIEGO_1'!$A$4:$E$128,5,FALSE)*(1+'ANEXO PLIEGO_1'!$F$138),0)</f>
        <v>3401783</v>
      </c>
      <c r="U110" s="1154">
        <f t="shared" si="21"/>
        <v>3596705</v>
      </c>
      <c r="V110" s="1154">
        <f t="shared" si="22"/>
        <v>3712879</v>
      </c>
      <c r="W110" s="1165">
        <f t="shared" si="23"/>
        <v>3824265</v>
      </c>
      <c r="Y110" s="1129">
        <v>111</v>
      </c>
      <c r="Z110" s="1080" t="str">
        <f t="shared" si="27"/>
        <v/>
      </c>
      <c r="AD110" s="1425" t="str">
        <f t="shared" si="24"/>
        <v>Suministro e instalación resalto tipo cojín en plástico con alta resistencia al impacto con largo entre 2 y 3 m, ancho entre 1,6 y 1,8 m y altura entre 6 y 7,5 cm (incluye elementos de sujeción). Figura 5-33 Resolución 20243040045005 de 17 de septiembre de 2024</v>
      </c>
    </row>
    <row r="111" spans="1:30" ht="54" x14ac:dyDescent="0.25">
      <c r="A111" s="1461">
        <v>108</v>
      </c>
      <c r="B111" s="1162" t="str">
        <f>VLOOKUP(A111,'ANEXO PLIEGO_1'!$A$4:$C$132,2)</f>
        <v>Suministro e instalación islas peatonales ancho min 1,2 m, altura entre 10 y 15 cm, material con alta resistencia al impacto, incluye elementos de sujeción (figura 6.8 Resolución 20243040045005 de 17 de septiembre de 2024)</v>
      </c>
      <c r="C111" s="1163" t="str">
        <f>VLOOKUP(A111,'ANEXO PLIEGO_1'!$A$4:$C$132,3)</f>
        <v>UN</v>
      </c>
      <c r="D111" s="1166">
        <v>2</v>
      </c>
      <c r="E111" s="1191">
        <f t="shared" si="16"/>
        <v>15215640</v>
      </c>
      <c r="F111" s="1472">
        <f t="shared" si="14"/>
        <v>30431280</v>
      </c>
      <c r="G111" s="1189"/>
      <c r="H111" s="1166">
        <v>4</v>
      </c>
      <c r="I111" s="1078">
        <f t="shared" si="17"/>
        <v>16087496</v>
      </c>
      <c r="J111" s="1472">
        <f t="shared" si="18"/>
        <v>64349984</v>
      </c>
      <c r="K111" s="590"/>
      <c r="L111" s="1457">
        <v>4</v>
      </c>
      <c r="M111" s="1197">
        <f t="shared" si="19"/>
        <v>16607122</v>
      </c>
      <c r="N111" s="1472">
        <f t="shared" si="25"/>
        <v>66428488</v>
      </c>
      <c r="O111" s="522"/>
      <c r="P111" s="1194">
        <v>2</v>
      </c>
      <c r="Q111" s="1201">
        <f t="shared" si="20"/>
        <v>17105336</v>
      </c>
      <c r="R111" s="1472">
        <f t="shared" si="26"/>
        <v>34210672</v>
      </c>
      <c r="S111" s="522"/>
      <c r="T111" s="1155">
        <f>+ROUND(VLOOKUP(A111,'ANEXO PLIEGO_1'!$A$4:$E$128,5,FALSE)*(1+'ANEXO PLIEGO_1'!$F$138),0)</f>
        <v>15215640</v>
      </c>
      <c r="U111" s="1154">
        <f t="shared" si="21"/>
        <v>16087496</v>
      </c>
      <c r="V111" s="1154">
        <f t="shared" si="22"/>
        <v>16607122</v>
      </c>
      <c r="W111" s="1165">
        <f t="shared" si="23"/>
        <v>17105336</v>
      </c>
      <c r="Y111" s="1129">
        <v>112</v>
      </c>
      <c r="Z111" s="1080" t="str">
        <f t="shared" si="27"/>
        <v/>
      </c>
      <c r="AD111" s="1425" t="str">
        <f t="shared" si="24"/>
        <v>Suministro e instalación islas peatonales ancho min 1,2 m, altura entre 10 y 15 cm, material con alta resistencia al impacto, incluye elementos de sujeción (figura 6.8 Resolución 20243040045005 de 17 de septiembre de 2024)</v>
      </c>
    </row>
    <row r="112" spans="1:30" ht="54" x14ac:dyDescent="0.25">
      <c r="A112" s="1461">
        <v>109</v>
      </c>
      <c r="B112" s="1162" t="str">
        <f>VLOOKUP(A112,'ANEXO PLIEGO_1'!$A$4:$C$132,2)</f>
        <v>Suministro e instalación islas peatonales ancho min 1,5 m, altura entre 10 y 15 cm, material con alta resistencia al impacto, incluye elementos de sujeción (figura 6.8 Resolución 20243040045005 de 17 de septiembre de 2024)</v>
      </c>
      <c r="C112" s="1163" t="str">
        <f>VLOOKUP(A112,'ANEXO PLIEGO_1'!$A$4:$C$132,3)</f>
        <v>UN</v>
      </c>
      <c r="D112" s="1166">
        <v>1</v>
      </c>
      <c r="E112" s="1191">
        <f t="shared" si="16"/>
        <v>31603867</v>
      </c>
      <c r="F112" s="1472">
        <f t="shared" si="14"/>
        <v>31603867</v>
      </c>
      <c r="G112" s="1189"/>
      <c r="H112" s="1166">
        <v>2</v>
      </c>
      <c r="I112" s="1078">
        <f t="shared" si="17"/>
        <v>33414769</v>
      </c>
      <c r="J112" s="1472">
        <f t="shared" si="18"/>
        <v>66829538</v>
      </c>
      <c r="K112" s="590"/>
      <c r="L112" s="1456">
        <v>2</v>
      </c>
      <c r="M112" s="1197">
        <f t="shared" si="19"/>
        <v>34494066</v>
      </c>
      <c r="N112" s="1472">
        <f t="shared" si="25"/>
        <v>68988132</v>
      </c>
      <c r="O112" s="522"/>
      <c r="P112" s="1193">
        <v>1</v>
      </c>
      <c r="Q112" s="1201">
        <f t="shared" si="20"/>
        <v>35528888</v>
      </c>
      <c r="R112" s="1472">
        <f t="shared" si="26"/>
        <v>35528888</v>
      </c>
      <c r="S112" s="522"/>
      <c r="T112" s="1155">
        <f>+ROUND(VLOOKUP(A112,'ANEXO PLIEGO_1'!$A$4:$E$128,5,FALSE)*(1+'ANEXO PLIEGO_1'!$F$138),0)</f>
        <v>31603867</v>
      </c>
      <c r="U112" s="1154">
        <f t="shared" si="21"/>
        <v>33414769</v>
      </c>
      <c r="V112" s="1154">
        <f t="shared" si="22"/>
        <v>34494066</v>
      </c>
      <c r="W112" s="1165">
        <f t="shared" si="23"/>
        <v>35528888</v>
      </c>
      <c r="Y112" s="1129">
        <v>113</v>
      </c>
      <c r="Z112" s="1080" t="str">
        <f t="shared" si="27"/>
        <v/>
      </c>
      <c r="AD112" s="1425" t="str">
        <f t="shared" si="24"/>
        <v>Suministro e instalación islas peatonales ancho min 1,5 m, altura entre 10 y 15 cm, material con alta resistencia al impacto, incluye elementos de sujeción (figura 6.8 Resolución 20243040045005 de 17 de septiembre de 2024)</v>
      </c>
    </row>
    <row r="113" spans="1:30" ht="54" x14ac:dyDescent="0.25">
      <c r="A113" s="1461">
        <v>110</v>
      </c>
      <c r="B113" s="1162" t="str">
        <f>VLOOKUP(A113,'ANEXO PLIEGO_1'!$A$4:$C$132,2)</f>
        <v>Suministro e instalación caneca vial de señalización en PVC o similar, color  naranja, cuatro franjas horizontales (2 blancas, 2 naranja de material reflectivo tipo IV o superior), altura 140 cm, figura 7-16 Resolución 20243040045005 de 17 de septiembre de 2024</v>
      </c>
      <c r="C113" s="1163" t="str">
        <f>VLOOKUP(A113,'ANEXO PLIEGO_1'!$A$4:$C$132,3)</f>
        <v>UN</v>
      </c>
      <c r="D113" s="1166">
        <v>4</v>
      </c>
      <c r="E113" s="1191">
        <f t="shared" si="16"/>
        <v>356053</v>
      </c>
      <c r="F113" s="1472">
        <f t="shared" si="14"/>
        <v>1424212</v>
      </c>
      <c r="G113" s="1189"/>
      <c r="H113" s="1166">
        <v>9</v>
      </c>
      <c r="I113" s="1078">
        <f t="shared" si="17"/>
        <v>376455</v>
      </c>
      <c r="J113" s="1472">
        <f t="shared" si="18"/>
        <v>3388095</v>
      </c>
      <c r="K113" s="590"/>
      <c r="L113" s="1456">
        <v>9</v>
      </c>
      <c r="M113" s="1078">
        <f t="shared" si="19"/>
        <v>388614</v>
      </c>
      <c r="N113" s="1472">
        <f t="shared" si="25"/>
        <v>3497526</v>
      </c>
      <c r="O113" s="522"/>
      <c r="P113" s="1193">
        <v>5</v>
      </c>
      <c r="Q113" s="1202">
        <f t="shared" si="20"/>
        <v>400272</v>
      </c>
      <c r="R113" s="1472">
        <f t="shared" si="26"/>
        <v>2001360</v>
      </c>
      <c r="S113" s="522"/>
      <c r="T113" s="1155">
        <f>+ROUND(VLOOKUP(A113,'ANEXO PLIEGO_1'!$A$4:$E$128,5,FALSE)*(1+'ANEXO PLIEGO_1'!$F$138),0)</f>
        <v>356053</v>
      </c>
      <c r="U113" s="1154">
        <f t="shared" si="21"/>
        <v>376455</v>
      </c>
      <c r="V113" s="1154">
        <f t="shared" si="22"/>
        <v>388614</v>
      </c>
      <c r="W113" s="1165">
        <f t="shared" si="23"/>
        <v>400272</v>
      </c>
      <c r="Y113" s="1129">
        <v>114</v>
      </c>
      <c r="Z113" s="1080" t="str">
        <f t="shared" si="27"/>
        <v/>
      </c>
      <c r="AD113" s="1425" t="str">
        <f t="shared" si="24"/>
        <v>Suministro e instalación caneca vial de señalización en PVC o similar, color  naranja, cuatro franjas horizontales (2 blancas, 2 naranja de material reflectivo tipo IV o superior), altura 140 cm, figura 7-16 Resolución 20243040045005 de 17 de septiembre de 2024</v>
      </c>
    </row>
    <row r="114" spans="1:30" ht="30.75" customHeight="1" x14ac:dyDescent="0.25">
      <c r="A114" s="1461">
        <v>111</v>
      </c>
      <c r="B114" s="1162" t="str">
        <f>VLOOKUP(A114,'ANEXO PLIEGO_1'!$A$4:$C$132,2)</f>
        <v xml:space="preserve">Baliza destellante de color amarillo, de acuerdo con el numeral 3.18.5 Resolución 20243040045005 de 17 de septiembre de 2024  </v>
      </c>
      <c r="C114" s="1163" t="str">
        <f>VLOOKUP(A114,'ANEXO PLIEGO_1'!$A$4:$C$132,3)</f>
        <v>UN</v>
      </c>
      <c r="D114" s="1166">
        <v>2</v>
      </c>
      <c r="E114" s="1191">
        <f t="shared" si="16"/>
        <v>287113</v>
      </c>
      <c r="F114" s="1472">
        <f t="shared" si="14"/>
        <v>574226</v>
      </c>
      <c r="G114" s="1189"/>
      <c r="H114" s="1166">
        <v>4</v>
      </c>
      <c r="I114" s="1078">
        <f t="shared" si="17"/>
        <v>303565</v>
      </c>
      <c r="J114" s="1472">
        <f t="shared" si="18"/>
        <v>1214260</v>
      </c>
      <c r="K114" s="590"/>
      <c r="L114" s="1456">
        <v>4</v>
      </c>
      <c r="M114" s="1078">
        <f t="shared" si="19"/>
        <v>313370</v>
      </c>
      <c r="N114" s="1472">
        <f t="shared" si="25"/>
        <v>1253480</v>
      </c>
      <c r="O114" s="522"/>
      <c r="P114" s="1193">
        <v>3</v>
      </c>
      <c r="Q114" s="1202">
        <f t="shared" si="20"/>
        <v>322771</v>
      </c>
      <c r="R114" s="1472">
        <f t="shared" si="26"/>
        <v>968313</v>
      </c>
      <c r="S114" s="522"/>
      <c r="T114" s="1155">
        <f>+ROUND(VLOOKUP(A114,'ANEXO PLIEGO_1'!$A$4:$E$128,5,FALSE)*(1+'ANEXO PLIEGO_1'!$F$138),0)</f>
        <v>287113</v>
      </c>
      <c r="U114" s="1154">
        <f t="shared" si="21"/>
        <v>303565</v>
      </c>
      <c r="V114" s="1154">
        <f t="shared" si="22"/>
        <v>313370</v>
      </c>
      <c r="W114" s="1165">
        <f t="shared" si="23"/>
        <v>322771</v>
      </c>
      <c r="Y114" s="1129">
        <v>116</v>
      </c>
      <c r="Z114" s="1080" t="str">
        <f t="shared" si="27"/>
        <v/>
      </c>
      <c r="AD114" s="1425" t="str">
        <f t="shared" si="24"/>
        <v xml:space="preserve">Baliza destellante de color amarillo, de acuerdo con el numeral 3.18.5 Resolución 20243040045005 de 17 de septiembre de 2024  </v>
      </c>
    </row>
    <row r="115" spans="1:30" ht="67.5" x14ac:dyDescent="0.25">
      <c r="A115" s="1461">
        <v>112</v>
      </c>
      <c r="B115" s="1162" t="str">
        <f>VLOOKUP(A115,'ANEXO PLIEGO_1'!$A$4:$C$132,2)</f>
        <v>Tope vehicular vertical, material con alta resistencia al impacto, altura min 60 cm con una banda de 15 cm en papel reflectivo blanco tipo IV o superior, diámetro min 60 mm (figura 5-20 Resolución 20243040045005 de 17 de septiembre de 2024), incluye elementos de sujeción</v>
      </c>
      <c r="C115" s="1163" t="str">
        <f>VLOOKUP(A115,'ANEXO PLIEGO_1'!$A$4:$C$132,3)</f>
        <v>UN</v>
      </c>
      <c r="D115" s="1166">
        <v>4</v>
      </c>
      <c r="E115" s="1191">
        <f t="shared" si="16"/>
        <v>148221</v>
      </c>
      <c r="F115" s="1472">
        <f t="shared" si="14"/>
        <v>592884</v>
      </c>
      <c r="G115" s="1189"/>
      <c r="H115" s="1166">
        <v>10</v>
      </c>
      <c r="I115" s="1078">
        <f t="shared" si="17"/>
        <v>156714</v>
      </c>
      <c r="J115" s="1472">
        <f t="shared" si="18"/>
        <v>1567140</v>
      </c>
      <c r="K115" s="590"/>
      <c r="L115" s="1456">
        <v>10</v>
      </c>
      <c r="M115" s="1078">
        <f t="shared" si="19"/>
        <v>161776</v>
      </c>
      <c r="N115" s="1472">
        <f t="shared" si="25"/>
        <v>1617760</v>
      </c>
      <c r="O115" s="522"/>
      <c r="P115" s="1193">
        <v>4</v>
      </c>
      <c r="Q115" s="1202">
        <f t="shared" si="20"/>
        <v>166629</v>
      </c>
      <c r="R115" s="1472">
        <f t="shared" si="26"/>
        <v>666516</v>
      </c>
      <c r="S115" s="522"/>
      <c r="T115" s="1155">
        <f>+ROUND(VLOOKUP(A115,'ANEXO PLIEGO_1'!$A$4:$E$128,5,FALSE)*(1+'ANEXO PLIEGO_1'!$F$138),0)</f>
        <v>148221</v>
      </c>
      <c r="U115" s="1154">
        <f t="shared" si="21"/>
        <v>156714</v>
      </c>
      <c r="V115" s="1154">
        <f t="shared" si="22"/>
        <v>161776</v>
      </c>
      <c r="W115" s="1165">
        <f t="shared" si="23"/>
        <v>166629</v>
      </c>
      <c r="Y115" s="1129">
        <v>117</v>
      </c>
      <c r="Z115" s="1080" t="str">
        <f t="shared" si="27"/>
        <v/>
      </c>
      <c r="AD115" s="1425" t="str">
        <f t="shared" si="24"/>
        <v>Tope vehicular vertical, material con alta resistencia al impacto, altura min 60 cm con una banda de 15 cm en papel reflectivo blanco tipo IV o superior, diámetro min 60 mm (figura 5-20 Resolución 20243040045005 de 17 de septiembre de 2024), incluye elementos de sujeción</v>
      </c>
    </row>
    <row r="116" spans="1:30" ht="40.5" x14ac:dyDescent="0.25">
      <c r="A116" s="1461">
        <v>113</v>
      </c>
      <c r="B116" s="1162" t="str">
        <f>VLOOKUP(A116,'ANEXO PLIEGO_1'!$A$4:$C$132,2)</f>
        <v>Islas peatonales ancho min 1,8 m, altura entre 10 y 15 cm, material con alta resistencia al impacto, incluye elementos de sujeción (figura 6.8 Resolución 20243040045005 de 17 de septiembre de 2024)</v>
      </c>
      <c r="C116" s="1163" t="str">
        <f>VLOOKUP(A116,'ANEXO PLIEGO_1'!$A$4:$C$132,3)</f>
        <v>UN</v>
      </c>
      <c r="D116" s="1166">
        <v>1</v>
      </c>
      <c r="E116" s="1191">
        <f t="shared" si="16"/>
        <v>33031545</v>
      </c>
      <c r="F116" s="1472">
        <f t="shared" si="14"/>
        <v>33031545</v>
      </c>
      <c r="G116" s="1189"/>
      <c r="H116" s="1166">
        <v>2</v>
      </c>
      <c r="I116" s="1078">
        <f t="shared" si="17"/>
        <v>34924253</v>
      </c>
      <c r="J116" s="1472">
        <f t="shared" si="18"/>
        <v>69848506</v>
      </c>
      <c r="K116" s="590"/>
      <c r="L116" s="1456">
        <v>2</v>
      </c>
      <c r="M116" s="1078">
        <f t="shared" si="19"/>
        <v>36052306</v>
      </c>
      <c r="N116" s="1472">
        <f t="shared" si="25"/>
        <v>72104612</v>
      </c>
      <c r="O116" s="522"/>
      <c r="P116" s="1193">
        <v>1</v>
      </c>
      <c r="Q116" s="1202">
        <f t="shared" si="20"/>
        <v>37133875</v>
      </c>
      <c r="R116" s="1472">
        <f t="shared" si="26"/>
        <v>37133875</v>
      </c>
      <c r="S116" s="522"/>
      <c r="T116" s="1155">
        <f>+ROUND(VLOOKUP(A116,'ANEXO PLIEGO_1'!$A$4:$E$128,5,FALSE)*(1+'ANEXO PLIEGO_1'!$F$138),0)</f>
        <v>33031545</v>
      </c>
      <c r="U116" s="1154">
        <f t="shared" si="21"/>
        <v>34924253</v>
      </c>
      <c r="V116" s="1154">
        <f t="shared" si="22"/>
        <v>36052306</v>
      </c>
      <c r="W116" s="1165">
        <f t="shared" si="23"/>
        <v>37133875</v>
      </c>
      <c r="Y116" s="1129">
        <v>118</v>
      </c>
      <c r="Z116" s="1080" t="str">
        <f t="shared" si="27"/>
        <v/>
      </c>
      <c r="AD116" s="1425" t="str">
        <f t="shared" si="24"/>
        <v>Islas peatonales ancho min 1,8 m, altura entre 10 y 15 cm, material con alta resistencia al impacto, incluye elementos de sujeción (figura 6.8 Resolución 20243040045005 de 17 de septiembre de 2024)</v>
      </c>
    </row>
    <row r="117" spans="1:30" ht="63.75" customHeight="1" x14ac:dyDescent="0.25">
      <c r="A117" s="1461">
        <v>114</v>
      </c>
      <c r="B117" s="1162" t="str">
        <f>VLOOKUP(A117,'ANEXO PLIEGO_1'!$A$4:$C$132,2)</f>
        <v>Suministro e instalación de cinta en termoplástico preformada de color blanco e= 90 mils. Cumpliendo con las especificaciones técnicas de la NTC 5868 Y NTC 4744</v>
      </c>
      <c r="C117" s="1163" t="str">
        <f>VLOOKUP(A117,'ANEXO PLIEGO_1'!$A$4:$C$132,3)</f>
        <v>M2</v>
      </c>
      <c r="D117" s="1166">
        <v>8</v>
      </c>
      <c r="E117" s="1191">
        <f t="shared" si="16"/>
        <v>441396</v>
      </c>
      <c r="F117" s="1472">
        <f t="shared" si="14"/>
        <v>3531168</v>
      </c>
      <c r="G117" s="1189"/>
      <c r="H117" s="1166">
        <v>15</v>
      </c>
      <c r="I117" s="1078">
        <f t="shared" si="17"/>
        <v>466688</v>
      </c>
      <c r="J117" s="1472">
        <f t="shared" si="18"/>
        <v>7000320</v>
      </c>
      <c r="K117" s="590"/>
      <c r="L117" s="1456">
        <v>15</v>
      </c>
      <c r="M117" s="1195">
        <f t="shared" si="19"/>
        <v>481762</v>
      </c>
      <c r="N117" s="1472">
        <f t="shared" si="25"/>
        <v>7226430</v>
      </c>
      <c r="O117" s="522"/>
      <c r="P117" s="1193">
        <v>9</v>
      </c>
      <c r="Q117" s="1203">
        <f t="shared" si="20"/>
        <v>496215</v>
      </c>
      <c r="R117" s="1472">
        <f t="shared" si="26"/>
        <v>4465935</v>
      </c>
      <c r="S117" s="522"/>
      <c r="T117" s="1155">
        <f>+ROUND(VLOOKUP(A117,'ANEXO PLIEGO_1'!$A$4:$E$128,5,FALSE)*(1+'ANEXO PLIEGO_1'!$F$138),0)</f>
        <v>441396</v>
      </c>
      <c r="U117" s="1154">
        <f t="shared" si="21"/>
        <v>466688</v>
      </c>
      <c r="V117" s="1154">
        <f t="shared" si="22"/>
        <v>481762</v>
      </c>
      <c r="W117" s="1165">
        <f t="shared" si="23"/>
        <v>496215</v>
      </c>
      <c r="Y117" s="1129">
        <v>119</v>
      </c>
      <c r="Z117" s="1080" t="str">
        <f t="shared" si="27"/>
        <v/>
      </c>
      <c r="AD117" s="1425" t="str">
        <f t="shared" si="24"/>
        <v>Suministro e instalación de cinta en termoplástico preformada de color blanco e= 90 mils. Cumpliendo con las especificaciones técnicas de la NTC 5868 Y NTC 4744</v>
      </c>
    </row>
    <row r="118" spans="1:30" ht="40.5" x14ac:dyDescent="0.25">
      <c r="A118" s="1461">
        <v>115</v>
      </c>
      <c r="B118" s="1162" t="str">
        <f>VLOOKUP(A118,'ANEXO PLIEGO_1'!$A$4:$C$132,2)</f>
        <v>Suministro e instalación de cinta en termoplástico preformada de color blanco e= 125 mils. Cumpliendo con las especificaciones técnicas de la NTC 5868 Y NTC 4744</v>
      </c>
      <c r="C118" s="1163" t="str">
        <f>VLOOKUP(A118,'ANEXO PLIEGO_1'!$A$4:$C$132,3)</f>
        <v>M2</v>
      </c>
      <c r="D118" s="1166">
        <v>5</v>
      </c>
      <c r="E118" s="1191">
        <f t="shared" si="16"/>
        <v>531143</v>
      </c>
      <c r="F118" s="1472">
        <f t="shared" si="14"/>
        <v>2655715</v>
      </c>
      <c r="G118" s="1189"/>
      <c r="H118" s="1166">
        <v>8</v>
      </c>
      <c r="I118" s="1078">
        <f t="shared" si="17"/>
        <v>561577</v>
      </c>
      <c r="J118" s="1472">
        <f t="shared" si="18"/>
        <v>4492616</v>
      </c>
      <c r="K118" s="590"/>
      <c r="L118" s="1457">
        <v>8</v>
      </c>
      <c r="M118" s="1078">
        <f t="shared" si="19"/>
        <v>579716</v>
      </c>
      <c r="N118" s="1472">
        <f t="shared" si="25"/>
        <v>4637728</v>
      </c>
      <c r="O118" s="522"/>
      <c r="P118" s="1194">
        <v>5</v>
      </c>
      <c r="Q118" s="1202">
        <f t="shared" si="20"/>
        <v>597107</v>
      </c>
      <c r="R118" s="1472">
        <f t="shared" si="26"/>
        <v>2985535</v>
      </c>
      <c r="S118" s="522"/>
      <c r="T118" s="1155">
        <f>+ROUND(VLOOKUP(A118,'ANEXO PLIEGO_1'!$A$4:$E$128,5,FALSE)*(1+'ANEXO PLIEGO_1'!$F$138),0)</f>
        <v>531143</v>
      </c>
      <c r="U118" s="1154">
        <f t="shared" si="21"/>
        <v>561577</v>
      </c>
      <c r="V118" s="1154">
        <f t="shared" si="22"/>
        <v>579716</v>
      </c>
      <c r="W118" s="1165">
        <f t="shared" si="23"/>
        <v>597107</v>
      </c>
      <c r="Y118" s="1129">
        <v>120</v>
      </c>
      <c r="Z118" s="1080" t="str">
        <f t="shared" si="27"/>
        <v/>
      </c>
      <c r="AD118" s="1425" t="str">
        <f t="shared" si="24"/>
        <v>Suministro e instalación de cinta en termoplástico preformada de color blanco e= 125 mils. Cumpliendo con las especificaciones técnicas de la NTC 5868 Y NTC 4744</v>
      </c>
    </row>
    <row r="119" spans="1:30" ht="44.25" customHeight="1" x14ac:dyDescent="0.25">
      <c r="A119" s="1461">
        <v>116</v>
      </c>
      <c r="B119" s="1162" t="str">
        <f>VLOOKUP(A119,'ANEXO PLIEGO_1'!$A$4:$C$132,2)</f>
        <v>Hito luminoso, con sistema de iluminación interno, luz continua, blanco o amarillo, altura de 70 cm, ancho mín. 30 cm (figura 5-27 Resolución 20243040045005 de 17 de septiembre de 2024) provisto de un sistema de energización</v>
      </c>
      <c r="C119" s="1163" t="str">
        <f>VLOOKUP(A119,'ANEXO PLIEGO_1'!$A$4:$C$132,3)</f>
        <v>UN</v>
      </c>
      <c r="D119" s="1166">
        <v>6</v>
      </c>
      <c r="E119" s="1191">
        <f t="shared" si="16"/>
        <v>1680178</v>
      </c>
      <c r="F119" s="1472">
        <f t="shared" si="14"/>
        <v>10081068</v>
      </c>
      <c r="G119" s="1189"/>
      <c r="H119" s="1166">
        <v>12</v>
      </c>
      <c r="I119" s="1078">
        <f t="shared" si="17"/>
        <v>1776452</v>
      </c>
      <c r="J119" s="1472">
        <f t="shared" si="18"/>
        <v>21317424</v>
      </c>
      <c r="K119" s="590"/>
      <c r="L119" s="1456">
        <v>12</v>
      </c>
      <c r="M119" s="1078">
        <f t="shared" si="19"/>
        <v>1833831</v>
      </c>
      <c r="N119" s="1472">
        <f t="shared" si="25"/>
        <v>22005972</v>
      </c>
      <c r="O119" s="522"/>
      <c r="P119" s="1193">
        <v>7</v>
      </c>
      <c r="Q119" s="1202">
        <f t="shared" si="20"/>
        <v>1888846</v>
      </c>
      <c r="R119" s="1472">
        <f t="shared" si="26"/>
        <v>13221922</v>
      </c>
      <c r="S119" s="522"/>
      <c r="T119" s="1155">
        <f>+ROUND(VLOOKUP(A119,'ANEXO PLIEGO_1'!$A$4:$E$128,5,FALSE)*(1+'ANEXO PLIEGO_1'!$F$138),0)</f>
        <v>1680178</v>
      </c>
      <c r="U119" s="1154">
        <f t="shared" si="21"/>
        <v>1776452</v>
      </c>
      <c r="V119" s="1154">
        <f t="shared" si="22"/>
        <v>1833831</v>
      </c>
      <c r="W119" s="1165">
        <f t="shared" si="23"/>
        <v>1888846</v>
      </c>
      <c r="Y119" s="1129">
        <v>121</v>
      </c>
      <c r="Z119" s="1080" t="str">
        <f t="shared" si="27"/>
        <v/>
      </c>
      <c r="AD119" s="1425" t="str">
        <f t="shared" si="24"/>
        <v>Hito luminoso, con sistema de iluminación interno, luz continua, blanco o amarillo, altura de 70 cm, ancho mín. 30 cm (figura 5-27 Resolución 20243040045005 de 17 de septiembre de 2024) provisto de un sistema de energización</v>
      </c>
    </row>
    <row r="120" spans="1:30" ht="55.5" customHeight="1" x14ac:dyDescent="0.25">
      <c r="A120" s="1461">
        <v>117</v>
      </c>
      <c r="B120" s="1162" t="str">
        <f>VLOOKUP(A120,'ANEXO PLIEGO_1'!$A$4:$C$132,2)</f>
        <v>Suministro e instalación tachas iluminadas bidireccionales internamente (luz continua o intermitente) con superficie retrorreflectiva de área mínima de 600 mm2,cumpliendo con los coeficientes de intensidad luminosa establecidos en la NTC 4745.</v>
      </c>
      <c r="C120" s="1163" t="str">
        <f>VLOOKUP(A120,'ANEXO PLIEGO_1'!$A$4:$C$132,3)</f>
        <v>UN</v>
      </c>
      <c r="D120" s="1166">
        <v>256</v>
      </c>
      <c r="E120" s="1191">
        <f t="shared" si="16"/>
        <v>393270</v>
      </c>
      <c r="F120" s="1472">
        <f t="shared" si="14"/>
        <v>100677120</v>
      </c>
      <c r="G120" s="1189"/>
      <c r="H120" s="1166">
        <v>495</v>
      </c>
      <c r="I120" s="1078">
        <f t="shared" si="17"/>
        <v>415804</v>
      </c>
      <c r="J120" s="1472">
        <f t="shared" si="18"/>
        <v>205822980</v>
      </c>
      <c r="K120" s="590"/>
      <c r="L120" s="1456">
        <v>496</v>
      </c>
      <c r="M120" s="1078">
        <f t="shared" si="19"/>
        <v>429234</v>
      </c>
      <c r="N120" s="1472">
        <f t="shared" si="25"/>
        <v>212900064</v>
      </c>
      <c r="O120" s="522"/>
      <c r="P120" s="1193">
        <v>250</v>
      </c>
      <c r="Q120" s="1202">
        <f t="shared" si="20"/>
        <v>442111</v>
      </c>
      <c r="R120" s="1472">
        <f t="shared" si="26"/>
        <v>110527750</v>
      </c>
      <c r="S120" s="522"/>
      <c r="T120" s="1155">
        <f>+ROUND(VLOOKUP(A120,'ANEXO PLIEGO_1'!$A$4:$E$128,5,FALSE)*(1+'ANEXO PLIEGO_1'!$F$138),0)</f>
        <v>393270</v>
      </c>
      <c r="U120" s="1154">
        <f t="shared" si="21"/>
        <v>415804</v>
      </c>
      <c r="V120" s="1154">
        <f t="shared" si="22"/>
        <v>429234</v>
      </c>
      <c r="W120" s="1165">
        <f t="shared" si="23"/>
        <v>442111</v>
      </c>
      <c r="Y120" s="1129">
        <v>122</v>
      </c>
      <c r="Z120" s="1080" t="str">
        <f t="shared" si="27"/>
        <v/>
      </c>
      <c r="AD120" s="1425" t="str">
        <f t="shared" si="24"/>
        <v>Suministro e instalación tachas iluminadas bidireccionales internamente (luz continua o intermitente) con superficie retrorreflectiva de área mínima de 600 mm2,cumpliendo con los coeficientes de intensidad luminosa establecidos en la NTC 4745.</v>
      </c>
    </row>
    <row r="121" spans="1:30" ht="26.25" customHeight="1" x14ac:dyDescent="0.25">
      <c r="A121" s="1461">
        <v>118</v>
      </c>
      <c r="B121" s="1162" t="str">
        <f>VLOOKUP(A121,'ANEXO PLIEGO_1'!$A$4:$C$132,2)</f>
        <v>Suministro e instalación de cinta en termoplástico preformada de color amarillo e= 90 mils</v>
      </c>
      <c r="C121" s="1163" t="str">
        <f>VLOOKUP(A121,'ANEXO PLIEGO_1'!$A$4:$C$132,3)</f>
        <v>M2</v>
      </c>
      <c r="D121" s="1166">
        <v>18</v>
      </c>
      <c r="E121" s="1191">
        <f t="shared" si="16"/>
        <v>441396</v>
      </c>
      <c r="F121" s="1472">
        <f t="shared" si="14"/>
        <v>7945128</v>
      </c>
      <c r="G121" s="1189"/>
      <c r="H121" s="1166">
        <v>34</v>
      </c>
      <c r="I121" s="1078">
        <f t="shared" si="17"/>
        <v>466688</v>
      </c>
      <c r="J121" s="1472">
        <f t="shared" si="18"/>
        <v>15867392</v>
      </c>
      <c r="K121" s="590"/>
      <c r="L121" s="1456">
        <v>34</v>
      </c>
      <c r="M121" s="1078">
        <f t="shared" si="19"/>
        <v>481762</v>
      </c>
      <c r="N121" s="1472">
        <f t="shared" si="25"/>
        <v>16379908</v>
      </c>
      <c r="O121" s="522"/>
      <c r="P121" s="1193">
        <v>17</v>
      </c>
      <c r="Q121" s="1202">
        <f t="shared" si="20"/>
        <v>496215</v>
      </c>
      <c r="R121" s="1472">
        <f t="shared" si="26"/>
        <v>8435655</v>
      </c>
      <c r="S121" s="522"/>
      <c r="T121" s="1155">
        <f>+ROUND(VLOOKUP(A121,'ANEXO PLIEGO_1'!$A$4:$E$128,5,FALSE)*(1+'ANEXO PLIEGO_1'!$F$138),0)</f>
        <v>441396</v>
      </c>
      <c r="U121" s="1154">
        <f t="shared" si="21"/>
        <v>466688</v>
      </c>
      <c r="V121" s="1154">
        <f t="shared" si="22"/>
        <v>481762</v>
      </c>
      <c r="W121" s="1165">
        <f t="shared" si="23"/>
        <v>496215</v>
      </c>
      <c r="Y121" s="1129">
        <v>123</v>
      </c>
      <c r="Z121" s="1080" t="str">
        <f t="shared" si="27"/>
        <v/>
      </c>
      <c r="AD121" s="1425" t="str">
        <f t="shared" si="24"/>
        <v>Suministro e instalación de cinta en termoplástico preformada de color amarillo e= 90 mils</v>
      </c>
    </row>
    <row r="122" spans="1:30" ht="26.25" customHeight="1" x14ac:dyDescent="0.25">
      <c r="A122" s="1461">
        <v>119</v>
      </c>
      <c r="B122" s="1162" t="str">
        <f>VLOOKUP(A122,'ANEXO PLIEGO_1'!$A$4:$C$132,2)</f>
        <v>Suministro e instalación de cinta en termoplástico preformada de color amarillo e= 125 mils</v>
      </c>
      <c r="C122" s="1163" t="str">
        <f>VLOOKUP(A122,'ANEXO PLIEGO_1'!$A$4:$C$132,3)</f>
        <v>M2</v>
      </c>
      <c r="D122" s="1166">
        <v>17</v>
      </c>
      <c r="E122" s="1191">
        <f t="shared" si="16"/>
        <v>531245</v>
      </c>
      <c r="F122" s="1472">
        <f t="shared" si="14"/>
        <v>9031165</v>
      </c>
      <c r="G122" s="1189"/>
      <c r="H122" s="1166">
        <v>35</v>
      </c>
      <c r="I122" s="1078">
        <f t="shared" si="17"/>
        <v>561685</v>
      </c>
      <c r="J122" s="1472">
        <f t="shared" si="18"/>
        <v>19658975</v>
      </c>
      <c r="K122" s="590"/>
      <c r="L122" s="1457">
        <v>34</v>
      </c>
      <c r="M122" s="1078">
        <f t="shared" si="19"/>
        <v>579827</v>
      </c>
      <c r="N122" s="1472">
        <f t="shared" si="25"/>
        <v>19714118</v>
      </c>
      <c r="O122" s="522"/>
      <c r="P122" s="1194">
        <v>17</v>
      </c>
      <c r="Q122" s="1202">
        <f t="shared" si="20"/>
        <v>597222</v>
      </c>
      <c r="R122" s="1472">
        <f t="shared" si="26"/>
        <v>10152774</v>
      </c>
      <c r="S122" s="522"/>
      <c r="T122" s="1155">
        <f>+ROUND(VLOOKUP(A122,'ANEXO PLIEGO_1'!$A$4:$E$128,5,FALSE)*(1+'ANEXO PLIEGO_1'!$F$138),0)</f>
        <v>531245</v>
      </c>
      <c r="U122" s="1154">
        <f t="shared" si="21"/>
        <v>561685</v>
      </c>
      <c r="V122" s="1154">
        <f t="shared" si="22"/>
        <v>579827</v>
      </c>
      <c r="W122" s="1165">
        <f t="shared" si="23"/>
        <v>597222</v>
      </c>
      <c r="Y122" s="1129">
        <v>124</v>
      </c>
      <c r="Z122" s="1080" t="str">
        <f t="shared" si="27"/>
        <v/>
      </c>
      <c r="AD122" s="1425" t="str">
        <f t="shared" si="24"/>
        <v>Suministro e instalación de cinta en termoplástico preformada de color amarillo e= 125 mils</v>
      </c>
    </row>
    <row r="123" spans="1:30" ht="26.25" customHeight="1" x14ac:dyDescent="0.25">
      <c r="A123" s="1461">
        <v>120</v>
      </c>
      <c r="B123" s="1162" t="str">
        <f>VLOOKUP(A123,'ANEXO PLIEGO_1'!$A$4:$C$132,2)</f>
        <v>Suministro e instalación de cinta en termoplástico preformada de color rojo e= 90 mils</v>
      </c>
      <c r="C123" s="1163" t="str">
        <f>VLOOKUP(A123,'ANEXO PLIEGO_1'!$A$4:$C$132,3)</f>
        <v>M2</v>
      </c>
      <c r="D123" s="1166">
        <v>18</v>
      </c>
      <c r="E123" s="1191">
        <f t="shared" si="16"/>
        <v>505277</v>
      </c>
      <c r="F123" s="1472">
        <f t="shared" si="14"/>
        <v>9094986</v>
      </c>
      <c r="G123" s="1189"/>
      <c r="H123" s="1166">
        <v>34</v>
      </c>
      <c r="I123" s="1078">
        <f t="shared" si="17"/>
        <v>534229</v>
      </c>
      <c r="J123" s="1472">
        <f t="shared" si="18"/>
        <v>18163786</v>
      </c>
      <c r="K123" s="590"/>
      <c r="L123" s="1456">
        <v>34</v>
      </c>
      <c r="M123" s="1195">
        <f t="shared" si="19"/>
        <v>551485</v>
      </c>
      <c r="N123" s="1472">
        <f t="shared" si="25"/>
        <v>18750490</v>
      </c>
      <c r="O123" s="522"/>
      <c r="P123" s="1193">
        <v>17</v>
      </c>
      <c r="Q123" s="1203">
        <f t="shared" si="20"/>
        <v>568030</v>
      </c>
      <c r="R123" s="1472">
        <f t="shared" si="26"/>
        <v>9656510</v>
      </c>
      <c r="S123" s="522"/>
      <c r="T123" s="1155">
        <f>+ROUND(VLOOKUP(A123,'ANEXO PLIEGO_1'!$A$4:$E$128,5,FALSE)*(1+'ANEXO PLIEGO_1'!$F$138),0)</f>
        <v>505277</v>
      </c>
      <c r="U123" s="1154">
        <f t="shared" si="21"/>
        <v>534229</v>
      </c>
      <c r="V123" s="1154">
        <f t="shared" si="22"/>
        <v>551485</v>
      </c>
      <c r="W123" s="1165">
        <f t="shared" si="23"/>
        <v>568030</v>
      </c>
      <c r="Y123" s="1129">
        <v>125</v>
      </c>
      <c r="Z123" s="1080" t="str">
        <f t="shared" si="27"/>
        <v/>
      </c>
      <c r="AD123" s="1425" t="str">
        <f t="shared" si="24"/>
        <v>Suministro e instalación de cinta en termoplástico preformada de color rojo e= 90 mils</v>
      </c>
    </row>
    <row r="124" spans="1:30" ht="26.25" customHeight="1" x14ac:dyDescent="0.25">
      <c r="A124" s="1461">
        <v>121</v>
      </c>
      <c r="B124" s="1162" t="str">
        <f>VLOOKUP(A124,'ANEXO PLIEGO_1'!$A$4:$C$132,2)</f>
        <v>Suministro e instalación de cinta en termoplástico preformada de color rojo e= 125 mils</v>
      </c>
      <c r="C124" s="1163" t="str">
        <f>VLOOKUP(A124,'ANEXO PLIEGO_1'!$A$4:$C$132,3)</f>
        <v>M2</v>
      </c>
      <c r="D124" s="1166">
        <v>18</v>
      </c>
      <c r="E124" s="1191">
        <f t="shared" si="16"/>
        <v>590703</v>
      </c>
      <c r="F124" s="1472">
        <f t="shared" si="14"/>
        <v>10632654</v>
      </c>
      <c r="G124" s="1189"/>
      <c r="H124" s="1166">
        <v>34</v>
      </c>
      <c r="I124" s="1078">
        <f t="shared" si="17"/>
        <v>624550</v>
      </c>
      <c r="J124" s="1472">
        <f t="shared" si="18"/>
        <v>21234700</v>
      </c>
      <c r="K124" s="590"/>
      <c r="L124" s="1456">
        <v>34</v>
      </c>
      <c r="M124" s="1078">
        <f t="shared" si="19"/>
        <v>644723</v>
      </c>
      <c r="N124" s="1472">
        <f t="shared" si="25"/>
        <v>21920582</v>
      </c>
      <c r="O124" s="522"/>
      <c r="P124" s="1193">
        <v>17</v>
      </c>
      <c r="Q124" s="1202">
        <f t="shared" si="20"/>
        <v>664065</v>
      </c>
      <c r="R124" s="1472">
        <f t="shared" si="26"/>
        <v>11289105</v>
      </c>
      <c r="S124" s="522"/>
      <c r="T124" s="1155">
        <f>+ROUND(VLOOKUP(A124,'ANEXO PLIEGO_1'!$A$4:$E$128,5,FALSE)*(1+'ANEXO PLIEGO_1'!$F$138),0)</f>
        <v>590703</v>
      </c>
      <c r="U124" s="1154">
        <f t="shared" si="21"/>
        <v>624550</v>
      </c>
      <c r="V124" s="1154">
        <f t="shared" si="22"/>
        <v>644723</v>
      </c>
      <c r="W124" s="1165">
        <f t="shared" si="23"/>
        <v>664065</v>
      </c>
      <c r="Y124" s="1129">
        <v>126</v>
      </c>
      <c r="Z124" s="1080" t="str">
        <f t="shared" si="27"/>
        <v/>
      </c>
      <c r="AD124" s="1425" t="str">
        <f t="shared" si="24"/>
        <v>Suministro e instalación de cinta en termoplástico preformada de color rojo e= 125 mils</v>
      </c>
    </row>
    <row r="125" spans="1:30" ht="26.25" customHeight="1" x14ac:dyDescent="0.25">
      <c r="A125" s="1461">
        <v>122</v>
      </c>
      <c r="B125" s="1162" t="str">
        <f>VLOOKUP(A125,'ANEXO PLIEGO_1'!$A$4:$C$132,2)</f>
        <v>Suministro e instalación de cinta en termoplástico preformada de color azul e= 90 mils</v>
      </c>
      <c r="C125" s="1163" t="str">
        <f>VLOOKUP(A125,'ANEXO PLIEGO_1'!$A$4:$C$132,3)</f>
        <v>M2</v>
      </c>
      <c r="D125" s="1166">
        <v>18</v>
      </c>
      <c r="E125" s="1191">
        <f t="shared" si="16"/>
        <v>494248</v>
      </c>
      <c r="F125" s="1472">
        <f t="shared" si="14"/>
        <v>8896464</v>
      </c>
      <c r="G125" s="1189"/>
      <c r="H125" s="1166">
        <v>34</v>
      </c>
      <c r="I125" s="1078">
        <f t="shared" si="17"/>
        <v>522568</v>
      </c>
      <c r="J125" s="1472">
        <f t="shared" si="18"/>
        <v>17767312</v>
      </c>
      <c r="K125" s="590"/>
      <c r="L125" s="1457">
        <v>34</v>
      </c>
      <c r="M125" s="1195">
        <f t="shared" si="19"/>
        <v>539447</v>
      </c>
      <c r="N125" s="1472">
        <f t="shared" si="25"/>
        <v>18341198</v>
      </c>
      <c r="O125" s="522"/>
      <c r="P125" s="1194">
        <v>17</v>
      </c>
      <c r="Q125" s="1203">
        <f t="shared" si="20"/>
        <v>555630</v>
      </c>
      <c r="R125" s="1472">
        <f t="shared" si="26"/>
        <v>9445710</v>
      </c>
      <c r="S125" s="522"/>
      <c r="T125" s="1155">
        <f>+ROUND(VLOOKUP(A125,'ANEXO PLIEGO_1'!$A$4:$E$128,5,FALSE)*(1+'ANEXO PLIEGO_1'!$F$138),0)</f>
        <v>494248</v>
      </c>
      <c r="U125" s="1154">
        <f t="shared" si="21"/>
        <v>522568</v>
      </c>
      <c r="V125" s="1154">
        <f t="shared" si="22"/>
        <v>539447</v>
      </c>
      <c r="W125" s="1165">
        <f t="shared" si="23"/>
        <v>555630</v>
      </c>
      <c r="Y125" s="1129">
        <v>127</v>
      </c>
      <c r="Z125" s="1080" t="str">
        <f t="shared" si="27"/>
        <v/>
      </c>
      <c r="AD125" s="1425" t="str">
        <f t="shared" si="24"/>
        <v>Suministro e instalación de cinta en termoplástico preformada de color azul e= 90 mils</v>
      </c>
    </row>
    <row r="126" spans="1:30" ht="26.25" customHeight="1" x14ac:dyDescent="0.25">
      <c r="A126" s="1461">
        <v>123</v>
      </c>
      <c r="B126" s="1162" t="str">
        <f>VLOOKUP(A126,'ANEXO PLIEGO_1'!$A$4:$C$132,2)</f>
        <v>Suministro e instalación de cinta en termoplástico preformada de color azul e= 125 mils</v>
      </c>
      <c r="C126" s="1163" t="str">
        <f>VLOOKUP(A126,'ANEXO PLIEGO_1'!$A$4:$C$132,3)</f>
        <v>M2</v>
      </c>
      <c r="D126" s="1166">
        <v>18</v>
      </c>
      <c r="E126" s="1191">
        <f t="shared" si="16"/>
        <v>559852</v>
      </c>
      <c r="F126" s="1472">
        <f t="shared" si="14"/>
        <v>10077336</v>
      </c>
      <c r="G126" s="1189"/>
      <c r="H126" s="1166">
        <v>34</v>
      </c>
      <c r="I126" s="1078">
        <f t="shared" si="17"/>
        <v>591932</v>
      </c>
      <c r="J126" s="1472">
        <f t="shared" si="18"/>
        <v>20125688</v>
      </c>
      <c r="K126" s="590"/>
      <c r="L126" s="1458">
        <v>34</v>
      </c>
      <c r="M126" s="1197">
        <f t="shared" si="19"/>
        <v>611051</v>
      </c>
      <c r="N126" s="1472">
        <f t="shared" si="25"/>
        <v>20775734</v>
      </c>
      <c r="O126" s="522"/>
      <c r="P126" s="1196">
        <v>17</v>
      </c>
      <c r="Q126" s="1201">
        <f t="shared" si="20"/>
        <v>629383</v>
      </c>
      <c r="R126" s="1472">
        <f t="shared" si="26"/>
        <v>10699511</v>
      </c>
      <c r="S126" s="522"/>
      <c r="T126" s="1155">
        <f>+ROUND(VLOOKUP(A126,'ANEXO PLIEGO_1'!$A$4:$E$128,5,FALSE)*(1+'ANEXO PLIEGO_1'!$F$138),0)</f>
        <v>559852</v>
      </c>
      <c r="U126" s="1154">
        <f t="shared" si="21"/>
        <v>591932</v>
      </c>
      <c r="V126" s="1154">
        <f t="shared" si="22"/>
        <v>611051</v>
      </c>
      <c r="W126" s="1165">
        <f t="shared" si="23"/>
        <v>629383</v>
      </c>
      <c r="Y126" s="1129">
        <v>128</v>
      </c>
      <c r="Z126" s="1080" t="str">
        <f t="shared" si="27"/>
        <v/>
      </c>
      <c r="AD126" s="1425" t="str">
        <f t="shared" si="24"/>
        <v>Suministro e instalación de cinta en termoplástico preformada de color azul e= 125 mils</v>
      </c>
    </row>
    <row r="127" spans="1:30" ht="47.25" customHeight="1" x14ac:dyDescent="0.25">
      <c r="A127" s="1461">
        <v>124</v>
      </c>
      <c r="B127" s="1162" t="str">
        <f>VLOOKUP(A127,'ANEXO PLIEGO_1'!$A$4:$C$132,2)</f>
        <v>Suministro e instalación de bandas fotoluminiscentes para paso vehicular de 8 mm de altura, construida con gravilla de 3 mm y resina epóxica.</v>
      </c>
      <c r="C127" s="1163" t="str">
        <f>VLOOKUP(A127,'ANEXO PLIEGO_1'!$A$4:$C$132,3)</f>
        <v>M2</v>
      </c>
      <c r="D127" s="1166">
        <v>56</v>
      </c>
      <c r="E127" s="1191">
        <f t="shared" si="16"/>
        <v>804130</v>
      </c>
      <c r="F127" s="1472">
        <f t="shared" si="14"/>
        <v>45031280</v>
      </c>
      <c r="G127" s="1189"/>
      <c r="H127" s="1166">
        <v>110</v>
      </c>
      <c r="I127" s="1078">
        <f t="shared" si="17"/>
        <v>850207</v>
      </c>
      <c r="J127" s="1472">
        <f t="shared" si="18"/>
        <v>93522770</v>
      </c>
      <c r="K127" s="590"/>
      <c r="L127" s="1456">
        <v>110</v>
      </c>
      <c r="M127" s="1197">
        <f t="shared" si="19"/>
        <v>877669</v>
      </c>
      <c r="N127" s="1472">
        <f t="shared" si="25"/>
        <v>96543590</v>
      </c>
      <c r="O127" s="522"/>
      <c r="P127" s="1193">
        <v>55</v>
      </c>
      <c r="Q127" s="1201">
        <f t="shared" si="20"/>
        <v>903999</v>
      </c>
      <c r="R127" s="1472">
        <f t="shared" si="26"/>
        <v>49719945</v>
      </c>
      <c r="S127" s="522"/>
      <c r="T127" s="1156">
        <f>+ROUND(VLOOKUP(A127,'ANEXO PLIEGO_1'!$A$4:$E$132,5,FALSE)*(1+'ANEXO PLIEGO_1'!$F$138),0)</f>
        <v>804130</v>
      </c>
      <c r="U127" s="1154">
        <f t="shared" si="21"/>
        <v>850207</v>
      </c>
      <c r="V127" s="1154">
        <f t="shared" si="22"/>
        <v>877669</v>
      </c>
      <c r="W127" s="1165">
        <f t="shared" si="23"/>
        <v>903999</v>
      </c>
      <c r="Y127" s="1129">
        <v>129</v>
      </c>
      <c r="Z127" s="1080" t="str">
        <f t="shared" si="27"/>
        <v/>
      </c>
      <c r="AD127" s="1425" t="str">
        <f t="shared" si="24"/>
        <v>Suministro e instalación de bandas fotoluminiscentes para paso vehicular de 8 mm de altura, construida con gravilla de 3 mm y resina epóxica.</v>
      </c>
    </row>
    <row r="128" spans="1:30" ht="55.5" customHeight="1" x14ac:dyDescent="0.25">
      <c r="A128" s="1461">
        <v>125</v>
      </c>
      <c r="B128" s="1162" t="str">
        <f>VLOOKUP(A128,'ANEXO PLIEGO_1'!$A$4:$C$132,2)</f>
        <v>Suministro e instalación de bandas  fotoluminiscentes para ciclorrutas; de 8 mm de altura, construida con gravilla de 3 mm y resina epóxica.</v>
      </c>
      <c r="C128" s="1163" t="str">
        <f>VLOOKUP(A128,'ANEXO PLIEGO_1'!$A$4:$C$132,3)</f>
        <v>M2</v>
      </c>
      <c r="D128" s="1166">
        <v>98</v>
      </c>
      <c r="E128" s="1191">
        <f>+T128</f>
        <v>724338</v>
      </c>
      <c r="F128" s="1472">
        <f>+ROUND(D128*E128,0)</f>
        <v>70985124</v>
      </c>
      <c r="G128" s="1189"/>
      <c r="H128" s="1166">
        <v>188</v>
      </c>
      <c r="I128" s="1078">
        <f t="shared" si="17"/>
        <v>765843</v>
      </c>
      <c r="J128" s="1472">
        <f t="shared" si="18"/>
        <v>143978484</v>
      </c>
      <c r="K128" s="590"/>
      <c r="L128" s="1457">
        <v>188</v>
      </c>
      <c r="M128" s="1197">
        <f t="shared" si="19"/>
        <v>790580</v>
      </c>
      <c r="N128" s="1472">
        <f t="shared" si="25"/>
        <v>148629040</v>
      </c>
      <c r="O128" s="522"/>
      <c r="P128" s="1194">
        <v>95</v>
      </c>
      <c r="Q128" s="1201">
        <f t="shared" si="20"/>
        <v>814297</v>
      </c>
      <c r="R128" s="1472">
        <f t="shared" si="26"/>
        <v>77358215</v>
      </c>
      <c r="S128" s="522"/>
      <c r="T128" s="1156">
        <f>+ROUND(VLOOKUP(A128,'ANEXO PLIEGO_1'!$A$4:$E$132,5,FALSE)*(1+'ANEXO PLIEGO_1'!$F$138),0)</f>
        <v>724338</v>
      </c>
      <c r="U128" s="1157">
        <f t="shared" si="21"/>
        <v>765843</v>
      </c>
      <c r="V128" s="1157">
        <f t="shared" si="22"/>
        <v>790580</v>
      </c>
      <c r="W128" s="1165">
        <f t="shared" si="23"/>
        <v>814297</v>
      </c>
      <c r="Y128" s="1129">
        <v>130</v>
      </c>
      <c r="Z128" s="1080" t="str">
        <f t="shared" si="27"/>
        <v/>
      </c>
      <c r="AD128" s="1425" t="str">
        <f t="shared" si="24"/>
        <v>Suministro e instalación de bandas  fotoluminiscentes para ciclorrutas; de 8 mm de altura, construida con gravilla de 3 mm y resina epóxica.</v>
      </c>
    </row>
    <row r="129" spans="1:30" ht="81" x14ac:dyDescent="0.25">
      <c r="A129" s="1461">
        <v>126</v>
      </c>
      <c r="B129" s="1162" t="str">
        <f>VLOOKUP(A129,'ANEXO PLIEGO_1'!$A$4:$C$132,2)</f>
        <v xml:space="preserve">Anclaje de bordillo no traspasable, en concreto de color amarillo con alta resistencia al impacto o concreto de 4000 PSI con varilla de refuerzo de 1/2"(Tipo piramidal con incrustación al pavimento con cuatro anclajes en varilla de 5/8" de diámetropor 4" de longitud, dimensiones: altura mínima de15 cm, ancho de 20 cm y largo 100 cm). Incluye transporte de elementos, accesorios y materiales para fijación </v>
      </c>
      <c r="C129" s="1163" t="str">
        <f>VLOOKUP(A129,'ANEXO PLIEGO_1'!$A$4:$C$132,3)</f>
        <v>UN</v>
      </c>
      <c r="D129" s="1166">
        <v>79</v>
      </c>
      <c r="E129" s="1191">
        <f>+T129</f>
        <v>106835</v>
      </c>
      <c r="F129" s="1472">
        <f>+ROUND(D129*E129,0)</f>
        <v>8439965</v>
      </c>
      <c r="G129" s="1189"/>
      <c r="H129" s="1166">
        <v>372</v>
      </c>
      <c r="I129" s="1078">
        <f t="shared" si="17"/>
        <v>112957</v>
      </c>
      <c r="J129" s="1472">
        <f t="shared" si="18"/>
        <v>42020004</v>
      </c>
      <c r="K129" s="590"/>
      <c r="L129" s="1456">
        <v>373</v>
      </c>
      <c r="M129" s="1197">
        <f t="shared" si="19"/>
        <v>116606</v>
      </c>
      <c r="N129" s="1472">
        <f t="shared" si="25"/>
        <v>43494038</v>
      </c>
      <c r="O129" s="986"/>
      <c r="P129" s="1193">
        <v>189</v>
      </c>
      <c r="Q129" s="1201">
        <f t="shared" si="20"/>
        <v>120104</v>
      </c>
      <c r="R129" s="1472">
        <f t="shared" si="26"/>
        <v>22699656</v>
      </c>
      <c r="S129" s="986"/>
      <c r="T129" s="1156">
        <f>+ROUND(VLOOKUP(A129,'ANEXO PLIEGO_1'!$A$4:$E$132,5,FALSE)*(1+'ANEXO PLIEGO_1'!$F$138),0)</f>
        <v>106835</v>
      </c>
      <c r="U129" s="1158">
        <f>+ROUND(T129*$U$1,0)</f>
        <v>112957</v>
      </c>
      <c r="V129" s="1158">
        <f>+ROUND(U129*$V$1,0)</f>
        <v>116606</v>
      </c>
      <c r="W129" s="1165">
        <f t="shared" si="23"/>
        <v>120104</v>
      </c>
      <c r="Y129" s="1129">
        <v>131</v>
      </c>
      <c r="Z129" s="1080" t="str">
        <f t="shared" si="27"/>
        <v/>
      </c>
      <c r="AD129" s="1425" t="str">
        <f t="shared" si="24"/>
        <v xml:space="preserve">Anclaje de bordillo no traspasable, en concreto de color amarillo con alta resistencia al impacto o concreto de 4000 PSI con varilla de refuerzo de 1/2"(Tipo piramidal con incrustación al pavimento con cuatro anclajes en varilla de 5/8" de diámetropor 4" de longitud, dimensiones: altura mínima de15 cm, ancho de 20 cm y largo 100 cm). Incluye transporte de elementos, accesorios y materiales para fijación </v>
      </c>
    </row>
    <row r="130" spans="1:30" ht="55.5" customHeight="1" x14ac:dyDescent="0.25">
      <c r="A130" s="1461">
        <v>127</v>
      </c>
      <c r="B130" s="1162" t="str">
        <f>VLOOKUP(A130,'ANEXO PLIEGO_1'!$A$4:$C$132,2)</f>
        <v>Suministro y Aplicación de pintura Acrílica base solvente pigmentada (verde o naranja o rojo o azul) marcas viales con microesfera, espesor seco 9 mils y 51% de solidos por volumen, incluye pictogramas</v>
      </c>
      <c r="C130" s="1163" t="str">
        <f>VLOOKUP(A130,'ANEXO PLIEGO_1'!$A$4:$C$132,3)</f>
        <v>M2</v>
      </c>
      <c r="D130" s="1166">
        <v>365</v>
      </c>
      <c r="E130" s="1191">
        <f>+T130</f>
        <v>50246</v>
      </c>
      <c r="F130" s="1472">
        <f>+ROUND(D130*E130,0)</f>
        <v>18339790</v>
      </c>
      <c r="G130" s="1189"/>
      <c r="H130" s="1166">
        <v>2057</v>
      </c>
      <c r="I130" s="1078">
        <f t="shared" si="17"/>
        <v>53125</v>
      </c>
      <c r="J130" s="1472">
        <f t="shared" si="18"/>
        <v>109278125</v>
      </c>
      <c r="K130" s="590"/>
      <c r="L130" s="1456">
        <v>2062</v>
      </c>
      <c r="M130" s="1197">
        <f t="shared" si="19"/>
        <v>54841</v>
      </c>
      <c r="N130" s="1472">
        <f t="shared" si="25"/>
        <v>113082142</v>
      </c>
      <c r="O130" s="986"/>
      <c r="P130" s="1193">
        <v>1041</v>
      </c>
      <c r="Q130" s="1201">
        <f t="shared" si="20"/>
        <v>56486</v>
      </c>
      <c r="R130" s="1472">
        <f t="shared" si="26"/>
        <v>58801926</v>
      </c>
      <c r="S130" s="986"/>
      <c r="T130" s="1156">
        <f>+ROUND(VLOOKUP(A130,'ANEXO PLIEGO_1'!$A$4:$E$132,5,FALSE)*(1+'ANEXO PLIEGO_1'!$F$138),0)</f>
        <v>50246</v>
      </c>
      <c r="U130" s="1158">
        <f t="shared" si="21"/>
        <v>53125</v>
      </c>
      <c r="V130" s="1158">
        <f t="shared" ref="V130:V132" si="28">+ROUND(U130*$V$1,0)</f>
        <v>54841</v>
      </c>
      <c r="W130" s="1165">
        <f t="shared" si="23"/>
        <v>56486</v>
      </c>
      <c r="Y130" s="1129">
        <v>132</v>
      </c>
      <c r="Z130" s="1080" t="str">
        <f t="shared" si="27"/>
        <v/>
      </c>
      <c r="AD130" s="1425" t="str">
        <f t="shared" si="24"/>
        <v>Suministro y Aplicación de pintura Acrílica base solvente pigmentada (verde o naranja o rojo o azul) marcas viales con microesfera, espesor seco 9 mils y 51% de solidos por volumen, incluye pictogramas</v>
      </c>
    </row>
    <row r="131" spans="1:30" ht="55.5" customHeight="1" x14ac:dyDescent="0.25">
      <c r="A131" s="1461">
        <v>128</v>
      </c>
      <c r="B131" s="1162" t="str">
        <f>VLOOKUP(A131,'ANEXO PLIEGO_1'!$A$4:$C$132,2)</f>
        <v>Suministro y aplicación manual (método llana) de pintura de plástico en frio metilmetacrilato pigmentada (multicolor según 3.7.3. Color de las demarcaciones planas para urbanismos tácticos u otras intervenciones tácticas urbanas) con microesferas para marcas viales de espesor seco de 50 mils según norma NTC 4744, incluye pictogramas.</v>
      </c>
      <c r="C131" s="1163" t="str">
        <f>VLOOKUP(A131,'ANEXO PLIEGO_1'!$A$4:$C$132,3)</f>
        <v>M2</v>
      </c>
      <c r="D131" s="1166">
        <v>336</v>
      </c>
      <c r="E131" s="1191">
        <f>+T131</f>
        <v>106453</v>
      </c>
      <c r="F131" s="1472">
        <f>+ROUND(D131*E131,0)</f>
        <v>35768208</v>
      </c>
      <c r="G131" s="1189"/>
      <c r="H131" s="1166">
        <v>1848</v>
      </c>
      <c r="I131" s="1078">
        <f t="shared" si="17"/>
        <v>112553</v>
      </c>
      <c r="J131" s="1472">
        <f t="shared" si="18"/>
        <v>207997944</v>
      </c>
      <c r="K131" s="590"/>
      <c r="L131" s="1456">
        <v>1853</v>
      </c>
      <c r="M131" s="1197">
        <f t="shared" si="19"/>
        <v>116188</v>
      </c>
      <c r="N131" s="1472">
        <f t="shared" si="25"/>
        <v>215296364</v>
      </c>
      <c r="O131" s="986"/>
      <c r="P131" s="1193">
        <v>936</v>
      </c>
      <c r="Q131" s="1201">
        <f t="shared" si="20"/>
        <v>119674</v>
      </c>
      <c r="R131" s="1472">
        <f t="shared" si="26"/>
        <v>112014864</v>
      </c>
      <c r="S131" s="986"/>
      <c r="T131" s="1156">
        <f>+ROUND(VLOOKUP(A131,'ANEXO PLIEGO_1'!$A$4:$E$132,5,FALSE)*(1+'ANEXO PLIEGO_1'!$F$138),0)</f>
        <v>106453</v>
      </c>
      <c r="U131" s="1158">
        <f t="shared" si="21"/>
        <v>112553</v>
      </c>
      <c r="V131" s="1158">
        <f t="shared" si="28"/>
        <v>116188</v>
      </c>
      <c r="W131" s="1165">
        <f t="shared" si="23"/>
        <v>119674</v>
      </c>
      <c r="Y131" s="1143">
        <v>133</v>
      </c>
      <c r="Z131" s="1080" t="str">
        <f t="shared" si="27"/>
        <v/>
      </c>
      <c r="AD131" s="1425" t="str">
        <f t="shared" si="24"/>
        <v>Suministro y aplicación manual (método llana) de pintura de plástico en frio metilmetacrilato pigmentada (multicolor según 3.7.3. Color de las demarcaciones planas para urbanismos tácticos u otras intervenciones tácticas urbanas) con microesferas para marcas viales de espesor seco de 50 mils según norma NTC 4744, incluye pictogramas.</v>
      </c>
    </row>
    <row r="132" spans="1:30" ht="55.5" customHeight="1" thickBot="1" x14ac:dyDescent="0.3">
      <c r="A132" s="1461">
        <v>129</v>
      </c>
      <c r="B132" s="1426" t="str">
        <f>VLOOKUP(A132,'ANEXO PLIEGO_1'!$A$4:$C$132,2)</f>
        <v xml:space="preserve">Suministro e instalación de tableros y/o lamas en lamina galvanizada C-20, papel retroflectivo tipo XI; fondos, textos, flechas, pictogramas y orlas en impresión digital. Incluye papel antigrafitti, tornilleria, perfiles para marcos y abrazaderas. </v>
      </c>
      <c r="C132" s="1427" t="str">
        <f>VLOOKUP(A132,'ANEXO PLIEGO_1'!$A$4:$C$132,3)</f>
        <v>M2</v>
      </c>
      <c r="D132" s="1207">
        <v>9</v>
      </c>
      <c r="E132" s="1188">
        <f>+T132</f>
        <v>730520</v>
      </c>
      <c r="F132" s="1473">
        <f>+ROUND(D132*E132,0)</f>
        <v>6574680</v>
      </c>
      <c r="G132" s="1189"/>
      <c r="H132" s="1166">
        <v>52</v>
      </c>
      <c r="I132" s="1078">
        <f>+U132</f>
        <v>772379</v>
      </c>
      <c r="J132" s="1473">
        <f t="shared" si="18"/>
        <v>40163708</v>
      </c>
      <c r="K132" s="590"/>
      <c r="L132" s="1459">
        <v>52</v>
      </c>
      <c r="M132" s="1217">
        <f>+V132</f>
        <v>797327</v>
      </c>
      <c r="N132" s="1472">
        <f t="shared" si="25"/>
        <v>41461004</v>
      </c>
      <c r="O132" s="986"/>
      <c r="P132" s="1199">
        <v>28</v>
      </c>
      <c r="Q132" s="1216">
        <f>+W132</f>
        <v>821247</v>
      </c>
      <c r="R132" s="1473">
        <f>+ROUND(P132*Q132,0)</f>
        <v>22994916</v>
      </c>
      <c r="S132" s="986"/>
      <c r="T132" s="1221">
        <f>+ROUND(VLOOKUP(A132,'ANEXO PLIEGO_1'!$A$4:$E$132,5,FALSE)*(1+'ANEXO PLIEGO_1'!$F$138),0)</f>
        <v>730520</v>
      </c>
      <c r="U132" s="1222">
        <f>+ROUND(T132*$U$1,0)</f>
        <v>772379</v>
      </c>
      <c r="V132" s="1222">
        <f t="shared" si="28"/>
        <v>797327</v>
      </c>
      <c r="W132" s="1165">
        <f t="shared" ref="W132" si="29">+ROUND(V132*$W$1,0)</f>
        <v>821247</v>
      </c>
      <c r="Y132" s="1137">
        <v>134</v>
      </c>
      <c r="Z132" s="1080" t="str">
        <f t="shared" ref="Z132:Z134" si="30">IF(Y132=A132,1,"")</f>
        <v/>
      </c>
      <c r="AD132" s="1425" t="str">
        <f t="shared" si="24"/>
        <v xml:space="preserve">Suministro e instalación de tableros y/o lamas en lamina galvanizada C-20, papel retroflectivo tipo XI; fondos, textos, flechas, pictogramas y orlas en impresión digital. Incluye papel antigrafitti, tornilleria, perfiles para marcos y abrazaderas. </v>
      </c>
    </row>
    <row r="133" spans="1:30" ht="33.75" customHeight="1" thickBot="1" x14ac:dyDescent="0.3">
      <c r="C133" s="1170"/>
      <c r="D133" s="1594" t="s">
        <v>213</v>
      </c>
      <c r="E133" s="1595"/>
      <c r="F133" s="1442">
        <f>SUM(F4:F132)</f>
        <v>2784761742</v>
      </c>
      <c r="G133" s="447"/>
      <c r="H133" s="1596" t="s">
        <v>213</v>
      </c>
      <c r="I133" s="1597"/>
      <c r="J133" s="1442">
        <f>SUM(J4:J132)</f>
        <v>6146071813</v>
      </c>
      <c r="K133" s="449"/>
      <c r="L133" s="1598" t="s">
        <v>213</v>
      </c>
      <c r="M133" s="1595"/>
      <c r="N133" s="1442">
        <f>SUM(N4:N132)</f>
        <v>6358430847</v>
      </c>
      <c r="O133" s="523"/>
      <c r="P133" s="1598" t="s">
        <v>213</v>
      </c>
      <c r="Q133" s="1595"/>
      <c r="R133" s="1442">
        <f>SUM(R4:R132)</f>
        <v>3288859142</v>
      </c>
      <c r="S133" s="523"/>
      <c r="T133" s="447"/>
      <c r="U133" s="447"/>
      <c r="V133" s="447"/>
      <c r="W133" s="447"/>
      <c r="Y133" s="1137"/>
      <c r="Z133" s="1080">
        <f t="shared" si="30"/>
        <v>1</v>
      </c>
    </row>
    <row r="134" spans="1:30" ht="14.25" thickBot="1" x14ac:dyDescent="0.3">
      <c r="B134" s="447"/>
      <c r="E134" s="621" t="s">
        <v>3325</v>
      </c>
      <c r="F134" s="1443">
        <f>F133</f>
        <v>2784761742</v>
      </c>
      <c r="G134" s="447"/>
      <c r="I134" s="621" t="s">
        <v>3325</v>
      </c>
      <c r="J134" s="1443">
        <f>J133</f>
        <v>6146071813</v>
      </c>
      <c r="K134" s="448"/>
      <c r="L134" s="448"/>
      <c r="M134" s="621" t="s">
        <v>3325</v>
      </c>
      <c r="N134" s="1444">
        <f>N133</f>
        <v>6358430847</v>
      </c>
      <c r="O134" s="523"/>
      <c r="Q134" s="621" t="s">
        <v>3325</v>
      </c>
      <c r="R134" s="1444">
        <f>R133</f>
        <v>3288859142</v>
      </c>
      <c r="S134" s="523"/>
      <c r="T134" s="447"/>
      <c r="U134" s="447"/>
      <c r="V134" s="447"/>
      <c r="W134" s="447"/>
      <c r="Y134" s="1137"/>
      <c r="Z134" s="1080">
        <f t="shared" si="30"/>
        <v>1</v>
      </c>
    </row>
    <row r="135" spans="1:30" ht="14.25" thickBot="1" x14ac:dyDescent="0.3">
      <c r="B135" s="447"/>
      <c r="E135" s="1177"/>
      <c r="F135" s="451"/>
      <c r="H135" s="588"/>
      <c r="I135" s="1177"/>
      <c r="J135" s="451"/>
      <c r="K135" s="447"/>
      <c r="L135" s="451"/>
      <c r="N135" s="451"/>
      <c r="O135" s="447"/>
      <c r="P135" s="447"/>
      <c r="Q135" s="447"/>
      <c r="R135" s="451"/>
      <c r="S135" s="447"/>
      <c r="T135" s="447"/>
      <c r="U135" s="447"/>
      <c r="V135" s="447"/>
      <c r="W135" s="447"/>
    </row>
    <row r="136" spans="1:30" ht="13.5" x14ac:dyDescent="0.25">
      <c r="B136" s="447"/>
      <c r="C136" s="1208" t="s">
        <v>2942</v>
      </c>
      <c r="D136" s="1209">
        <v>2024</v>
      </c>
      <c r="E136" s="1209">
        <v>2025</v>
      </c>
      <c r="F136" s="1209">
        <v>2026</v>
      </c>
      <c r="G136" s="1210"/>
      <c r="H136" s="1209">
        <v>2027</v>
      </c>
      <c r="I136" s="1224" t="s">
        <v>6884</v>
      </c>
      <c r="J136" s="447"/>
      <c r="K136" s="447"/>
      <c r="N136" s="451"/>
      <c r="O136" s="447"/>
      <c r="P136" s="447"/>
      <c r="Q136" s="447"/>
      <c r="R136" s="447"/>
      <c r="S136" s="447"/>
      <c r="T136" s="447"/>
      <c r="U136" s="447"/>
      <c r="V136" s="447"/>
      <c r="W136" s="447"/>
    </row>
    <row r="137" spans="1:30" ht="13.5" x14ac:dyDescent="0.25">
      <c r="B137" s="447"/>
      <c r="C137" s="1211" t="s">
        <v>3266</v>
      </c>
      <c r="D137" s="1451">
        <f>D139*7</f>
        <v>19710047000</v>
      </c>
      <c r="E137" s="1451">
        <f>E139*7</f>
        <v>43466414999</v>
      </c>
      <c r="F137" s="1451">
        <f>F139*7</f>
        <v>44967266001</v>
      </c>
      <c r="G137" s="1446"/>
      <c r="H137" s="1451">
        <f>H139*7</f>
        <v>23256585996</v>
      </c>
      <c r="I137" s="1212">
        <f>+D137+E137+F137+H137</f>
        <v>131400313996</v>
      </c>
      <c r="J137" s="447"/>
      <c r="K137" s="447"/>
      <c r="N137" s="451"/>
      <c r="O137" s="447"/>
      <c r="P137" s="447"/>
      <c r="Q137" s="447"/>
      <c r="R137" s="447"/>
      <c r="S137" s="447"/>
      <c r="T137" s="447"/>
      <c r="U137" s="447"/>
      <c r="V137" s="447"/>
      <c r="W137" s="447"/>
    </row>
    <row r="138" spans="1:30" ht="13.5" x14ac:dyDescent="0.25">
      <c r="B138" s="447"/>
      <c r="C138" s="1211" t="s">
        <v>6888</v>
      </c>
      <c r="D138" s="1205">
        <f>+D137/$I$137</f>
        <v>0.14999999924353302</v>
      </c>
      <c r="E138" s="1205">
        <f>+E137/$I$137</f>
        <v>0.33079384422417113</v>
      </c>
      <c r="F138" s="1205">
        <f>+F137/$I$137</f>
        <v>0.34221581846728971</v>
      </c>
      <c r="G138" s="1204"/>
      <c r="H138" s="1205">
        <f>+H137/$I$137</f>
        <v>0.17699033806500616</v>
      </c>
      <c r="I138" s="1213"/>
      <c r="J138" s="447"/>
      <c r="K138" s="447"/>
      <c r="N138" s="451"/>
      <c r="O138" s="447"/>
      <c r="P138" s="447"/>
      <c r="Q138" s="447"/>
      <c r="R138" s="447"/>
      <c r="S138" s="447"/>
      <c r="T138" s="447"/>
      <c r="U138" s="447"/>
      <c r="V138" s="447"/>
      <c r="W138" s="447"/>
    </row>
    <row r="139" spans="1:30" ht="13.5" x14ac:dyDescent="0.25">
      <c r="B139" s="447"/>
      <c r="C139" s="1211" t="s">
        <v>3352</v>
      </c>
      <c r="D139" s="1445">
        <f>D142</f>
        <v>2815721000</v>
      </c>
      <c r="E139" s="1445">
        <f t="shared" ref="E139:F139" si="31">E142</f>
        <v>6209487857</v>
      </c>
      <c r="F139" s="1445">
        <f t="shared" si="31"/>
        <v>6423895143</v>
      </c>
      <c r="G139" s="1446"/>
      <c r="H139" s="1445">
        <f>H142</f>
        <v>3322369428</v>
      </c>
      <c r="I139" s="1212">
        <f>+D139+E139+F139+H139</f>
        <v>18771473428</v>
      </c>
      <c r="J139" s="447"/>
      <c r="K139" s="447"/>
      <c r="N139" s="447"/>
      <c r="O139" s="447"/>
      <c r="P139" s="447"/>
      <c r="Q139" s="447"/>
      <c r="R139" s="447"/>
      <c r="S139" s="447"/>
      <c r="T139" s="447"/>
      <c r="U139" s="447"/>
      <c r="V139" s="447"/>
      <c r="W139" s="447"/>
    </row>
    <row r="140" spans="1:30" ht="13.5" x14ac:dyDescent="0.25">
      <c r="B140" s="447"/>
      <c r="C140" s="1211" t="s">
        <v>6882</v>
      </c>
      <c r="D140" s="1447">
        <f>F134</f>
        <v>2784761742</v>
      </c>
      <c r="E140" s="1447">
        <f>J134</f>
        <v>6146071813</v>
      </c>
      <c r="F140" s="1447">
        <f>N134</f>
        <v>6358430847</v>
      </c>
      <c r="G140" s="1446"/>
      <c r="H140" s="1447">
        <f>R134</f>
        <v>3288859142</v>
      </c>
      <c r="I140" s="1212">
        <f>+D140+E140+F140+H140</f>
        <v>18578123544</v>
      </c>
      <c r="J140" s="447"/>
      <c r="K140" s="447"/>
      <c r="N140" s="447"/>
      <c r="O140" s="447"/>
      <c r="P140" s="447"/>
      <c r="Q140" s="447"/>
      <c r="R140" s="447"/>
      <c r="S140" s="447"/>
      <c r="T140" s="447"/>
      <c r="U140" s="447"/>
      <c r="V140" s="447"/>
      <c r="W140" s="447"/>
    </row>
    <row r="141" spans="1:30" ht="13.5" x14ac:dyDescent="0.25">
      <c r="B141" s="447"/>
      <c r="C141" s="1211" t="s">
        <v>6883</v>
      </c>
      <c r="D141" s="1447">
        <f>'POR AÑOS_SUMINISTRO'!Z21</f>
        <v>30959258</v>
      </c>
      <c r="E141" s="1447">
        <f>'POR AÑOS_SUMINISTRO'!AD21</f>
        <v>63416044</v>
      </c>
      <c r="F141" s="1448">
        <f>'POR AÑOS_SUMINISTRO'!AH21</f>
        <v>65464296</v>
      </c>
      <c r="G141" s="1446"/>
      <c r="H141" s="1446">
        <f>'POR AÑOS_SUMINISTRO'!AL21</f>
        <v>33510286</v>
      </c>
      <c r="I141" s="1212">
        <f>+D141+E141+F141+H141</f>
        <v>193349884</v>
      </c>
      <c r="J141" s="447"/>
      <c r="K141" s="447"/>
      <c r="L141" s="451"/>
      <c r="N141" s="447"/>
      <c r="O141" s="447"/>
      <c r="P141" s="447"/>
      <c r="Q141" s="447"/>
      <c r="R141" s="447"/>
      <c r="S141" s="447"/>
      <c r="T141" s="447"/>
      <c r="U141" s="447"/>
      <c r="V141" s="447"/>
      <c r="W141" s="447"/>
    </row>
    <row r="142" spans="1:30" ht="14.25" thickBot="1" x14ac:dyDescent="0.3">
      <c r="B142" s="447"/>
      <c r="C142" s="1215" t="s">
        <v>3262</v>
      </c>
      <c r="D142" s="1449">
        <f>D140+D141</f>
        <v>2815721000</v>
      </c>
      <c r="E142" s="1449">
        <f>E140+E141</f>
        <v>6209487857</v>
      </c>
      <c r="F142" s="1449">
        <f>F140+F141</f>
        <v>6423895143</v>
      </c>
      <c r="G142" s="1450"/>
      <c r="H142" s="1450">
        <f>H140+H141</f>
        <v>3322369428</v>
      </c>
      <c r="I142" s="1223">
        <f>+D142+E142+F142+H142</f>
        <v>18771473428</v>
      </c>
      <c r="J142" s="447"/>
      <c r="K142" s="447"/>
      <c r="L142" s="451"/>
      <c r="N142" s="447"/>
      <c r="O142" s="447"/>
      <c r="P142" s="447"/>
      <c r="Q142" s="447"/>
      <c r="R142" s="447"/>
      <c r="S142" s="447"/>
      <c r="T142" s="447"/>
      <c r="U142" s="447"/>
      <c r="V142" s="447"/>
      <c r="W142" s="447"/>
    </row>
    <row r="143" spans="1:30" ht="14.25" thickBot="1" x14ac:dyDescent="0.3">
      <c r="C143" s="1178"/>
      <c r="D143" s="1179"/>
      <c r="E143" s="1179"/>
      <c r="G143" s="447"/>
      <c r="H143" s="447"/>
      <c r="I143" s="447"/>
      <c r="J143" s="447"/>
      <c r="K143" s="447"/>
      <c r="N143" s="447"/>
      <c r="O143" s="447"/>
      <c r="P143" s="447"/>
      <c r="Q143" s="447"/>
      <c r="R143" s="447"/>
      <c r="S143" s="447"/>
      <c r="T143" s="447"/>
      <c r="U143" s="447"/>
      <c r="V143" s="447"/>
      <c r="W143" s="447"/>
    </row>
    <row r="144" spans="1:30" ht="13.5" x14ac:dyDescent="0.25">
      <c r="B144" s="447"/>
      <c r="C144" s="1585" t="s">
        <v>6879</v>
      </c>
      <c r="D144" s="1586"/>
      <c r="E144" s="1586"/>
      <c r="F144" s="1586"/>
      <c r="G144" s="1586"/>
      <c r="H144" s="1586"/>
      <c r="I144" s="1587"/>
      <c r="J144" s="447"/>
      <c r="K144" s="447"/>
      <c r="N144" s="447"/>
      <c r="O144" s="447"/>
      <c r="P144" s="447"/>
      <c r="Q144" s="447"/>
      <c r="R144" s="447"/>
      <c r="S144" s="447"/>
      <c r="T144" s="447"/>
      <c r="U144" s="447"/>
      <c r="V144" s="447"/>
      <c r="W144" s="447"/>
    </row>
    <row r="145" spans="3:9" ht="13.5" x14ac:dyDescent="0.25">
      <c r="C145" s="1588"/>
      <c r="D145" s="1589"/>
      <c r="E145" s="1589"/>
      <c r="F145" s="1589"/>
      <c r="G145" s="1589"/>
      <c r="H145" s="1589"/>
      <c r="I145" s="1590"/>
    </row>
    <row r="146" spans="3:9" ht="13.5" x14ac:dyDescent="0.25">
      <c r="C146" s="1588"/>
      <c r="D146" s="1589"/>
      <c r="E146" s="1589"/>
      <c r="F146" s="1589"/>
      <c r="G146" s="1589"/>
      <c r="H146" s="1589"/>
      <c r="I146" s="1590"/>
    </row>
    <row r="147" spans="3:9" ht="13.5" x14ac:dyDescent="0.25">
      <c r="C147" s="1588"/>
      <c r="D147" s="1589"/>
      <c r="E147" s="1589"/>
      <c r="F147" s="1589"/>
      <c r="G147" s="1589"/>
      <c r="H147" s="1589"/>
      <c r="I147" s="1590"/>
    </row>
    <row r="148" spans="3:9" ht="13.5" x14ac:dyDescent="0.25">
      <c r="C148" s="1588"/>
      <c r="D148" s="1589"/>
      <c r="E148" s="1589"/>
      <c r="F148" s="1589"/>
      <c r="G148" s="1589"/>
      <c r="H148" s="1589"/>
      <c r="I148" s="1590"/>
    </row>
    <row r="149" spans="3:9" ht="13.5" x14ac:dyDescent="0.25">
      <c r="C149" s="1588"/>
      <c r="D149" s="1589"/>
      <c r="E149" s="1589"/>
      <c r="F149" s="1589"/>
      <c r="G149" s="1589"/>
      <c r="H149" s="1589"/>
      <c r="I149" s="1590"/>
    </row>
    <row r="150" spans="3:9" ht="13.5" x14ac:dyDescent="0.25">
      <c r="C150" s="1588"/>
      <c r="D150" s="1589"/>
      <c r="E150" s="1589"/>
      <c r="F150" s="1589"/>
      <c r="G150" s="1589"/>
      <c r="H150" s="1589"/>
      <c r="I150" s="1590"/>
    </row>
    <row r="151" spans="3:9" ht="14.25" thickBot="1" x14ac:dyDescent="0.3">
      <c r="C151" s="1591"/>
      <c r="D151" s="1592"/>
      <c r="E151" s="1592"/>
      <c r="F151" s="1592"/>
      <c r="G151" s="1592"/>
      <c r="H151" s="1592"/>
      <c r="I151" s="1593"/>
    </row>
    <row r="152" spans="3:9" ht="13.5" x14ac:dyDescent="0.25">
      <c r="C152" s="447"/>
      <c r="D152" s="447"/>
      <c r="E152" s="447"/>
      <c r="G152" s="447"/>
      <c r="H152" s="447"/>
      <c r="I152" s="447"/>
    </row>
    <row r="153" spans="3:9" ht="13.5" x14ac:dyDescent="0.25">
      <c r="C153" s="1211" t="s">
        <v>6891</v>
      </c>
      <c r="D153" s="1206">
        <v>19710047000</v>
      </c>
      <c r="E153" s="1340">
        <v>43466415000</v>
      </c>
      <c r="F153" s="1340">
        <v>44967266000</v>
      </c>
      <c r="G153" s="1204"/>
      <c r="H153" s="1206">
        <v>23256586000</v>
      </c>
      <c r="I153" s="1212">
        <f>+D153+E153+F153+H153</f>
        <v>131400314000</v>
      </c>
    </row>
    <row r="154" spans="3:9" ht="13.5" x14ac:dyDescent="0.25">
      <c r="C154" s="1211" t="s">
        <v>3352</v>
      </c>
      <c r="D154" s="1206">
        <f>D153/7</f>
        <v>2815721000</v>
      </c>
      <c r="E154" s="1340">
        <f t="shared" ref="E154:H154" si="32">E153/7</f>
        <v>6209487857.1428576</v>
      </c>
      <c r="F154" s="1340">
        <f t="shared" si="32"/>
        <v>6423895142.8571424</v>
      </c>
      <c r="G154" s="1204"/>
      <c r="H154" s="1340">
        <f t="shared" si="32"/>
        <v>3322369428.5714288</v>
      </c>
    </row>
    <row r="155" spans="3:9" ht="13.5" x14ac:dyDescent="0.25">
      <c r="C155" s="1211" t="s">
        <v>6882</v>
      </c>
      <c r="D155" s="1340">
        <f>ROUND(D154-D141,2)</f>
        <v>2784761742</v>
      </c>
      <c r="E155" s="1340">
        <f>ROUND(E154-E141,2)</f>
        <v>6146071813.1400003</v>
      </c>
      <c r="F155" s="1340">
        <f>ROUND(F154-F141,2)</f>
        <v>6358430846.8599997</v>
      </c>
      <c r="G155" s="1452"/>
      <c r="H155" s="1340">
        <f>ROUND(H154-H141,2)</f>
        <v>3288859142.5700002</v>
      </c>
      <c r="I155" s="447"/>
    </row>
  </sheetData>
  <mergeCells count="10">
    <mergeCell ref="D2:F2"/>
    <mergeCell ref="H2:J2"/>
    <mergeCell ref="L2:N2"/>
    <mergeCell ref="T2:W2"/>
    <mergeCell ref="P2:R2"/>
    <mergeCell ref="C144:I151"/>
    <mergeCell ref="D133:E133"/>
    <mergeCell ref="H133:I133"/>
    <mergeCell ref="L133:M133"/>
    <mergeCell ref="P133:Q133"/>
  </mergeCells>
  <conditionalFormatting sqref="D4:D132 H4:H132 L4:L132 P4:P132">
    <cfRule type="cellIs" dxfId="7" priority="1" operator="equal">
      <formula>0</formula>
    </cfRule>
  </conditionalFormatting>
  <hyperlinks>
    <hyperlink ref="Y7" location="'4'!A1" display="'4'!A1" xr:uid="{00000000-0004-0000-0E00-00007B000000}"/>
    <hyperlink ref="Y8" location="'5'!A1" display="'5'!A1" xr:uid="{00000000-0004-0000-0E00-00007C000000}"/>
    <hyperlink ref="Y9" location="'6'!A1" display="'6'!A1" xr:uid="{00000000-0004-0000-0E00-00007D000000}"/>
    <hyperlink ref="Y10" location="'7'!A1" display="'7'!A1" xr:uid="{00000000-0004-0000-0E00-00007E000000}"/>
    <hyperlink ref="Y11" location="'8'!A1" display="'8'!A1" xr:uid="{00000000-0004-0000-0E00-00007F000000}"/>
    <hyperlink ref="Y12" location="'9'!A1" display="'9'!A1" xr:uid="{00000000-0004-0000-0E00-000080000000}"/>
    <hyperlink ref="Y13" location="'10'!A1" display="'10'!A1" xr:uid="{00000000-0004-0000-0E00-000081000000}"/>
    <hyperlink ref="Y14" location="'11'!A1" display="'11'!A1" xr:uid="{00000000-0004-0000-0E00-000082000000}"/>
    <hyperlink ref="Y15" location="'12'!A1" display="'12'!A1" xr:uid="{00000000-0004-0000-0E00-000083000000}"/>
    <hyperlink ref="Y4" location="'1'!A1" display="'1'!A1" xr:uid="{00000000-0004-0000-0E00-000084000000}"/>
    <hyperlink ref="Y5" location="'2'!A1" display="'2'!A1" xr:uid="{00000000-0004-0000-0E00-000085000000}"/>
    <hyperlink ref="Y6" location="'3'!A1" display="'3'!A1" xr:uid="{00000000-0004-0000-0E00-000086000000}"/>
    <hyperlink ref="Y16" location="'13'!A1" display="'13'!A1" xr:uid="{00000000-0004-0000-0E00-000087000000}"/>
    <hyperlink ref="Y17" location="'14'!A1" display="'14'!A1" xr:uid="{00000000-0004-0000-0E00-000088000000}"/>
    <hyperlink ref="Y18" location="'15'!A1" display="'15'!A1" xr:uid="{00000000-0004-0000-0E00-000089000000}"/>
    <hyperlink ref="Y19" location="'16'!A1" display="'16'!A1" xr:uid="{00000000-0004-0000-0E00-00008A000000}"/>
    <hyperlink ref="Y20" location="'17'!A1" display="'17'!A1" xr:uid="{00000000-0004-0000-0E00-00008B000000}"/>
    <hyperlink ref="Y21" location="'18'!A1" display="'18'!A1" xr:uid="{00000000-0004-0000-0E00-00008C000000}"/>
    <hyperlink ref="Y22" location="'19'!A1" display="'19'!A1" xr:uid="{00000000-0004-0000-0E00-00008D000000}"/>
    <hyperlink ref="Y23" location="'20'!A1" display="'20'!A1" xr:uid="{00000000-0004-0000-0E00-00008E000000}"/>
    <hyperlink ref="Y24" location="'21'!A1" display="'21'!A1" xr:uid="{00000000-0004-0000-0E00-00008F000000}"/>
  </hyperlinks>
  <printOptions horizontalCentered="1"/>
  <pageMargins left="0.78740157480314965" right="0.78740157480314965" top="0.78740157480314965" bottom="0.78740157480314965" header="0.31496062992125984" footer="0.31496062992125984"/>
  <pageSetup scale="41" fitToHeight="0" orientation="portrait" r:id="rId1"/>
  <headerFooter>
    <oddFooter>&amp;L&amp;P DE &amp;N</oddFooter>
  </headerFooter>
  <rowBreaks count="2" manualBreakCount="2">
    <brk id="32" max="9" man="1"/>
    <brk id="68" max="9" man="1"/>
  </rowBreaks>
  <ignoredErrors>
    <ignoredError sqref="E5:F32 I4:I26 T5:V32 M6:M70 E4:F4 U4:V4 U128:V128 U127:V127 E33:F45 T34:V113 U33:V33 E128:E132 F128:F132 I129:I132 M129:M131 Q6:Q71 M71:M80 Q72:Q74 I94:I113 I45:I93 I31:I44 I27:I30 M85:M113 M81:M84 M132 E114:F127 T114:V126 I114:I128 M114:M128 K4:K26 K94:K113 K31:K44 K114:K128 M4 O4 M5 O5 O6:O70 O71:O80 O85:O113 O114:O128 Q4 Q5 E47:F113 E46" unlockedFormula="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28"/>
  <dimension ref="A1:L38"/>
  <sheetViews>
    <sheetView zoomScale="85" zoomScaleNormal="85" workbookViewId="0">
      <selection activeCell="C11" sqref="C11"/>
    </sheetView>
  </sheetViews>
  <sheetFormatPr baseColWidth="10" defaultColWidth="10" defaultRowHeight="24" customHeight="1" x14ac:dyDescent="0.25"/>
  <cols>
    <col min="1" max="1" width="14.28515625" style="15" customWidth="1"/>
    <col min="2" max="2" width="10.42578125" style="15" customWidth="1"/>
    <col min="3" max="3" width="83.5703125" style="307" customWidth="1"/>
    <col min="4" max="4" width="15" style="18" customWidth="1"/>
    <col min="5" max="5" width="21.7109375" style="15" bestFit="1" customWidth="1"/>
    <col min="6" max="6" width="29.5703125" style="306" bestFit="1" customWidth="1"/>
    <col min="7" max="7" width="1.5703125" style="11" customWidth="1"/>
    <col min="8" max="8" width="21" style="15" customWidth="1"/>
    <col min="9" max="9" width="21.140625" style="11" customWidth="1"/>
    <col min="10" max="10" width="1.42578125" style="11" customWidth="1"/>
    <col min="11" max="11" width="19.28515625" style="11" customWidth="1"/>
    <col min="12" max="12" width="35.85546875" style="11" customWidth="1"/>
    <col min="13" max="13" width="10" style="11"/>
    <col min="14" max="14" width="2.140625" style="11" customWidth="1"/>
    <col min="15" max="16384" width="10" style="11"/>
  </cols>
  <sheetData>
    <row r="1" spans="1:12" ht="24" customHeight="1" x14ac:dyDescent="0.25">
      <c r="A1" s="9" t="s">
        <v>3147</v>
      </c>
      <c r="B1" s="10"/>
      <c r="C1" s="10"/>
      <c r="D1" s="10"/>
      <c r="E1" s="391"/>
      <c r="F1" s="10"/>
      <c r="H1" s="10"/>
    </row>
    <row r="2" spans="1:12" ht="24" customHeight="1" thickBot="1" x14ac:dyDescent="0.3">
      <c r="A2" s="9" t="s">
        <v>3146</v>
      </c>
      <c r="B2" s="10"/>
      <c r="C2" s="10"/>
      <c r="D2" s="10"/>
      <c r="E2" s="391"/>
      <c r="F2" s="10"/>
      <c r="H2" s="10"/>
    </row>
    <row r="3" spans="1:12" ht="24.75" thickBot="1" x14ac:dyDescent="0.3">
      <c r="A3" s="395" t="s">
        <v>301</v>
      </c>
      <c r="B3" s="396" t="s">
        <v>2</v>
      </c>
      <c r="C3" s="396" t="s">
        <v>210</v>
      </c>
      <c r="D3" s="396" t="s">
        <v>211</v>
      </c>
      <c r="E3" s="396" t="s">
        <v>212</v>
      </c>
      <c r="F3" s="397" t="s">
        <v>213</v>
      </c>
      <c r="H3" s="428" t="s">
        <v>3264</v>
      </c>
      <c r="I3" s="429"/>
      <c r="J3" s="424"/>
      <c r="K3" s="432" t="s">
        <v>3265</v>
      </c>
      <c r="L3" s="427"/>
    </row>
    <row r="4" spans="1:12" s="14" customFormat="1" ht="32.25" customHeight="1" x14ac:dyDescent="0.2">
      <c r="A4" s="398" t="s">
        <v>296</v>
      </c>
      <c r="B4" s="399" t="s">
        <v>10</v>
      </c>
      <c r="C4" s="1324" t="s">
        <v>302</v>
      </c>
      <c r="D4" s="1325">
        <v>3000</v>
      </c>
      <c r="E4" s="1329">
        <f>+'1S'!I51</f>
        <v>92865</v>
      </c>
      <c r="F4" s="1330">
        <f>ROUND(D4*E4,0)</f>
        <v>278595000</v>
      </c>
      <c r="H4" s="1082">
        <f>'POR AÑOS_SUMINISTRO'!X4+'POR AÑOS_SUMINISTRO'!AB4+'POR AÑOS_SUMINISTRO'!AF4+'POR AÑOS_SUMINISTRO'!AJ4</f>
        <v>429</v>
      </c>
      <c r="I4" s="430">
        <f>+H4*E4</f>
        <v>39839085</v>
      </c>
      <c r="J4" s="418"/>
      <c r="K4" s="433">
        <f>+H4*7</f>
        <v>3003</v>
      </c>
      <c r="L4" s="434">
        <f>+K4*E4</f>
        <v>278873595</v>
      </c>
    </row>
    <row r="5" spans="1:12" s="14" customFormat="1" ht="32.25" customHeight="1" x14ac:dyDescent="0.2">
      <c r="A5" s="400" t="s">
        <v>297</v>
      </c>
      <c r="B5" s="369" t="s">
        <v>10</v>
      </c>
      <c r="C5" s="1326" t="s">
        <v>303</v>
      </c>
      <c r="D5" s="1327">
        <v>1500</v>
      </c>
      <c r="E5" s="1331">
        <f>+'2S'!I51</f>
        <v>415932</v>
      </c>
      <c r="F5" s="1332">
        <f t="shared" ref="F5:F17" si="0">ROUND(D5*E5,0)</f>
        <v>623898000</v>
      </c>
      <c r="H5" s="1082">
        <f>'POR AÑOS_SUMINISTRO'!X5+'POR AÑOS_SUMINISTRO'!AB5+'POR AÑOS_SUMINISTRO'!AF5+'POR AÑOS_SUMINISTRO'!AJ5</f>
        <v>216</v>
      </c>
      <c r="I5" s="431">
        <f t="shared" ref="I5:I17" si="1">+H5*E5</f>
        <v>89841312</v>
      </c>
      <c r="J5" s="418"/>
      <c r="K5" s="435">
        <f>+H5*7</f>
        <v>1512</v>
      </c>
      <c r="L5" s="436">
        <f t="shared" ref="L5:L14" si="2">+K5*E5</f>
        <v>628889184</v>
      </c>
    </row>
    <row r="6" spans="1:12" s="14" customFormat="1" ht="32.25" customHeight="1" x14ac:dyDescent="0.2">
      <c r="A6" s="400" t="s">
        <v>298</v>
      </c>
      <c r="B6" s="369" t="s">
        <v>10</v>
      </c>
      <c r="C6" s="1326" t="s">
        <v>304</v>
      </c>
      <c r="D6" s="1327">
        <v>900</v>
      </c>
      <c r="E6" s="1331">
        <f>+'3S'!I51</f>
        <v>46174</v>
      </c>
      <c r="F6" s="1332">
        <f t="shared" si="0"/>
        <v>41556600</v>
      </c>
      <c r="H6" s="1082">
        <f>'POR AÑOS_SUMINISTRO'!X6+'POR AÑOS_SUMINISTRO'!AB6+'POR AÑOS_SUMINISTRO'!AF6+'POR AÑOS_SUMINISTRO'!AJ6</f>
        <v>129</v>
      </c>
      <c r="I6" s="431">
        <f t="shared" si="1"/>
        <v>5956446</v>
      </c>
      <c r="J6" s="418"/>
      <c r="K6" s="435">
        <f>+H6*7</f>
        <v>903</v>
      </c>
      <c r="L6" s="436">
        <f t="shared" si="2"/>
        <v>41695122</v>
      </c>
    </row>
    <row r="7" spans="1:12" s="14" customFormat="1" ht="32.25" customHeight="1" x14ac:dyDescent="0.2">
      <c r="A7" s="400" t="s">
        <v>299</v>
      </c>
      <c r="B7" s="369" t="s">
        <v>13</v>
      </c>
      <c r="C7" s="1326" t="s">
        <v>305</v>
      </c>
      <c r="D7" s="1327">
        <v>150</v>
      </c>
      <c r="E7" s="1331">
        <f>+'4S'!I51</f>
        <v>215409</v>
      </c>
      <c r="F7" s="1332">
        <f t="shared" si="0"/>
        <v>32311350</v>
      </c>
      <c r="H7" s="1082">
        <f>'POR AÑOS_SUMINISTRO'!X7+'POR AÑOS_SUMINISTRO'!AB7+'POR AÑOS_SUMINISTRO'!AF7+'POR AÑOS_SUMINISTRO'!AJ7</f>
        <v>21</v>
      </c>
      <c r="I7" s="431">
        <f t="shared" si="1"/>
        <v>4523589</v>
      </c>
      <c r="J7" s="418"/>
      <c r="K7" s="435">
        <f t="shared" ref="K7:K17" si="3">+H7*7</f>
        <v>147</v>
      </c>
      <c r="L7" s="436">
        <f t="shared" si="2"/>
        <v>31665123</v>
      </c>
    </row>
    <row r="8" spans="1:12" s="14" customFormat="1" ht="32.25" customHeight="1" x14ac:dyDescent="0.2">
      <c r="A8" s="400" t="s">
        <v>300</v>
      </c>
      <c r="B8" s="369" t="s">
        <v>20</v>
      </c>
      <c r="C8" s="1326" t="s">
        <v>306</v>
      </c>
      <c r="D8" s="1327">
        <v>450</v>
      </c>
      <c r="E8" s="1331">
        <f>+'5S'!I51</f>
        <v>36939</v>
      </c>
      <c r="F8" s="1332">
        <f t="shared" si="0"/>
        <v>16622550</v>
      </c>
      <c r="H8" s="1082">
        <f>'POR AÑOS_SUMINISTRO'!X8+'POR AÑOS_SUMINISTRO'!AB8+'POR AÑOS_SUMINISTRO'!AF8+'POR AÑOS_SUMINISTRO'!AJ8</f>
        <v>66</v>
      </c>
      <c r="I8" s="431">
        <f t="shared" si="1"/>
        <v>2437974</v>
      </c>
      <c r="J8" s="418"/>
      <c r="K8" s="435">
        <f t="shared" si="3"/>
        <v>462</v>
      </c>
      <c r="L8" s="436">
        <f t="shared" si="2"/>
        <v>17065818</v>
      </c>
    </row>
    <row r="9" spans="1:12" s="14" customFormat="1" ht="60" customHeight="1" x14ac:dyDescent="0.2">
      <c r="A9" s="400" t="s">
        <v>3232</v>
      </c>
      <c r="B9" s="369" t="s">
        <v>10</v>
      </c>
      <c r="C9" s="1326" t="s">
        <v>3158</v>
      </c>
      <c r="D9" s="1327">
        <v>15</v>
      </c>
      <c r="E9" s="1331">
        <f>+'6S'!I51</f>
        <v>453617</v>
      </c>
      <c r="F9" s="1332">
        <f t="shared" si="0"/>
        <v>6804255</v>
      </c>
      <c r="H9" s="1082">
        <f>'POR AÑOS_SUMINISTRO'!X9+'POR AÑOS_SUMINISTRO'!AB9+'POR AÑOS_SUMINISTRO'!AF9+'POR AÑOS_SUMINISTRO'!AJ9</f>
        <v>4</v>
      </c>
      <c r="I9" s="431">
        <f t="shared" si="1"/>
        <v>1814468</v>
      </c>
      <c r="J9" s="418"/>
      <c r="K9" s="435">
        <f t="shared" si="3"/>
        <v>28</v>
      </c>
      <c r="L9" s="436">
        <f t="shared" si="2"/>
        <v>12701276</v>
      </c>
    </row>
    <row r="10" spans="1:12" s="14" customFormat="1" ht="32.25" customHeight="1" x14ac:dyDescent="0.2">
      <c r="A10" s="400" t="s">
        <v>3233</v>
      </c>
      <c r="B10" s="369" t="s">
        <v>10</v>
      </c>
      <c r="C10" s="1328" t="s">
        <v>3159</v>
      </c>
      <c r="D10" s="1327">
        <v>600</v>
      </c>
      <c r="E10" s="1331">
        <f>+'7S'!I51</f>
        <v>47680</v>
      </c>
      <c r="F10" s="1332">
        <f t="shared" si="0"/>
        <v>28608000</v>
      </c>
      <c r="H10" s="1082">
        <f>'POR AÑOS_SUMINISTRO'!X10+'POR AÑOS_SUMINISTRO'!AB10+'POR AÑOS_SUMINISTRO'!AF10+'POR AÑOS_SUMINISTRO'!AJ10</f>
        <v>87</v>
      </c>
      <c r="I10" s="431">
        <f t="shared" si="1"/>
        <v>4148160</v>
      </c>
      <c r="J10" s="418"/>
      <c r="K10" s="435">
        <f t="shared" si="3"/>
        <v>609</v>
      </c>
      <c r="L10" s="436">
        <f t="shared" si="2"/>
        <v>29037120</v>
      </c>
    </row>
    <row r="11" spans="1:12" s="14" customFormat="1" ht="32.25" customHeight="1" x14ac:dyDescent="0.2">
      <c r="A11" s="400" t="s">
        <v>3239</v>
      </c>
      <c r="B11" s="369" t="s">
        <v>10</v>
      </c>
      <c r="C11" s="1333" t="s">
        <v>3236</v>
      </c>
      <c r="D11" s="1327">
        <v>60</v>
      </c>
      <c r="E11" s="1331">
        <f>+'8S'!I51</f>
        <v>524380</v>
      </c>
      <c r="F11" s="1332">
        <f t="shared" si="0"/>
        <v>31462800</v>
      </c>
      <c r="H11" s="1082">
        <f>'POR AÑOS_SUMINISTRO'!X11+'POR AÑOS_SUMINISTRO'!AB11+'POR AÑOS_SUMINISTRO'!AF11+'POR AÑOS_SUMINISTRO'!AJ11</f>
        <v>9</v>
      </c>
      <c r="I11" s="431">
        <f t="shared" si="1"/>
        <v>4719420</v>
      </c>
      <c r="J11" s="418"/>
      <c r="K11" s="435">
        <f t="shared" si="3"/>
        <v>63</v>
      </c>
      <c r="L11" s="436">
        <f t="shared" si="2"/>
        <v>33035940</v>
      </c>
    </row>
    <row r="12" spans="1:12" s="14" customFormat="1" ht="32.25" customHeight="1" x14ac:dyDescent="0.2">
      <c r="A12" s="400" t="s">
        <v>3240</v>
      </c>
      <c r="B12" s="369" t="s">
        <v>10</v>
      </c>
      <c r="C12" s="1334" t="s">
        <v>3234</v>
      </c>
      <c r="D12" s="1327">
        <v>600</v>
      </c>
      <c r="E12" s="1331">
        <f>+'9S'!I51</f>
        <v>41730</v>
      </c>
      <c r="F12" s="1332">
        <f t="shared" si="0"/>
        <v>25038000</v>
      </c>
      <c r="H12" s="1082">
        <f>'POR AÑOS_SUMINISTRO'!X12+'POR AÑOS_SUMINISTRO'!AB12+'POR AÑOS_SUMINISTRO'!AF12+'POR AÑOS_SUMINISTRO'!AJ12</f>
        <v>87</v>
      </c>
      <c r="I12" s="431">
        <f t="shared" si="1"/>
        <v>3630510</v>
      </c>
      <c r="J12" s="418"/>
      <c r="K12" s="435">
        <f t="shared" si="3"/>
        <v>609</v>
      </c>
      <c r="L12" s="436">
        <f t="shared" si="2"/>
        <v>25413570</v>
      </c>
    </row>
    <row r="13" spans="1:12" s="14" customFormat="1" ht="32.25" customHeight="1" x14ac:dyDescent="0.2">
      <c r="A13" s="400" t="s">
        <v>3241</v>
      </c>
      <c r="B13" s="369" t="s">
        <v>10</v>
      </c>
      <c r="C13" s="1333" t="s">
        <v>3235</v>
      </c>
      <c r="D13" s="1327">
        <v>600</v>
      </c>
      <c r="E13" s="1331">
        <f>+'10S'!I51</f>
        <v>132379</v>
      </c>
      <c r="F13" s="1332">
        <f t="shared" si="0"/>
        <v>79427400</v>
      </c>
      <c r="H13" s="1082">
        <f>'POR AÑOS_SUMINISTRO'!X13+'POR AÑOS_SUMINISTRO'!AB13+'POR AÑOS_SUMINISTRO'!AF13+'POR AÑOS_SUMINISTRO'!AJ13</f>
        <v>87</v>
      </c>
      <c r="I13" s="431">
        <f t="shared" si="1"/>
        <v>11516973</v>
      </c>
      <c r="J13" s="418"/>
      <c r="K13" s="435">
        <f>+H13*7</f>
        <v>609</v>
      </c>
      <c r="L13" s="436">
        <f t="shared" si="2"/>
        <v>80618811</v>
      </c>
    </row>
    <row r="14" spans="1:12" s="14" customFormat="1" ht="32.25" customHeight="1" x14ac:dyDescent="0.2">
      <c r="A14" s="400" t="s">
        <v>3242</v>
      </c>
      <c r="B14" s="369" t="s">
        <v>10</v>
      </c>
      <c r="C14" s="1333" t="s">
        <v>3248</v>
      </c>
      <c r="D14" s="1327">
        <v>27</v>
      </c>
      <c r="E14" s="1331">
        <f>+'11S'!I51</f>
        <v>334689</v>
      </c>
      <c r="F14" s="1332">
        <f t="shared" si="0"/>
        <v>9036603</v>
      </c>
      <c r="H14" s="1082">
        <f>'POR AÑOS_SUMINISTRO'!X14+'POR AÑOS_SUMINISTRO'!AB14+'POR AÑOS_SUMINISTRO'!AF14+'POR AÑOS_SUMINISTRO'!AJ14</f>
        <v>4</v>
      </c>
      <c r="I14" s="431">
        <f t="shared" si="1"/>
        <v>1338756</v>
      </c>
      <c r="J14" s="418"/>
      <c r="K14" s="435">
        <f t="shared" si="3"/>
        <v>28</v>
      </c>
      <c r="L14" s="436">
        <f t="shared" si="2"/>
        <v>9371292</v>
      </c>
    </row>
    <row r="15" spans="1:12" s="14" customFormat="1" ht="32.25" customHeight="1" x14ac:dyDescent="0.2">
      <c r="A15" s="400" t="s">
        <v>3244</v>
      </c>
      <c r="B15" s="369" t="s">
        <v>10</v>
      </c>
      <c r="C15" s="1334" t="s">
        <v>3243</v>
      </c>
      <c r="D15" s="1327">
        <v>60</v>
      </c>
      <c r="E15" s="1331">
        <f>+'12S'!I51</f>
        <v>50347</v>
      </c>
      <c r="F15" s="1332">
        <f t="shared" si="0"/>
        <v>3020820</v>
      </c>
      <c r="H15" s="1082">
        <f>'POR AÑOS_SUMINISTRO'!X15+'POR AÑOS_SUMINISTRO'!AB15+'POR AÑOS_SUMINISTRO'!AF15+'POR AÑOS_SUMINISTRO'!AJ15</f>
        <v>9</v>
      </c>
      <c r="I15" s="431">
        <f t="shared" si="1"/>
        <v>453123</v>
      </c>
      <c r="J15" s="418"/>
      <c r="K15" s="435">
        <f t="shared" si="3"/>
        <v>63</v>
      </c>
      <c r="L15" s="436">
        <f>+K15*E15</f>
        <v>3171861</v>
      </c>
    </row>
    <row r="16" spans="1:12" s="14" customFormat="1" ht="32.25" customHeight="1" x14ac:dyDescent="0.2">
      <c r="A16" s="524" t="s">
        <v>3392</v>
      </c>
      <c r="B16" s="369" t="s">
        <v>10</v>
      </c>
      <c r="C16" s="1333" t="s">
        <v>3395</v>
      </c>
      <c r="D16" s="1327">
        <v>4</v>
      </c>
      <c r="E16" s="1331">
        <f>+'13S '!I51</f>
        <v>599909</v>
      </c>
      <c r="F16" s="1332">
        <f t="shared" si="0"/>
        <v>2399636</v>
      </c>
      <c r="H16" s="1082">
        <f>'POR AÑOS_SUMINISTRO'!X16+'POR AÑOS_SUMINISTRO'!AB16+'POR AÑOS_SUMINISTRO'!AF16+'POR AÑOS_SUMINISTRO'!AJ16</f>
        <v>12</v>
      </c>
      <c r="I16" s="431">
        <f t="shared" si="1"/>
        <v>7198908</v>
      </c>
      <c r="K16" s="435">
        <f t="shared" si="3"/>
        <v>84</v>
      </c>
      <c r="L16" s="436">
        <f>+K16*E16</f>
        <v>50392356</v>
      </c>
    </row>
    <row r="17" spans="1:12" s="14" customFormat="1" ht="32.25" customHeight="1" x14ac:dyDescent="0.2">
      <c r="A17" s="524" t="s">
        <v>3393</v>
      </c>
      <c r="B17" s="369" t="s">
        <v>10</v>
      </c>
      <c r="C17" s="1333" t="s">
        <v>3394</v>
      </c>
      <c r="D17" s="1327">
        <v>8</v>
      </c>
      <c r="E17" s="1331">
        <f>+'14S  '!I51</f>
        <v>137805</v>
      </c>
      <c r="F17" s="1332">
        <f t="shared" si="0"/>
        <v>1102440</v>
      </c>
      <c r="H17" s="1082">
        <f>'POR AÑOS_SUMINISTRO'!X17+'POR AÑOS_SUMINISTRO'!AB17+'POR AÑOS_SUMINISTRO'!AF17+'POR AÑOS_SUMINISTRO'!AJ17</f>
        <v>24</v>
      </c>
      <c r="I17" s="431">
        <f t="shared" si="1"/>
        <v>3307320</v>
      </c>
      <c r="K17" s="435">
        <f t="shared" si="3"/>
        <v>168</v>
      </c>
      <c r="L17" s="436">
        <f>+K17*E17</f>
        <v>23151240</v>
      </c>
    </row>
    <row r="18" spans="1:12" s="14" customFormat="1" ht="32.25" customHeight="1" x14ac:dyDescent="0.2">
      <c r="A18" s="400"/>
      <c r="B18" s="369"/>
      <c r="C18" s="304"/>
      <c r="D18" s="401"/>
      <c r="E18" s="402"/>
      <c r="F18" s="403"/>
      <c r="H18" s="420"/>
      <c r="I18" s="422"/>
      <c r="K18" s="435"/>
      <c r="L18" s="437"/>
    </row>
    <row r="19" spans="1:12" s="14" customFormat="1" ht="32.25" customHeight="1" x14ac:dyDescent="0.2">
      <c r="A19" s="400"/>
      <c r="B19" s="369"/>
      <c r="C19" s="304"/>
      <c r="D19" s="401"/>
      <c r="E19" s="402"/>
      <c r="F19" s="403"/>
      <c r="H19" s="420"/>
      <c r="I19" s="422"/>
      <c r="K19" s="435"/>
      <c r="L19" s="437"/>
    </row>
    <row r="20" spans="1:12" s="14" customFormat="1" ht="32.25" customHeight="1" thickBot="1" x14ac:dyDescent="0.25">
      <c r="A20" s="404"/>
      <c r="B20" s="405"/>
      <c r="C20" s="406"/>
      <c r="D20" s="407"/>
      <c r="E20" s="408"/>
      <c r="F20" s="409"/>
      <c r="H20" s="421"/>
      <c r="I20" s="423"/>
      <c r="K20" s="438"/>
      <c r="L20" s="439"/>
    </row>
    <row r="21" spans="1:12" ht="33" customHeight="1" x14ac:dyDescent="0.25">
      <c r="C21" s="16"/>
      <c r="D21" s="1608" t="s">
        <v>3145</v>
      </c>
      <c r="E21" s="1609"/>
      <c r="F21" s="411">
        <f>ROUND(SUM(F4:F20),0)</f>
        <v>1179883454</v>
      </c>
      <c r="H21" s="417" t="s">
        <v>3145</v>
      </c>
      <c r="I21" s="426">
        <f>SUM(I4:I20)</f>
        <v>180726044</v>
      </c>
      <c r="K21" s="440" t="s">
        <v>3145</v>
      </c>
      <c r="L21" s="441">
        <f>SUM(L4:L20)</f>
        <v>1265082308</v>
      </c>
    </row>
    <row r="22" spans="1:12" ht="12" x14ac:dyDescent="0.2">
      <c r="D22" s="323"/>
      <c r="E22" s="323"/>
      <c r="F22" s="324"/>
      <c r="H22" s="310"/>
      <c r="L22" s="425"/>
    </row>
    <row r="23" spans="1:12" ht="51" customHeight="1" x14ac:dyDescent="0.25">
      <c r="D23" s="1610" t="s">
        <v>3144</v>
      </c>
      <c r="E23" s="1611"/>
      <c r="F23" s="411">
        <f>+'ANEXO PLIEGO_1'!F137*7+'ANEXO PLIEGO_2'!L21</f>
        <v>127425382504</v>
      </c>
      <c r="H23" s="15" t="s">
        <v>3144</v>
      </c>
      <c r="I23" s="443">
        <f>+'ANEXO PLIEGO_1'!F137+'ANEXO PLIEGO_2'!I21</f>
        <v>18203626072</v>
      </c>
      <c r="J23" s="444"/>
      <c r="K23" s="444"/>
      <c r="L23" s="443">
        <f>'ANEXO PLIEGO_1'!F137+'ANEXO PLIEGO_2'!L21</f>
        <v>19287982336</v>
      </c>
    </row>
    <row r="24" spans="1:12" ht="12" customHeight="1" x14ac:dyDescent="0.2">
      <c r="D24" s="323"/>
      <c r="E24" s="323"/>
      <c r="F24" s="416"/>
      <c r="H24" s="310"/>
      <c r="I24" s="413"/>
    </row>
    <row r="25" spans="1:12" ht="66.75" customHeight="1" x14ac:dyDescent="0.25">
      <c r="A25" s="1614" t="s">
        <v>3143</v>
      </c>
      <c r="B25" s="1614"/>
      <c r="C25" s="1614"/>
      <c r="D25" s="1614"/>
      <c r="E25" s="1614"/>
      <c r="F25" s="1614"/>
      <c r="H25" s="414"/>
      <c r="I25" s="413"/>
      <c r="L25" s="425"/>
    </row>
    <row r="26" spans="1:12" ht="5.25" customHeight="1" x14ac:dyDescent="0.2">
      <c r="D26" s="323"/>
      <c r="E26" s="323"/>
      <c r="F26" s="322"/>
      <c r="H26" s="310"/>
    </row>
    <row r="27" spans="1:12" ht="24" customHeight="1" x14ac:dyDescent="0.25">
      <c r="A27" s="9" t="s">
        <v>3142</v>
      </c>
      <c r="B27" s="12"/>
      <c r="C27" s="12"/>
      <c r="D27" s="12"/>
      <c r="E27" s="392"/>
      <c r="F27" s="12"/>
    </row>
    <row r="28" spans="1:12" ht="24" customHeight="1" x14ac:dyDescent="0.25">
      <c r="A28" s="320"/>
      <c r="B28" s="319" t="s">
        <v>3141</v>
      </c>
      <c r="C28" s="1606" t="s">
        <v>210</v>
      </c>
      <c r="D28" s="1607"/>
      <c r="E28" s="318" t="s">
        <v>3140</v>
      </c>
      <c r="F28" s="318"/>
      <c r="G28"/>
      <c r="H28" s="413"/>
      <c r="I28" s="415"/>
      <c r="J28" s="415"/>
    </row>
    <row r="29" spans="1:12" ht="24" customHeight="1" x14ac:dyDescent="0.25">
      <c r="B29" s="317" t="s">
        <v>2938</v>
      </c>
      <c r="C29" s="316" t="s">
        <v>3139</v>
      </c>
      <c r="D29" s="315"/>
      <c r="E29" s="393">
        <f>+F23</f>
        <v>127425382504</v>
      </c>
      <c r="F29" s="314"/>
      <c r="G29"/>
      <c r="H29" s="11"/>
    </row>
    <row r="30" spans="1:12" ht="24" customHeight="1" x14ac:dyDescent="0.25">
      <c r="C30" s="313" t="s">
        <v>3138</v>
      </c>
      <c r="D30" s="312"/>
      <c r="E30" s="393">
        <f>+F23</f>
        <v>127425382504</v>
      </c>
      <c r="F30" s="412"/>
      <c r="G30"/>
      <c r="H30" s="11"/>
    </row>
    <row r="31" spans="1:12" ht="24" customHeight="1" x14ac:dyDescent="0.25">
      <c r="C31" s="311"/>
      <c r="D31" s="311"/>
      <c r="E31" s="419">
        <v>136003963000</v>
      </c>
      <c r="F31" s="442">
        <f>+E31-E30</f>
        <v>8578580496</v>
      </c>
      <c r="G31"/>
      <c r="H31" s="11"/>
    </row>
    <row r="32" spans="1:12" ht="74.25" customHeight="1" x14ac:dyDescent="0.2">
      <c r="A32" s="1612" t="s">
        <v>3260</v>
      </c>
      <c r="B32" s="1613"/>
      <c r="C32" s="1613"/>
      <c r="D32" s="1613"/>
      <c r="E32" s="1613"/>
      <c r="F32" s="1613"/>
      <c r="H32" s="310"/>
    </row>
    <row r="33" spans="1:8" ht="24" customHeight="1" x14ac:dyDescent="0.25">
      <c r="A33" s="309"/>
      <c r="B33" s="309"/>
      <c r="C33" s="309"/>
      <c r="D33" s="309"/>
      <c r="E33" s="394"/>
      <c r="F33" s="309"/>
      <c r="H33" s="309"/>
    </row>
    <row r="35" spans="1:8" ht="24" customHeight="1" x14ac:dyDescent="0.25">
      <c r="C35" s="17"/>
    </row>
    <row r="36" spans="1:8" ht="24" customHeight="1" x14ac:dyDescent="0.25">
      <c r="C36" s="308" t="s">
        <v>218</v>
      </c>
    </row>
    <row r="37" spans="1:8" ht="24" customHeight="1" x14ac:dyDescent="0.25">
      <c r="C37" s="91" t="s">
        <v>219</v>
      </c>
    </row>
    <row r="38" spans="1:8" ht="24" customHeight="1" x14ac:dyDescent="0.25">
      <c r="C38" s="91" t="s">
        <v>220</v>
      </c>
    </row>
  </sheetData>
  <sheetProtection algorithmName="SHA-512" hashValue="ga9ZEeOcYG7fe6tFDvQGvhV8VmBm0uPzyfXwPCkapcuk9VjuFsvy1txuB91MkgReRrJNl++0SNoLFtLCNN67Sg==" saltValue="3+UAynBBsA9CMmyPD9xZ5A==" spinCount="100000" sheet="1" objects="1" scenarios="1"/>
  <mergeCells count="5">
    <mergeCell ref="C28:D28"/>
    <mergeCell ref="D21:E21"/>
    <mergeCell ref="D23:E23"/>
    <mergeCell ref="A32:F32"/>
    <mergeCell ref="A25:F25"/>
  </mergeCells>
  <hyperlinks>
    <hyperlink ref="A4" location="'1S'!A1" display="1S" xr:uid="{00000000-0004-0000-0F00-000000000000}"/>
    <hyperlink ref="A5" location="'2S'!A1" display="2S" xr:uid="{00000000-0004-0000-0F00-000001000000}"/>
    <hyperlink ref="A6" location="'3S'!A1" display="3S" xr:uid="{00000000-0004-0000-0F00-000002000000}"/>
    <hyperlink ref="A7" location="'4S'!A1" display="4S" xr:uid="{00000000-0004-0000-0F00-000003000000}"/>
    <hyperlink ref="A8" location="'5S'!A1" display="5S" xr:uid="{00000000-0004-0000-0F00-000004000000}"/>
    <hyperlink ref="A9" location="'6S'!A1" display="6S" xr:uid="{00000000-0004-0000-0F00-000005000000}"/>
    <hyperlink ref="A10" location="'7S'!A1" display="7S" xr:uid="{00000000-0004-0000-0F00-000006000000}"/>
    <hyperlink ref="A11" location="'8S'!A1" display="8S" xr:uid="{00000000-0004-0000-0F00-000007000000}"/>
    <hyperlink ref="A12" location="'9S'!Área_de_impresión" display="9S" xr:uid="{00000000-0004-0000-0F00-000008000000}"/>
    <hyperlink ref="A13" location="'10S'!A1" display="10S" xr:uid="{00000000-0004-0000-0F00-000009000000}"/>
    <hyperlink ref="A14" location="'11S'!A1" display="11S" xr:uid="{00000000-0004-0000-0F00-00000A000000}"/>
    <hyperlink ref="A15" location="'12S'!A1" display="12S" xr:uid="{00000000-0004-0000-0F00-00000B000000}"/>
  </hyperlinks>
  <printOptions horizontalCentered="1"/>
  <pageMargins left="0.78740157480314965" right="0.78740157480314965" top="0.78740157480314965" bottom="0.78740157480314965" header="0.31496062992125984" footer="0.31496062992125984"/>
  <pageSetup scale="49" fitToHeight="0" orientation="landscape" r:id="rId1"/>
  <rowBreaks count="1" manualBreakCount="1">
    <brk id="38" max="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39">
    <tabColor rgb="FFFF00FF"/>
  </sheetPr>
  <dimension ref="A1:AO37"/>
  <sheetViews>
    <sheetView tabSelected="1" topLeftCell="AF1" zoomScale="90" zoomScaleNormal="90" workbookViewId="0">
      <selection activeCell="AO4" sqref="AO4"/>
    </sheetView>
  </sheetViews>
  <sheetFormatPr baseColWidth="10" defaultColWidth="10" defaultRowHeight="24" customHeight="1" x14ac:dyDescent="0.25"/>
  <cols>
    <col min="1" max="1" width="14.28515625" style="448" hidden="1" customWidth="1"/>
    <col min="2" max="2" width="10.42578125" style="448" hidden="1" customWidth="1"/>
    <col min="3" max="3" width="83.5703125" style="1175" hidden="1" customWidth="1"/>
    <col min="4" max="4" width="15" style="1172" hidden="1" customWidth="1"/>
    <col min="5" max="5" width="23" style="448" hidden="1" customWidth="1"/>
    <col min="6" max="6" width="29.5703125" style="447" hidden="1" customWidth="1"/>
    <col min="7" max="7" width="2.28515625" style="447" hidden="1" customWidth="1"/>
    <col min="8" max="8" width="21" style="448" hidden="1" customWidth="1"/>
    <col min="9" max="9" width="21.140625" style="447" hidden="1" customWidth="1"/>
    <col min="10" max="10" width="20.140625" style="447" hidden="1" customWidth="1"/>
    <col min="11" max="11" width="2.140625" style="447" hidden="1" customWidth="1"/>
    <col min="12" max="12" width="11.85546875" style="447" hidden="1" customWidth="1"/>
    <col min="13" max="13" width="11.85546875" style="448" hidden="1" customWidth="1"/>
    <col min="14" max="15" width="20.140625" style="448" hidden="1" customWidth="1"/>
    <col min="16" max="16" width="8.5703125" style="448" hidden="1" customWidth="1"/>
    <col min="17" max="19" width="16.42578125" style="448" hidden="1" customWidth="1"/>
    <col min="20" max="20" width="15" style="448" hidden="1" customWidth="1"/>
    <col min="21" max="21" width="11.85546875" style="448" bestFit="1" customWidth="1"/>
    <col min="22" max="22" width="10.85546875" style="448" bestFit="1" customWidth="1"/>
    <col min="23" max="23" width="74.5703125" style="448" bestFit="1" customWidth="1"/>
    <col min="24" max="24" width="16.5703125" style="448" customWidth="1"/>
    <col min="25" max="25" width="18" style="447" customWidth="1"/>
    <col min="26" max="26" width="22.42578125" style="447" customWidth="1"/>
    <col min="27" max="27" width="2" style="447" customWidth="1"/>
    <col min="28" max="28" width="16.5703125" style="447" customWidth="1"/>
    <col min="29" max="29" width="18" style="447" customWidth="1"/>
    <col min="30" max="30" width="22.28515625" style="447" customWidth="1"/>
    <col min="31" max="31" width="2" style="447" customWidth="1"/>
    <col min="32" max="32" width="16.5703125" style="447" customWidth="1"/>
    <col min="33" max="33" width="18" style="447" customWidth="1"/>
    <col min="34" max="34" width="23.28515625" style="447" customWidth="1"/>
    <col min="35" max="35" width="2" style="447" customWidth="1"/>
    <col min="36" max="36" width="16.5703125" style="447" customWidth="1"/>
    <col min="37" max="37" width="22.5703125" style="447" customWidth="1"/>
    <col min="38" max="38" width="27.5703125" style="447" customWidth="1"/>
    <col min="39" max="39" width="2" style="447" customWidth="1"/>
    <col min="40" max="40" width="26.140625" style="447" customWidth="1"/>
    <col min="41" max="41" width="23.28515625" style="447" bestFit="1" customWidth="1"/>
    <col min="42" max="16384" width="10" style="447"/>
  </cols>
  <sheetData>
    <row r="1" spans="1:41" ht="24" customHeight="1" thickBot="1" x14ac:dyDescent="0.3">
      <c r="A1" s="1227" t="s">
        <v>3147</v>
      </c>
      <c r="B1" s="1159"/>
      <c r="C1" s="1159"/>
      <c r="D1" s="448">
        <f>+D4/7</f>
        <v>142.85714285714286</v>
      </c>
      <c r="F1" s="448"/>
      <c r="G1" s="448"/>
      <c r="I1" s="448"/>
      <c r="J1" s="448"/>
      <c r="K1" s="448"/>
      <c r="L1" s="448"/>
      <c r="Q1" s="447"/>
      <c r="R1" s="1080">
        <v>1.03</v>
      </c>
      <c r="S1" s="1080"/>
      <c r="X1" s="447"/>
    </row>
    <row r="2" spans="1:41" ht="24" customHeight="1" thickBot="1" x14ac:dyDescent="0.3">
      <c r="A2" s="1227" t="s">
        <v>3146</v>
      </c>
      <c r="B2" s="1159"/>
      <c r="C2" s="1159"/>
      <c r="D2" s="1602">
        <v>2021</v>
      </c>
      <c r="E2" s="1602"/>
      <c r="F2" s="1602"/>
      <c r="G2" s="446"/>
      <c r="H2" s="1602">
        <v>2022</v>
      </c>
      <c r="I2" s="1602"/>
      <c r="J2" s="1602"/>
      <c r="K2" s="446"/>
      <c r="L2" s="1602">
        <v>2023</v>
      </c>
      <c r="M2" s="1602"/>
      <c r="N2" s="1602"/>
      <c r="Q2" s="1228">
        <v>2021</v>
      </c>
      <c r="R2" s="1229">
        <v>2022</v>
      </c>
      <c r="S2" s="1230">
        <v>2023</v>
      </c>
      <c r="U2" s="1627" t="s">
        <v>6883</v>
      </c>
      <c r="V2" s="1628"/>
      <c r="W2" s="1629"/>
      <c r="X2" s="1615">
        <v>2024</v>
      </c>
      <c r="Y2" s="1617"/>
      <c r="Z2" s="1616"/>
      <c r="AB2" s="1615">
        <v>2025</v>
      </c>
      <c r="AC2" s="1617"/>
      <c r="AD2" s="1616"/>
      <c r="AF2" s="1615">
        <v>2026</v>
      </c>
      <c r="AG2" s="1617"/>
      <c r="AH2" s="1616"/>
      <c r="AJ2" s="1615">
        <v>2027</v>
      </c>
      <c r="AK2" s="1617"/>
      <c r="AL2" s="1616"/>
      <c r="AN2" s="1615" t="s">
        <v>6884</v>
      </c>
      <c r="AO2" s="1616"/>
    </row>
    <row r="3" spans="1:41" ht="27.75" thickBot="1" x14ac:dyDescent="0.3">
      <c r="A3" s="1231" t="s">
        <v>301</v>
      </c>
      <c r="B3" s="1232" t="s">
        <v>2</v>
      </c>
      <c r="C3" s="1232" t="s">
        <v>210</v>
      </c>
      <c r="D3" s="1233" t="s">
        <v>211</v>
      </c>
      <c r="E3" s="1234" t="s">
        <v>3353</v>
      </c>
      <c r="F3" s="1235" t="s">
        <v>213</v>
      </c>
      <c r="G3" s="617"/>
      <c r="H3" s="1233" t="s">
        <v>211</v>
      </c>
      <c r="I3" s="1234" t="s">
        <v>3353</v>
      </c>
      <c r="J3" s="1235" t="s">
        <v>213</v>
      </c>
      <c r="K3" s="617"/>
      <c r="L3" s="1233" t="s">
        <v>211</v>
      </c>
      <c r="M3" s="1234" t="s">
        <v>3353</v>
      </c>
      <c r="N3" s="1235" t="s">
        <v>213</v>
      </c>
      <c r="O3" s="617" t="s">
        <v>3324</v>
      </c>
      <c r="P3" s="617"/>
      <c r="Q3" s="1624" t="s">
        <v>3263</v>
      </c>
      <c r="R3" s="1625"/>
      <c r="S3" s="1626"/>
      <c r="T3" s="617"/>
      <c r="U3" s="1231" t="s">
        <v>301</v>
      </c>
      <c r="V3" s="1232" t="s">
        <v>2</v>
      </c>
      <c r="W3" s="1232" t="s">
        <v>210</v>
      </c>
      <c r="X3" s="1236" t="s">
        <v>211</v>
      </c>
      <c r="Y3" s="1234" t="s">
        <v>212</v>
      </c>
      <c r="Z3" s="1235" t="s">
        <v>213</v>
      </c>
      <c r="AA3" s="617"/>
      <c r="AB3" s="1236" t="s">
        <v>211</v>
      </c>
      <c r="AC3" s="1234" t="s">
        <v>212</v>
      </c>
      <c r="AD3" s="1235" t="s">
        <v>213</v>
      </c>
      <c r="AE3" s="617"/>
      <c r="AF3" s="1236" t="s">
        <v>211</v>
      </c>
      <c r="AG3" s="1234" t="s">
        <v>212</v>
      </c>
      <c r="AH3" s="1235" t="s">
        <v>213</v>
      </c>
      <c r="AI3" s="617"/>
      <c r="AJ3" s="1236" t="s">
        <v>211</v>
      </c>
      <c r="AK3" s="1234" t="s">
        <v>212</v>
      </c>
      <c r="AL3" s="1235" t="s">
        <v>213</v>
      </c>
      <c r="AM3" s="617"/>
      <c r="AN3" s="1236" t="s">
        <v>6886</v>
      </c>
      <c r="AO3" s="1235" t="s">
        <v>6887</v>
      </c>
    </row>
    <row r="4" spans="1:41" s="1167" customFormat="1" ht="32.25" customHeight="1" x14ac:dyDescent="0.25">
      <c r="A4" s="1237" t="s">
        <v>296</v>
      </c>
      <c r="B4" s="1238" t="s">
        <v>10</v>
      </c>
      <c r="C4" s="1239" t="s">
        <v>302</v>
      </c>
      <c r="D4" s="1240">
        <v>1000</v>
      </c>
      <c r="E4" s="1241">
        <v>78883.97</v>
      </c>
      <c r="F4" s="1241">
        <v>78883970</v>
      </c>
      <c r="G4" s="1242"/>
      <c r="H4" s="1240">
        <v>1000</v>
      </c>
      <c r="I4" s="1241">
        <v>81250.490000000005</v>
      </c>
      <c r="J4" s="1241">
        <v>81250490</v>
      </c>
      <c r="K4" s="1242"/>
      <c r="L4" s="1240">
        <v>1000</v>
      </c>
      <c r="M4" s="1241">
        <v>83688</v>
      </c>
      <c r="N4" s="1241">
        <v>83688000</v>
      </c>
      <c r="O4" s="1243">
        <v>3000</v>
      </c>
      <c r="P4" s="1244">
        <f>+ROUNDUP(O4/7,0)</f>
        <v>429</v>
      </c>
      <c r="Q4" s="1245">
        <v>78883.97</v>
      </c>
      <c r="R4" s="1246">
        <v>81250.490000000005</v>
      </c>
      <c r="S4" s="1247">
        <v>83688</v>
      </c>
      <c r="T4" s="1248"/>
      <c r="U4" s="1306" t="s">
        <v>296</v>
      </c>
      <c r="V4" s="1307" t="s">
        <v>10</v>
      </c>
      <c r="W4" s="1308" t="s">
        <v>302</v>
      </c>
      <c r="X4" s="1293">
        <v>72</v>
      </c>
      <c r="Y4" s="1241">
        <f>+'1S'!I51</f>
        <v>92865</v>
      </c>
      <c r="Z4" s="1474">
        <f>+ROUND(X4*Y4,0)</f>
        <v>6686280</v>
      </c>
      <c r="AA4" s="1242"/>
      <c r="AB4" s="1293">
        <v>143</v>
      </c>
      <c r="AC4" s="1241">
        <f>ROUND(Y4*1.0573,0)</f>
        <v>98186</v>
      </c>
      <c r="AD4" s="1474">
        <f>+ROUND(AB4*AC4,0)</f>
        <v>14040598</v>
      </c>
      <c r="AE4" s="1242"/>
      <c r="AF4" s="1338">
        <v>143</v>
      </c>
      <c r="AG4" s="1241">
        <f>ROUND(AC4*1.0323,0)</f>
        <v>101357</v>
      </c>
      <c r="AH4" s="1474">
        <f>+ROUND(AF4*AG4,0)</f>
        <v>14494051</v>
      </c>
      <c r="AI4" s="1242"/>
      <c r="AJ4" s="1293">
        <f>ROUNDDOWN(AF4/2,0)</f>
        <v>71</v>
      </c>
      <c r="AK4" s="1241">
        <f>ROUND(AG4*1.03,0)</f>
        <v>104398</v>
      </c>
      <c r="AL4" s="1474">
        <f>+ROUND(AJ4*AK4,0)</f>
        <v>7412258</v>
      </c>
      <c r="AM4" s="1242"/>
      <c r="AN4" s="1295">
        <f t="shared" ref="AN4:AN16" si="0">+(AF4+AB4+X4+AJ4)</f>
        <v>429</v>
      </c>
      <c r="AO4" s="1294"/>
    </row>
    <row r="5" spans="1:41" s="1167" customFormat="1" ht="32.25" customHeight="1" x14ac:dyDescent="0.25">
      <c r="A5" s="1249" t="s">
        <v>297</v>
      </c>
      <c r="B5" s="1180" t="s">
        <v>10</v>
      </c>
      <c r="C5" s="1250" t="s">
        <v>303</v>
      </c>
      <c r="D5" s="1251">
        <v>500</v>
      </c>
      <c r="E5" s="1246">
        <v>301065.14</v>
      </c>
      <c r="F5" s="1246">
        <v>150532570</v>
      </c>
      <c r="G5" s="1242"/>
      <c r="H5" s="1251">
        <v>500</v>
      </c>
      <c r="I5" s="1246">
        <v>310097.09000000003</v>
      </c>
      <c r="J5" s="1246">
        <v>155048545</v>
      </c>
      <c r="K5" s="1242"/>
      <c r="L5" s="1251">
        <v>500</v>
      </c>
      <c r="M5" s="1246">
        <v>319400</v>
      </c>
      <c r="N5" s="1246">
        <v>159700000</v>
      </c>
      <c r="O5" s="1243">
        <v>1500</v>
      </c>
      <c r="P5" s="1244">
        <f t="shared" ref="P5:P15" si="1">+ROUNDUP(O5/7,0)</f>
        <v>215</v>
      </c>
      <c r="Q5" s="1245">
        <v>301065.14</v>
      </c>
      <c r="R5" s="1246">
        <v>310097.09000000003</v>
      </c>
      <c r="S5" s="1247">
        <v>319400</v>
      </c>
      <c r="T5" s="1248"/>
      <c r="U5" s="1249" t="s">
        <v>297</v>
      </c>
      <c r="V5" s="1180" t="s">
        <v>10</v>
      </c>
      <c r="W5" s="1309" t="s">
        <v>303</v>
      </c>
      <c r="X5" s="1293">
        <v>36</v>
      </c>
      <c r="Y5" s="1241">
        <f>+'2S'!I51</f>
        <v>415932</v>
      </c>
      <c r="Z5" s="1474">
        <f>+ROUND(X5*Y5,0)</f>
        <v>14973552</v>
      </c>
      <c r="AA5" s="1242"/>
      <c r="AB5" s="1293">
        <v>72</v>
      </c>
      <c r="AC5" s="1241">
        <f t="shared" ref="AC5:AC17" si="2">ROUND(Y5*1.0573,0)</f>
        <v>439765</v>
      </c>
      <c r="AD5" s="1474">
        <f>+ROUND(AB5*AC5,0)</f>
        <v>31663080</v>
      </c>
      <c r="AE5" s="1242"/>
      <c r="AF5" s="1338">
        <v>72</v>
      </c>
      <c r="AG5" s="1241">
        <f t="shared" ref="AG5:AG20" si="3">ROUND(AC5*1.0323,0)</f>
        <v>453969</v>
      </c>
      <c r="AH5" s="1474">
        <f>+ROUND(AF5*AG5,0)</f>
        <v>32685768</v>
      </c>
      <c r="AI5" s="1242"/>
      <c r="AJ5" s="1293">
        <f t="shared" ref="AJ5:AJ17" si="4">ROUNDDOWN(AF5/2,0)</f>
        <v>36</v>
      </c>
      <c r="AK5" s="1241">
        <f t="shared" ref="AK5:AK17" si="5">ROUND(AG5*1.03,0)</f>
        <v>467588</v>
      </c>
      <c r="AL5" s="1474">
        <f>+ROUND(AJ5*AK5,0)</f>
        <v>16833168</v>
      </c>
      <c r="AM5" s="1242"/>
      <c r="AN5" s="1295">
        <f t="shared" si="0"/>
        <v>216</v>
      </c>
      <c r="AO5" s="1294">
        <f t="shared" ref="AO5:AO16" si="6">+(AH5+AD5+Z5+AL5)*7</f>
        <v>673088976</v>
      </c>
    </row>
    <row r="6" spans="1:41" s="1167" customFormat="1" ht="32.25" customHeight="1" x14ac:dyDescent="0.25">
      <c r="A6" s="1249" t="s">
        <v>298</v>
      </c>
      <c r="B6" s="1180" t="s">
        <v>10</v>
      </c>
      <c r="C6" s="1250" t="s">
        <v>304</v>
      </c>
      <c r="D6" s="1251">
        <v>300</v>
      </c>
      <c r="E6" s="1246">
        <v>29403.34</v>
      </c>
      <c r="F6" s="1246">
        <v>8821002</v>
      </c>
      <c r="G6" s="1242"/>
      <c r="H6" s="1251">
        <v>300</v>
      </c>
      <c r="I6" s="1246">
        <v>30285.439999999999</v>
      </c>
      <c r="J6" s="1246">
        <v>9085632</v>
      </c>
      <c r="K6" s="1242"/>
      <c r="L6" s="1251">
        <v>300</v>
      </c>
      <c r="M6" s="1246">
        <v>31194</v>
      </c>
      <c r="N6" s="1246">
        <v>9358200</v>
      </c>
      <c r="O6" s="1243">
        <v>900</v>
      </c>
      <c r="P6" s="1244">
        <f t="shared" si="1"/>
        <v>129</v>
      </c>
      <c r="Q6" s="1245">
        <v>29403.34</v>
      </c>
      <c r="R6" s="1246">
        <v>30285.439999999999</v>
      </c>
      <c r="S6" s="1247">
        <v>31194</v>
      </c>
      <c r="T6" s="1248"/>
      <c r="U6" s="1249" t="s">
        <v>298</v>
      </c>
      <c r="V6" s="1180" t="s">
        <v>10</v>
      </c>
      <c r="W6" s="1309" t="s">
        <v>304</v>
      </c>
      <c r="X6" s="1293">
        <v>22</v>
      </c>
      <c r="Y6" s="1241">
        <f>+'3S'!I51</f>
        <v>46174</v>
      </c>
      <c r="Z6" s="1474">
        <f t="shared" ref="Z6:Z17" si="7">+ROUND(X6*Y6,0)</f>
        <v>1015828</v>
      </c>
      <c r="AA6" s="1242"/>
      <c r="AB6" s="1293">
        <v>43</v>
      </c>
      <c r="AC6" s="1241">
        <f t="shared" si="2"/>
        <v>48820</v>
      </c>
      <c r="AD6" s="1474">
        <f t="shared" ref="AD6:AD17" si="8">+ROUND(AB6*AC6,0)</f>
        <v>2099260</v>
      </c>
      <c r="AE6" s="1242"/>
      <c r="AF6" s="1338">
        <v>43</v>
      </c>
      <c r="AG6" s="1241">
        <f t="shared" si="3"/>
        <v>50397</v>
      </c>
      <c r="AH6" s="1474">
        <f t="shared" ref="AH6:AH17" si="9">+ROUND(AF6*AG6,0)</f>
        <v>2167071</v>
      </c>
      <c r="AI6" s="1242"/>
      <c r="AJ6" s="1293">
        <f t="shared" si="4"/>
        <v>21</v>
      </c>
      <c r="AK6" s="1241">
        <f t="shared" si="5"/>
        <v>51909</v>
      </c>
      <c r="AL6" s="1474">
        <f t="shared" ref="AL6:AL17" si="10">+ROUND(AJ6*AK6,0)</f>
        <v>1090089</v>
      </c>
      <c r="AM6" s="1242"/>
      <c r="AN6" s="1295">
        <f t="shared" si="0"/>
        <v>129</v>
      </c>
      <c r="AO6" s="1294">
        <f t="shared" si="6"/>
        <v>44605736</v>
      </c>
    </row>
    <row r="7" spans="1:41" s="1167" customFormat="1" ht="32.25" customHeight="1" x14ac:dyDescent="0.25">
      <c r="A7" s="1249" t="s">
        <v>299</v>
      </c>
      <c r="B7" s="1180" t="s">
        <v>13</v>
      </c>
      <c r="C7" s="1250" t="s">
        <v>305</v>
      </c>
      <c r="D7" s="1251">
        <v>50</v>
      </c>
      <c r="E7" s="1246">
        <v>127942.31</v>
      </c>
      <c r="F7" s="1246">
        <v>6397116</v>
      </c>
      <c r="G7" s="1242"/>
      <c r="H7" s="1251">
        <v>50</v>
      </c>
      <c r="I7" s="1246">
        <v>131780.57999999999</v>
      </c>
      <c r="J7" s="1246">
        <v>6589029</v>
      </c>
      <c r="K7" s="1242"/>
      <c r="L7" s="1251">
        <v>50</v>
      </c>
      <c r="M7" s="1246">
        <v>135734</v>
      </c>
      <c r="N7" s="1246">
        <v>6786700</v>
      </c>
      <c r="O7" s="1243">
        <v>150</v>
      </c>
      <c r="P7" s="1244">
        <f t="shared" si="1"/>
        <v>22</v>
      </c>
      <c r="Q7" s="1245">
        <v>127942.31</v>
      </c>
      <c r="R7" s="1246">
        <v>131780.57999999999</v>
      </c>
      <c r="S7" s="1247">
        <v>135734</v>
      </c>
      <c r="T7" s="1248"/>
      <c r="U7" s="1249" t="s">
        <v>299</v>
      </c>
      <c r="V7" s="1180" t="s">
        <v>13</v>
      </c>
      <c r="W7" s="1309" t="s">
        <v>305</v>
      </c>
      <c r="X7" s="1293">
        <v>4</v>
      </c>
      <c r="Y7" s="1241">
        <f>+'4S'!I51</f>
        <v>215409</v>
      </c>
      <c r="Z7" s="1474">
        <f t="shared" si="7"/>
        <v>861636</v>
      </c>
      <c r="AA7" s="1242"/>
      <c r="AB7" s="1293">
        <v>7</v>
      </c>
      <c r="AC7" s="1241">
        <f t="shared" si="2"/>
        <v>227752</v>
      </c>
      <c r="AD7" s="1474">
        <f t="shared" si="8"/>
        <v>1594264</v>
      </c>
      <c r="AE7" s="1242"/>
      <c r="AF7" s="1338">
        <v>7</v>
      </c>
      <c r="AG7" s="1241">
        <f t="shared" si="3"/>
        <v>235108</v>
      </c>
      <c r="AH7" s="1474">
        <f t="shared" si="9"/>
        <v>1645756</v>
      </c>
      <c r="AI7" s="1242"/>
      <c r="AJ7" s="1293">
        <f t="shared" si="4"/>
        <v>3</v>
      </c>
      <c r="AK7" s="1241">
        <f t="shared" si="5"/>
        <v>242161</v>
      </c>
      <c r="AL7" s="1474">
        <f t="shared" si="10"/>
        <v>726483</v>
      </c>
      <c r="AM7" s="1242"/>
      <c r="AN7" s="1295">
        <f t="shared" si="0"/>
        <v>21</v>
      </c>
      <c r="AO7" s="1294">
        <f t="shared" si="6"/>
        <v>33796973</v>
      </c>
    </row>
    <row r="8" spans="1:41" s="1167" customFormat="1" ht="32.25" customHeight="1" x14ac:dyDescent="0.25">
      <c r="A8" s="1249" t="s">
        <v>300</v>
      </c>
      <c r="B8" s="1180" t="s">
        <v>20</v>
      </c>
      <c r="C8" s="1250" t="s">
        <v>306</v>
      </c>
      <c r="D8" s="1251">
        <v>150</v>
      </c>
      <c r="E8" s="1246">
        <v>25491.56</v>
      </c>
      <c r="F8" s="1246">
        <v>3823734</v>
      </c>
      <c r="G8" s="1242"/>
      <c r="H8" s="1251">
        <v>150</v>
      </c>
      <c r="I8" s="1246">
        <v>26256.31</v>
      </c>
      <c r="J8" s="1246">
        <v>3938447</v>
      </c>
      <c r="K8" s="1242"/>
      <c r="L8" s="1251">
        <v>150</v>
      </c>
      <c r="M8" s="1246">
        <v>27044</v>
      </c>
      <c r="N8" s="1246">
        <v>4056600</v>
      </c>
      <c r="O8" s="1243">
        <v>450</v>
      </c>
      <c r="P8" s="1244">
        <f t="shared" si="1"/>
        <v>65</v>
      </c>
      <c r="Q8" s="1245">
        <v>25491.56</v>
      </c>
      <c r="R8" s="1246">
        <v>26256.31</v>
      </c>
      <c r="S8" s="1247">
        <v>27044</v>
      </c>
      <c r="T8" s="1248"/>
      <c r="U8" s="1249" t="s">
        <v>300</v>
      </c>
      <c r="V8" s="1180" t="s">
        <v>20</v>
      </c>
      <c r="W8" s="1309" t="s">
        <v>306</v>
      </c>
      <c r="X8" s="1293">
        <v>11</v>
      </c>
      <c r="Y8" s="1241">
        <f>+'5S'!I51</f>
        <v>36939</v>
      </c>
      <c r="Z8" s="1474">
        <f t="shared" si="7"/>
        <v>406329</v>
      </c>
      <c r="AA8" s="1242"/>
      <c r="AB8" s="1293">
        <v>22</v>
      </c>
      <c r="AC8" s="1241">
        <f t="shared" si="2"/>
        <v>39056</v>
      </c>
      <c r="AD8" s="1474">
        <f t="shared" si="8"/>
        <v>859232</v>
      </c>
      <c r="AE8" s="1242"/>
      <c r="AF8" s="1338">
        <v>22</v>
      </c>
      <c r="AG8" s="1241">
        <f t="shared" si="3"/>
        <v>40318</v>
      </c>
      <c r="AH8" s="1474">
        <f t="shared" si="9"/>
        <v>886996</v>
      </c>
      <c r="AI8" s="1242"/>
      <c r="AJ8" s="1293">
        <f t="shared" si="4"/>
        <v>11</v>
      </c>
      <c r="AK8" s="1241">
        <f t="shared" si="5"/>
        <v>41528</v>
      </c>
      <c r="AL8" s="1474">
        <f t="shared" si="10"/>
        <v>456808</v>
      </c>
      <c r="AM8" s="1242"/>
      <c r="AN8" s="1295">
        <f t="shared" si="0"/>
        <v>66</v>
      </c>
      <c r="AO8" s="1294">
        <f t="shared" si="6"/>
        <v>18265555</v>
      </c>
    </row>
    <row r="9" spans="1:41" s="1167" customFormat="1" ht="60" customHeight="1" x14ac:dyDescent="0.25">
      <c r="A9" s="1249" t="s">
        <v>3232</v>
      </c>
      <c r="B9" s="1180" t="s">
        <v>10</v>
      </c>
      <c r="C9" s="1250" t="s">
        <v>3158</v>
      </c>
      <c r="D9" s="1251">
        <v>5</v>
      </c>
      <c r="E9" s="1246">
        <v>347536.06</v>
      </c>
      <c r="F9" s="1246">
        <v>1737680</v>
      </c>
      <c r="G9" s="1242"/>
      <c r="H9" s="1251">
        <v>5</v>
      </c>
      <c r="I9" s="1246">
        <v>357962.14</v>
      </c>
      <c r="J9" s="1246">
        <v>1789811</v>
      </c>
      <c r="K9" s="1242"/>
      <c r="L9" s="1251">
        <v>5</v>
      </c>
      <c r="M9" s="1246">
        <v>368701</v>
      </c>
      <c r="N9" s="1246">
        <v>1843505</v>
      </c>
      <c r="O9" s="1243">
        <v>15</v>
      </c>
      <c r="P9" s="1244">
        <f t="shared" si="1"/>
        <v>3</v>
      </c>
      <c r="Q9" s="1245">
        <v>347536.06</v>
      </c>
      <c r="R9" s="1246">
        <v>357962.14</v>
      </c>
      <c r="S9" s="1247">
        <v>368701</v>
      </c>
      <c r="T9" s="1248"/>
      <c r="U9" s="1249" t="s">
        <v>3232</v>
      </c>
      <c r="V9" s="1180" t="s">
        <v>10</v>
      </c>
      <c r="W9" s="1309" t="s">
        <v>7428</v>
      </c>
      <c r="X9" s="1293">
        <v>1</v>
      </c>
      <c r="Y9" s="1241">
        <f>+'6S'!I51</f>
        <v>453617</v>
      </c>
      <c r="Z9" s="1474">
        <f t="shared" si="7"/>
        <v>453617</v>
      </c>
      <c r="AA9" s="1242"/>
      <c r="AB9" s="1293">
        <v>1</v>
      </c>
      <c r="AC9" s="1241">
        <f t="shared" si="2"/>
        <v>479609</v>
      </c>
      <c r="AD9" s="1474">
        <f t="shared" si="8"/>
        <v>479609</v>
      </c>
      <c r="AE9" s="1242"/>
      <c r="AF9" s="1338">
        <v>1</v>
      </c>
      <c r="AG9" s="1241">
        <f t="shared" si="3"/>
        <v>495100</v>
      </c>
      <c r="AH9" s="1474">
        <f t="shared" si="9"/>
        <v>495100</v>
      </c>
      <c r="AI9" s="1242"/>
      <c r="AJ9" s="1293">
        <v>1</v>
      </c>
      <c r="AK9" s="1241">
        <f t="shared" si="5"/>
        <v>509953</v>
      </c>
      <c r="AL9" s="1474">
        <f t="shared" si="10"/>
        <v>509953</v>
      </c>
      <c r="AM9" s="1242"/>
      <c r="AN9" s="1295">
        <f t="shared" si="0"/>
        <v>4</v>
      </c>
      <c r="AO9" s="1294">
        <f t="shared" si="6"/>
        <v>13567953</v>
      </c>
    </row>
    <row r="10" spans="1:41" s="1167" customFormat="1" ht="32.25" customHeight="1" x14ac:dyDescent="0.25">
      <c r="A10" s="1249" t="s">
        <v>3233</v>
      </c>
      <c r="B10" s="1180" t="s">
        <v>10</v>
      </c>
      <c r="C10" s="1252" t="s">
        <v>3159</v>
      </c>
      <c r="D10" s="1251">
        <v>200</v>
      </c>
      <c r="E10" s="1246">
        <v>46896.97</v>
      </c>
      <c r="F10" s="1246">
        <v>9379394</v>
      </c>
      <c r="G10" s="1242"/>
      <c r="H10" s="1251">
        <v>200</v>
      </c>
      <c r="I10" s="1246">
        <v>48303.88</v>
      </c>
      <c r="J10" s="1246">
        <v>9660776</v>
      </c>
      <c r="K10" s="1242"/>
      <c r="L10" s="1251">
        <v>200</v>
      </c>
      <c r="M10" s="1246">
        <v>49753</v>
      </c>
      <c r="N10" s="1246">
        <v>9950600</v>
      </c>
      <c r="O10" s="1243">
        <v>600</v>
      </c>
      <c r="P10" s="1244">
        <f t="shared" si="1"/>
        <v>86</v>
      </c>
      <c r="Q10" s="1245">
        <v>46896.97</v>
      </c>
      <c r="R10" s="1246">
        <v>48303.88</v>
      </c>
      <c r="S10" s="1247">
        <v>49753</v>
      </c>
      <c r="T10" s="1248"/>
      <c r="U10" s="1249" t="s">
        <v>3233</v>
      </c>
      <c r="V10" s="1180" t="s">
        <v>10</v>
      </c>
      <c r="W10" s="1310" t="s">
        <v>7429</v>
      </c>
      <c r="X10" s="1293">
        <v>15</v>
      </c>
      <c r="Y10" s="1241">
        <f>+'7S'!I51</f>
        <v>47680</v>
      </c>
      <c r="Z10" s="1474">
        <f t="shared" si="7"/>
        <v>715200</v>
      </c>
      <c r="AA10" s="1242"/>
      <c r="AB10" s="1293">
        <v>29</v>
      </c>
      <c r="AC10" s="1241">
        <f t="shared" si="2"/>
        <v>50412</v>
      </c>
      <c r="AD10" s="1474">
        <f t="shared" si="8"/>
        <v>1461948</v>
      </c>
      <c r="AE10" s="1242"/>
      <c r="AF10" s="1338">
        <v>29</v>
      </c>
      <c r="AG10" s="1241">
        <f t="shared" si="3"/>
        <v>52040</v>
      </c>
      <c r="AH10" s="1474">
        <f t="shared" si="9"/>
        <v>1509160</v>
      </c>
      <c r="AI10" s="1242"/>
      <c r="AJ10" s="1293">
        <f t="shared" si="4"/>
        <v>14</v>
      </c>
      <c r="AK10" s="1241">
        <f t="shared" si="5"/>
        <v>53601</v>
      </c>
      <c r="AL10" s="1474">
        <f t="shared" si="10"/>
        <v>750414</v>
      </c>
      <c r="AM10" s="1242"/>
      <c r="AN10" s="1295">
        <f t="shared" si="0"/>
        <v>87</v>
      </c>
      <c r="AO10" s="1294">
        <f t="shared" si="6"/>
        <v>31057054</v>
      </c>
    </row>
    <row r="11" spans="1:41" s="1167" customFormat="1" ht="32.25" customHeight="1" x14ac:dyDescent="0.25">
      <c r="A11" s="1249" t="s">
        <v>3239</v>
      </c>
      <c r="B11" s="1180" t="s">
        <v>10</v>
      </c>
      <c r="C11" s="1225" t="s">
        <v>3236</v>
      </c>
      <c r="D11" s="1251">
        <v>20</v>
      </c>
      <c r="E11" s="1246">
        <v>348811.39</v>
      </c>
      <c r="F11" s="1246">
        <v>6976228</v>
      </c>
      <c r="G11" s="1242"/>
      <c r="H11" s="1251">
        <v>20</v>
      </c>
      <c r="I11" s="1246">
        <v>359275.73</v>
      </c>
      <c r="J11" s="1246">
        <v>7185515</v>
      </c>
      <c r="K11" s="1242"/>
      <c r="L11" s="1251">
        <v>20</v>
      </c>
      <c r="M11" s="1246">
        <v>370054</v>
      </c>
      <c r="N11" s="1246">
        <v>7401080</v>
      </c>
      <c r="O11" s="1243">
        <v>60</v>
      </c>
      <c r="P11" s="1244">
        <f t="shared" si="1"/>
        <v>9</v>
      </c>
      <c r="Q11" s="1245">
        <v>348811.39</v>
      </c>
      <c r="R11" s="1246">
        <v>359275.73</v>
      </c>
      <c r="S11" s="1247">
        <v>370054</v>
      </c>
      <c r="T11" s="1248"/>
      <c r="U11" s="1249" t="s">
        <v>3239</v>
      </c>
      <c r="V11" s="1180" t="s">
        <v>10</v>
      </c>
      <c r="W11" s="1311" t="s">
        <v>7430</v>
      </c>
      <c r="X11" s="1293">
        <v>2</v>
      </c>
      <c r="Y11" s="1241">
        <f>+'8S'!I51</f>
        <v>524380</v>
      </c>
      <c r="Z11" s="1474">
        <f t="shared" si="7"/>
        <v>1048760</v>
      </c>
      <c r="AA11" s="1242"/>
      <c r="AB11" s="1293">
        <v>3</v>
      </c>
      <c r="AC11" s="1241">
        <f t="shared" si="2"/>
        <v>554427</v>
      </c>
      <c r="AD11" s="1474">
        <f t="shared" si="8"/>
        <v>1663281</v>
      </c>
      <c r="AE11" s="1242"/>
      <c r="AF11" s="1338">
        <v>3</v>
      </c>
      <c r="AG11" s="1241">
        <f t="shared" si="3"/>
        <v>572335</v>
      </c>
      <c r="AH11" s="1474">
        <f t="shared" si="9"/>
        <v>1717005</v>
      </c>
      <c r="AI11" s="1242"/>
      <c r="AJ11" s="1293">
        <f t="shared" si="4"/>
        <v>1</v>
      </c>
      <c r="AK11" s="1241">
        <f t="shared" si="5"/>
        <v>589505</v>
      </c>
      <c r="AL11" s="1474">
        <f t="shared" si="10"/>
        <v>589505</v>
      </c>
      <c r="AM11" s="1242"/>
      <c r="AN11" s="1295">
        <f t="shared" si="0"/>
        <v>9</v>
      </c>
      <c r="AO11" s="1294">
        <f t="shared" si="6"/>
        <v>35129857</v>
      </c>
    </row>
    <row r="12" spans="1:41" s="1167" customFormat="1" ht="32.25" customHeight="1" x14ac:dyDescent="0.25">
      <c r="A12" s="1249" t="s">
        <v>3240</v>
      </c>
      <c r="B12" s="1180" t="s">
        <v>10</v>
      </c>
      <c r="C12" s="1226" t="s">
        <v>3234</v>
      </c>
      <c r="D12" s="1251">
        <v>200</v>
      </c>
      <c r="E12" s="1246">
        <v>61743.81</v>
      </c>
      <c r="F12" s="1246">
        <v>12348762</v>
      </c>
      <c r="G12" s="1242"/>
      <c r="H12" s="1251">
        <v>200</v>
      </c>
      <c r="I12" s="1246">
        <v>63596.12</v>
      </c>
      <c r="J12" s="1246">
        <v>12719224</v>
      </c>
      <c r="K12" s="1242"/>
      <c r="L12" s="1251">
        <v>200</v>
      </c>
      <c r="M12" s="1246">
        <v>65504</v>
      </c>
      <c r="N12" s="1246">
        <v>13100800</v>
      </c>
      <c r="O12" s="1243">
        <v>600</v>
      </c>
      <c r="P12" s="1244">
        <f t="shared" si="1"/>
        <v>86</v>
      </c>
      <c r="Q12" s="1245">
        <v>61743.81</v>
      </c>
      <c r="R12" s="1246">
        <v>63596.12</v>
      </c>
      <c r="S12" s="1247">
        <v>65504</v>
      </c>
      <c r="T12" s="1248"/>
      <c r="U12" s="1249" t="s">
        <v>3240</v>
      </c>
      <c r="V12" s="1180" t="s">
        <v>10</v>
      </c>
      <c r="W12" s="1312" t="s">
        <v>7431</v>
      </c>
      <c r="X12" s="1293">
        <v>15</v>
      </c>
      <c r="Y12" s="1241">
        <f>+'9S'!I51</f>
        <v>41730</v>
      </c>
      <c r="Z12" s="1474">
        <f t="shared" si="7"/>
        <v>625950</v>
      </c>
      <c r="AA12" s="1242"/>
      <c r="AB12" s="1293">
        <v>29</v>
      </c>
      <c r="AC12" s="1241">
        <f t="shared" si="2"/>
        <v>44121</v>
      </c>
      <c r="AD12" s="1474">
        <f t="shared" si="8"/>
        <v>1279509</v>
      </c>
      <c r="AE12" s="1242"/>
      <c r="AF12" s="1338">
        <v>29</v>
      </c>
      <c r="AG12" s="1241">
        <f t="shared" si="3"/>
        <v>45546</v>
      </c>
      <c r="AH12" s="1474">
        <f t="shared" si="9"/>
        <v>1320834</v>
      </c>
      <c r="AI12" s="1242"/>
      <c r="AJ12" s="1293">
        <f t="shared" si="4"/>
        <v>14</v>
      </c>
      <c r="AK12" s="1241">
        <f t="shared" si="5"/>
        <v>46912</v>
      </c>
      <c r="AL12" s="1474">
        <f t="shared" si="10"/>
        <v>656768</v>
      </c>
      <c r="AM12" s="1242"/>
      <c r="AN12" s="1295">
        <f t="shared" si="0"/>
        <v>87</v>
      </c>
      <c r="AO12" s="1294">
        <f t="shared" si="6"/>
        <v>27181427</v>
      </c>
    </row>
    <row r="13" spans="1:41" s="1167" customFormat="1" ht="32.25" customHeight="1" x14ac:dyDescent="0.25">
      <c r="A13" s="1249" t="s">
        <v>3241</v>
      </c>
      <c r="B13" s="1180" t="s">
        <v>10</v>
      </c>
      <c r="C13" s="1225" t="s">
        <v>3235</v>
      </c>
      <c r="D13" s="1251">
        <v>200</v>
      </c>
      <c r="E13" s="1246">
        <v>127301.35</v>
      </c>
      <c r="F13" s="1246">
        <v>25460270</v>
      </c>
      <c r="G13" s="1242"/>
      <c r="H13" s="1251">
        <v>200</v>
      </c>
      <c r="I13" s="1246">
        <v>131120.39000000001</v>
      </c>
      <c r="J13" s="1246">
        <v>26224078</v>
      </c>
      <c r="K13" s="1242"/>
      <c r="L13" s="1251">
        <v>200</v>
      </c>
      <c r="M13" s="1246">
        <v>135054</v>
      </c>
      <c r="N13" s="1246">
        <v>27010800</v>
      </c>
      <c r="O13" s="1243">
        <v>600</v>
      </c>
      <c r="P13" s="1244">
        <f t="shared" si="1"/>
        <v>86</v>
      </c>
      <c r="Q13" s="1245">
        <v>127301.35</v>
      </c>
      <c r="R13" s="1246">
        <v>131120.39000000001</v>
      </c>
      <c r="S13" s="1247">
        <v>135054</v>
      </c>
      <c r="T13" s="1248"/>
      <c r="U13" s="1249" t="s">
        <v>3241</v>
      </c>
      <c r="V13" s="1180" t="s">
        <v>10</v>
      </c>
      <c r="W13" s="1311" t="s">
        <v>7432</v>
      </c>
      <c r="X13" s="1293">
        <v>15</v>
      </c>
      <c r="Y13" s="1241">
        <f>+'10S'!I51</f>
        <v>132379</v>
      </c>
      <c r="Z13" s="1474">
        <f t="shared" si="7"/>
        <v>1985685</v>
      </c>
      <c r="AA13" s="1242"/>
      <c r="AB13" s="1293">
        <v>29</v>
      </c>
      <c r="AC13" s="1241">
        <f t="shared" si="2"/>
        <v>139964</v>
      </c>
      <c r="AD13" s="1474">
        <f t="shared" si="8"/>
        <v>4058956</v>
      </c>
      <c r="AE13" s="1242"/>
      <c r="AF13" s="1338">
        <v>29</v>
      </c>
      <c r="AG13" s="1241">
        <f t="shared" si="3"/>
        <v>144485</v>
      </c>
      <c r="AH13" s="1474">
        <f t="shared" si="9"/>
        <v>4190065</v>
      </c>
      <c r="AI13" s="1242"/>
      <c r="AJ13" s="1293">
        <f t="shared" si="4"/>
        <v>14</v>
      </c>
      <c r="AK13" s="1241">
        <f t="shared" si="5"/>
        <v>148820</v>
      </c>
      <c r="AL13" s="1474">
        <f t="shared" si="10"/>
        <v>2083480</v>
      </c>
      <c r="AM13" s="1242"/>
      <c r="AN13" s="1295">
        <f t="shared" si="0"/>
        <v>87</v>
      </c>
      <c r="AO13" s="1294">
        <f t="shared" si="6"/>
        <v>86227302</v>
      </c>
    </row>
    <row r="14" spans="1:41" s="1167" customFormat="1" ht="32.25" customHeight="1" x14ac:dyDescent="0.25">
      <c r="A14" s="1249" t="s">
        <v>3242</v>
      </c>
      <c r="B14" s="1180" t="s">
        <v>10</v>
      </c>
      <c r="C14" s="1225" t="s">
        <v>3248</v>
      </c>
      <c r="D14" s="1251">
        <v>9</v>
      </c>
      <c r="E14" s="1246">
        <v>435418.04</v>
      </c>
      <c r="F14" s="1246">
        <v>3918762</v>
      </c>
      <c r="G14" s="1242"/>
      <c r="H14" s="1251">
        <v>9</v>
      </c>
      <c r="I14" s="1246">
        <v>448480.58</v>
      </c>
      <c r="J14" s="1246">
        <v>4036325</v>
      </c>
      <c r="K14" s="1242"/>
      <c r="L14" s="1251">
        <v>9</v>
      </c>
      <c r="M14" s="1246">
        <v>461935</v>
      </c>
      <c r="N14" s="1246">
        <v>4157415</v>
      </c>
      <c r="O14" s="1243">
        <v>27</v>
      </c>
      <c r="P14" s="1244">
        <f t="shared" si="1"/>
        <v>4</v>
      </c>
      <c r="Q14" s="1245">
        <v>435418.04</v>
      </c>
      <c r="R14" s="1246">
        <v>448480.58</v>
      </c>
      <c r="S14" s="1247">
        <v>461935</v>
      </c>
      <c r="T14" s="1248"/>
      <c r="U14" s="1249" t="s">
        <v>3242</v>
      </c>
      <c r="V14" s="1180" t="s">
        <v>10</v>
      </c>
      <c r="W14" s="1311" t="s">
        <v>7433</v>
      </c>
      <c r="X14" s="1293">
        <v>1</v>
      </c>
      <c r="Y14" s="1241">
        <f>+'11S'!I51</f>
        <v>334689</v>
      </c>
      <c r="Z14" s="1474">
        <f t="shared" si="7"/>
        <v>334689</v>
      </c>
      <c r="AA14" s="1242"/>
      <c r="AB14" s="1293">
        <v>1</v>
      </c>
      <c r="AC14" s="1241">
        <f t="shared" si="2"/>
        <v>353867</v>
      </c>
      <c r="AD14" s="1474">
        <f t="shared" si="8"/>
        <v>353867</v>
      </c>
      <c r="AE14" s="1242"/>
      <c r="AF14" s="1338">
        <v>1</v>
      </c>
      <c r="AG14" s="1241">
        <f t="shared" si="3"/>
        <v>365297</v>
      </c>
      <c r="AH14" s="1474">
        <f t="shared" si="9"/>
        <v>365297</v>
      </c>
      <c r="AI14" s="1242"/>
      <c r="AJ14" s="1293">
        <v>1</v>
      </c>
      <c r="AK14" s="1241">
        <f t="shared" si="5"/>
        <v>376256</v>
      </c>
      <c r="AL14" s="1474">
        <f t="shared" si="10"/>
        <v>376256</v>
      </c>
      <c r="AM14" s="1242"/>
      <c r="AN14" s="1295">
        <f t="shared" si="0"/>
        <v>4</v>
      </c>
      <c r="AO14" s="1294">
        <f t="shared" si="6"/>
        <v>10010763</v>
      </c>
    </row>
    <row r="15" spans="1:41" s="1167" customFormat="1" ht="32.25" customHeight="1" x14ac:dyDescent="0.25">
      <c r="A15" s="1249" t="s">
        <v>3244</v>
      </c>
      <c r="B15" s="1180" t="s">
        <v>10</v>
      </c>
      <c r="C15" s="1226" t="s">
        <v>3243</v>
      </c>
      <c r="D15" s="1251">
        <v>20</v>
      </c>
      <c r="E15" s="1246">
        <v>94955.22</v>
      </c>
      <c r="F15" s="1246">
        <v>1899104</v>
      </c>
      <c r="G15" s="1242"/>
      <c r="H15" s="1251">
        <v>20</v>
      </c>
      <c r="I15" s="1246">
        <v>97803.88</v>
      </c>
      <c r="J15" s="1246">
        <v>1956078</v>
      </c>
      <c r="K15" s="1242"/>
      <c r="L15" s="1251">
        <v>20</v>
      </c>
      <c r="M15" s="1246">
        <v>100738</v>
      </c>
      <c r="N15" s="1246">
        <v>2014760</v>
      </c>
      <c r="O15" s="1243">
        <v>60</v>
      </c>
      <c r="P15" s="1244">
        <f t="shared" si="1"/>
        <v>9</v>
      </c>
      <c r="Q15" s="1245">
        <v>94955.22</v>
      </c>
      <c r="R15" s="1246">
        <v>97803.88</v>
      </c>
      <c r="S15" s="1247">
        <v>100738</v>
      </c>
      <c r="T15" s="1248"/>
      <c r="U15" s="1249" t="s">
        <v>3244</v>
      </c>
      <c r="V15" s="1180" t="s">
        <v>10</v>
      </c>
      <c r="W15" s="1312" t="s">
        <v>7434</v>
      </c>
      <c r="X15" s="1293">
        <v>2</v>
      </c>
      <c r="Y15" s="1241">
        <f>+'12S'!I51</f>
        <v>50347</v>
      </c>
      <c r="Z15" s="1474">
        <f t="shared" si="7"/>
        <v>100694</v>
      </c>
      <c r="AA15" s="1242"/>
      <c r="AB15" s="1293">
        <v>3</v>
      </c>
      <c r="AC15" s="1241">
        <f t="shared" si="2"/>
        <v>53232</v>
      </c>
      <c r="AD15" s="1474">
        <f t="shared" si="8"/>
        <v>159696</v>
      </c>
      <c r="AE15" s="1242"/>
      <c r="AF15" s="1338">
        <v>3</v>
      </c>
      <c r="AG15" s="1241">
        <f t="shared" si="3"/>
        <v>54951</v>
      </c>
      <c r="AH15" s="1474">
        <f t="shared" si="9"/>
        <v>164853</v>
      </c>
      <c r="AI15" s="1242"/>
      <c r="AJ15" s="1293">
        <f t="shared" si="4"/>
        <v>1</v>
      </c>
      <c r="AK15" s="1241">
        <f t="shared" si="5"/>
        <v>56600</v>
      </c>
      <c r="AL15" s="1474">
        <f t="shared" si="10"/>
        <v>56600</v>
      </c>
      <c r="AM15" s="1242"/>
      <c r="AN15" s="1295">
        <f t="shared" si="0"/>
        <v>9</v>
      </c>
      <c r="AO15" s="1294">
        <f t="shared" si="6"/>
        <v>3372901</v>
      </c>
    </row>
    <row r="16" spans="1:41" s="1167" customFormat="1" ht="42.75" customHeight="1" x14ac:dyDescent="0.25">
      <c r="A16" s="1249"/>
      <c r="B16" s="1180"/>
      <c r="C16" s="1226"/>
      <c r="D16" s="1253"/>
      <c r="E16" s="1246"/>
      <c r="F16" s="1253"/>
      <c r="G16" s="1254"/>
      <c r="H16" s="1251"/>
      <c r="I16" s="1246"/>
      <c r="J16" s="1246"/>
      <c r="K16" s="1242"/>
      <c r="L16" s="1251"/>
      <c r="M16" s="1246"/>
      <c r="N16" s="1246"/>
      <c r="O16" s="1255"/>
      <c r="P16" s="1255"/>
      <c r="Q16" s="1245"/>
      <c r="R16" s="1246"/>
      <c r="S16" s="1247"/>
      <c r="T16" s="1255"/>
      <c r="U16" s="1249" t="s">
        <v>3392</v>
      </c>
      <c r="V16" s="1180" t="s">
        <v>10</v>
      </c>
      <c r="W16" s="1311" t="s">
        <v>7435</v>
      </c>
      <c r="X16" s="1295">
        <v>2</v>
      </c>
      <c r="Y16" s="1241">
        <f>+'13S '!I51</f>
        <v>599909</v>
      </c>
      <c r="Z16" s="1474">
        <f t="shared" si="7"/>
        <v>1199818</v>
      </c>
      <c r="AA16" s="1242"/>
      <c r="AB16" s="1295">
        <v>4</v>
      </c>
      <c r="AC16" s="1241">
        <f t="shared" si="2"/>
        <v>634284</v>
      </c>
      <c r="AD16" s="1474">
        <f t="shared" si="8"/>
        <v>2537136</v>
      </c>
      <c r="AE16" s="1242"/>
      <c r="AF16" s="1338">
        <v>4</v>
      </c>
      <c r="AG16" s="1241">
        <f t="shared" si="3"/>
        <v>654771</v>
      </c>
      <c r="AH16" s="1474">
        <f t="shared" si="9"/>
        <v>2619084</v>
      </c>
      <c r="AI16" s="1242"/>
      <c r="AJ16" s="1293">
        <f t="shared" si="4"/>
        <v>2</v>
      </c>
      <c r="AK16" s="1241">
        <f t="shared" si="5"/>
        <v>674414</v>
      </c>
      <c r="AL16" s="1474">
        <f t="shared" si="10"/>
        <v>1348828</v>
      </c>
      <c r="AM16" s="1242"/>
      <c r="AN16" s="1295">
        <f t="shared" si="0"/>
        <v>12</v>
      </c>
      <c r="AO16" s="1294">
        <f t="shared" si="6"/>
        <v>53934062</v>
      </c>
    </row>
    <row r="17" spans="1:41" s="1167" customFormat="1" ht="32.25" customHeight="1" thickBot="1" x14ac:dyDescent="0.3">
      <c r="A17" s="1249"/>
      <c r="B17" s="1180"/>
      <c r="C17" s="1226"/>
      <c r="D17" s="1257"/>
      <c r="E17" s="1246"/>
      <c r="F17" s="1257"/>
      <c r="G17" s="1258"/>
      <c r="H17" s="1251"/>
      <c r="I17" s="1246"/>
      <c r="J17" s="1246"/>
      <c r="K17" s="1242"/>
      <c r="L17" s="1251"/>
      <c r="M17" s="1246"/>
      <c r="N17" s="1246"/>
      <c r="O17" s="1168"/>
      <c r="P17" s="1168"/>
      <c r="Q17" s="1245"/>
      <c r="R17" s="1246"/>
      <c r="S17" s="1247"/>
      <c r="T17" s="1168"/>
      <c r="U17" s="1249" t="s">
        <v>3393</v>
      </c>
      <c r="V17" s="1180" t="s">
        <v>10</v>
      </c>
      <c r="W17" s="1311" t="s">
        <v>7436</v>
      </c>
      <c r="X17" s="1295">
        <v>4</v>
      </c>
      <c r="Y17" s="1241">
        <f>+'14S  '!I51</f>
        <v>137805</v>
      </c>
      <c r="Z17" s="1474">
        <f t="shared" si="7"/>
        <v>551220</v>
      </c>
      <c r="AA17" s="1242"/>
      <c r="AB17" s="1295">
        <v>8</v>
      </c>
      <c r="AC17" s="1241">
        <f t="shared" si="2"/>
        <v>145701</v>
      </c>
      <c r="AD17" s="1474">
        <f t="shared" si="8"/>
        <v>1165608</v>
      </c>
      <c r="AE17" s="1242"/>
      <c r="AF17" s="1338">
        <v>8</v>
      </c>
      <c r="AG17" s="1241">
        <f t="shared" si="3"/>
        <v>150407</v>
      </c>
      <c r="AH17" s="1474">
        <f t="shared" si="9"/>
        <v>1203256</v>
      </c>
      <c r="AI17" s="1242"/>
      <c r="AJ17" s="1293">
        <f t="shared" si="4"/>
        <v>4</v>
      </c>
      <c r="AK17" s="1241">
        <f t="shared" si="5"/>
        <v>154919</v>
      </c>
      <c r="AL17" s="1474">
        <f t="shared" si="10"/>
        <v>619676</v>
      </c>
      <c r="AM17" s="1242"/>
      <c r="AN17" s="1295">
        <f>+(AF17+AB17+X17+AJ17)</f>
        <v>24</v>
      </c>
      <c r="AO17" s="1294">
        <f>+(AH17+AD17+Z17+AL17)*7</f>
        <v>24778320</v>
      </c>
    </row>
    <row r="18" spans="1:41" s="1167" customFormat="1" ht="32.25" hidden="1" customHeight="1" thickBot="1" x14ac:dyDescent="0.3">
      <c r="A18" s="1249"/>
      <c r="B18" s="1180"/>
      <c r="C18" s="1226"/>
      <c r="D18" s="1257"/>
      <c r="E18" s="1257"/>
      <c r="F18" s="1257"/>
      <c r="G18" s="1258"/>
      <c r="H18" s="1257"/>
      <c r="I18" s="1257"/>
      <c r="J18" s="1257"/>
      <c r="K18" s="1258"/>
      <c r="L18" s="1251"/>
      <c r="M18" s="1257"/>
      <c r="N18" s="1257"/>
      <c r="O18" s="1168"/>
      <c r="P18" s="1168"/>
      <c r="Q18" s="1259"/>
      <c r="R18" s="1260"/>
      <c r="S18" s="1261"/>
      <c r="T18" s="1168"/>
      <c r="U18" s="1237"/>
      <c r="V18" s="1238"/>
      <c r="W18" s="1305"/>
      <c r="X18" s="1295"/>
      <c r="Y18" s="1257"/>
      <c r="Z18" s="1296"/>
      <c r="AA18" s="1258"/>
      <c r="AB18" s="1295"/>
      <c r="AC18" s="1257"/>
      <c r="AD18" s="1296"/>
      <c r="AE18" s="1258"/>
      <c r="AF18" s="1295"/>
      <c r="AG18" s="1241">
        <f t="shared" si="3"/>
        <v>0</v>
      </c>
      <c r="AH18" s="1296"/>
      <c r="AI18" s="1258"/>
      <c r="AJ18" s="1295"/>
      <c r="AK18" s="1257"/>
      <c r="AL18" s="1296"/>
      <c r="AM18" s="1258"/>
      <c r="AN18" s="1256"/>
    </row>
    <row r="19" spans="1:41" s="1167" customFormat="1" ht="32.25" hidden="1" customHeight="1" x14ac:dyDescent="0.25">
      <c r="A19" s="1249"/>
      <c r="B19" s="1180"/>
      <c r="C19" s="1226"/>
      <c r="D19" s="1257"/>
      <c r="E19" s="1257"/>
      <c r="F19" s="1257"/>
      <c r="G19" s="1258"/>
      <c r="H19" s="1257"/>
      <c r="I19" s="1257"/>
      <c r="J19" s="1257"/>
      <c r="K19" s="1258"/>
      <c r="L19" s="1257"/>
      <c r="M19" s="1257"/>
      <c r="N19" s="1257"/>
      <c r="O19" s="1168"/>
      <c r="P19" s="1168"/>
      <c r="Q19" s="1242"/>
      <c r="R19" s="1242"/>
      <c r="S19" s="1242"/>
      <c r="T19" s="1168"/>
      <c r="U19" s="1249"/>
      <c r="V19" s="1180"/>
      <c r="W19" s="1226"/>
      <c r="X19" s="1297"/>
      <c r="Y19" s="1257"/>
      <c r="Z19" s="1296"/>
      <c r="AA19" s="1258"/>
      <c r="AB19" s="1297"/>
      <c r="AC19" s="1257"/>
      <c r="AD19" s="1296"/>
      <c r="AE19" s="1258"/>
      <c r="AF19" s="1297"/>
      <c r="AG19" s="1241">
        <f t="shared" si="3"/>
        <v>0</v>
      </c>
      <c r="AH19" s="1296"/>
      <c r="AI19" s="1258"/>
      <c r="AJ19" s="1297"/>
      <c r="AK19" s="1257"/>
      <c r="AL19" s="1296"/>
      <c r="AM19" s="1258"/>
      <c r="AN19" s="1256"/>
    </row>
    <row r="20" spans="1:41" s="1167" customFormat="1" ht="32.25" hidden="1" customHeight="1" thickBot="1" x14ac:dyDescent="0.3">
      <c r="A20" s="1262"/>
      <c r="B20" s="1263"/>
      <c r="C20" s="1264"/>
      <c r="D20" s="1257"/>
      <c r="E20" s="1257"/>
      <c r="F20" s="1257"/>
      <c r="G20" s="1258"/>
      <c r="H20" s="1257"/>
      <c r="I20" s="1257"/>
      <c r="J20" s="1257"/>
      <c r="K20" s="1258"/>
      <c r="L20" s="1257"/>
      <c r="M20" s="1257"/>
      <c r="N20" s="1257"/>
      <c r="O20" s="1168"/>
      <c r="P20" s="1168"/>
      <c r="Q20" s="1242"/>
      <c r="R20" s="1242"/>
      <c r="S20" s="1242"/>
      <c r="T20" s="1168"/>
      <c r="U20" s="1262"/>
      <c r="V20" s="1263"/>
      <c r="W20" s="1264"/>
      <c r="X20" s="1297"/>
      <c r="Y20" s="1257"/>
      <c r="Z20" s="1296"/>
      <c r="AA20" s="1258"/>
      <c r="AB20" s="1297"/>
      <c r="AC20" s="1257"/>
      <c r="AD20" s="1296"/>
      <c r="AE20" s="1258"/>
      <c r="AF20" s="1297"/>
      <c r="AG20" s="1241">
        <f t="shared" si="3"/>
        <v>0</v>
      </c>
      <c r="AH20" s="1296"/>
      <c r="AI20" s="1258"/>
      <c r="AJ20" s="1297"/>
      <c r="AK20" s="1257"/>
      <c r="AL20" s="1296"/>
      <c r="AM20" s="1258"/>
      <c r="AN20" s="1256"/>
    </row>
    <row r="21" spans="1:41" ht="51" customHeight="1" x14ac:dyDescent="0.25">
      <c r="C21" s="1170"/>
      <c r="D21" s="1632" t="s">
        <v>3326</v>
      </c>
      <c r="E21" s="1619"/>
      <c r="F21" s="1265">
        <f>SUM(F4:F20)</f>
        <v>310178592</v>
      </c>
      <c r="G21" s="1179"/>
      <c r="H21" s="1632" t="s">
        <v>3145</v>
      </c>
      <c r="I21" s="1619"/>
      <c r="J21" s="1265">
        <f>SUM(J4:J20)</f>
        <v>319483950</v>
      </c>
      <c r="K21" s="1179"/>
      <c r="L21" s="1632" t="s">
        <v>3145</v>
      </c>
      <c r="M21" s="1619"/>
      <c r="N21" s="1265">
        <f>SUM(N4:N20)</f>
        <v>329068460</v>
      </c>
      <c r="O21" s="1179"/>
      <c r="P21" s="1179"/>
      <c r="Q21" s="1242"/>
      <c r="R21" s="1242"/>
      <c r="S21" s="1242"/>
      <c r="T21" s="1179"/>
      <c r="U21" s="1313"/>
      <c r="V21" s="1313"/>
      <c r="W21" s="1314"/>
      <c r="X21" s="1618" t="s">
        <v>3326</v>
      </c>
      <c r="Y21" s="1619"/>
      <c r="Z21" s="1298">
        <f>SUM(Z4:Z20)</f>
        <v>30959258</v>
      </c>
      <c r="AA21" s="1179"/>
      <c r="AB21" s="1618" t="s">
        <v>3326</v>
      </c>
      <c r="AC21" s="1619"/>
      <c r="AD21" s="1298">
        <f>SUM(AD4:AD20)</f>
        <v>63416044</v>
      </c>
      <c r="AE21" s="1179"/>
      <c r="AF21" s="1618" t="s">
        <v>3326</v>
      </c>
      <c r="AG21" s="1619"/>
      <c r="AH21" s="1298">
        <f>SUM(AH4:AH20)</f>
        <v>65464296</v>
      </c>
      <c r="AI21" s="1179"/>
      <c r="AJ21" s="1618" t="s">
        <v>3326</v>
      </c>
      <c r="AK21" s="1619"/>
      <c r="AL21" s="1298">
        <f>SUM(AL4:AL20)</f>
        <v>33510286</v>
      </c>
      <c r="AM21" s="1179"/>
      <c r="AN21" s="1339">
        <f>+Z21+AD21+AH21+AL21</f>
        <v>193349884</v>
      </c>
      <c r="AO21" s="1441">
        <f>+AN21*7</f>
        <v>1353449188</v>
      </c>
    </row>
    <row r="22" spans="1:41" ht="28.15" customHeight="1" x14ac:dyDescent="0.25">
      <c r="D22" s="1267"/>
      <c r="E22" s="1267"/>
      <c r="F22" s="1268"/>
      <c r="G22" s="450"/>
      <c r="H22" s="1267"/>
      <c r="I22" s="1267"/>
      <c r="J22" s="1268"/>
      <c r="K22" s="450"/>
      <c r="L22" s="1267"/>
      <c r="M22" s="1267"/>
      <c r="N22" s="1268"/>
      <c r="O22" s="450"/>
      <c r="P22" s="450"/>
      <c r="Q22" s="1242"/>
      <c r="R22" s="1242"/>
      <c r="S22" s="1242"/>
      <c r="T22" s="450"/>
      <c r="U22" s="1315"/>
      <c r="V22" s="1315"/>
      <c r="W22" s="1316"/>
      <c r="X22" s="1299"/>
      <c r="Y22" s="1267"/>
      <c r="Z22" s="1300"/>
      <c r="AA22" s="450"/>
      <c r="AB22" s="1299"/>
      <c r="AC22" s="1267"/>
      <c r="AD22" s="1300"/>
      <c r="AE22" s="450"/>
      <c r="AF22" s="1299"/>
      <c r="AG22" s="1267"/>
      <c r="AH22" s="1300"/>
      <c r="AI22" s="450"/>
      <c r="AJ22" s="1299"/>
      <c r="AK22" s="1267"/>
      <c r="AL22" s="1475"/>
      <c r="AM22" s="450"/>
      <c r="AN22" s="1299"/>
      <c r="AO22" s="1300"/>
    </row>
    <row r="23" spans="1:41" ht="51" customHeight="1" x14ac:dyDescent="0.25">
      <c r="D23" s="1633" t="s">
        <v>3327</v>
      </c>
      <c r="E23" s="1634"/>
      <c r="F23" s="1265">
        <f>+'POR AÑOS_OBRA2024'!F134+'POR AÑOS_SUMINISTRO'!F21</f>
        <v>3094940334</v>
      </c>
      <c r="G23" s="1179"/>
      <c r="H23" s="1633" t="s">
        <v>3144</v>
      </c>
      <c r="I23" s="1634"/>
      <c r="J23" s="1265">
        <f>+'POR AÑOS_OBRA2024'!J134+'POR AÑOS_SUMINISTRO'!J21</f>
        <v>6465555763</v>
      </c>
      <c r="K23" s="1179"/>
      <c r="L23" s="1633" t="s">
        <v>3144</v>
      </c>
      <c r="M23" s="1634"/>
      <c r="N23" s="1265">
        <f>+'POR AÑOS_OBRA2024'!N134+'POR AÑOS_SUMINISTRO'!N21</f>
        <v>6687499307</v>
      </c>
      <c r="O23" s="1179"/>
      <c r="P23" s="1179"/>
      <c r="Q23" s="1242"/>
      <c r="R23" s="1242"/>
      <c r="S23" s="1242"/>
      <c r="T23" s="1179"/>
      <c r="U23" s="1315"/>
      <c r="V23" s="1315"/>
      <c r="W23" s="1316"/>
      <c r="X23" s="1620" t="s">
        <v>3328</v>
      </c>
      <c r="Y23" s="1621"/>
      <c r="Z23" s="1476">
        <f>ROUND((+Z21+'POR AÑOS_OBRA2024'!F134),0)</f>
        <v>2815721000</v>
      </c>
      <c r="AA23" s="1179"/>
      <c r="AB23" s="1620" t="s">
        <v>3328</v>
      </c>
      <c r="AC23" s="1621"/>
      <c r="AD23" s="1476">
        <f>ROUND((+AD21+'POR AÑOS_OBRA2024'!J134),0)</f>
        <v>6209487857</v>
      </c>
      <c r="AE23" s="1179"/>
      <c r="AF23" s="1620" t="s">
        <v>3328</v>
      </c>
      <c r="AG23" s="1621"/>
      <c r="AH23" s="1476">
        <f>ROUND((+AH21+'POR AÑOS_OBRA2024'!N134),0)</f>
        <v>6423895143</v>
      </c>
      <c r="AI23" s="1179"/>
      <c r="AJ23" s="1620" t="s">
        <v>3328</v>
      </c>
      <c r="AK23" s="1621"/>
      <c r="AL23" s="1476">
        <f>ROUND((+AL21+'POR AÑOS_OBRA2024'!R134),0)</f>
        <v>3322369428</v>
      </c>
      <c r="AM23" s="1179"/>
      <c r="AN23" s="1437">
        <f>ROUND((+Z23+AD23+AH23+AL23),0)</f>
        <v>18771473428</v>
      </c>
      <c r="AO23" s="1301">
        <f>+AN23*7</f>
        <v>131400313996</v>
      </c>
    </row>
    <row r="24" spans="1:41" ht="12" customHeight="1" thickBot="1" x14ac:dyDescent="0.3">
      <c r="D24" s="447"/>
      <c r="E24" s="1171"/>
      <c r="F24" s="451"/>
      <c r="H24" s="447"/>
      <c r="J24" s="448"/>
      <c r="K24" s="448"/>
      <c r="L24" s="448"/>
      <c r="U24" s="1317"/>
      <c r="V24" s="1317"/>
      <c r="W24" s="1318"/>
      <c r="X24" s="1302"/>
      <c r="Y24" s="1174"/>
      <c r="Z24" s="1214"/>
      <c r="AA24" s="1174"/>
      <c r="AB24" s="1302"/>
      <c r="AC24" s="1174"/>
      <c r="AD24" s="1214"/>
      <c r="AE24" s="1174"/>
      <c r="AF24" s="1302"/>
      <c r="AG24" s="1174"/>
      <c r="AH24" s="1214"/>
      <c r="AI24" s="1174"/>
      <c r="AJ24" s="1302"/>
      <c r="AK24" s="1174"/>
      <c r="AL24" s="1214"/>
      <c r="AM24" s="1174"/>
    </row>
    <row r="25" spans="1:41" ht="66.75" customHeight="1" thickBot="1" x14ac:dyDescent="0.3">
      <c r="A25" s="447"/>
      <c r="B25" s="447"/>
      <c r="C25" s="447"/>
      <c r="D25" s="447"/>
      <c r="E25" s="447"/>
      <c r="F25" s="1266"/>
      <c r="H25" s="1269"/>
      <c r="I25" s="451"/>
      <c r="L25" s="1174">
        <v>-314161378</v>
      </c>
      <c r="M25" s="1635" t="s">
        <v>3323</v>
      </c>
      <c r="N25" s="1636"/>
      <c r="O25" s="1636"/>
      <c r="P25" s="1636"/>
      <c r="Q25" s="1622">
        <f>+ROUND((Z25+AD25+AH25+AL25),0)</f>
        <v>131400313996</v>
      </c>
      <c r="R25" s="1622"/>
      <c r="S25" s="1622"/>
      <c r="T25" s="1622"/>
      <c r="U25" s="1622"/>
      <c r="V25" s="1622"/>
      <c r="W25" s="1623"/>
      <c r="X25" s="1303" t="s">
        <v>3329</v>
      </c>
      <c r="Y25" s="1304"/>
      <c r="Z25" s="1477">
        <f>+Z23*7</f>
        <v>19710047000</v>
      </c>
      <c r="AB25" s="1303"/>
      <c r="AC25" s="1304"/>
      <c r="AD25" s="1477">
        <f>+AD23*7</f>
        <v>43466414999</v>
      </c>
      <c r="AF25" s="1303"/>
      <c r="AG25" s="1304"/>
      <c r="AH25" s="1477">
        <f>+AH23*7</f>
        <v>44967266001</v>
      </c>
      <c r="AJ25" s="1303"/>
      <c r="AK25" s="1304"/>
      <c r="AL25" s="1477">
        <f>+AL23*7</f>
        <v>23256585996</v>
      </c>
      <c r="AO25" s="1174"/>
    </row>
    <row r="26" spans="1:41" ht="47.25" customHeight="1" thickBot="1" x14ac:dyDescent="0.3">
      <c r="A26" s="1631" t="s">
        <v>6885</v>
      </c>
      <c r="B26" s="1631"/>
      <c r="C26" s="1631"/>
      <c r="D26" s="1631"/>
      <c r="E26" s="1631"/>
      <c r="F26" s="1631"/>
      <c r="H26" s="1171"/>
      <c r="O26" s="1174"/>
      <c r="P26" s="450"/>
      <c r="Q26" s="450"/>
      <c r="R26" s="450"/>
      <c r="S26" s="450"/>
      <c r="T26" s="1292"/>
      <c r="U26" s="1266"/>
      <c r="V26" s="1266"/>
      <c r="W26" s="1266"/>
      <c r="X26" s="1266"/>
      <c r="Y26" s="1266"/>
      <c r="Z26" s="1266"/>
      <c r="AA26" s="1266"/>
      <c r="AB26" s="1266"/>
      <c r="AC26" s="1266"/>
      <c r="AD26" s="1266"/>
      <c r="AE26" s="1266"/>
      <c r="AF26" s="1266"/>
      <c r="AG26" s="1266"/>
      <c r="AH26" s="1266"/>
      <c r="AN26" s="1460">
        <f>ROUND((Z25+AD25+AH25+AL25),0)</f>
        <v>131400313996</v>
      </c>
      <c r="AO26" s="1174"/>
    </row>
    <row r="27" spans="1:41" ht="24" customHeight="1" x14ac:dyDescent="0.25">
      <c r="A27" s="1227" t="s">
        <v>3142</v>
      </c>
      <c r="B27" s="1270"/>
      <c r="C27" s="1270"/>
      <c r="D27" s="1270"/>
      <c r="E27" s="1271"/>
      <c r="F27" s="1270"/>
      <c r="H27" s="1272" t="s">
        <v>2942</v>
      </c>
      <c r="I27" s="1273">
        <v>2021</v>
      </c>
      <c r="J27" s="1274">
        <v>2022</v>
      </c>
      <c r="K27" s="1275">
        <v>2023</v>
      </c>
      <c r="L27" s="447">
        <v>-32783197.119899821</v>
      </c>
      <c r="O27" s="450"/>
      <c r="S27" s="450"/>
      <c r="U27" s="447"/>
      <c r="V27" s="447"/>
      <c r="W27" s="447"/>
      <c r="X27" s="447"/>
      <c r="AN27" s="1174"/>
      <c r="AO27" s="1174"/>
    </row>
    <row r="28" spans="1:41" ht="24" customHeight="1" x14ac:dyDescent="0.25">
      <c r="B28" s="1277"/>
      <c r="C28" s="1278"/>
      <c r="D28" s="1279"/>
      <c r="E28" s="1280"/>
      <c r="F28" s="1281"/>
      <c r="G28" s="1276"/>
      <c r="H28" s="1272"/>
      <c r="I28" s="1181"/>
      <c r="J28" s="1181"/>
      <c r="K28" s="1282"/>
      <c r="U28" s="447"/>
      <c r="V28" s="447"/>
      <c r="W28" s="447"/>
      <c r="X28" s="447"/>
      <c r="Z28" s="1174">
        <v>2815721000</v>
      </c>
      <c r="AB28" s="1174"/>
      <c r="AD28" s="1174">
        <v>6209487857</v>
      </c>
      <c r="AE28" s="1174"/>
      <c r="AF28" s="1174"/>
      <c r="AG28" s="1174"/>
      <c r="AH28" s="1174">
        <v>6423895143</v>
      </c>
      <c r="AI28" s="1174"/>
      <c r="AJ28" s="1174"/>
      <c r="AK28" s="1174"/>
      <c r="AL28" s="1174">
        <v>3322369428</v>
      </c>
      <c r="AN28" s="1174">
        <f>Z28+AD28+AH28+AL28</f>
        <v>18771473428</v>
      </c>
      <c r="AO28" s="1174">
        <f>AN28*7</f>
        <v>131400313996</v>
      </c>
    </row>
    <row r="29" spans="1:41" ht="24" customHeight="1" x14ac:dyDescent="0.25">
      <c r="C29" s="1283"/>
      <c r="D29" s="1284"/>
      <c r="E29" s="1280"/>
      <c r="F29" s="1285"/>
      <c r="G29" s="1276"/>
      <c r="H29" s="447"/>
      <c r="U29" s="447"/>
      <c r="V29" s="447"/>
      <c r="W29" s="447"/>
      <c r="X29" s="447"/>
      <c r="Z29" s="1174">
        <f>Z28-Z23</f>
        <v>0</v>
      </c>
      <c r="AD29" s="1174">
        <f>AD28-AD23</f>
        <v>0</v>
      </c>
      <c r="AH29" s="1174">
        <f>AH28-AH23</f>
        <v>0</v>
      </c>
      <c r="AL29" s="1174">
        <f>AL28-AL23</f>
        <v>0</v>
      </c>
      <c r="AN29" s="1174">
        <f>Z29+AD29+AH29+AL29</f>
        <v>0</v>
      </c>
    </row>
    <row r="30" spans="1:41" ht="24" customHeight="1" x14ac:dyDescent="0.25">
      <c r="C30" s="1286"/>
      <c r="D30" s="1286"/>
      <c r="E30" s="1287"/>
      <c r="F30" s="1288"/>
      <c r="G30" s="1276"/>
      <c r="H30" s="447"/>
      <c r="U30" s="447"/>
      <c r="V30" s="447"/>
      <c r="W30" s="447"/>
      <c r="X30" s="447"/>
      <c r="Z30" s="1174">
        <f>Z29/'POR AÑOS_OBRA2024'!E94</f>
        <v>0</v>
      </c>
      <c r="AD30" s="1174">
        <f>AD29/'POR AÑOS_OBRA2024'!I7</f>
        <v>0</v>
      </c>
      <c r="AH30" s="1174">
        <f>AH29/'POR AÑOS_OBRA2024'!M7</f>
        <v>0</v>
      </c>
      <c r="AL30" s="1174">
        <f>AL29/'POR AÑOS_OBRA2024'!Q7</f>
        <v>0</v>
      </c>
      <c r="AN30" s="1174"/>
    </row>
    <row r="31" spans="1:41" ht="74.25" customHeight="1" x14ac:dyDescent="0.25">
      <c r="A31" s="1630"/>
      <c r="B31" s="1631"/>
      <c r="C31" s="1631"/>
      <c r="D31" s="1631"/>
      <c r="E31" s="1631"/>
      <c r="F31" s="1631"/>
      <c r="H31" s="1171"/>
      <c r="U31" s="447"/>
      <c r="V31" s="447"/>
      <c r="W31" s="447"/>
      <c r="X31" s="447"/>
      <c r="AD31" s="1174">
        <f>AD29/'POR AÑOS_OBRA2024'!I94</f>
        <v>0</v>
      </c>
      <c r="AH31" s="1174">
        <f>AH29/'POR AÑOS_OBRA2024'!M94</f>
        <v>0</v>
      </c>
      <c r="AJ31" s="1174"/>
      <c r="AK31" s="1266"/>
      <c r="AL31" s="1174">
        <f>AL29/'POR AÑOS_OBRA2024'!Q94</f>
        <v>0</v>
      </c>
      <c r="AN31" s="1174"/>
    </row>
    <row r="32" spans="1:41" ht="24" customHeight="1" x14ac:dyDescent="0.25">
      <c r="C32" s="1291"/>
      <c r="AK32" s="1454"/>
      <c r="AL32" s="1454"/>
      <c r="AN32" s="1174"/>
    </row>
    <row r="33" spans="1:38" ht="24" customHeight="1" x14ac:dyDescent="0.25">
      <c r="A33" s="1289"/>
      <c r="B33" s="1289"/>
      <c r="C33" s="1289"/>
      <c r="D33" s="1289"/>
      <c r="E33" s="1190"/>
      <c r="F33" s="1289"/>
      <c r="H33" s="1289"/>
      <c r="U33" s="447"/>
      <c r="V33" s="447"/>
      <c r="W33" s="447"/>
      <c r="X33" s="447"/>
      <c r="AD33" s="1174"/>
      <c r="AK33" s="1266"/>
      <c r="AL33" s="1266"/>
    </row>
    <row r="34" spans="1:38" ht="24" customHeight="1" x14ac:dyDescent="0.25">
      <c r="AK34" s="1453"/>
      <c r="AL34" s="1453"/>
    </row>
    <row r="35" spans="1:38" ht="24" customHeight="1" x14ac:dyDescent="0.25">
      <c r="C35" s="1290"/>
    </row>
    <row r="37" spans="1:38" ht="24" customHeight="1" x14ac:dyDescent="0.25">
      <c r="C37" s="1175" t="s">
        <v>220</v>
      </c>
    </row>
  </sheetData>
  <mergeCells count="28">
    <mergeCell ref="A31:F31"/>
    <mergeCell ref="D2:F2"/>
    <mergeCell ref="H2:J2"/>
    <mergeCell ref="L2:N2"/>
    <mergeCell ref="D21:E21"/>
    <mergeCell ref="D23:E23"/>
    <mergeCell ref="H21:I21"/>
    <mergeCell ref="H23:I23"/>
    <mergeCell ref="L21:M21"/>
    <mergeCell ref="L23:M23"/>
    <mergeCell ref="A26:F26"/>
    <mergeCell ref="M25:P25"/>
    <mergeCell ref="Q25:W25"/>
    <mergeCell ref="Q3:S3"/>
    <mergeCell ref="X21:Y21"/>
    <mergeCell ref="AB21:AC21"/>
    <mergeCell ref="X2:Z2"/>
    <mergeCell ref="AB2:AD2"/>
    <mergeCell ref="U2:W2"/>
    <mergeCell ref="AN2:AO2"/>
    <mergeCell ref="AF2:AH2"/>
    <mergeCell ref="AF21:AG21"/>
    <mergeCell ref="X23:Y23"/>
    <mergeCell ref="AB23:AC23"/>
    <mergeCell ref="AF23:AG23"/>
    <mergeCell ref="AJ2:AL2"/>
    <mergeCell ref="AJ21:AK21"/>
    <mergeCell ref="AJ23:AK23"/>
  </mergeCells>
  <hyperlinks>
    <hyperlink ref="U4" location="'1S'!A1" display="1S" xr:uid="{00000000-0004-0000-1000-000000000000}"/>
    <hyperlink ref="U5" location="'2S'!A1" display="2S" xr:uid="{00000000-0004-0000-1000-000001000000}"/>
    <hyperlink ref="U6" location="'3S'!A1" display="3S" xr:uid="{00000000-0004-0000-1000-000002000000}"/>
    <hyperlink ref="U7" location="'4S'!A1" display="4S" xr:uid="{00000000-0004-0000-1000-000003000000}"/>
    <hyperlink ref="U8" location="'5S'!A1" display="5S" xr:uid="{00000000-0004-0000-1000-000004000000}"/>
    <hyperlink ref="U9" location="'6S'!A1" display="6S" xr:uid="{00000000-0004-0000-1000-000005000000}"/>
    <hyperlink ref="U10" location="'7S'!A1" display="7S" xr:uid="{00000000-0004-0000-1000-000006000000}"/>
    <hyperlink ref="U11" location="'8S'!A1" display="8S" xr:uid="{00000000-0004-0000-1000-000007000000}"/>
    <hyperlink ref="U12" location="'9S'!Área_de_impresión" display="9S" xr:uid="{00000000-0004-0000-1000-000008000000}"/>
    <hyperlink ref="U13" location="'10S'!A1" display="10S" xr:uid="{00000000-0004-0000-1000-000009000000}"/>
    <hyperlink ref="U14" location="'11S'!A1" display="11S" xr:uid="{00000000-0004-0000-1000-00000A000000}"/>
    <hyperlink ref="U15" location="'12S'!A1" display="12S" xr:uid="{00000000-0004-0000-1000-00000B000000}"/>
    <hyperlink ref="A15" location="'12S'!A1" display="12S" xr:uid="{00000000-0004-0000-1000-00000C000000}"/>
    <hyperlink ref="A14" location="'11S'!A1" display="11S" xr:uid="{00000000-0004-0000-1000-00000D000000}"/>
    <hyperlink ref="A13" location="'10S'!A1" display="10S" xr:uid="{00000000-0004-0000-1000-00000E000000}"/>
    <hyperlink ref="A12" location="'9S'!Área_de_impresión" display="9S" xr:uid="{00000000-0004-0000-1000-00000F000000}"/>
    <hyperlink ref="A11" location="'8S'!A1" display="8S" xr:uid="{00000000-0004-0000-1000-000010000000}"/>
    <hyperlink ref="A10" location="'7S'!A1" display="7S" xr:uid="{00000000-0004-0000-1000-000011000000}"/>
    <hyperlink ref="A9" location="'6S'!A1" display="6S" xr:uid="{00000000-0004-0000-1000-000012000000}"/>
    <hyperlink ref="A8" location="'5S'!A1" display="5S" xr:uid="{00000000-0004-0000-1000-000013000000}"/>
    <hyperlink ref="A7" location="'4S'!A1" display="4S" xr:uid="{00000000-0004-0000-1000-000014000000}"/>
    <hyperlink ref="A6" location="'3S'!A1" display="3S" xr:uid="{00000000-0004-0000-1000-000015000000}"/>
    <hyperlink ref="A5" location="'2S'!A1" display="2S" xr:uid="{00000000-0004-0000-1000-000016000000}"/>
    <hyperlink ref="A4" location="'1S'!A1" display="1S" xr:uid="{00000000-0004-0000-1000-000017000000}"/>
  </hyperlinks>
  <printOptions horizontalCentered="1"/>
  <pageMargins left="0.78740157480314965" right="0.78740157480314965" top="0.78740157480314965" bottom="0.78740157480314965" header="0.31496062992125984" footer="0.31496062992125984"/>
  <pageSetup scale="49" fitToHeight="0" orientation="landscape" r:id="rId1"/>
  <rowBreaks count="1" manualBreakCount="1">
    <brk id="37" max="7"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
    <tabColor rgb="FF00FF00"/>
  </sheetPr>
  <dimension ref="A2:BA230"/>
  <sheetViews>
    <sheetView zoomScaleNormal="100" workbookViewId="0">
      <pane xSplit="4" ySplit="2" topLeftCell="M12" activePane="bottomRight" state="frozen"/>
      <selection pane="topRight" activeCell="E1" sqref="E1"/>
      <selection pane="bottomLeft" activeCell="A3" sqref="A3"/>
      <selection pane="bottomRight" activeCell="M34" sqref="M34"/>
    </sheetView>
  </sheetViews>
  <sheetFormatPr baseColWidth="10" defaultColWidth="11.42578125" defaultRowHeight="12.75" x14ac:dyDescent="0.2"/>
  <cols>
    <col min="1" max="1" width="11.42578125" style="89"/>
    <col min="2" max="2" width="60.140625" style="1428" customWidth="1"/>
    <col min="3" max="3" width="11.5703125" style="89" customWidth="1"/>
    <col min="4" max="4" width="13.140625" style="350" hidden="1" customWidth="1"/>
    <col min="5" max="5" width="14.28515625" style="350" customWidth="1"/>
    <col min="6" max="6" width="14.42578125" style="350" customWidth="1"/>
    <col min="7" max="7" width="13.140625" style="2" customWidth="1"/>
    <col min="8" max="8" width="13.140625" style="332" customWidth="1"/>
    <col min="9" max="9" width="14.140625" style="332" customWidth="1"/>
    <col min="10" max="14" width="14.42578125" style="332" customWidth="1"/>
    <col min="15" max="17" width="14.42578125" style="350" customWidth="1"/>
    <col min="18" max="18" width="16.7109375" style="332" customWidth="1"/>
    <col min="19" max="27" width="14.42578125" style="332" customWidth="1"/>
    <col min="28" max="28" width="16.42578125" style="665" customWidth="1"/>
    <col min="29" max="31" width="13.140625" style="677" customWidth="1"/>
    <col min="32" max="32" width="16.85546875" style="2" customWidth="1"/>
    <col min="33" max="33" width="13.140625" style="665" customWidth="1"/>
    <col min="34" max="34" width="14.28515625" style="2" customWidth="1"/>
    <col min="35" max="35" width="14.140625" style="2" customWidth="1"/>
    <col min="36" max="36" width="11.7109375" style="332" customWidth="1"/>
    <col min="37" max="37" width="11.7109375" style="664" customWidth="1"/>
    <col min="38" max="38" width="11.7109375" style="2" customWidth="1"/>
    <col min="39" max="39" width="11.42578125" style="2" customWidth="1"/>
    <col min="40" max="40" width="13.140625" style="89" customWidth="1"/>
    <col min="41" max="42" width="14.28515625" style="350" customWidth="1"/>
    <col min="43" max="43" width="11.42578125" style="679"/>
    <col min="44" max="44" width="16.7109375" style="2" bestFit="1" customWidth="1"/>
    <col min="45" max="16384" width="11.42578125" style="2"/>
  </cols>
  <sheetData>
    <row r="2" spans="1:53" s="75" customFormat="1" ht="63.75" customHeight="1" thickBot="1" x14ac:dyDescent="0.25">
      <c r="A2" s="543" t="s">
        <v>0</v>
      </c>
      <c r="B2" s="1429" t="s">
        <v>1</v>
      </c>
      <c r="C2" s="544" t="s">
        <v>2</v>
      </c>
      <c r="D2" s="545" t="s">
        <v>3149</v>
      </c>
      <c r="E2" s="952" t="s">
        <v>3391</v>
      </c>
      <c r="F2" s="953" t="s">
        <v>3172</v>
      </c>
      <c r="G2" s="954" t="s">
        <v>3161</v>
      </c>
      <c r="H2" s="955" t="s">
        <v>3420</v>
      </c>
      <c r="I2" s="766" t="s">
        <v>3405</v>
      </c>
      <c r="J2" s="782" t="s">
        <v>3448</v>
      </c>
      <c r="K2" s="782" t="s">
        <v>3441</v>
      </c>
      <c r="L2" s="782" t="s">
        <v>3476</v>
      </c>
      <c r="M2" s="956" t="s">
        <v>3480</v>
      </c>
      <c r="N2" s="956" t="s">
        <v>3483</v>
      </c>
      <c r="O2" s="957" t="s">
        <v>3204</v>
      </c>
      <c r="P2" s="782" t="s">
        <v>3497</v>
      </c>
      <c r="Q2" s="956" t="s">
        <v>3482</v>
      </c>
      <c r="R2" s="957" t="s">
        <v>3475</v>
      </c>
      <c r="S2" s="961" t="s">
        <v>3226</v>
      </c>
      <c r="T2" s="782" t="s">
        <v>3223</v>
      </c>
      <c r="U2" s="782" t="s">
        <v>3230</v>
      </c>
      <c r="V2" s="782" t="s">
        <v>3454</v>
      </c>
      <c r="W2" s="782" t="s">
        <v>3470</v>
      </c>
      <c r="X2" s="782" t="s">
        <v>3464</v>
      </c>
      <c r="Y2" s="782" t="s">
        <v>3467</v>
      </c>
      <c r="Z2" s="961" t="s">
        <v>3492</v>
      </c>
      <c r="AA2" s="782" t="s">
        <v>3259</v>
      </c>
      <c r="AB2" s="1021" t="s">
        <v>6866</v>
      </c>
      <c r="AC2" s="958" t="s">
        <v>3417</v>
      </c>
      <c r="AD2" s="959" t="s">
        <v>3418</v>
      </c>
      <c r="AE2" s="959" t="s">
        <v>3419</v>
      </c>
      <c r="AF2" s="1002" t="s">
        <v>3525</v>
      </c>
      <c r="AG2" s="1367" t="s">
        <v>7318</v>
      </c>
      <c r="AH2" s="1369" t="s">
        <v>7319</v>
      </c>
      <c r="AI2" s="1369" t="s">
        <v>7386</v>
      </c>
      <c r="AJ2" s="961" t="s">
        <v>7317</v>
      </c>
      <c r="AK2" s="1418" t="s">
        <v>7388</v>
      </c>
      <c r="AL2" s="1369" t="s">
        <v>7390</v>
      </c>
      <c r="AM2" s="960" t="s">
        <v>3396</v>
      </c>
      <c r="AN2" s="544" t="s">
        <v>119</v>
      </c>
      <c r="AO2" s="806">
        <f>COUNTBLANK(B1:AO1)-1</f>
        <v>39</v>
      </c>
      <c r="AP2" s="547" t="s">
        <v>121</v>
      </c>
      <c r="AQ2" s="678"/>
      <c r="AR2" s="662"/>
    </row>
    <row r="3" spans="1:53" ht="19.5" customHeight="1" x14ac:dyDescent="0.2">
      <c r="A3" s="942">
        <v>1</v>
      </c>
      <c r="B3" s="1430" t="s">
        <v>116</v>
      </c>
      <c r="C3" s="943" t="s">
        <v>6</v>
      </c>
      <c r="D3" s="944"/>
      <c r="E3" s="828"/>
      <c r="F3" s="828"/>
      <c r="G3" s="945"/>
      <c r="H3" s="945"/>
      <c r="I3" s="945"/>
      <c r="J3" s="946"/>
      <c r="K3" s="946"/>
      <c r="L3" s="946"/>
      <c r="M3" s="947"/>
      <c r="N3" s="947"/>
      <c r="O3" s="990"/>
      <c r="P3" s="946"/>
      <c r="Q3" s="947"/>
      <c r="R3" s="948">
        <v>7857</v>
      </c>
      <c r="S3" s="991"/>
      <c r="T3" s="946"/>
      <c r="U3" s="946"/>
      <c r="V3" s="946"/>
      <c r="W3" s="946"/>
      <c r="X3" s="949"/>
      <c r="Y3" s="949"/>
      <c r="Z3" s="946"/>
      <c r="AA3" s="946"/>
      <c r="AB3" s="945"/>
      <c r="AC3" s="950"/>
      <c r="AD3" s="950"/>
      <c r="AE3" s="950"/>
      <c r="AF3" s="951"/>
      <c r="AG3" s="801"/>
      <c r="AH3" s="823"/>
      <c r="AI3" s="823"/>
      <c r="AJ3" s="825"/>
      <c r="AK3" s="814"/>
      <c r="AL3" s="826"/>
      <c r="AM3" s="826"/>
      <c r="AN3" s="827">
        <f t="shared" ref="AN3:AN34" si="0">+COUNTA(D3:AM3)</f>
        <v>1</v>
      </c>
      <c r="AO3" s="828">
        <f t="shared" ref="AO3:AO34" si="1">+IFERROR(AVERAGE(D3:AM3),0)</f>
        <v>7857</v>
      </c>
      <c r="AP3" s="829">
        <f t="shared" ref="AP3:AP34" si="2">+IFERROR(MEDIAN(D3:AM3),0)</f>
        <v>7857</v>
      </c>
      <c r="BA3" s="332">
        <f>AO3-'[21]INSUMOS '!AO3</f>
        <v>0</v>
      </c>
    </row>
    <row r="4" spans="1:53" ht="18" customHeight="1" x14ac:dyDescent="0.2">
      <c r="A4" s="808">
        <v>2</v>
      </c>
      <c r="B4" s="1112" t="s">
        <v>117</v>
      </c>
      <c r="C4" s="809" t="s">
        <v>6</v>
      </c>
      <c r="D4" s="810"/>
      <c r="E4" s="811"/>
      <c r="F4" s="811"/>
      <c r="G4" s="812"/>
      <c r="H4" s="812"/>
      <c r="I4" s="812"/>
      <c r="J4" s="813"/>
      <c r="K4" s="813"/>
      <c r="L4" s="813"/>
      <c r="M4" s="814"/>
      <c r="N4" s="814"/>
      <c r="O4" s="1341">
        <v>4665</v>
      </c>
      <c r="P4" s="813"/>
      <c r="Q4" s="814"/>
      <c r="R4" s="816">
        <v>8119</v>
      </c>
      <c r="S4" s="992"/>
      <c r="T4" s="813"/>
      <c r="U4" s="813"/>
      <c r="V4" s="813"/>
      <c r="W4" s="813"/>
      <c r="X4" s="817"/>
      <c r="Y4" s="817"/>
      <c r="Z4" s="813"/>
      <c r="AA4" s="813"/>
      <c r="AB4" s="818"/>
      <c r="AC4" s="819"/>
      <c r="AD4" s="820"/>
      <c r="AE4" s="820"/>
      <c r="AF4" s="821"/>
      <c r="AG4" s="822"/>
      <c r="AH4" s="823"/>
      <c r="AI4" s="824"/>
      <c r="AJ4" s="825"/>
      <c r="AK4" s="814"/>
      <c r="AL4" s="826"/>
      <c r="AM4" s="826"/>
      <c r="AN4" s="827">
        <f t="shared" si="0"/>
        <v>2</v>
      </c>
      <c r="AO4" s="828">
        <f t="shared" si="1"/>
        <v>6392</v>
      </c>
      <c r="AP4" s="829">
        <f t="shared" si="2"/>
        <v>6392</v>
      </c>
      <c r="AR4" s="332">
        <f>AO4-'[21]INSUMOS '!AO4</f>
        <v>0</v>
      </c>
      <c r="BA4" s="332">
        <f>AO4-'[21]INSUMOS '!AO4</f>
        <v>0</v>
      </c>
    </row>
    <row r="5" spans="1:53" ht="16.5" customHeight="1" x14ac:dyDescent="0.2">
      <c r="A5" s="942">
        <v>3</v>
      </c>
      <c r="B5" s="1112" t="s">
        <v>82</v>
      </c>
      <c r="C5" s="830" t="s">
        <v>3489</v>
      </c>
      <c r="D5" s="810"/>
      <c r="E5" s="526"/>
      <c r="F5" s="526"/>
      <c r="G5" s="831"/>
      <c r="H5" s="831"/>
      <c r="I5" s="831"/>
      <c r="J5" s="832"/>
      <c r="K5" s="832"/>
      <c r="L5" s="832"/>
      <c r="M5" s="825"/>
      <c r="N5" s="825"/>
      <c r="O5" s="814"/>
      <c r="P5" s="832"/>
      <c r="Q5" s="825"/>
      <c r="R5" s="833"/>
      <c r="S5" s="832"/>
      <c r="T5" s="832"/>
      <c r="U5" s="858">
        <v>4.93</v>
      </c>
      <c r="V5" s="832"/>
      <c r="W5" s="832"/>
      <c r="X5" s="834"/>
      <c r="Y5" s="834"/>
      <c r="Z5" s="832"/>
      <c r="AA5" s="832"/>
      <c r="AB5" s="818"/>
      <c r="AC5" s="835"/>
      <c r="AD5" s="836"/>
      <c r="AE5" s="836"/>
      <c r="AF5" s="821"/>
      <c r="AG5" s="837"/>
      <c r="AH5" s="822"/>
      <c r="AI5" s="823"/>
      <c r="AJ5" s="825"/>
      <c r="AK5" s="814"/>
      <c r="AL5" s="826"/>
      <c r="AM5" s="826"/>
      <c r="AN5" s="827">
        <f t="shared" si="0"/>
        <v>1</v>
      </c>
      <c r="AO5" s="828">
        <f t="shared" si="1"/>
        <v>4.93</v>
      </c>
      <c r="AP5" s="829">
        <f t="shared" si="2"/>
        <v>4.93</v>
      </c>
      <c r="AR5" s="332">
        <f>AO5-'[21]INSUMOS '!AO5</f>
        <v>0</v>
      </c>
      <c r="BA5" s="332">
        <f>AO5-'[21]INSUMOS '!AO5</f>
        <v>0</v>
      </c>
    </row>
    <row r="6" spans="1:53" ht="16.5" customHeight="1" x14ac:dyDescent="0.2">
      <c r="A6" s="808">
        <v>4</v>
      </c>
      <c r="B6" s="1112" t="s">
        <v>35</v>
      </c>
      <c r="C6" s="809" t="s">
        <v>6</v>
      </c>
      <c r="D6" s="810"/>
      <c r="E6" s="811"/>
      <c r="F6" s="811"/>
      <c r="G6" s="812"/>
      <c r="H6" s="812"/>
      <c r="I6" s="812"/>
      <c r="J6" s="813"/>
      <c r="K6" s="838">
        <v>7827</v>
      </c>
      <c r="L6" s="817"/>
      <c r="M6" s="839"/>
      <c r="N6" s="840">
        <v>8500</v>
      </c>
      <c r="O6" s="1342">
        <v>5501</v>
      </c>
      <c r="P6" s="813"/>
      <c r="Q6" s="814"/>
      <c r="R6" s="833"/>
      <c r="S6" s="815">
        <v>8990</v>
      </c>
      <c r="T6" s="813"/>
      <c r="U6" s="813"/>
      <c r="V6" s="813"/>
      <c r="W6" s="817"/>
      <c r="X6" s="817"/>
      <c r="Y6" s="817"/>
      <c r="Z6" s="813"/>
      <c r="AA6" s="813"/>
      <c r="AB6" s="818"/>
      <c r="AC6" s="819"/>
      <c r="AD6" s="820"/>
      <c r="AE6" s="820"/>
      <c r="AF6" s="821"/>
      <c r="AG6" s="837"/>
      <c r="AH6" s="842"/>
      <c r="AI6" s="823"/>
      <c r="AJ6" s="825"/>
      <c r="AK6" s="814"/>
      <c r="AL6" s="826"/>
      <c r="AM6" s="826"/>
      <c r="AN6" s="827">
        <f t="shared" si="0"/>
        <v>4</v>
      </c>
      <c r="AO6" s="828">
        <f t="shared" si="1"/>
        <v>7704.5</v>
      </c>
      <c r="AP6" s="829">
        <f t="shared" si="2"/>
        <v>8163.5</v>
      </c>
      <c r="AR6" s="332">
        <f>AO6-'[21]INSUMOS '!AO6</f>
        <v>0</v>
      </c>
      <c r="BA6" s="332">
        <f>AO6-'[21]INSUMOS '!AO6</f>
        <v>0</v>
      </c>
    </row>
    <row r="7" spans="1:53" ht="16.5" customHeight="1" x14ac:dyDescent="0.2">
      <c r="A7" s="942">
        <v>5</v>
      </c>
      <c r="B7" s="1112" t="s">
        <v>155</v>
      </c>
      <c r="C7" s="809" t="s">
        <v>3488</v>
      </c>
      <c r="D7" s="810"/>
      <c r="E7" s="811"/>
      <c r="F7" s="811"/>
      <c r="G7" s="812"/>
      <c r="H7" s="812"/>
      <c r="I7" s="812"/>
      <c r="J7" s="813"/>
      <c r="K7" s="813"/>
      <c r="L7" s="813"/>
      <c r="M7" s="814"/>
      <c r="N7" s="814"/>
      <c r="O7" s="814"/>
      <c r="P7" s="813"/>
      <c r="Q7" s="814"/>
      <c r="R7" s="825"/>
      <c r="S7" s="813"/>
      <c r="T7" s="813"/>
      <c r="U7" s="813"/>
      <c r="V7" s="838">
        <f>223000/6</f>
        <v>37166.666666666664</v>
      </c>
      <c r="W7" s="838">
        <f>156518.32/6</f>
        <v>26086.386666666669</v>
      </c>
      <c r="X7" s="817"/>
      <c r="Y7" s="817"/>
      <c r="Z7" s="813"/>
      <c r="AA7" s="813"/>
      <c r="AB7" s="818"/>
      <c r="AC7" s="819"/>
      <c r="AD7" s="820"/>
      <c r="AE7" s="820"/>
      <c r="AF7" s="821"/>
      <c r="AG7" s="843"/>
      <c r="AH7" s="843"/>
      <c r="AI7" s="826"/>
      <c r="AJ7" s="825"/>
      <c r="AK7" s="814"/>
      <c r="AL7" s="826"/>
      <c r="AM7" s="826"/>
      <c r="AN7" s="827">
        <f t="shared" si="0"/>
        <v>2</v>
      </c>
      <c r="AO7" s="828">
        <f t="shared" ref="AO7" si="3">+IFERROR(AVERAGE(D7:AM7),0)</f>
        <v>31626.526666666665</v>
      </c>
      <c r="AP7" s="829">
        <f t="shared" ref="AP7" si="4">+IFERROR(MEDIAN(D7:AM7),0)</f>
        <v>31626.526666666665</v>
      </c>
      <c r="AR7" s="332">
        <f>AO7-'[21]INSUMOS '!AO7</f>
        <v>0</v>
      </c>
      <c r="BA7" s="332">
        <f>AO7-'[21]INSUMOS '!AO7</f>
        <v>0</v>
      </c>
    </row>
    <row r="8" spans="1:53" ht="18" customHeight="1" x14ac:dyDescent="0.2">
      <c r="A8" s="808">
        <v>6</v>
      </c>
      <c r="B8" s="1112" t="s">
        <v>156</v>
      </c>
      <c r="C8" s="809" t="s">
        <v>3488</v>
      </c>
      <c r="D8" s="810"/>
      <c r="E8" s="811"/>
      <c r="F8" s="811"/>
      <c r="G8" s="812"/>
      <c r="H8" s="812"/>
      <c r="I8" s="812"/>
      <c r="J8" s="813"/>
      <c r="K8" s="813"/>
      <c r="L8" s="813"/>
      <c r="M8" s="814"/>
      <c r="N8" s="814"/>
      <c r="O8" s="814"/>
      <c r="P8" s="813"/>
      <c r="Q8" s="814"/>
      <c r="R8" s="825"/>
      <c r="S8" s="813"/>
      <c r="T8" s="813"/>
      <c r="U8" s="813"/>
      <c r="V8" s="838">
        <f>115700/6</f>
        <v>19283.333333333332</v>
      </c>
      <c r="W8" s="838">
        <f>85949.12/6</f>
        <v>14324.853333333333</v>
      </c>
      <c r="X8" s="817"/>
      <c r="Y8" s="817"/>
      <c r="Z8" s="813"/>
      <c r="AA8" s="813"/>
      <c r="AB8" s="818"/>
      <c r="AC8" s="819"/>
      <c r="AD8" s="820"/>
      <c r="AE8" s="820"/>
      <c r="AF8" s="821"/>
      <c r="AG8" s="843"/>
      <c r="AH8" s="826"/>
      <c r="AI8" s="826"/>
      <c r="AJ8" s="825"/>
      <c r="AK8" s="814"/>
      <c r="AL8" s="826"/>
      <c r="AM8" s="826"/>
      <c r="AN8" s="827">
        <f t="shared" si="0"/>
        <v>2</v>
      </c>
      <c r="AO8" s="828">
        <f t="shared" si="1"/>
        <v>16804.093333333331</v>
      </c>
      <c r="AP8" s="829">
        <f t="shared" si="2"/>
        <v>16804.093333333331</v>
      </c>
      <c r="AR8" s="332">
        <f>AO8-'[21]INSUMOS '!AO8</f>
        <v>0</v>
      </c>
      <c r="BA8" s="332">
        <f>AO8-'[21]INSUMOS '!AO8</f>
        <v>0</v>
      </c>
    </row>
    <row r="9" spans="1:53" ht="15" customHeight="1" x14ac:dyDescent="0.2">
      <c r="A9" s="942">
        <v>7</v>
      </c>
      <c r="B9" s="1112" t="s">
        <v>59</v>
      </c>
      <c r="C9" s="809" t="s">
        <v>6</v>
      </c>
      <c r="D9" s="810"/>
      <c r="E9" s="526"/>
      <c r="F9" s="526"/>
      <c r="G9" s="831"/>
      <c r="H9" s="831"/>
      <c r="I9" s="838">
        <f>196350/5</f>
        <v>39270</v>
      </c>
      <c r="J9" s="832"/>
      <c r="K9" s="832"/>
      <c r="L9" s="832"/>
      <c r="M9" s="825"/>
      <c r="N9" s="825"/>
      <c r="O9" s="814"/>
      <c r="P9" s="526"/>
      <c r="Q9" s="801"/>
      <c r="R9" s="825"/>
      <c r="S9" s="833"/>
      <c r="T9" s="832"/>
      <c r="U9" s="832"/>
      <c r="V9" s="832"/>
      <c r="W9" s="834"/>
      <c r="X9" s="834"/>
      <c r="Y9" s="834"/>
      <c r="Z9" s="832"/>
      <c r="AA9" s="832"/>
      <c r="AB9" s="818"/>
      <c r="AC9" s="835"/>
      <c r="AD9" s="836"/>
      <c r="AE9" s="836"/>
      <c r="AF9" s="821"/>
      <c r="AG9" s="843"/>
      <c r="AH9" s="826"/>
      <c r="AI9" s="826"/>
      <c r="AJ9" s="825"/>
      <c r="AK9" s="814"/>
      <c r="AL9" s="826"/>
      <c r="AM9" s="826"/>
      <c r="AN9" s="827">
        <f t="shared" si="0"/>
        <v>1</v>
      </c>
      <c r="AO9" s="828">
        <f t="shared" si="1"/>
        <v>39270</v>
      </c>
      <c r="AP9" s="829">
        <f t="shared" si="2"/>
        <v>39270</v>
      </c>
      <c r="AR9" s="332">
        <f>AO9-'[21]INSUMOS '!AO9</f>
        <v>0</v>
      </c>
      <c r="BA9" s="332">
        <f>AO9-'[21]INSUMOS '!AO9</f>
        <v>0</v>
      </c>
    </row>
    <row r="10" spans="1:53" ht="18.75" customHeight="1" x14ac:dyDescent="0.2">
      <c r="A10" s="808">
        <v>8</v>
      </c>
      <c r="B10" s="1112" t="s">
        <v>5</v>
      </c>
      <c r="C10" s="809" t="s">
        <v>3</v>
      </c>
      <c r="D10" s="810"/>
      <c r="E10" s="811"/>
      <c r="F10" s="811"/>
      <c r="G10" s="812"/>
      <c r="H10" s="812"/>
      <c r="I10" s="812"/>
      <c r="J10" s="813"/>
      <c r="K10" s="813"/>
      <c r="L10" s="813"/>
      <c r="M10" s="814"/>
      <c r="N10" s="814"/>
      <c r="O10" s="815">
        <v>89049</v>
      </c>
      <c r="P10" s="844"/>
      <c r="Q10" s="845"/>
      <c r="R10" s="833"/>
      <c r="S10" s="813"/>
      <c r="T10" s="813"/>
      <c r="U10" s="813"/>
      <c r="V10" s="813"/>
      <c r="W10" s="813"/>
      <c r="X10" s="817"/>
      <c r="Y10" s="817"/>
      <c r="Z10" s="813"/>
      <c r="AA10" s="813"/>
      <c r="AB10" s="818"/>
      <c r="AC10" s="819"/>
      <c r="AD10" s="820"/>
      <c r="AE10" s="820"/>
      <c r="AF10" s="821"/>
      <c r="AG10" s="843"/>
      <c r="AH10" s="826"/>
      <c r="AI10" s="826"/>
      <c r="AJ10" s="825"/>
      <c r="AK10" s="814"/>
      <c r="AL10" s="826"/>
      <c r="AM10" s="826"/>
      <c r="AN10" s="827">
        <f t="shared" si="0"/>
        <v>1</v>
      </c>
      <c r="AO10" s="828">
        <f t="shared" si="1"/>
        <v>89049</v>
      </c>
      <c r="AP10" s="829">
        <f t="shared" si="2"/>
        <v>89049</v>
      </c>
      <c r="AR10" s="332">
        <f>AO10-'[21]INSUMOS '!AO10</f>
        <v>0</v>
      </c>
      <c r="BA10" s="332">
        <f>AO10-'[21]INSUMOS '!AO10</f>
        <v>0</v>
      </c>
    </row>
    <row r="11" spans="1:53" ht="44.25" customHeight="1" x14ac:dyDescent="0.2">
      <c r="A11" s="942">
        <v>9</v>
      </c>
      <c r="B11" s="1112" t="s">
        <v>7392</v>
      </c>
      <c r="C11" s="830" t="s">
        <v>266</v>
      </c>
      <c r="D11" s="810"/>
      <c r="E11" s="526"/>
      <c r="F11" s="526"/>
      <c r="G11" s="831"/>
      <c r="H11" s="831"/>
      <c r="I11" s="831"/>
      <c r="J11" s="832"/>
      <c r="K11" s="832"/>
      <c r="L11" s="832"/>
      <c r="M11" s="832"/>
      <c r="N11" s="832"/>
      <c r="O11" s="832"/>
      <c r="P11" s="832"/>
      <c r="Q11" s="825"/>
      <c r="R11" s="825"/>
      <c r="S11" s="832"/>
      <c r="T11" s="832"/>
      <c r="U11" s="832"/>
      <c r="V11" s="832"/>
      <c r="W11" s="832"/>
      <c r="X11" s="834"/>
      <c r="Y11" s="834"/>
      <c r="Z11" s="832"/>
      <c r="AA11" s="832"/>
      <c r="AB11" s="846">
        <v>325000</v>
      </c>
      <c r="AC11" s="835"/>
      <c r="AD11" s="836"/>
      <c r="AE11" s="836"/>
      <c r="AF11" s="821"/>
      <c r="AG11" s="843"/>
      <c r="AH11" s="826"/>
      <c r="AI11" s="826"/>
      <c r="AJ11" s="825"/>
      <c r="AK11" s="814"/>
      <c r="AL11" s="826"/>
      <c r="AM11" s="826"/>
      <c r="AN11" s="827">
        <f t="shared" si="0"/>
        <v>1</v>
      </c>
      <c r="AO11" s="828">
        <f t="shared" si="1"/>
        <v>325000</v>
      </c>
      <c r="AP11" s="829">
        <f t="shared" si="2"/>
        <v>325000</v>
      </c>
      <c r="AR11" s="332">
        <f>AO11-'[21]INSUMOS '!AO11</f>
        <v>0</v>
      </c>
      <c r="BA11" s="332">
        <f>AO11-'[21]INSUMOS '!AO11</f>
        <v>0</v>
      </c>
    </row>
    <row r="12" spans="1:53" ht="58.9" customHeight="1" x14ac:dyDescent="0.2">
      <c r="A12" s="808">
        <v>10</v>
      </c>
      <c r="B12" s="1112" t="s">
        <v>79</v>
      </c>
      <c r="C12" s="809" t="s">
        <v>3488</v>
      </c>
      <c r="D12" s="810"/>
      <c r="E12" s="526"/>
      <c r="F12" s="880"/>
      <c r="G12" s="831"/>
      <c r="H12" s="831"/>
      <c r="I12" s="831"/>
      <c r="J12" s="832"/>
      <c r="K12" s="832"/>
      <c r="L12" s="832"/>
      <c r="M12" s="832"/>
      <c r="N12" s="832"/>
      <c r="O12" s="832"/>
      <c r="P12" s="832"/>
      <c r="Q12" s="825"/>
      <c r="R12" s="825"/>
      <c r="S12" s="832"/>
      <c r="T12" s="832"/>
      <c r="U12" s="832"/>
      <c r="V12" s="832"/>
      <c r="W12" s="832"/>
      <c r="X12" s="834"/>
      <c r="Y12" s="834"/>
      <c r="Z12" s="832"/>
      <c r="AA12" s="832"/>
      <c r="AB12" s="846">
        <f>79522*1.19</f>
        <v>94631.18</v>
      </c>
      <c r="AC12" s="835"/>
      <c r="AD12" s="836"/>
      <c r="AE12" s="836"/>
      <c r="AF12" s="847"/>
      <c r="AG12" s="848"/>
      <c r="AH12" s="826"/>
      <c r="AI12" s="826"/>
      <c r="AJ12" s="825"/>
      <c r="AK12" s="814"/>
      <c r="AL12" s="826"/>
      <c r="AM12" s="826"/>
      <c r="AN12" s="827">
        <f t="shared" si="0"/>
        <v>1</v>
      </c>
      <c r="AO12" s="828">
        <f t="shared" si="1"/>
        <v>94631.18</v>
      </c>
      <c r="AP12" s="829">
        <f t="shared" si="2"/>
        <v>94631.18</v>
      </c>
      <c r="AR12" s="332">
        <f>AO12-'[21]INSUMOS '!AO12</f>
        <v>0</v>
      </c>
      <c r="BA12" s="332">
        <f>AO12-'[21]INSUMOS '!AO12</f>
        <v>0</v>
      </c>
    </row>
    <row r="13" spans="1:53" s="27" customFormat="1" ht="39" customHeight="1" x14ac:dyDescent="0.2">
      <c r="A13" s="942">
        <v>11</v>
      </c>
      <c r="B13" s="1112" t="s">
        <v>7393</v>
      </c>
      <c r="C13" s="830" t="s">
        <v>266</v>
      </c>
      <c r="D13" s="810"/>
      <c r="E13" s="526"/>
      <c r="F13" s="884">
        <v>473913</v>
      </c>
      <c r="G13" s="849"/>
      <c r="H13" s="849"/>
      <c r="I13" s="849"/>
      <c r="J13" s="850"/>
      <c r="K13" s="850"/>
      <c r="L13" s="850"/>
      <c r="M13" s="851"/>
      <c r="N13" s="851"/>
      <c r="O13" s="852">
        <v>385560</v>
      </c>
      <c r="P13" s="850"/>
      <c r="Q13" s="851"/>
      <c r="R13" s="851"/>
      <c r="S13" s="850"/>
      <c r="T13" s="850"/>
      <c r="U13" s="850"/>
      <c r="V13" s="850"/>
      <c r="W13" s="850"/>
      <c r="X13" s="853"/>
      <c r="Y13" s="853"/>
      <c r="Z13" s="1351">
        <f>407595*1.19</f>
        <v>485038.05</v>
      </c>
      <c r="AA13" s="850"/>
      <c r="AB13" s="526"/>
      <c r="AC13" s="854"/>
      <c r="AD13" s="855"/>
      <c r="AE13" s="855"/>
      <c r="AF13" s="856"/>
      <c r="AG13" s="848"/>
      <c r="AH13" s="857"/>
      <c r="AI13" s="857"/>
      <c r="AJ13" s="857"/>
      <c r="AK13" s="857"/>
      <c r="AL13" s="857"/>
      <c r="AM13" s="857"/>
      <c r="AN13" s="827">
        <f t="shared" si="0"/>
        <v>3</v>
      </c>
      <c r="AO13" s="828">
        <f t="shared" si="1"/>
        <v>448170.35000000003</v>
      </c>
      <c r="AP13" s="829">
        <f t="shared" si="2"/>
        <v>473913</v>
      </c>
      <c r="AQ13" s="681"/>
      <c r="AR13" s="332">
        <f>AO13-'[21]INSUMOS '!AO13</f>
        <v>0</v>
      </c>
      <c r="BA13" s="332">
        <f>AO13-'[21]INSUMOS '!AO13</f>
        <v>0</v>
      </c>
    </row>
    <row r="14" spans="1:53" s="27" customFormat="1" ht="25.5" x14ac:dyDescent="0.2">
      <c r="A14" s="808">
        <v>12</v>
      </c>
      <c r="B14" s="1112" t="s">
        <v>65</v>
      </c>
      <c r="C14" s="830" t="s">
        <v>266</v>
      </c>
      <c r="D14" s="810"/>
      <c r="E14" s="526"/>
      <c r="F14" s="526"/>
      <c r="G14" s="849"/>
      <c r="H14" s="849"/>
      <c r="I14" s="849"/>
      <c r="J14" s="850"/>
      <c r="K14" s="850"/>
      <c r="L14" s="850"/>
      <c r="M14" s="850"/>
      <c r="N14" s="850"/>
      <c r="O14" s="850"/>
      <c r="P14" s="526"/>
      <c r="Q14" s="801"/>
      <c r="R14" s="851"/>
      <c r="S14" s="850"/>
      <c r="T14" s="850"/>
      <c r="U14" s="850"/>
      <c r="V14" s="850"/>
      <c r="W14" s="850"/>
      <c r="X14" s="853"/>
      <c r="Y14" s="853"/>
      <c r="Z14" s="850"/>
      <c r="AA14" s="850"/>
      <c r="AB14" s="846">
        <v>139230</v>
      </c>
      <c r="AC14" s="854"/>
      <c r="AD14" s="855"/>
      <c r="AE14" s="855"/>
      <c r="AF14" s="856"/>
      <c r="AG14" s="848"/>
      <c r="AH14" s="857"/>
      <c r="AI14" s="857"/>
      <c r="AJ14" s="857"/>
      <c r="AK14" s="848"/>
      <c r="AL14" s="857"/>
      <c r="AM14" s="857"/>
      <c r="AN14" s="827">
        <f t="shared" si="0"/>
        <v>1</v>
      </c>
      <c r="AO14" s="828">
        <f t="shared" si="1"/>
        <v>139230</v>
      </c>
      <c r="AP14" s="829">
        <f t="shared" si="2"/>
        <v>139230</v>
      </c>
      <c r="AQ14" s="681"/>
      <c r="AR14" s="332">
        <f>AO14-'[21]INSUMOS '!AO14</f>
        <v>0</v>
      </c>
      <c r="BA14" s="332">
        <f>AO14-'[21]INSUMOS '!AO14</f>
        <v>0</v>
      </c>
    </row>
    <row r="15" spans="1:53" ht="51" x14ac:dyDescent="0.2">
      <c r="A15" s="942">
        <v>13</v>
      </c>
      <c r="B15" s="1112" t="s">
        <v>7394</v>
      </c>
      <c r="C15" s="830" t="s">
        <v>266</v>
      </c>
      <c r="D15" s="810"/>
      <c r="E15" s="830"/>
      <c r="F15" s="526"/>
      <c r="G15" s="831"/>
      <c r="H15" s="831"/>
      <c r="I15" s="831"/>
      <c r="J15" s="832"/>
      <c r="K15" s="832"/>
      <c r="L15" s="832"/>
      <c r="M15" s="832"/>
      <c r="N15" s="832"/>
      <c r="O15" s="1343">
        <v>146155</v>
      </c>
      <c r="P15" s="526"/>
      <c r="Q15" s="801"/>
      <c r="R15" s="825"/>
      <c r="S15" s="832"/>
      <c r="T15" s="832"/>
      <c r="U15" s="832"/>
      <c r="V15" s="832"/>
      <c r="W15" s="832"/>
      <c r="X15" s="834"/>
      <c r="Y15" s="834"/>
      <c r="Z15" s="832"/>
      <c r="AA15" s="832"/>
      <c r="AB15" s="846">
        <v>130000</v>
      </c>
      <c r="AC15" s="835"/>
      <c r="AD15" s="836"/>
      <c r="AE15" s="836"/>
      <c r="AF15" s="847"/>
      <c r="AG15" s="848"/>
      <c r="AH15" s="826"/>
      <c r="AI15" s="826"/>
      <c r="AJ15" s="825"/>
      <c r="AK15" s="814"/>
      <c r="AL15" s="826"/>
      <c r="AM15" s="826"/>
      <c r="AN15" s="827">
        <f t="shared" si="0"/>
        <v>2</v>
      </c>
      <c r="AO15" s="828">
        <f t="shared" si="1"/>
        <v>138077.5</v>
      </c>
      <c r="AP15" s="829">
        <f t="shared" si="2"/>
        <v>138077.5</v>
      </c>
      <c r="AR15" s="332">
        <f>AO15-'[21]INSUMOS '!AO15</f>
        <v>0</v>
      </c>
      <c r="BA15" s="332">
        <f>AO15-'[21]INSUMOS '!AO15</f>
        <v>0</v>
      </c>
    </row>
    <row r="16" spans="1:53" ht="38.25" x14ac:dyDescent="0.2">
      <c r="A16" s="808">
        <v>14</v>
      </c>
      <c r="B16" s="1112" t="s">
        <v>7391</v>
      </c>
      <c r="C16" s="830" t="s">
        <v>266</v>
      </c>
      <c r="D16" s="810"/>
      <c r="E16" s="526"/>
      <c r="F16" s="880"/>
      <c r="G16" s="831"/>
      <c r="H16" s="831"/>
      <c r="I16" s="831"/>
      <c r="J16" s="832"/>
      <c r="K16" s="832"/>
      <c r="L16" s="832"/>
      <c r="M16" s="832"/>
      <c r="N16" s="832"/>
      <c r="O16" s="832"/>
      <c r="P16" s="526"/>
      <c r="Q16" s="801"/>
      <c r="R16" s="825"/>
      <c r="S16" s="832"/>
      <c r="T16" s="832"/>
      <c r="U16" s="832"/>
      <c r="V16" s="832"/>
      <c r="W16" s="832"/>
      <c r="X16" s="834"/>
      <c r="Y16" s="834"/>
      <c r="Z16" s="832"/>
      <c r="AA16" s="832"/>
      <c r="AB16" s="846">
        <v>71400</v>
      </c>
      <c r="AC16" s="835"/>
      <c r="AD16" s="836"/>
      <c r="AE16" s="836"/>
      <c r="AF16" s="847"/>
      <c r="AG16" s="848"/>
      <c r="AH16" s="826"/>
      <c r="AI16" s="826"/>
      <c r="AJ16" s="825"/>
      <c r="AK16" s="814"/>
      <c r="AL16" s="826"/>
      <c r="AM16" s="826"/>
      <c r="AN16" s="827">
        <f t="shared" si="0"/>
        <v>1</v>
      </c>
      <c r="AO16" s="828">
        <f t="shared" si="1"/>
        <v>71400</v>
      </c>
      <c r="AP16" s="829">
        <f t="shared" si="2"/>
        <v>71400</v>
      </c>
      <c r="AR16" s="332">
        <f>AO16-'[21]INSUMOS '!AO16</f>
        <v>0</v>
      </c>
      <c r="BA16" s="332">
        <f>AO16-'[21]INSUMOS '!AO16</f>
        <v>0</v>
      </c>
    </row>
    <row r="17" spans="1:53" ht="38.25" x14ac:dyDescent="0.2">
      <c r="A17" s="942">
        <v>15</v>
      </c>
      <c r="B17" s="1112" t="s">
        <v>7395</v>
      </c>
      <c r="C17" s="830" t="s">
        <v>266</v>
      </c>
      <c r="D17" s="810"/>
      <c r="E17" s="526"/>
      <c r="F17" s="526"/>
      <c r="G17" s="831"/>
      <c r="H17" s="831"/>
      <c r="I17" s="831"/>
      <c r="J17" s="832"/>
      <c r="K17" s="832"/>
      <c r="L17" s="832"/>
      <c r="M17" s="832"/>
      <c r="N17" s="832"/>
      <c r="O17" s="832"/>
      <c r="P17" s="526"/>
      <c r="Q17" s="801"/>
      <c r="R17" s="825"/>
      <c r="S17" s="832"/>
      <c r="T17" s="832"/>
      <c r="U17" s="832"/>
      <c r="V17" s="832"/>
      <c r="W17" s="832"/>
      <c r="X17" s="834"/>
      <c r="Y17" s="834"/>
      <c r="Z17" s="832"/>
      <c r="AA17" s="832"/>
      <c r="AB17" s="846">
        <v>145000</v>
      </c>
      <c r="AC17" s="835"/>
      <c r="AD17" s="836"/>
      <c r="AE17" s="836"/>
      <c r="AF17" s="847"/>
      <c r="AG17" s="848"/>
      <c r="AH17" s="826"/>
      <c r="AI17" s="826"/>
      <c r="AJ17" s="825"/>
      <c r="AK17" s="814"/>
      <c r="AL17" s="826"/>
      <c r="AM17" s="826"/>
      <c r="AN17" s="827">
        <f t="shared" si="0"/>
        <v>1</v>
      </c>
      <c r="AO17" s="828">
        <f t="shared" si="1"/>
        <v>145000</v>
      </c>
      <c r="AP17" s="829">
        <f t="shared" si="2"/>
        <v>145000</v>
      </c>
      <c r="AR17" s="332">
        <f>AO17-'[21]INSUMOS '!AO17</f>
        <v>0</v>
      </c>
      <c r="BA17" s="332">
        <f>AO17-'[21]INSUMOS '!AO17</f>
        <v>0</v>
      </c>
    </row>
    <row r="18" spans="1:53" ht="38.25" x14ac:dyDescent="0.2">
      <c r="A18" s="808">
        <v>16</v>
      </c>
      <c r="B18" s="1112" t="s">
        <v>61</v>
      </c>
      <c r="C18" s="830" t="s">
        <v>266</v>
      </c>
      <c r="D18" s="810"/>
      <c r="E18" s="526"/>
      <c r="F18" s="884">
        <v>29750</v>
      </c>
      <c r="G18" s="831"/>
      <c r="H18" s="831"/>
      <c r="I18" s="831"/>
      <c r="J18" s="832"/>
      <c r="K18" s="832"/>
      <c r="L18" s="832"/>
      <c r="M18" s="832"/>
      <c r="N18" s="832"/>
      <c r="O18" s="859"/>
      <c r="P18" s="526"/>
      <c r="Q18" s="801"/>
      <c r="R18" s="825"/>
      <c r="S18" s="832"/>
      <c r="T18" s="832"/>
      <c r="U18" s="832"/>
      <c r="V18" s="832"/>
      <c r="W18" s="832"/>
      <c r="X18" s="834"/>
      <c r="Y18" s="834"/>
      <c r="Z18" s="832"/>
      <c r="AA18" s="832"/>
      <c r="AB18" s="992"/>
      <c r="AC18" s="835"/>
      <c r="AD18" s="836"/>
      <c r="AE18" s="836"/>
      <c r="AF18" s="847"/>
      <c r="AG18" s="848"/>
      <c r="AH18" s="826"/>
      <c r="AI18" s="826"/>
      <c r="AJ18" s="825"/>
      <c r="AK18" s="814"/>
      <c r="AL18" s="826"/>
      <c r="AM18" s="826"/>
      <c r="AN18" s="827">
        <f t="shared" si="0"/>
        <v>1</v>
      </c>
      <c r="AO18" s="828">
        <f t="shared" si="1"/>
        <v>29750</v>
      </c>
      <c r="AP18" s="829">
        <f t="shared" si="2"/>
        <v>29750</v>
      </c>
      <c r="AR18" s="332">
        <f>AO18-'[21]INSUMOS '!AO18</f>
        <v>0</v>
      </c>
      <c r="BA18" s="332">
        <f>AO18-'[21]INSUMOS '!AO18</f>
        <v>0</v>
      </c>
    </row>
    <row r="19" spans="1:53" ht="38.25" x14ac:dyDescent="0.2">
      <c r="A19" s="942">
        <v>17</v>
      </c>
      <c r="B19" s="1112" t="s">
        <v>7408</v>
      </c>
      <c r="C19" s="830" t="s">
        <v>266</v>
      </c>
      <c r="D19" s="810"/>
      <c r="E19" s="526"/>
      <c r="F19" s="884">
        <v>23550</v>
      </c>
      <c r="G19" s="831"/>
      <c r="H19" s="831"/>
      <c r="I19" s="831"/>
      <c r="J19" s="832"/>
      <c r="K19" s="832"/>
      <c r="L19" s="832"/>
      <c r="M19" s="832"/>
      <c r="N19" s="832"/>
      <c r="O19" s="861">
        <v>23949</v>
      </c>
      <c r="P19" s="526"/>
      <c r="Q19" s="801"/>
      <c r="R19" s="825"/>
      <c r="S19" s="832"/>
      <c r="T19" s="832"/>
      <c r="U19" s="832"/>
      <c r="V19" s="832"/>
      <c r="W19" s="832"/>
      <c r="X19" s="834"/>
      <c r="Y19" s="834"/>
      <c r="Z19" s="832"/>
      <c r="AA19" s="832"/>
      <c r="AB19" s="992"/>
      <c r="AC19" s="835"/>
      <c r="AD19" s="836"/>
      <c r="AE19" s="836"/>
      <c r="AF19" s="847"/>
      <c r="AG19" s="848"/>
      <c r="AH19" s="826"/>
      <c r="AI19" s="826"/>
      <c r="AJ19" s="825"/>
      <c r="AK19" s="814"/>
      <c r="AL19" s="826"/>
      <c r="AM19" s="826"/>
      <c r="AN19" s="827">
        <f t="shared" si="0"/>
        <v>2</v>
      </c>
      <c r="AO19" s="828">
        <f t="shared" si="1"/>
        <v>23749.5</v>
      </c>
      <c r="AP19" s="829">
        <f t="shared" si="2"/>
        <v>23749.5</v>
      </c>
      <c r="AR19" s="332">
        <f>AO19-'[21]INSUMOS '!AO19</f>
        <v>0</v>
      </c>
      <c r="BA19" s="332">
        <f>AO19-'[21]INSUMOS '!AO19</f>
        <v>0</v>
      </c>
    </row>
    <row r="20" spans="1:53" x14ac:dyDescent="0.2">
      <c r="A20" s="808">
        <v>18</v>
      </c>
      <c r="B20" s="1112" t="s">
        <v>85</v>
      </c>
      <c r="C20" s="830" t="s">
        <v>266</v>
      </c>
      <c r="D20" s="810"/>
      <c r="E20" s="811"/>
      <c r="F20" s="811"/>
      <c r="G20" s="812"/>
      <c r="H20" s="812"/>
      <c r="I20" s="812"/>
      <c r="J20" s="813"/>
      <c r="K20" s="813"/>
      <c r="L20" s="838">
        <v>7990</v>
      </c>
      <c r="M20" s="817"/>
      <c r="N20" s="817"/>
      <c r="O20" s="813"/>
      <c r="P20" s="813"/>
      <c r="Q20" s="814"/>
      <c r="R20" s="814"/>
      <c r="S20" s="1350">
        <v>17900</v>
      </c>
      <c r="T20" s="813"/>
      <c r="U20" s="813"/>
      <c r="V20" s="813"/>
      <c r="W20" s="813"/>
      <c r="X20" s="817"/>
      <c r="Y20" s="817"/>
      <c r="Z20" s="813"/>
      <c r="AA20" s="813"/>
      <c r="AB20" s="818"/>
      <c r="AC20" s="819"/>
      <c r="AD20" s="820"/>
      <c r="AE20" s="820"/>
      <c r="AF20" s="847"/>
      <c r="AG20" s="848"/>
      <c r="AH20" s="826"/>
      <c r="AI20" s="826"/>
      <c r="AJ20" s="825"/>
      <c r="AK20" s="814"/>
      <c r="AL20" s="826"/>
      <c r="AM20" s="826"/>
      <c r="AN20" s="827">
        <f t="shared" si="0"/>
        <v>2</v>
      </c>
      <c r="AO20" s="828">
        <f t="shared" si="1"/>
        <v>12945</v>
      </c>
      <c r="AP20" s="829">
        <f t="shared" si="2"/>
        <v>12945</v>
      </c>
      <c r="AR20" s="332">
        <f>AO20-'[21]INSUMOS '!AO20</f>
        <v>0</v>
      </c>
      <c r="BA20" s="332">
        <f>AO20-'[21]INSUMOS '!AO20</f>
        <v>0</v>
      </c>
    </row>
    <row r="21" spans="1:53" x14ac:dyDescent="0.2">
      <c r="A21" s="942">
        <v>19</v>
      </c>
      <c r="B21" s="1112" t="s">
        <v>26</v>
      </c>
      <c r="C21" s="830" t="s">
        <v>266</v>
      </c>
      <c r="D21" s="810"/>
      <c r="E21" s="811"/>
      <c r="F21" s="811"/>
      <c r="G21" s="812"/>
      <c r="H21" s="812"/>
      <c r="I21" s="812"/>
      <c r="J21" s="813"/>
      <c r="K21" s="838">
        <v>30583</v>
      </c>
      <c r="L21" s="817"/>
      <c r="M21" s="817"/>
      <c r="N21" s="817"/>
      <c r="O21" s="813"/>
      <c r="P21" s="813"/>
      <c r="Q21" s="814"/>
      <c r="R21" s="814"/>
      <c r="S21" s="816">
        <v>32900</v>
      </c>
      <c r="T21" s="813"/>
      <c r="U21" s="813"/>
      <c r="V21" s="813"/>
      <c r="W21" s="813"/>
      <c r="X21" s="817"/>
      <c r="Y21" s="817"/>
      <c r="Z21" s="813"/>
      <c r="AA21" s="813"/>
      <c r="AB21" s="818"/>
      <c r="AC21" s="819"/>
      <c r="AD21" s="820"/>
      <c r="AE21" s="820"/>
      <c r="AF21" s="847"/>
      <c r="AG21" s="848"/>
      <c r="AH21" s="826"/>
      <c r="AI21" s="826"/>
      <c r="AJ21" s="825"/>
      <c r="AK21" s="814"/>
      <c r="AL21" s="826"/>
      <c r="AM21" s="826"/>
      <c r="AN21" s="827">
        <f t="shared" si="0"/>
        <v>2</v>
      </c>
      <c r="AO21" s="828">
        <f t="shared" si="1"/>
        <v>31741.5</v>
      </c>
      <c r="AP21" s="829">
        <f t="shared" si="2"/>
        <v>31741.5</v>
      </c>
      <c r="AR21" s="332">
        <f>AO21-'[21]INSUMOS '!AO21</f>
        <v>0</v>
      </c>
      <c r="BA21" s="332">
        <f>AO21-'[21]INSUMOS '!AO21</f>
        <v>0</v>
      </c>
    </row>
    <row r="22" spans="1:53" x14ac:dyDescent="0.2">
      <c r="A22" s="808">
        <v>20</v>
      </c>
      <c r="B22" s="1112" t="s">
        <v>25</v>
      </c>
      <c r="C22" s="830" t="s">
        <v>266</v>
      </c>
      <c r="D22" s="810"/>
      <c r="E22" s="811"/>
      <c r="F22" s="811"/>
      <c r="G22" s="812"/>
      <c r="H22" s="812"/>
      <c r="I22" s="812"/>
      <c r="J22" s="813"/>
      <c r="K22" s="813"/>
      <c r="L22" s="838">
        <v>15990</v>
      </c>
      <c r="M22" s="817"/>
      <c r="N22" s="817"/>
      <c r="O22" s="813"/>
      <c r="P22" s="813"/>
      <c r="Q22" s="814"/>
      <c r="R22" s="814"/>
      <c r="S22" s="816">
        <v>16900</v>
      </c>
      <c r="T22" s="813"/>
      <c r="U22" s="813"/>
      <c r="V22" s="813"/>
      <c r="W22" s="813"/>
      <c r="X22" s="817"/>
      <c r="Y22" s="817"/>
      <c r="Z22" s="813"/>
      <c r="AA22" s="813"/>
      <c r="AB22" s="818"/>
      <c r="AC22" s="819"/>
      <c r="AD22" s="820"/>
      <c r="AE22" s="820"/>
      <c r="AF22" s="847"/>
      <c r="AG22" s="848"/>
      <c r="AH22" s="826"/>
      <c r="AI22" s="826"/>
      <c r="AJ22" s="825"/>
      <c r="AK22" s="814"/>
      <c r="AL22" s="826"/>
      <c r="AM22" s="826"/>
      <c r="AN22" s="827">
        <f t="shared" si="0"/>
        <v>2</v>
      </c>
      <c r="AO22" s="828">
        <f t="shared" si="1"/>
        <v>16445</v>
      </c>
      <c r="AP22" s="829">
        <f t="shared" si="2"/>
        <v>16445</v>
      </c>
      <c r="AR22" s="332">
        <f>AO22-'[21]INSUMOS '!AO22</f>
        <v>0</v>
      </c>
      <c r="BA22" s="332">
        <f>AO22-'[21]INSUMOS '!AO22</f>
        <v>0</v>
      </c>
    </row>
    <row r="23" spans="1:53" x14ac:dyDescent="0.2">
      <c r="A23" s="942">
        <v>21</v>
      </c>
      <c r="B23" s="1112" t="s">
        <v>322</v>
      </c>
      <c r="C23" s="830" t="s">
        <v>266</v>
      </c>
      <c r="D23" s="810"/>
      <c r="E23" s="526"/>
      <c r="F23" s="884">
        <v>299880</v>
      </c>
      <c r="G23" s="831"/>
      <c r="H23" s="831"/>
      <c r="I23" s="831"/>
      <c r="J23" s="832"/>
      <c r="K23" s="832"/>
      <c r="L23" s="832"/>
      <c r="M23" s="832"/>
      <c r="N23" s="832"/>
      <c r="O23" s="832"/>
      <c r="P23" s="832"/>
      <c r="Q23" s="825"/>
      <c r="R23" s="825"/>
      <c r="S23" s="832"/>
      <c r="T23" s="832"/>
      <c r="U23" s="832"/>
      <c r="V23" s="832"/>
      <c r="W23" s="832"/>
      <c r="X23" s="834"/>
      <c r="Y23" s="834"/>
      <c r="Z23" s="832"/>
      <c r="AA23" s="832"/>
      <c r="AB23" s="860">
        <f>160000*1.19</f>
        <v>190400</v>
      </c>
      <c r="AC23" s="835"/>
      <c r="AD23" s="836"/>
      <c r="AE23" s="836"/>
      <c r="AF23" s="847"/>
      <c r="AG23" s="848"/>
      <c r="AH23" s="826"/>
      <c r="AI23" s="826"/>
      <c r="AJ23" s="825"/>
      <c r="AK23" s="814"/>
      <c r="AL23" s="826"/>
      <c r="AM23" s="826"/>
      <c r="AN23" s="827">
        <f t="shared" si="0"/>
        <v>2</v>
      </c>
      <c r="AO23" s="828">
        <f t="shared" si="1"/>
        <v>245140</v>
      </c>
      <c r="AP23" s="829">
        <f t="shared" si="2"/>
        <v>245140</v>
      </c>
      <c r="AR23" s="332">
        <f>AO23-'[21]INSUMOS '!AO23</f>
        <v>0</v>
      </c>
      <c r="BA23" s="332">
        <f>AO23-'[21]INSUMOS '!AO23</f>
        <v>0</v>
      </c>
    </row>
    <row r="24" spans="1:53" x14ac:dyDescent="0.2">
      <c r="A24" s="808">
        <v>22</v>
      </c>
      <c r="B24" s="1112" t="s">
        <v>8</v>
      </c>
      <c r="C24" s="809" t="s">
        <v>6</v>
      </c>
      <c r="D24" s="810"/>
      <c r="E24" s="811"/>
      <c r="F24" s="811"/>
      <c r="G24" s="812"/>
      <c r="H24" s="812"/>
      <c r="I24" s="812"/>
      <c r="J24" s="813"/>
      <c r="K24" s="813"/>
      <c r="L24" s="813"/>
      <c r="M24" s="813"/>
      <c r="N24" s="813"/>
      <c r="O24" s="1344">
        <f>30990/50</f>
        <v>619.79999999999995</v>
      </c>
      <c r="P24" s="813"/>
      <c r="Q24" s="814"/>
      <c r="R24" s="825"/>
      <c r="S24" s="1341">
        <f>30000/50</f>
        <v>600</v>
      </c>
      <c r="T24" s="1344">
        <f>31900/50</f>
        <v>638</v>
      </c>
      <c r="U24" s="813"/>
      <c r="V24" s="813"/>
      <c r="W24" s="813"/>
      <c r="X24" s="817"/>
      <c r="Y24" s="817"/>
      <c r="Z24" s="813"/>
      <c r="AA24" s="813"/>
      <c r="AB24" s="818"/>
      <c r="AC24" s="819"/>
      <c r="AD24" s="820"/>
      <c r="AE24" s="820"/>
      <c r="AF24" s="847"/>
      <c r="AG24" s="848"/>
      <c r="AH24" s="826"/>
      <c r="AI24" s="826"/>
      <c r="AJ24" s="825"/>
      <c r="AK24" s="814"/>
      <c r="AL24" s="826"/>
      <c r="AM24" s="826"/>
      <c r="AN24" s="827">
        <f t="shared" si="0"/>
        <v>3</v>
      </c>
      <c r="AO24" s="828">
        <f t="shared" si="1"/>
        <v>619.26666666666665</v>
      </c>
      <c r="AP24" s="829">
        <f t="shared" si="2"/>
        <v>619.79999999999995</v>
      </c>
      <c r="AR24" s="332">
        <f>AO24-'[21]INSUMOS '!AO24</f>
        <v>0</v>
      </c>
      <c r="BA24" s="332">
        <f>AO24-'[21]INSUMOS '!AO24</f>
        <v>0</v>
      </c>
    </row>
    <row r="25" spans="1:53" x14ac:dyDescent="0.2">
      <c r="A25" s="942">
        <v>23</v>
      </c>
      <c r="B25" s="1112" t="s">
        <v>27</v>
      </c>
      <c r="C25" s="830" t="s">
        <v>266</v>
      </c>
      <c r="D25" s="810"/>
      <c r="E25" s="811"/>
      <c r="F25" s="811"/>
      <c r="G25" s="812"/>
      <c r="H25" s="812"/>
      <c r="I25" s="812"/>
      <c r="J25" s="813"/>
      <c r="K25" s="813"/>
      <c r="L25" s="813"/>
      <c r="M25" s="1344">
        <v>6900</v>
      </c>
      <c r="N25" s="817"/>
      <c r="O25" s="813"/>
      <c r="P25" s="813"/>
      <c r="Q25" s="814"/>
      <c r="R25" s="825"/>
      <c r="S25" s="817"/>
      <c r="T25" s="813"/>
      <c r="U25" s="813"/>
      <c r="V25" s="813"/>
      <c r="W25" s="813"/>
      <c r="X25" s="817"/>
      <c r="Y25" s="817"/>
      <c r="Z25" s="813"/>
      <c r="AA25" s="813"/>
      <c r="AB25" s="818"/>
      <c r="AC25" s="819"/>
      <c r="AD25" s="820"/>
      <c r="AE25" s="820"/>
      <c r="AF25" s="847"/>
      <c r="AG25" s="848"/>
      <c r="AH25" s="826"/>
      <c r="AI25" s="826"/>
      <c r="AJ25" s="825"/>
      <c r="AK25" s="814"/>
      <c r="AL25" s="826"/>
      <c r="AM25" s="826"/>
      <c r="AN25" s="827">
        <f t="shared" si="0"/>
        <v>1</v>
      </c>
      <c r="AO25" s="828">
        <f t="shared" si="1"/>
        <v>6900</v>
      </c>
      <c r="AP25" s="829">
        <f t="shared" si="2"/>
        <v>6900</v>
      </c>
      <c r="AR25" s="332">
        <f>AO25-'[21]INSUMOS '!AO25</f>
        <v>0</v>
      </c>
      <c r="BA25" s="332">
        <f>AO25-'[21]INSUMOS '!AO25</f>
        <v>0</v>
      </c>
    </row>
    <row r="26" spans="1:53" ht="25.5" x14ac:dyDescent="0.2">
      <c r="A26" s="808">
        <v>24</v>
      </c>
      <c r="B26" s="1112" t="s">
        <v>63</v>
      </c>
      <c r="C26" s="809" t="s">
        <v>3488</v>
      </c>
      <c r="D26" s="810"/>
      <c r="E26" s="526"/>
      <c r="F26" s="884"/>
      <c r="G26" s="831"/>
      <c r="H26" s="831"/>
      <c r="I26" s="831"/>
      <c r="J26" s="834"/>
      <c r="K26" s="834"/>
      <c r="L26" s="834"/>
      <c r="M26" s="834"/>
      <c r="N26" s="834"/>
      <c r="O26" s="834"/>
      <c r="P26" s="526"/>
      <c r="Q26" s="801"/>
      <c r="R26" s="825"/>
      <c r="S26" s="862">
        <f>36900/500</f>
        <v>73.8</v>
      </c>
      <c r="T26" s="832"/>
      <c r="U26" s="832"/>
      <c r="V26" s="832"/>
      <c r="W26" s="832"/>
      <c r="X26" s="834"/>
      <c r="Y26" s="834"/>
      <c r="Z26" s="832"/>
      <c r="AA26" s="832"/>
      <c r="AB26" s="863"/>
      <c r="AC26" s="835"/>
      <c r="AD26" s="836"/>
      <c r="AE26" s="836"/>
      <c r="AF26" s="847"/>
      <c r="AG26" s="848"/>
      <c r="AH26" s="826"/>
      <c r="AI26" s="826"/>
      <c r="AJ26" s="825"/>
      <c r="AK26" s="814"/>
      <c r="AL26" s="826"/>
      <c r="AM26" s="826"/>
      <c r="AN26" s="827">
        <f t="shared" si="0"/>
        <v>1</v>
      </c>
      <c r="AO26" s="828">
        <f t="shared" si="1"/>
        <v>73.8</v>
      </c>
      <c r="AP26" s="829">
        <f t="shared" si="2"/>
        <v>73.8</v>
      </c>
      <c r="AR26" s="332">
        <f>AO26-'[21]INSUMOS '!AO26</f>
        <v>0</v>
      </c>
      <c r="BA26" s="332">
        <f>AO26-'[21]INSUMOS '!AO26</f>
        <v>0</v>
      </c>
    </row>
    <row r="27" spans="1:53" ht="24.95" customHeight="1" x14ac:dyDescent="0.2">
      <c r="A27" s="942">
        <v>25</v>
      </c>
      <c r="B27" s="1112" t="s">
        <v>97</v>
      </c>
      <c r="C27" s="809" t="s">
        <v>3</v>
      </c>
      <c r="D27" s="864"/>
      <c r="E27" s="865"/>
      <c r="F27" s="865"/>
      <c r="G27" s="866"/>
      <c r="H27" s="866"/>
      <c r="I27" s="866"/>
      <c r="J27" s="867"/>
      <c r="K27" s="867"/>
      <c r="L27" s="867"/>
      <c r="M27" s="867"/>
      <c r="N27" s="867"/>
      <c r="O27" s="1345">
        <v>529550</v>
      </c>
      <c r="P27" s="867"/>
      <c r="Q27" s="868">
        <v>450500</v>
      </c>
      <c r="R27" s="816">
        <v>421891</v>
      </c>
      <c r="S27" s="867"/>
      <c r="T27" s="867"/>
      <c r="U27" s="867"/>
      <c r="V27" s="867"/>
      <c r="W27" s="867"/>
      <c r="X27" s="869"/>
      <c r="Y27" s="869"/>
      <c r="Z27" s="867"/>
      <c r="AA27" s="867"/>
      <c r="AB27" s="818"/>
      <c r="AC27" s="870"/>
      <c r="AD27" s="871"/>
      <c r="AE27" s="871"/>
      <c r="AF27" s="847"/>
      <c r="AG27" s="848"/>
      <c r="AH27" s="826"/>
      <c r="AI27" s="826"/>
      <c r="AJ27" s="825"/>
      <c r="AK27" s="814"/>
      <c r="AL27" s="826"/>
      <c r="AM27" s="826"/>
      <c r="AN27" s="827">
        <f t="shared" si="0"/>
        <v>3</v>
      </c>
      <c r="AO27" s="828">
        <f t="shared" si="1"/>
        <v>467313.66666666669</v>
      </c>
      <c r="AP27" s="829">
        <f t="shared" si="2"/>
        <v>450500</v>
      </c>
      <c r="AR27" s="332">
        <f>AO27-'[21]INSUMOS '!AO27</f>
        <v>0</v>
      </c>
      <c r="BA27" s="332">
        <f>AO27-'[21]INSUMOS '!AO27</f>
        <v>0</v>
      </c>
    </row>
    <row r="28" spans="1:53" ht="24.95" customHeight="1" x14ac:dyDescent="0.2">
      <c r="A28" s="808">
        <v>26</v>
      </c>
      <c r="B28" s="1112" t="s">
        <v>98</v>
      </c>
      <c r="C28" s="809" t="s">
        <v>3</v>
      </c>
      <c r="D28" s="864"/>
      <c r="E28" s="865"/>
      <c r="F28" s="865"/>
      <c r="G28" s="866"/>
      <c r="H28" s="866"/>
      <c r="I28" s="866"/>
      <c r="J28" s="867"/>
      <c r="K28" s="867"/>
      <c r="L28" s="867"/>
      <c r="M28" s="867"/>
      <c r="N28" s="867"/>
      <c r="O28" s="1345">
        <v>545437</v>
      </c>
      <c r="P28" s="867"/>
      <c r="Q28" s="868">
        <v>464000</v>
      </c>
      <c r="R28" s="872">
        <v>448989</v>
      </c>
      <c r="S28" s="867"/>
      <c r="T28" s="867"/>
      <c r="U28" s="867"/>
      <c r="V28" s="867"/>
      <c r="W28" s="867"/>
      <c r="X28" s="869"/>
      <c r="Y28" s="869"/>
      <c r="Z28" s="867"/>
      <c r="AA28" s="867"/>
      <c r="AB28" s="818"/>
      <c r="AC28" s="870"/>
      <c r="AD28" s="871"/>
      <c r="AE28" s="871"/>
      <c r="AF28" s="847"/>
      <c r="AG28" s="848"/>
      <c r="AH28" s="826"/>
      <c r="AI28" s="826"/>
      <c r="AJ28" s="825"/>
      <c r="AK28" s="814"/>
      <c r="AL28" s="826"/>
      <c r="AM28" s="826"/>
      <c r="AN28" s="827">
        <f t="shared" si="0"/>
        <v>3</v>
      </c>
      <c r="AO28" s="828">
        <f t="shared" si="1"/>
        <v>486142</v>
      </c>
      <c r="AP28" s="829">
        <f t="shared" si="2"/>
        <v>464000</v>
      </c>
      <c r="AR28" s="332">
        <f>AO28-'[21]INSUMOS '!AO28</f>
        <v>0</v>
      </c>
      <c r="BA28" s="332">
        <f>AO28-'[21]INSUMOS '!AO28</f>
        <v>0</v>
      </c>
    </row>
    <row r="29" spans="1:53" ht="24.95" customHeight="1" x14ac:dyDescent="0.2">
      <c r="A29" s="942">
        <v>27</v>
      </c>
      <c r="B29" s="1112" t="s">
        <v>99</v>
      </c>
      <c r="C29" s="809" t="s">
        <v>3</v>
      </c>
      <c r="D29" s="864"/>
      <c r="E29" s="865"/>
      <c r="F29" s="865"/>
      <c r="G29" s="866"/>
      <c r="H29" s="866"/>
      <c r="I29" s="866"/>
      <c r="J29" s="867"/>
      <c r="K29" s="867"/>
      <c r="L29" s="867"/>
      <c r="M29" s="867"/>
      <c r="N29" s="867"/>
      <c r="O29" s="1345">
        <v>559205</v>
      </c>
      <c r="P29" s="867"/>
      <c r="Q29" s="868">
        <v>484000</v>
      </c>
      <c r="R29" s="816">
        <v>499636</v>
      </c>
      <c r="S29" s="867"/>
      <c r="T29" s="867"/>
      <c r="U29" s="867"/>
      <c r="V29" s="867"/>
      <c r="W29" s="867"/>
      <c r="X29" s="869"/>
      <c r="Y29" s="869"/>
      <c r="Z29" s="867"/>
      <c r="AA29" s="867"/>
      <c r="AB29" s="818"/>
      <c r="AC29" s="870"/>
      <c r="AD29" s="871"/>
      <c r="AE29" s="871"/>
      <c r="AF29" s="847"/>
      <c r="AG29" s="848"/>
      <c r="AH29" s="826"/>
      <c r="AI29" s="826"/>
      <c r="AJ29" s="825"/>
      <c r="AK29" s="814"/>
      <c r="AL29" s="826"/>
      <c r="AM29" s="826"/>
      <c r="AN29" s="827">
        <f t="shared" si="0"/>
        <v>3</v>
      </c>
      <c r="AO29" s="828">
        <f t="shared" si="1"/>
        <v>514280.33333333331</v>
      </c>
      <c r="AP29" s="829">
        <f t="shared" si="2"/>
        <v>499636</v>
      </c>
      <c r="AR29" s="332">
        <f>AO29-'[21]INSUMOS '!AO29</f>
        <v>0</v>
      </c>
      <c r="BA29" s="332">
        <f>AO29-'[21]INSUMOS '!AO29</f>
        <v>0</v>
      </c>
    </row>
    <row r="30" spans="1:53" ht="24.95" customHeight="1" x14ac:dyDescent="0.2">
      <c r="A30" s="808">
        <v>28</v>
      </c>
      <c r="B30" s="1112" t="s">
        <v>100</v>
      </c>
      <c r="C30" s="809" t="s">
        <v>3</v>
      </c>
      <c r="D30" s="864"/>
      <c r="E30" s="865"/>
      <c r="F30" s="865"/>
      <c r="G30" s="866"/>
      <c r="H30" s="866"/>
      <c r="I30" s="866"/>
      <c r="J30" s="867"/>
      <c r="K30" s="867"/>
      <c r="L30" s="867"/>
      <c r="M30" s="867"/>
      <c r="N30" s="867"/>
      <c r="O30" s="1345">
        <v>576150</v>
      </c>
      <c r="P30" s="867"/>
      <c r="Q30" s="868">
        <v>504000</v>
      </c>
      <c r="R30" s="816">
        <v>498938</v>
      </c>
      <c r="S30" s="867"/>
      <c r="T30" s="867"/>
      <c r="U30" s="867"/>
      <c r="V30" s="867"/>
      <c r="W30" s="867"/>
      <c r="X30" s="869"/>
      <c r="Y30" s="869"/>
      <c r="Z30" s="867"/>
      <c r="AA30" s="867"/>
      <c r="AB30" s="818"/>
      <c r="AC30" s="870"/>
      <c r="AD30" s="871"/>
      <c r="AE30" s="871"/>
      <c r="AF30" s="847"/>
      <c r="AG30" s="848"/>
      <c r="AH30" s="826"/>
      <c r="AI30" s="826"/>
      <c r="AJ30" s="825"/>
      <c r="AK30" s="814"/>
      <c r="AL30" s="826"/>
      <c r="AM30" s="826"/>
      <c r="AN30" s="827">
        <f t="shared" si="0"/>
        <v>3</v>
      </c>
      <c r="AO30" s="828">
        <f t="shared" si="1"/>
        <v>526362.66666666663</v>
      </c>
      <c r="AP30" s="829">
        <f t="shared" si="2"/>
        <v>504000</v>
      </c>
      <c r="AR30" s="332">
        <f>AO30-'[21]INSUMOS '!AO30</f>
        <v>0</v>
      </c>
      <c r="BA30" s="332">
        <f>AO30-'[21]INSUMOS '!AO30</f>
        <v>0</v>
      </c>
    </row>
    <row r="31" spans="1:53" ht="24.95" customHeight="1" x14ac:dyDescent="0.2">
      <c r="A31" s="942">
        <v>29</v>
      </c>
      <c r="B31" s="1112" t="s">
        <v>101</v>
      </c>
      <c r="C31" s="809" t="s">
        <v>3</v>
      </c>
      <c r="D31" s="864"/>
      <c r="E31" s="865"/>
      <c r="F31" s="865"/>
      <c r="G31" s="866"/>
      <c r="H31" s="866"/>
      <c r="I31" s="866"/>
      <c r="J31" s="867"/>
      <c r="K31" s="867"/>
      <c r="L31" s="867"/>
      <c r="M31" s="867"/>
      <c r="N31" s="867"/>
      <c r="O31" s="1345">
        <v>593096</v>
      </c>
      <c r="P31" s="867"/>
      <c r="Q31" s="868">
        <v>527000</v>
      </c>
      <c r="R31" s="841">
        <v>567639</v>
      </c>
      <c r="S31" s="867"/>
      <c r="T31" s="867"/>
      <c r="U31" s="867"/>
      <c r="V31" s="867"/>
      <c r="W31" s="867"/>
      <c r="X31" s="869"/>
      <c r="Y31" s="869"/>
      <c r="Z31" s="867"/>
      <c r="AA31" s="867"/>
      <c r="AB31" s="818"/>
      <c r="AC31" s="870"/>
      <c r="AD31" s="871"/>
      <c r="AE31" s="871"/>
      <c r="AF31" s="847"/>
      <c r="AG31" s="848"/>
      <c r="AH31" s="826"/>
      <c r="AI31" s="826"/>
      <c r="AJ31" s="825"/>
      <c r="AK31" s="814"/>
      <c r="AL31" s="826"/>
      <c r="AM31" s="826"/>
      <c r="AN31" s="827">
        <f t="shared" si="0"/>
        <v>3</v>
      </c>
      <c r="AO31" s="828">
        <f t="shared" si="1"/>
        <v>562578.33333333337</v>
      </c>
      <c r="AP31" s="829">
        <f t="shared" si="2"/>
        <v>567639</v>
      </c>
      <c r="AR31" s="332">
        <f>AO31-'[21]INSUMOS '!AO31</f>
        <v>0</v>
      </c>
      <c r="BA31" s="332">
        <f>AO31-'[21]INSUMOS '!AO31</f>
        <v>0</v>
      </c>
    </row>
    <row r="32" spans="1:53" ht="24.95" customHeight="1" x14ac:dyDescent="0.2">
      <c r="A32" s="808">
        <v>30</v>
      </c>
      <c r="B32" s="1112" t="s">
        <v>102</v>
      </c>
      <c r="C32" s="809" t="s">
        <v>3</v>
      </c>
      <c r="D32" s="864"/>
      <c r="E32" s="865"/>
      <c r="F32" s="865"/>
      <c r="G32" s="866"/>
      <c r="H32" s="866"/>
      <c r="I32" s="866"/>
      <c r="J32" s="867"/>
      <c r="K32" s="867"/>
      <c r="L32" s="867"/>
      <c r="M32" s="867"/>
      <c r="N32" s="867"/>
      <c r="O32" s="1345">
        <v>637049</v>
      </c>
      <c r="P32" s="867"/>
      <c r="Q32" s="868">
        <v>577000</v>
      </c>
      <c r="R32" s="833"/>
      <c r="S32" s="867"/>
      <c r="T32" s="867"/>
      <c r="U32" s="867"/>
      <c r="V32" s="867"/>
      <c r="W32" s="867"/>
      <c r="X32" s="869"/>
      <c r="Y32" s="869"/>
      <c r="Z32" s="867"/>
      <c r="AA32" s="867"/>
      <c r="AB32" s="818"/>
      <c r="AC32" s="870"/>
      <c r="AD32" s="871"/>
      <c r="AE32" s="871"/>
      <c r="AF32" s="847"/>
      <c r="AG32" s="848"/>
      <c r="AH32" s="826"/>
      <c r="AI32" s="826"/>
      <c r="AJ32" s="825"/>
      <c r="AK32" s="814"/>
      <c r="AL32" s="826"/>
      <c r="AM32" s="826"/>
      <c r="AN32" s="827">
        <f t="shared" si="0"/>
        <v>2</v>
      </c>
      <c r="AO32" s="828">
        <f t="shared" si="1"/>
        <v>607024.5</v>
      </c>
      <c r="AP32" s="829">
        <f t="shared" si="2"/>
        <v>607024.5</v>
      </c>
      <c r="AR32" s="332">
        <f>AO32-'[21]INSUMOS '!AO32</f>
        <v>0</v>
      </c>
      <c r="BA32" s="332">
        <f>AO32-'[21]INSUMOS '!AO32</f>
        <v>0</v>
      </c>
    </row>
    <row r="33" spans="1:53" ht="24.95" customHeight="1" x14ac:dyDescent="0.2">
      <c r="A33" s="942">
        <v>31</v>
      </c>
      <c r="B33" s="1112" t="s">
        <v>22</v>
      </c>
      <c r="C33" s="809" t="s">
        <v>3</v>
      </c>
      <c r="D33" s="864"/>
      <c r="E33" s="865"/>
      <c r="F33" s="865"/>
      <c r="G33" s="866"/>
      <c r="H33" s="866"/>
      <c r="I33" s="866"/>
      <c r="J33" s="867"/>
      <c r="K33" s="867"/>
      <c r="L33" s="867"/>
      <c r="M33" s="867"/>
      <c r="N33" s="867"/>
      <c r="O33" s="1345">
        <v>572973</v>
      </c>
      <c r="P33" s="867"/>
      <c r="Q33" s="868">
        <v>497000</v>
      </c>
      <c r="R33" s="816">
        <v>499636</v>
      </c>
      <c r="S33" s="867"/>
      <c r="T33" s="867"/>
      <c r="U33" s="867"/>
      <c r="V33" s="867"/>
      <c r="W33" s="867"/>
      <c r="X33" s="869"/>
      <c r="Y33" s="869"/>
      <c r="Z33" s="867"/>
      <c r="AA33" s="867"/>
      <c r="AB33" s="818"/>
      <c r="AC33" s="870"/>
      <c r="AD33" s="871"/>
      <c r="AE33" s="871"/>
      <c r="AF33" s="847"/>
      <c r="AG33" s="848"/>
      <c r="AH33" s="826"/>
      <c r="AI33" s="826"/>
      <c r="AJ33" s="825"/>
      <c r="AK33" s="814"/>
      <c r="AL33" s="826"/>
      <c r="AM33" s="826"/>
      <c r="AN33" s="827">
        <f t="shared" si="0"/>
        <v>3</v>
      </c>
      <c r="AO33" s="828">
        <f t="shared" si="1"/>
        <v>523203</v>
      </c>
      <c r="AP33" s="829">
        <f t="shared" si="2"/>
        <v>499636</v>
      </c>
      <c r="AR33" s="332">
        <f>AO33-'[21]INSUMOS '!AO33</f>
        <v>0</v>
      </c>
      <c r="BA33" s="332">
        <f>AO33-'[21]INSUMOS '!AO33</f>
        <v>0</v>
      </c>
    </row>
    <row r="34" spans="1:53" ht="18" customHeight="1" x14ac:dyDescent="0.2">
      <c r="A34" s="808">
        <v>32</v>
      </c>
      <c r="B34" s="1112" t="s">
        <v>3213</v>
      </c>
      <c r="C34" s="830" t="s">
        <v>266</v>
      </c>
      <c r="D34" s="810"/>
      <c r="E34" s="526"/>
      <c r="F34" s="880"/>
      <c r="G34" s="831"/>
      <c r="H34" s="831"/>
      <c r="I34" s="831"/>
      <c r="J34" s="832"/>
      <c r="K34" s="832"/>
      <c r="L34" s="832"/>
      <c r="M34" s="832"/>
      <c r="N34" s="832"/>
      <c r="O34" s="873">
        <v>81010</v>
      </c>
      <c r="P34" s="526"/>
      <c r="Q34" s="801"/>
      <c r="R34" s="825"/>
      <c r="S34" s="832"/>
      <c r="T34" s="832"/>
      <c r="U34" s="832"/>
      <c r="V34" s="832"/>
      <c r="W34" s="832"/>
      <c r="X34" s="834"/>
      <c r="Y34" s="834"/>
      <c r="Z34" s="832"/>
      <c r="AA34" s="832"/>
      <c r="AB34" s="874"/>
      <c r="AC34" s="835"/>
      <c r="AD34" s="836"/>
      <c r="AE34" s="836"/>
      <c r="AF34" s="847"/>
      <c r="AG34" s="848"/>
      <c r="AH34" s="826"/>
      <c r="AI34" s="826"/>
      <c r="AJ34" s="825"/>
      <c r="AK34" s="814"/>
      <c r="AL34" s="826"/>
      <c r="AM34" s="826"/>
      <c r="AN34" s="827">
        <f t="shared" si="0"/>
        <v>1</v>
      </c>
      <c r="AO34" s="828">
        <f t="shared" si="1"/>
        <v>81010</v>
      </c>
      <c r="AP34" s="829">
        <f t="shared" si="2"/>
        <v>81010</v>
      </c>
      <c r="AR34" s="332">
        <f>AO34-'[21]INSUMOS '!AO34</f>
        <v>0</v>
      </c>
      <c r="BA34" s="332">
        <f>AO34-'[21]INSUMOS '!AO34</f>
        <v>0</v>
      </c>
    </row>
    <row r="35" spans="1:53" ht="38.25" x14ac:dyDescent="0.2">
      <c r="A35" s="942">
        <v>33</v>
      </c>
      <c r="B35" s="1112" t="s">
        <v>64</v>
      </c>
      <c r="C35" s="830" t="s">
        <v>266</v>
      </c>
      <c r="D35" s="810"/>
      <c r="E35" s="526"/>
      <c r="F35" s="884">
        <v>92596</v>
      </c>
      <c r="G35" s="831"/>
      <c r="H35" s="832"/>
      <c r="I35" s="832"/>
      <c r="J35" s="832"/>
      <c r="K35" s="832"/>
      <c r="L35" s="832"/>
      <c r="M35" s="832"/>
      <c r="N35" s="832"/>
      <c r="O35" s="526"/>
      <c r="P35" s="526"/>
      <c r="Q35" s="801"/>
      <c r="R35" s="825"/>
      <c r="S35" s="832"/>
      <c r="T35" s="832"/>
      <c r="U35" s="832"/>
      <c r="V35" s="832"/>
      <c r="W35" s="832"/>
      <c r="X35" s="834"/>
      <c r="Y35" s="834"/>
      <c r="Z35" s="832"/>
      <c r="AA35" s="832"/>
      <c r="AB35" s="874"/>
      <c r="AC35" s="835"/>
      <c r="AD35" s="836"/>
      <c r="AE35" s="836"/>
      <c r="AF35" s="847"/>
      <c r="AG35" s="848"/>
      <c r="AH35" s="826"/>
      <c r="AI35" s="826"/>
      <c r="AJ35" s="825"/>
      <c r="AK35" s="814"/>
      <c r="AL35" s="826"/>
      <c r="AM35" s="826"/>
      <c r="AN35" s="827">
        <f t="shared" ref="AN35:AN66" si="5">+COUNTA(D35:AM35)</f>
        <v>1</v>
      </c>
      <c r="AO35" s="828">
        <f t="shared" ref="AO35:AO66" si="6">+IFERROR(AVERAGE(D35:AM35),0)</f>
        <v>92596</v>
      </c>
      <c r="AP35" s="829">
        <f t="shared" ref="AP35:AP66" si="7">+IFERROR(MEDIAN(D35:AM35),0)</f>
        <v>92596</v>
      </c>
      <c r="AR35" s="332">
        <f>AO35-'[21]INSUMOS '!AO35</f>
        <v>0</v>
      </c>
      <c r="BA35" s="332">
        <f>AO35-'[21]INSUMOS '!AO35</f>
        <v>0</v>
      </c>
    </row>
    <row r="36" spans="1:53" ht="38.25" x14ac:dyDescent="0.2">
      <c r="A36" s="808">
        <v>34</v>
      </c>
      <c r="B36" s="1112" t="s">
        <v>76</v>
      </c>
      <c r="C36" s="830" t="s">
        <v>266</v>
      </c>
      <c r="D36" s="810"/>
      <c r="E36" s="526"/>
      <c r="F36" s="526"/>
      <c r="G36" s="831"/>
      <c r="H36" s="831"/>
      <c r="I36" s="831"/>
      <c r="J36" s="832"/>
      <c r="K36" s="832"/>
      <c r="L36" s="832"/>
      <c r="M36" s="832"/>
      <c r="N36" s="832"/>
      <c r="O36" s="832"/>
      <c r="P36" s="526"/>
      <c r="Q36" s="801"/>
      <c r="R36" s="833"/>
      <c r="S36" s="832"/>
      <c r="T36" s="832"/>
      <c r="U36" s="832"/>
      <c r="V36" s="832"/>
      <c r="W36" s="834"/>
      <c r="X36" s="834"/>
      <c r="Y36" s="834"/>
      <c r="Z36" s="858">
        <f>42320*1.19</f>
        <v>50360.799999999996</v>
      </c>
      <c r="AA36" s="832"/>
      <c r="AB36" s="860">
        <f>36800*1.19</f>
        <v>43792</v>
      </c>
      <c r="AC36" s="835"/>
      <c r="AD36" s="836"/>
      <c r="AE36" s="836"/>
      <c r="AF36" s="847"/>
      <c r="AG36" s="848"/>
      <c r="AH36" s="826"/>
      <c r="AI36" s="826"/>
      <c r="AJ36" s="825"/>
      <c r="AK36" s="814"/>
      <c r="AL36" s="826"/>
      <c r="AM36" s="826"/>
      <c r="AN36" s="827">
        <f t="shared" si="5"/>
        <v>2</v>
      </c>
      <c r="AO36" s="828">
        <f t="shared" si="6"/>
        <v>47076.399999999994</v>
      </c>
      <c r="AP36" s="829">
        <f t="shared" si="7"/>
        <v>47076.399999999994</v>
      </c>
      <c r="AR36" s="332">
        <f>AO36-'[21]INSUMOS '!AO36</f>
        <v>0</v>
      </c>
      <c r="BA36" s="332">
        <f>AO36-'[21]INSUMOS '!AO36</f>
        <v>0</v>
      </c>
    </row>
    <row r="37" spans="1:53" ht="57" customHeight="1" x14ac:dyDescent="0.2">
      <c r="A37" s="942">
        <v>35</v>
      </c>
      <c r="B37" s="1112" t="s">
        <v>70</v>
      </c>
      <c r="C37" s="830" t="s">
        <v>266</v>
      </c>
      <c r="D37" s="810"/>
      <c r="E37" s="875"/>
      <c r="F37" s="884">
        <v>33466</v>
      </c>
      <c r="G37" s="831"/>
      <c r="H37" s="1115">
        <v>41900</v>
      </c>
      <c r="I37" s="832"/>
      <c r="J37" s="832"/>
      <c r="K37" s="832"/>
      <c r="L37" s="832"/>
      <c r="M37" s="832"/>
      <c r="N37" s="832"/>
      <c r="O37" s="1116">
        <v>48582</v>
      </c>
      <c r="P37" s="526"/>
      <c r="Q37" s="801"/>
      <c r="R37" s="825"/>
      <c r="S37" s="832"/>
      <c r="T37" s="832"/>
      <c r="U37" s="832"/>
      <c r="V37" s="832"/>
      <c r="W37" s="834"/>
      <c r="X37" s="834"/>
      <c r="Y37" s="834"/>
      <c r="Z37" s="832"/>
      <c r="AA37" s="832"/>
      <c r="AB37" s="992"/>
      <c r="AC37" s="835"/>
      <c r="AD37" s="836"/>
      <c r="AE37" s="836"/>
      <c r="AF37" s="847"/>
      <c r="AG37" s="848"/>
      <c r="AH37" s="826"/>
      <c r="AI37" s="826"/>
      <c r="AJ37" s="825"/>
      <c r="AK37" s="814"/>
      <c r="AL37" s="826"/>
      <c r="AM37" s="826"/>
      <c r="AN37" s="827">
        <f t="shared" si="5"/>
        <v>3</v>
      </c>
      <c r="AO37" s="828">
        <f t="shared" si="6"/>
        <v>41316</v>
      </c>
      <c r="AP37" s="829">
        <f t="shared" si="7"/>
        <v>41900</v>
      </c>
      <c r="AR37" s="332">
        <f>AO37-'[21]INSUMOS '!AO37</f>
        <v>0</v>
      </c>
      <c r="BA37" s="332">
        <f>AO37-'[21]INSUMOS '!AO37</f>
        <v>0</v>
      </c>
    </row>
    <row r="38" spans="1:53" x14ac:dyDescent="0.2">
      <c r="A38" s="808">
        <v>36</v>
      </c>
      <c r="B38" s="1112" t="s">
        <v>66</v>
      </c>
      <c r="C38" s="830" t="s">
        <v>266</v>
      </c>
      <c r="D38" s="810"/>
      <c r="E38" s="526"/>
      <c r="F38" s="884">
        <v>42967</v>
      </c>
      <c r="G38" s="831"/>
      <c r="H38" s="841">
        <v>48900</v>
      </c>
      <c r="I38" s="831"/>
      <c r="J38" s="832"/>
      <c r="K38" s="832"/>
      <c r="L38" s="832"/>
      <c r="M38" s="832"/>
      <c r="N38" s="832"/>
      <c r="O38" s="858">
        <v>44982</v>
      </c>
      <c r="P38" s="832"/>
      <c r="Q38" s="825"/>
      <c r="R38" s="825"/>
      <c r="S38" s="832"/>
      <c r="T38" s="832"/>
      <c r="U38" s="832"/>
      <c r="V38" s="832"/>
      <c r="W38" s="834"/>
      <c r="X38" s="834"/>
      <c r="Y38" s="834"/>
      <c r="Z38" s="834"/>
      <c r="AA38" s="832"/>
      <c r="AB38" s="818"/>
      <c r="AC38" s="835"/>
      <c r="AD38" s="836"/>
      <c r="AE38" s="836"/>
      <c r="AF38" s="847"/>
      <c r="AG38" s="848"/>
      <c r="AH38" s="826"/>
      <c r="AI38" s="826"/>
      <c r="AJ38" s="825"/>
      <c r="AK38" s="814"/>
      <c r="AL38" s="826"/>
      <c r="AM38" s="826"/>
      <c r="AN38" s="827">
        <f t="shared" si="5"/>
        <v>3</v>
      </c>
      <c r="AO38" s="828">
        <f t="shared" si="6"/>
        <v>45616.333333333336</v>
      </c>
      <c r="AP38" s="829">
        <f t="shared" si="7"/>
        <v>44982</v>
      </c>
      <c r="AR38" s="332">
        <f>AO38-'[21]INSUMOS '!AO38</f>
        <v>0</v>
      </c>
      <c r="BA38" s="332">
        <f>AO38-'[21]INSUMOS '!AO38</f>
        <v>0</v>
      </c>
    </row>
    <row r="39" spans="1:53" ht="20.25" customHeight="1" x14ac:dyDescent="0.2">
      <c r="A39" s="942">
        <v>37</v>
      </c>
      <c r="B39" s="1112" t="s">
        <v>331</v>
      </c>
      <c r="C39" s="830" t="s">
        <v>266</v>
      </c>
      <c r="D39" s="810"/>
      <c r="E39" s="811"/>
      <c r="F39" s="811"/>
      <c r="G39" s="812"/>
      <c r="H39" s="812"/>
      <c r="I39" s="812"/>
      <c r="J39" s="817"/>
      <c r="K39" s="817"/>
      <c r="L39" s="817"/>
      <c r="M39" s="817"/>
      <c r="N39" s="817"/>
      <c r="O39" s="817"/>
      <c r="P39" s="817"/>
      <c r="Q39" s="839"/>
      <c r="R39" s="965"/>
      <c r="S39" s="892"/>
      <c r="T39" s="817"/>
      <c r="U39" s="817"/>
      <c r="V39" s="817"/>
      <c r="W39" s="817"/>
      <c r="X39" s="817"/>
      <c r="Y39" s="817"/>
      <c r="Z39" s="838">
        <v>14700</v>
      </c>
      <c r="AA39" s="817"/>
      <c r="AB39" s="966"/>
      <c r="AC39" s="879"/>
      <c r="AD39" s="967"/>
      <c r="AE39" s="967"/>
      <c r="AF39" s="847"/>
      <c r="AG39" s="848"/>
      <c r="AH39" s="826"/>
      <c r="AI39" s="826"/>
      <c r="AJ39" s="825"/>
      <c r="AK39" s="814"/>
      <c r="AL39" s="826"/>
      <c r="AM39" s="826"/>
      <c r="AN39" s="827">
        <f t="shared" si="5"/>
        <v>1</v>
      </c>
      <c r="AO39" s="828">
        <f t="shared" si="6"/>
        <v>14700</v>
      </c>
      <c r="AP39" s="829">
        <f t="shared" si="7"/>
        <v>14700</v>
      </c>
      <c r="AR39" s="332">
        <f>AO39-'[21]INSUMOS '!AO39</f>
        <v>0</v>
      </c>
      <c r="BA39" s="332">
        <f>AO39-'[21]INSUMOS '!AO39</f>
        <v>0</v>
      </c>
    </row>
    <row r="40" spans="1:53" ht="21.75" customHeight="1" x14ac:dyDescent="0.2">
      <c r="A40" s="808">
        <v>38</v>
      </c>
      <c r="B40" s="1112" t="s">
        <v>47</v>
      </c>
      <c r="C40" s="809" t="s">
        <v>3490</v>
      </c>
      <c r="D40" s="810"/>
      <c r="E40" s="526"/>
      <c r="F40" s="526"/>
      <c r="G40" s="831"/>
      <c r="H40" s="831"/>
      <c r="I40" s="831"/>
      <c r="J40" s="832"/>
      <c r="K40" s="832"/>
      <c r="L40" s="832"/>
      <c r="M40" s="832"/>
      <c r="N40" s="832"/>
      <c r="O40" s="832"/>
      <c r="P40" s="526"/>
      <c r="Q40" s="801"/>
      <c r="R40" s="833"/>
      <c r="S40" s="841">
        <v>77900</v>
      </c>
      <c r="T40" s="832"/>
      <c r="U40" s="832"/>
      <c r="V40" s="1343">
        <v>68500</v>
      </c>
      <c r="W40" s="834"/>
      <c r="X40" s="834"/>
      <c r="Y40" s="834"/>
      <c r="Z40" s="832"/>
      <c r="AA40" s="832"/>
      <c r="AB40" s="818"/>
      <c r="AC40" s="835"/>
      <c r="AD40" s="836"/>
      <c r="AE40" s="836"/>
      <c r="AF40" s="847"/>
      <c r="AG40" s="848"/>
      <c r="AH40" s="826"/>
      <c r="AI40" s="826"/>
      <c r="AJ40" s="825"/>
      <c r="AK40" s="814"/>
      <c r="AL40" s="826"/>
      <c r="AM40" s="826"/>
      <c r="AN40" s="827">
        <f t="shared" si="5"/>
        <v>2</v>
      </c>
      <c r="AO40" s="828">
        <f t="shared" si="6"/>
        <v>73200</v>
      </c>
      <c r="AP40" s="829">
        <f t="shared" si="7"/>
        <v>73200</v>
      </c>
      <c r="AR40" s="332">
        <f>AO40-'[21]INSUMOS '!AO40</f>
        <v>0</v>
      </c>
      <c r="BA40" s="332">
        <f>AO40-'[21]INSUMOS '!AO40</f>
        <v>0</v>
      </c>
    </row>
    <row r="41" spans="1:53" ht="25.5" x14ac:dyDescent="0.2">
      <c r="A41" s="942">
        <v>39</v>
      </c>
      <c r="B41" s="1112" t="s">
        <v>69</v>
      </c>
      <c r="C41" s="830" t="s">
        <v>266</v>
      </c>
      <c r="D41" s="810"/>
      <c r="E41" s="526"/>
      <c r="F41" s="884">
        <v>4165</v>
      </c>
      <c r="G41" s="831"/>
      <c r="H41" s="1419"/>
      <c r="I41" s="831"/>
      <c r="J41" s="832"/>
      <c r="K41" s="832"/>
      <c r="L41" s="832"/>
      <c r="M41" s="832"/>
      <c r="N41" s="832"/>
      <c r="O41" s="858">
        <v>6025</v>
      </c>
      <c r="P41" s="526"/>
      <c r="Q41" s="801"/>
      <c r="R41" s="825"/>
      <c r="S41" s="832"/>
      <c r="T41" s="832"/>
      <c r="U41" s="832"/>
      <c r="V41" s="832"/>
      <c r="W41" s="834"/>
      <c r="X41" s="834"/>
      <c r="Y41" s="834"/>
      <c r="Z41" s="832"/>
      <c r="AA41" s="832"/>
      <c r="AB41" s="860">
        <v>5750</v>
      </c>
      <c r="AC41" s="835"/>
      <c r="AD41" s="836"/>
      <c r="AE41" s="836"/>
      <c r="AF41" s="847"/>
      <c r="AG41" s="848"/>
      <c r="AH41" s="826"/>
      <c r="AI41" s="826"/>
      <c r="AJ41" s="825"/>
      <c r="AK41" s="814"/>
      <c r="AL41" s="826"/>
      <c r="AM41" s="826"/>
      <c r="AN41" s="827">
        <f t="shared" si="5"/>
        <v>3</v>
      </c>
      <c r="AO41" s="828">
        <f t="shared" si="6"/>
        <v>5313.333333333333</v>
      </c>
      <c r="AP41" s="829">
        <f t="shared" si="7"/>
        <v>5750</v>
      </c>
      <c r="BA41" s="332">
        <f>AO41-'[21]INSUMOS '!AO41</f>
        <v>0</v>
      </c>
    </row>
    <row r="42" spans="1:53" ht="25.5" x14ac:dyDescent="0.2">
      <c r="A42" s="808">
        <v>40</v>
      </c>
      <c r="B42" s="1112" t="s">
        <v>68</v>
      </c>
      <c r="C42" s="830" t="s">
        <v>266</v>
      </c>
      <c r="D42" s="810"/>
      <c r="E42" s="526"/>
      <c r="F42" s="884">
        <v>1966</v>
      </c>
      <c r="G42" s="831"/>
      <c r="H42" s="833"/>
      <c r="I42" s="831"/>
      <c r="J42" s="832"/>
      <c r="K42" s="832"/>
      <c r="L42" s="832"/>
      <c r="M42" s="832"/>
      <c r="N42" s="832"/>
      <c r="O42" s="832"/>
      <c r="P42" s="526"/>
      <c r="Q42" s="801"/>
      <c r="R42" s="825"/>
      <c r="S42" s="832"/>
      <c r="T42" s="832"/>
      <c r="U42" s="832"/>
      <c r="V42" s="832"/>
      <c r="W42" s="834"/>
      <c r="X42" s="834"/>
      <c r="Y42" s="834"/>
      <c r="Z42" s="832"/>
      <c r="AA42" s="832"/>
      <c r="AB42" s="860">
        <f>1900*1.19</f>
        <v>2261</v>
      </c>
      <c r="AC42" s="835"/>
      <c r="AD42" s="836"/>
      <c r="AE42" s="836"/>
      <c r="AF42" s="847"/>
      <c r="AG42" s="848"/>
      <c r="AH42" s="826"/>
      <c r="AI42" s="826"/>
      <c r="AJ42" s="825"/>
      <c r="AK42" s="814"/>
      <c r="AL42" s="826"/>
      <c r="AM42" s="826"/>
      <c r="AN42" s="827">
        <f t="shared" si="5"/>
        <v>2</v>
      </c>
      <c r="AO42" s="828">
        <f t="shared" si="6"/>
        <v>2113.5</v>
      </c>
      <c r="AP42" s="829">
        <f t="shared" si="7"/>
        <v>2113.5</v>
      </c>
      <c r="BA42" s="332">
        <f>AO42-'[21]INSUMOS '!AO42</f>
        <v>0</v>
      </c>
    </row>
    <row r="43" spans="1:53" ht="25.5" x14ac:dyDescent="0.2">
      <c r="A43" s="942">
        <v>41</v>
      </c>
      <c r="B43" s="1112" t="s">
        <v>67</v>
      </c>
      <c r="C43" s="830" t="s">
        <v>266</v>
      </c>
      <c r="D43" s="810"/>
      <c r="E43" s="526"/>
      <c r="F43" s="880"/>
      <c r="G43" s="831"/>
      <c r="H43" s="833"/>
      <c r="I43" s="831"/>
      <c r="J43" s="832"/>
      <c r="K43" s="832"/>
      <c r="L43" s="832"/>
      <c r="M43" s="832"/>
      <c r="N43" s="832"/>
      <c r="O43" s="834"/>
      <c r="P43" s="526"/>
      <c r="Q43" s="801"/>
      <c r="R43" s="833"/>
      <c r="S43" s="832"/>
      <c r="T43" s="832"/>
      <c r="U43" s="832"/>
      <c r="V43" s="832"/>
      <c r="W43" s="834"/>
      <c r="X43" s="834"/>
      <c r="Y43" s="834"/>
      <c r="Z43" s="858">
        <f>1610*1.19</f>
        <v>1915.8999999999999</v>
      </c>
      <c r="AA43" s="832"/>
      <c r="AB43" s="992"/>
      <c r="AC43" s="835"/>
      <c r="AD43" s="836"/>
      <c r="AE43" s="836"/>
      <c r="AF43" s="847"/>
      <c r="AG43" s="848"/>
      <c r="AH43" s="826"/>
      <c r="AI43" s="826"/>
      <c r="AJ43" s="825"/>
      <c r="AK43" s="814"/>
      <c r="AL43" s="826"/>
      <c r="AM43" s="826"/>
      <c r="AN43" s="827">
        <f t="shared" si="5"/>
        <v>1</v>
      </c>
      <c r="AO43" s="828">
        <f t="shared" si="6"/>
        <v>1915.8999999999999</v>
      </c>
      <c r="AP43" s="829">
        <f t="shared" si="7"/>
        <v>1915.8999999999999</v>
      </c>
      <c r="BA43" s="332">
        <f>AO43-'[21]INSUMOS '!AO43</f>
        <v>0</v>
      </c>
    </row>
    <row r="44" spans="1:53" ht="18" customHeight="1" x14ac:dyDescent="0.2">
      <c r="A44" s="808">
        <v>42</v>
      </c>
      <c r="B44" s="1112" t="s">
        <v>44</v>
      </c>
      <c r="C44" s="809" t="s">
        <v>157</v>
      </c>
      <c r="D44" s="810"/>
      <c r="E44" s="811"/>
      <c r="F44" s="811"/>
      <c r="G44" s="812"/>
      <c r="H44" s="812"/>
      <c r="I44" s="812"/>
      <c r="J44" s="813"/>
      <c r="K44" s="813"/>
      <c r="L44" s="813"/>
      <c r="M44" s="813"/>
      <c r="N44" s="813"/>
      <c r="O44" s="813"/>
      <c r="P44" s="813"/>
      <c r="Q44" s="814"/>
      <c r="R44" s="825"/>
      <c r="S44" s="813"/>
      <c r="T44" s="813"/>
      <c r="U44" s="813"/>
      <c r="V44" s="813"/>
      <c r="W44" s="817"/>
      <c r="X44" s="817"/>
      <c r="Y44" s="817"/>
      <c r="Z44" s="813"/>
      <c r="AA44" s="838">
        <f>198000/100</f>
        <v>1980</v>
      </c>
      <c r="AB44" s="818"/>
      <c r="AC44" s="819"/>
      <c r="AD44" s="820"/>
      <c r="AE44" s="820"/>
      <c r="AF44" s="847"/>
      <c r="AG44" s="848"/>
      <c r="AH44" s="826"/>
      <c r="AI44" s="826"/>
      <c r="AJ44" s="825"/>
      <c r="AK44" s="814"/>
      <c r="AL44" s="826"/>
      <c r="AM44" s="826"/>
      <c r="AN44" s="827">
        <f t="shared" si="5"/>
        <v>1</v>
      </c>
      <c r="AO44" s="828">
        <f t="shared" si="6"/>
        <v>1980</v>
      </c>
      <c r="AP44" s="829">
        <f t="shared" si="7"/>
        <v>1980</v>
      </c>
      <c r="BA44" s="332">
        <f>AO44-'[21]INSUMOS '!AO44</f>
        <v>0</v>
      </c>
    </row>
    <row r="45" spans="1:53" ht="17.25" customHeight="1" x14ac:dyDescent="0.2">
      <c r="A45" s="942">
        <v>43</v>
      </c>
      <c r="B45" s="1112" t="s">
        <v>111</v>
      </c>
      <c r="C45" s="830" t="s">
        <v>6</v>
      </c>
      <c r="D45" s="810"/>
      <c r="E45" s="526"/>
      <c r="F45" s="526"/>
      <c r="G45" s="831"/>
      <c r="H45" s="831"/>
      <c r="I45" s="831"/>
      <c r="J45" s="832"/>
      <c r="K45" s="832"/>
      <c r="L45" s="832"/>
      <c r="M45" s="832"/>
      <c r="N45" s="832"/>
      <c r="O45" s="832"/>
      <c r="P45" s="832"/>
      <c r="Q45" s="825"/>
      <c r="R45" s="825"/>
      <c r="S45" s="841">
        <f>22900/40</f>
        <v>572.5</v>
      </c>
      <c r="T45" s="832"/>
      <c r="U45" s="832"/>
      <c r="V45" s="832"/>
      <c r="W45" s="834"/>
      <c r="X45" s="834"/>
      <c r="Y45" s="834"/>
      <c r="Z45" s="858">
        <f>12500/23</f>
        <v>543.47826086956525</v>
      </c>
      <c r="AA45" s="832"/>
      <c r="AB45" s="818"/>
      <c r="AC45" s="835"/>
      <c r="AD45" s="836"/>
      <c r="AE45" s="836"/>
      <c r="AF45" s="847"/>
      <c r="AG45" s="848"/>
      <c r="AH45" s="826"/>
      <c r="AI45" s="826"/>
      <c r="AJ45" s="825"/>
      <c r="AK45" s="814"/>
      <c r="AL45" s="826"/>
      <c r="AM45" s="826"/>
      <c r="AN45" s="827">
        <f t="shared" si="5"/>
        <v>2</v>
      </c>
      <c r="AO45" s="828">
        <f t="shared" si="6"/>
        <v>557.98913043478262</v>
      </c>
      <c r="AP45" s="829">
        <f t="shared" si="7"/>
        <v>557.98913043478262</v>
      </c>
      <c r="BA45" s="332">
        <f>AO45-'[21]INSUMOS '!AO45</f>
        <v>0</v>
      </c>
    </row>
    <row r="46" spans="1:53" ht="21.75" customHeight="1" x14ac:dyDescent="0.2">
      <c r="A46" s="808">
        <v>44</v>
      </c>
      <c r="B46" s="1112" t="s">
        <v>112</v>
      </c>
      <c r="C46" s="830" t="s">
        <v>6</v>
      </c>
      <c r="D46" s="810"/>
      <c r="E46" s="526"/>
      <c r="F46" s="526"/>
      <c r="G46" s="831"/>
      <c r="H46" s="831"/>
      <c r="I46" s="831"/>
      <c r="J46" s="832"/>
      <c r="K46" s="832"/>
      <c r="L46" s="832"/>
      <c r="M46" s="832"/>
      <c r="N46" s="832"/>
      <c r="O46" s="832"/>
      <c r="P46" s="832"/>
      <c r="Q46" s="825"/>
      <c r="R46" s="825"/>
      <c r="S46" s="832"/>
      <c r="T46" s="832"/>
      <c r="U46" s="832"/>
      <c r="V46" s="832"/>
      <c r="W46" s="834"/>
      <c r="X46" s="834"/>
      <c r="Y46" s="834"/>
      <c r="Z46" s="858">
        <f>12500/23</f>
        <v>543.47826086956525</v>
      </c>
      <c r="AA46" s="832"/>
      <c r="AB46" s="818"/>
      <c r="AC46" s="835"/>
      <c r="AD46" s="836"/>
      <c r="AE46" s="836"/>
      <c r="AF46" s="847"/>
      <c r="AG46" s="848"/>
      <c r="AH46" s="826"/>
      <c r="AI46" s="826"/>
      <c r="AJ46" s="825"/>
      <c r="AK46" s="814"/>
      <c r="AL46" s="826"/>
      <c r="AM46" s="826"/>
      <c r="AN46" s="827">
        <f t="shared" si="5"/>
        <v>1</v>
      </c>
      <c r="AO46" s="828">
        <f t="shared" si="6"/>
        <v>543.47826086956525</v>
      </c>
      <c r="AP46" s="829">
        <f t="shared" si="7"/>
        <v>543.47826086956525</v>
      </c>
      <c r="BA46" s="332">
        <f>AO46-'[21]INSUMOS '!AO46</f>
        <v>0</v>
      </c>
    </row>
    <row r="47" spans="1:53" ht="24" customHeight="1" x14ac:dyDescent="0.2">
      <c r="A47" s="942">
        <v>45</v>
      </c>
      <c r="B47" s="1112" t="s">
        <v>24</v>
      </c>
      <c r="C47" s="809" t="s">
        <v>3</v>
      </c>
      <c r="D47" s="810"/>
      <c r="E47" s="811"/>
      <c r="F47" s="811"/>
      <c r="G47" s="812"/>
      <c r="H47" s="812"/>
      <c r="I47" s="812"/>
      <c r="J47" s="813"/>
      <c r="K47" s="813"/>
      <c r="L47" s="813"/>
      <c r="M47" s="813"/>
      <c r="N47" s="838">
        <f>160000</f>
        <v>160000</v>
      </c>
      <c r="O47" s="817"/>
      <c r="P47" s="813"/>
      <c r="Q47" s="814"/>
      <c r="R47" s="876"/>
      <c r="S47" s="813"/>
      <c r="T47" s="813"/>
      <c r="U47" s="813"/>
      <c r="V47" s="813"/>
      <c r="W47" s="817"/>
      <c r="X47" s="817"/>
      <c r="Y47" s="817"/>
      <c r="Z47" s="813"/>
      <c r="AA47" s="813"/>
      <c r="AB47" s="818"/>
      <c r="AC47" s="819"/>
      <c r="AD47" s="820"/>
      <c r="AE47" s="820"/>
      <c r="AF47" s="847"/>
      <c r="AG47" s="848"/>
      <c r="AH47" s="826"/>
      <c r="AI47" s="826"/>
      <c r="AJ47" s="825"/>
      <c r="AK47" s="814"/>
      <c r="AL47" s="826"/>
      <c r="AM47" s="826"/>
      <c r="AN47" s="827">
        <f t="shared" si="5"/>
        <v>1</v>
      </c>
      <c r="AO47" s="828">
        <f t="shared" si="6"/>
        <v>160000</v>
      </c>
      <c r="AP47" s="829">
        <f t="shared" si="7"/>
        <v>160000</v>
      </c>
      <c r="BA47" s="332">
        <f>AO47-'[21]INSUMOS '!AO47</f>
        <v>0</v>
      </c>
    </row>
    <row r="48" spans="1:53" ht="51" customHeight="1" x14ac:dyDescent="0.2">
      <c r="A48" s="808">
        <v>46</v>
      </c>
      <c r="B48" s="1112" t="s">
        <v>7396</v>
      </c>
      <c r="C48" s="830" t="s">
        <v>266</v>
      </c>
      <c r="D48" s="810"/>
      <c r="E48" s="526"/>
      <c r="F48" s="526"/>
      <c r="G48" s="831"/>
      <c r="H48" s="831"/>
      <c r="I48" s="831"/>
      <c r="J48" s="832"/>
      <c r="K48" s="832"/>
      <c r="L48" s="832"/>
      <c r="M48" s="832"/>
      <c r="N48" s="832"/>
      <c r="O48" s="832"/>
      <c r="P48" s="526"/>
      <c r="Q48" s="801"/>
      <c r="R48" s="825"/>
      <c r="S48" s="832"/>
      <c r="T48" s="832"/>
      <c r="U48" s="832"/>
      <c r="V48" s="832"/>
      <c r="W48" s="834"/>
      <c r="X48" s="834"/>
      <c r="Y48" s="834"/>
      <c r="Z48" s="832"/>
      <c r="AA48" s="832"/>
      <c r="AB48" s="860">
        <v>2600000</v>
      </c>
      <c r="AC48" s="835"/>
      <c r="AD48" s="836"/>
      <c r="AE48" s="836"/>
      <c r="AF48" s="847"/>
      <c r="AG48" s="848"/>
      <c r="AH48" s="826"/>
      <c r="AI48" s="826"/>
      <c r="AJ48" s="825"/>
      <c r="AK48" s="814"/>
      <c r="AL48" s="826"/>
      <c r="AM48" s="826"/>
      <c r="AN48" s="827">
        <f t="shared" si="5"/>
        <v>1</v>
      </c>
      <c r="AO48" s="828">
        <f t="shared" si="6"/>
        <v>2600000</v>
      </c>
      <c r="AP48" s="829">
        <f t="shared" si="7"/>
        <v>2600000</v>
      </c>
      <c r="BA48" s="332">
        <f>AO48-'[21]INSUMOS '!AO48</f>
        <v>0</v>
      </c>
    </row>
    <row r="49" spans="1:53" x14ac:dyDescent="0.2">
      <c r="A49" s="942">
        <v>47</v>
      </c>
      <c r="B49" s="1112" t="s">
        <v>3066</v>
      </c>
      <c r="C49" s="809" t="s">
        <v>3490</v>
      </c>
      <c r="D49" s="810"/>
      <c r="E49" s="526"/>
      <c r="F49" s="526"/>
      <c r="G49" s="831"/>
      <c r="H49" s="831"/>
      <c r="I49" s="832"/>
      <c r="J49" s="832"/>
      <c r="K49" s="832"/>
      <c r="L49" s="832"/>
      <c r="M49" s="832"/>
      <c r="N49" s="832"/>
      <c r="O49" s="1343">
        <v>112000</v>
      </c>
      <c r="P49" s="526"/>
      <c r="Q49" s="801"/>
      <c r="R49" s="833"/>
      <c r="S49" s="833"/>
      <c r="T49" s="832"/>
      <c r="U49" s="832"/>
      <c r="V49" s="832"/>
      <c r="W49" s="834"/>
      <c r="X49" s="834"/>
      <c r="Y49" s="834"/>
      <c r="Z49" s="832"/>
      <c r="AA49" s="832"/>
      <c r="AB49" s="818"/>
      <c r="AC49" s="835"/>
      <c r="AD49" s="836"/>
      <c r="AE49" s="836"/>
      <c r="AF49" s="847"/>
      <c r="AG49" s="848"/>
      <c r="AH49" s="826"/>
      <c r="AI49" s="826"/>
      <c r="AJ49" s="825"/>
      <c r="AK49" s="814"/>
      <c r="AL49" s="826"/>
      <c r="AM49" s="826"/>
      <c r="AN49" s="827">
        <f t="shared" si="5"/>
        <v>1</v>
      </c>
      <c r="AO49" s="828">
        <f t="shared" si="6"/>
        <v>112000</v>
      </c>
      <c r="AP49" s="829">
        <f t="shared" si="7"/>
        <v>112000</v>
      </c>
      <c r="BA49" s="332">
        <f>AO49-'[21]INSUMOS '!AO49</f>
        <v>0</v>
      </c>
    </row>
    <row r="50" spans="1:53" x14ac:dyDescent="0.2">
      <c r="A50" s="808">
        <v>48</v>
      </c>
      <c r="B50" s="1112" t="s">
        <v>106</v>
      </c>
      <c r="C50" s="809" t="s">
        <v>12</v>
      </c>
      <c r="D50" s="810"/>
      <c r="E50" s="811"/>
      <c r="F50" s="811"/>
      <c r="G50" s="812"/>
      <c r="H50" s="812"/>
      <c r="I50" s="812"/>
      <c r="J50" s="813"/>
      <c r="K50" s="813"/>
      <c r="L50" s="813"/>
      <c r="M50" s="813"/>
      <c r="N50" s="813"/>
      <c r="O50" s="1344">
        <f>(23.35*5712)/2</f>
        <v>66687.600000000006</v>
      </c>
      <c r="P50" s="838">
        <f>208627/2</f>
        <v>104313.5</v>
      </c>
      <c r="Q50" s="814"/>
      <c r="R50" s="825"/>
      <c r="S50" s="813"/>
      <c r="T50" s="813"/>
      <c r="U50" s="813"/>
      <c r="V50" s="813"/>
      <c r="W50" s="817"/>
      <c r="X50" s="817"/>
      <c r="Y50" s="817"/>
      <c r="Z50" s="813"/>
      <c r="AA50" s="813"/>
      <c r="AB50" s="818"/>
      <c r="AC50" s="819"/>
      <c r="AD50" s="820"/>
      <c r="AE50" s="820"/>
      <c r="AF50" s="847"/>
      <c r="AG50" s="848"/>
      <c r="AH50" s="826"/>
      <c r="AI50" s="826"/>
      <c r="AJ50" s="825"/>
      <c r="AK50" s="814"/>
      <c r="AL50" s="826"/>
      <c r="AM50" s="826"/>
      <c r="AN50" s="827">
        <f t="shared" si="5"/>
        <v>2</v>
      </c>
      <c r="AO50" s="828">
        <f t="shared" si="6"/>
        <v>85500.55</v>
      </c>
      <c r="AP50" s="829">
        <f t="shared" si="7"/>
        <v>85500.55</v>
      </c>
      <c r="BA50" s="332">
        <f>AO50-'[21]INSUMOS '!AO50</f>
        <v>0</v>
      </c>
    </row>
    <row r="51" spans="1:53" x14ac:dyDescent="0.2">
      <c r="A51" s="942">
        <v>49</v>
      </c>
      <c r="B51" s="1112" t="s">
        <v>110</v>
      </c>
      <c r="C51" s="809" t="s">
        <v>12</v>
      </c>
      <c r="D51" s="810"/>
      <c r="E51" s="811"/>
      <c r="F51" s="811"/>
      <c r="G51" s="812"/>
      <c r="H51" s="812"/>
      <c r="I51" s="812"/>
      <c r="J51" s="813"/>
      <c r="K51" s="813"/>
      <c r="L51" s="813"/>
      <c r="M51" s="813"/>
      <c r="N51" s="813"/>
      <c r="O51" s="1344">
        <f>(13.5*5712)/2</f>
        <v>38556</v>
      </c>
      <c r="P51" s="813"/>
      <c r="Q51" s="814"/>
      <c r="R51" s="825"/>
      <c r="S51" s="813"/>
      <c r="T51" s="813"/>
      <c r="U51" s="813"/>
      <c r="V51" s="813"/>
      <c r="W51" s="817"/>
      <c r="X51" s="817"/>
      <c r="Y51" s="817"/>
      <c r="Z51" s="838">
        <f>91500/2</f>
        <v>45750</v>
      </c>
      <c r="AA51" s="813"/>
      <c r="AB51" s="818"/>
      <c r="AC51" s="819"/>
      <c r="AD51" s="820"/>
      <c r="AE51" s="820"/>
      <c r="AF51" s="847"/>
      <c r="AG51" s="848"/>
      <c r="AH51" s="826"/>
      <c r="AI51" s="826"/>
      <c r="AJ51" s="825"/>
      <c r="AK51" s="814"/>
      <c r="AL51" s="826"/>
      <c r="AM51" s="826"/>
      <c r="AN51" s="827">
        <f t="shared" si="5"/>
        <v>2</v>
      </c>
      <c r="AO51" s="828">
        <f t="shared" si="6"/>
        <v>42153</v>
      </c>
      <c r="AP51" s="829">
        <f t="shared" si="7"/>
        <v>42153</v>
      </c>
      <c r="BA51" s="332">
        <f>AO51-'[21]INSUMOS '!AO51</f>
        <v>0</v>
      </c>
    </row>
    <row r="52" spans="1:53" ht="24" customHeight="1" x14ac:dyDescent="0.2">
      <c r="A52" s="808">
        <v>50</v>
      </c>
      <c r="B52" s="1112" t="s">
        <v>28</v>
      </c>
      <c r="C52" s="809" t="s">
        <v>3488</v>
      </c>
      <c r="D52" s="810"/>
      <c r="E52" s="811"/>
      <c r="F52" s="811"/>
      <c r="G52" s="812"/>
      <c r="H52" s="812"/>
      <c r="I52" s="812"/>
      <c r="J52" s="813"/>
      <c r="K52" s="813"/>
      <c r="L52" s="813"/>
      <c r="M52" s="813"/>
      <c r="N52" s="813"/>
      <c r="O52" s="813"/>
      <c r="P52" s="813"/>
      <c r="Q52" s="814"/>
      <c r="R52" s="825"/>
      <c r="S52" s="813"/>
      <c r="T52" s="832"/>
      <c r="U52" s="813"/>
      <c r="V52" s="813"/>
      <c r="W52" s="817"/>
      <c r="X52" s="817"/>
      <c r="Y52" s="817"/>
      <c r="Z52" s="813"/>
      <c r="AA52" s="813"/>
      <c r="AB52" s="966"/>
      <c r="AC52" s="1086">
        <v>7000</v>
      </c>
      <c r="AD52" s="1087">
        <f>8925*1.19</f>
        <v>10620.75</v>
      </c>
      <c r="AE52" s="1087">
        <f>6783*1.19</f>
        <v>8071.7699999999995</v>
      </c>
      <c r="AF52" s="847"/>
      <c r="AG52" s="848"/>
      <c r="AH52" s="826"/>
      <c r="AI52" s="826"/>
      <c r="AJ52" s="825"/>
      <c r="AK52" s="814"/>
      <c r="AL52" s="826"/>
      <c r="AM52" s="826"/>
      <c r="AN52" s="827">
        <f t="shared" si="5"/>
        <v>3</v>
      </c>
      <c r="AO52" s="828">
        <f t="shared" si="6"/>
        <v>8564.1733333333341</v>
      </c>
      <c r="AP52" s="829">
        <f t="shared" si="7"/>
        <v>8071.7699999999995</v>
      </c>
      <c r="BA52" s="332">
        <f>AO52-'[21]INSUMOS '!AO52</f>
        <v>0</v>
      </c>
    </row>
    <row r="53" spans="1:53" x14ac:dyDescent="0.2">
      <c r="A53" s="942">
        <v>51</v>
      </c>
      <c r="B53" s="1112" t="s">
        <v>40</v>
      </c>
      <c r="C53" s="809" t="s">
        <v>3488</v>
      </c>
      <c r="D53" s="810"/>
      <c r="E53" s="811"/>
      <c r="F53" s="811"/>
      <c r="G53" s="812"/>
      <c r="H53" s="812"/>
      <c r="I53" s="812"/>
      <c r="J53" s="813"/>
      <c r="K53" s="813"/>
      <c r="L53" s="813"/>
      <c r="M53" s="813"/>
      <c r="N53" s="813"/>
      <c r="O53" s="813"/>
      <c r="P53" s="813"/>
      <c r="Q53" s="814"/>
      <c r="R53" s="825"/>
      <c r="S53" s="813"/>
      <c r="T53" s="813"/>
      <c r="U53" s="813"/>
      <c r="V53" s="813"/>
      <c r="W53" s="817"/>
      <c r="X53" s="817"/>
      <c r="Y53" s="817"/>
      <c r="Z53" s="813"/>
      <c r="AA53" s="813"/>
      <c r="AB53" s="818"/>
      <c r="AC53" s="877">
        <v>3000</v>
      </c>
      <c r="AD53" s="878">
        <f>2380*1.19</f>
        <v>2832.2</v>
      </c>
      <c r="AE53" s="878">
        <f>4165*1.19</f>
        <v>4956.3499999999995</v>
      </c>
      <c r="AF53" s="847"/>
      <c r="AG53" s="848"/>
      <c r="AH53" s="826"/>
      <c r="AI53" s="826"/>
      <c r="AJ53" s="825"/>
      <c r="AK53" s="814"/>
      <c r="AL53" s="826"/>
      <c r="AM53" s="826"/>
      <c r="AN53" s="827">
        <f t="shared" si="5"/>
        <v>3</v>
      </c>
      <c r="AO53" s="828">
        <f t="shared" si="6"/>
        <v>3596.1833333333329</v>
      </c>
      <c r="AP53" s="829">
        <f t="shared" si="7"/>
        <v>3000</v>
      </c>
      <c r="BA53" s="332">
        <f>AO53-'[21]INSUMOS '!AO53</f>
        <v>0</v>
      </c>
    </row>
    <row r="54" spans="1:53" x14ac:dyDescent="0.2">
      <c r="A54" s="808">
        <v>52</v>
      </c>
      <c r="B54" s="1112" t="s">
        <v>39</v>
      </c>
      <c r="C54" s="809" t="s">
        <v>3488</v>
      </c>
      <c r="D54" s="810"/>
      <c r="E54" s="811"/>
      <c r="F54" s="811"/>
      <c r="G54" s="812"/>
      <c r="H54" s="812"/>
      <c r="I54" s="812"/>
      <c r="J54" s="813"/>
      <c r="K54" s="813"/>
      <c r="L54" s="813"/>
      <c r="M54" s="813"/>
      <c r="N54" s="813"/>
      <c r="O54" s="813"/>
      <c r="P54" s="813"/>
      <c r="Q54" s="814"/>
      <c r="R54" s="825"/>
      <c r="S54" s="817"/>
      <c r="T54" s="813"/>
      <c r="U54" s="813"/>
      <c r="V54" s="813"/>
      <c r="W54" s="817"/>
      <c r="X54" s="817"/>
      <c r="Y54" s="817"/>
      <c r="Z54" s="813"/>
      <c r="AA54" s="813"/>
      <c r="AB54" s="818"/>
      <c r="AC54" s="877">
        <v>5000</v>
      </c>
      <c r="AD54" s="878">
        <f>7140*1.19</f>
        <v>8496.6</v>
      </c>
      <c r="AE54" s="878">
        <f>6545*1.19</f>
        <v>7788.5499999999993</v>
      </c>
      <c r="AF54" s="847"/>
      <c r="AG54" s="848"/>
      <c r="AH54" s="826"/>
      <c r="AI54" s="826"/>
      <c r="AJ54" s="825"/>
      <c r="AK54" s="814"/>
      <c r="AL54" s="826"/>
      <c r="AM54" s="826"/>
      <c r="AN54" s="827">
        <f t="shared" si="5"/>
        <v>3</v>
      </c>
      <c r="AO54" s="828">
        <f t="shared" si="6"/>
        <v>7095.05</v>
      </c>
      <c r="AP54" s="829">
        <f t="shared" si="7"/>
        <v>7788.5499999999993</v>
      </c>
      <c r="BA54" s="332">
        <f>AO54-'[21]INSUMOS '!AO54</f>
        <v>0</v>
      </c>
    </row>
    <row r="55" spans="1:53" x14ac:dyDescent="0.2">
      <c r="A55" s="942">
        <v>53</v>
      </c>
      <c r="B55" s="1112" t="s">
        <v>113</v>
      </c>
      <c r="C55" s="830" t="s">
        <v>3490</v>
      </c>
      <c r="D55" s="810"/>
      <c r="E55" s="526"/>
      <c r="F55" s="526"/>
      <c r="G55" s="831"/>
      <c r="H55" s="831"/>
      <c r="I55" s="831"/>
      <c r="J55" s="832"/>
      <c r="K55" s="832"/>
      <c r="L55" s="832"/>
      <c r="M55" s="832"/>
      <c r="N55" s="832"/>
      <c r="O55" s="832"/>
      <c r="P55" s="832"/>
      <c r="Q55" s="825"/>
      <c r="R55" s="825"/>
      <c r="S55" s="832"/>
      <c r="T55" s="832"/>
      <c r="U55" s="832"/>
      <c r="V55" s="832"/>
      <c r="W55" s="834"/>
      <c r="X55" s="834"/>
      <c r="Y55" s="834"/>
      <c r="Z55" s="858">
        <v>674725</v>
      </c>
      <c r="AA55" s="832"/>
      <c r="AB55" s="818"/>
      <c r="AC55" s="835"/>
      <c r="AD55" s="836"/>
      <c r="AE55" s="836"/>
      <c r="AF55" s="847"/>
      <c r="AG55" s="848"/>
      <c r="AH55" s="826"/>
      <c r="AI55" s="826"/>
      <c r="AJ55" s="825"/>
      <c r="AK55" s="814"/>
      <c r="AL55" s="826"/>
      <c r="AM55" s="826"/>
      <c r="AN55" s="827">
        <f t="shared" si="5"/>
        <v>1</v>
      </c>
      <c r="AO55" s="828">
        <f t="shared" si="6"/>
        <v>674725</v>
      </c>
      <c r="AP55" s="829">
        <f t="shared" si="7"/>
        <v>674725</v>
      </c>
      <c r="BA55" s="332">
        <f>AO55-'[21]INSUMOS '!AO55</f>
        <v>0</v>
      </c>
    </row>
    <row r="56" spans="1:53" x14ac:dyDescent="0.2">
      <c r="A56" s="808">
        <v>54</v>
      </c>
      <c r="B56" s="1112" t="s">
        <v>38</v>
      </c>
      <c r="C56" s="809" t="s">
        <v>3488</v>
      </c>
      <c r="D56" s="810"/>
      <c r="E56" s="811"/>
      <c r="F56" s="811"/>
      <c r="G56" s="812"/>
      <c r="H56" s="812"/>
      <c r="I56" s="812"/>
      <c r="J56" s="813"/>
      <c r="K56" s="813"/>
      <c r="L56" s="813"/>
      <c r="M56" s="813"/>
      <c r="N56" s="813"/>
      <c r="O56" s="813"/>
      <c r="P56" s="813"/>
      <c r="Q56" s="814"/>
      <c r="R56" s="825"/>
      <c r="S56" s="813"/>
      <c r="T56" s="813"/>
      <c r="U56" s="813"/>
      <c r="V56" s="813"/>
      <c r="W56" s="817"/>
      <c r="X56" s="817"/>
      <c r="Y56" s="817"/>
      <c r="Z56" s="813"/>
      <c r="AA56" s="813"/>
      <c r="AB56" s="818"/>
      <c r="AC56" s="879"/>
      <c r="AD56" s="878">
        <v>19400</v>
      </c>
      <c r="AE56" s="878">
        <f>17850*1.05</f>
        <v>18742.5</v>
      </c>
      <c r="AF56" s="826"/>
      <c r="AG56" s="851"/>
      <c r="AH56" s="826"/>
      <c r="AI56" s="826"/>
      <c r="AJ56" s="825"/>
      <c r="AK56" s="814"/>
      <c r="AL56" s="826"/>
      <c r="AM56" s="826"/>
      <c r="AN56" s="827">
        <f t="shared" si="5"/>
        <v>2</v>
      </c>
      <c r="AO56" s="828">
        <f t="shared" si="6"/>
        <v>19071.25</v>
      </c>
      <c r="AP56" s="829">
        <f t="shared" si="7"/>
        <v>19071.25</v>
      </c>
      <c r="BA56" s="332">
        <f>AO56-'[21]INSUMOS '!AO56</f>
        <v>0</v>
      </c>
    </row>
    <row r="57" spans="1:53" ht="38.25" x14ac:dyDescent="0.2">
      <c r="A57" s="942">
        <v>55</v>
      </c>
      <c r="B57" s="1112" t="s">
        <v>60</v>
      </c>
      <c r="C57" s="830" t="s">
        <v>266</v>
      </c>
      <c r="D57" s="810"/>
      <c r="E57" s="526"/>
      <c r="F57" s="884">
        <v>426287</v>
      </c>
      <c r="G57" s="831"/>
      <c r="H57" s="1342">
        <v>399900</v>
      </c>
      <c r="I57" s="831"/>
      <c r="J57" s="832"/>
      <c r="K57" s="832"/>
      <c r="L57" s="832"/>
      <c r="M57" s="832"/>
      <c r="N57" s="832"/>
      <c r="O57" s="832"/>
      <c r="P57" s="526"/>
      <c r="Q57" s="801"/>
      <c r="R57" s="825"/>
      <c r="S57" s="834"/>
      <c r="T57" s="832"/>
      <c r="U57" s="832"/>
      <c r="V57" s="832"/>
      <c r="W57" s="834"/>
      <c r="X57" s="834"/>
      <c r="Y57" s="834"/>
      <c r="Z57" s="832"/>
      <c r="AA57" s="832"/>
      <c r="AB57" s="880"/>
      <c r="AC57" s="835"/>
      <c r="AD57" s="836"/>
      <c r="AE57" s="836"/>
      <c r="AF57" s="826"/>
      <c r="AG57" s="851"/>
      <c r="AH57" s="826"/>
      <c r="AI57" s="826"/>
      <c r="AJ57" s="825"/>
      <c r="AK57" s="814"/>
      <c r="AL57" s="826"/>
      <c r="AM57" s="826"/>
      <c r="AN57" s="827">
        <f t="shared" si="5"/>
        <v>2</v>
      </c>
      <c r="AO57" s="828">
        <f t="shared" si="6"/>
        <v>413093.5</v>
      </c>
      <c r="AP57" s="829">
        <f t="shared" si="7"/>
        <v>413093.5</v>
      </c>
      <c r="BA57" s="332">
        <f>AO57-'[21]INSUMOS '!AO57</f>
        <v>0</v>
      </c>
    </row>
    <row r="58" spans="1:53" x14ac:dyDescent="0.2">
      <c r="A58" s="808">
        <v>56</v>
      </c>
      <c r="B58" s="1112" t="s">
        <v>32</v>
      </c>
      <c r="C58" s="809" t="s">
        <v>3488</v>
      </c>
      <c r="D58" s="810"/>
      <c r="E58" s="811"/>
      <c r="F58" s="811"/>
      <c r="G58" s="812"/>
      <c r="H58" s="812"/>
      <c r="I58" s="812"/>
      <c r="J58" s="846">
        <v>2200</v>
      </c>
      <c r="K58" s="846">
        <f>209058/250</f>
        <v>836.23199999999997</v>
      </c>
      <c r="L58" s="881"/>
      <c r="M58" s="881"/>
      <c r="N58" s="881"/>
      <c r="O58" s="813"/>
      <c r="P58" s="813"/>
      <c r="Q58" s="814"/>
      <c r="R58" s="825"/>
      <c r="S58" s="813"/>
      <c r="T58" s="1344">
        <v>1990</v>
      </c>
      <c r="U58" s="813"/>
      <c r="V58" s="838">
        <v>1950</v>
      </c>
      <c r="W58" s="817"/>
      <c r="X58" s="817"/>
      <c r="Y58" s="817"/>
      <c r="Z58" s="813"/>
      <c r="AA58" s="813"/>
      <c r="AB58" s="818"/>
      <c r="AC58" s="819"/>
      <c r="AD58" s="820"/>
      <c r="AE58" s="820"/>
      <c r="AF58" s="826"/>
      <c r="AG58" s="851"/>
      <c r="AH58" s="826"/>
      <c r="AI58" s="826"/>
      <c r="AJ58" s="825"/>
      <c r="AK58" s="814"/>
      <c r="AL58" s="826"/>
      <c r="AM58" s="826"/>
      <c r="AN58" s="827">
        <f t="shared" si="5"/>
        <v>4</v>
      </c>
      <c r="AO58" s="828">
        <f t="shared" si="6"/>
        <v>1744.058</v>
      </c>
      <c r="AP58" s="829">
        <f t="shared" si="7"/>
        <v>1970</v>
      </c>
      <c r="BA58" s="332">
        <f>AO58-'[21]INSUMOS '!AO58</f>
        <v>0</v>
      </c>
    </row>
    <row r="59" spans="1:53" x14ac:dyDescent="0.2">
      <c r="A59" s="942">
        <v>57</v>
      </c>
      <c r="B59" s="1112" t="s">
        <v>91</v>
      </c>
      <c r="C59" s="809" t="s">
        <v>6</v>
      </c>
      <c r="D59" s="810"/>
      <c r="E59" s="526"/>
      <c r="F59" s="526"/>
      <c r="G59" s="831"/>
      <c r="H59" s="831"/>
      <c r="I59" s="831"/>
      <c r="J59" s="832"/>
      <c r="K59" s="832"/>
      <c r="L59" s="832"/>
      <c r="M59" s="832"/>
      <c r="N59" s="832"/>
      <c r="O59" s="861">
        <v>7449</v>
      </c>
      <c r="P59" s="526"/>
      <c r="Q59" s="801"/>
      <c r="R59" s="833"/>
      <c r="S59" s="832"/>
      <c r="T59" s="832"/>
      <c r="U59" s="832"/>
      <c r="V59" s="832"/>
      <c r="W59" s="834"/>
      <c r="X59" s="834"/>
      <c r="Y59" s="834"/>
      <c r="Z59" s="832"/>
      <c r="AA59" s="832"/>
      <c r="AB59" s="818"/>
      <c r="AC59" s="835"/>
      <c r="AD59" s="836"/>
      <c r="AE59" s="836"/>
      <c r="AF59" s="826"/>
      <c r="AG59" s="851"/>
      <c r="AH59" s="826"/>
      <c r="AI59" s="826"/>
      <c r="AJ59" s="825"/>
      <c r="AK59" s="814"/>
      <c r="AL59" s="826"/>
      <c r="AM59" s="826"/>
      <c r="AN59" s="827">
        <f t="shared" si="5"/>
        <v>1</v>
      </c>
      <c r="AO59" s="828">
        <f t="shared" si="6"/>
        <v>7449</v>
      </c>
      <c r="AP59" s="829">
        <f t="shared" si="7"/>
        <v>7449</v>
      </c>
      <c r="BA59" s="332">
        <f>AO59-'[21]INSUMOS '!AO59</f>
        <v>0</v>
      </c>
    </row>
    <row r="60" spans="1:53" x14ac:dyDescent="0.2">
      <c r="A60" s="808">
        <v>58</v>
      </c>
      <c r="B60" s="1112" t="s">
        <v>23</v>
      </c>
      <c r="C60" s="809" t="s">
        <v>3</v>
      </c>
      <c r="D60" s="864"/>
      <c r="E60" s="865"/>
      <c r="F60" s="865"/>
      <c r="G60" s="866"/>
      <c r="H60" s="866"/>
      <c r="I60" s="866"/>
      <c r="J60" s="867"/>
      <c r="K60" s="867"/>
      <c r="L60" s="867"/>
      <c r="M60" s="867"/>
      <c r="N60" s="867"/>
      <c r="O60" s="867"/>
      <c r="P60" s="867"/>
      <c r="Q60" s="868">
        <v>540200</v>
      </c>
      <c r="R60" s="825"/>
      <c r="S60" s="867"/>
      <c r="T60" s="867"/>
      <c r="U60" s="867"/>
      <c r="V60" s="867"/>
      <c r="W60" s="869"/>
      <c r="X60" s="869"/>
      <c r="Y60" s="869"/>
      <c r="Z60" s="867"/>
      <c r="AA60" s="867"/>
      <c r="AB60" s="818"/>
      <c r="AC60" s="870"/>
      <c r="AD60" s="871"/>
      <c r="AE60" s="871"/>
      <c r="AF60" s="826"/>
      <c r="AG60" s="851"/>
      <c r="AH60" s="826"/>
      <c r="AI60" s="826"/>
      <c r="AJ60" s="825"/>
      <c r="AK60" s="814"/>
      <c r="AL60" s="826"/>
      <c r="AM60" s="826"/>
      <c r="AN60" s="827">
        <f t="shared" si="5"/>
        <v>1</v>
      </c>
      <c r="AO60" s="828">
        <f t="shared" si="6"/>
        <v>540200</v>
      </c>
      <c r="AP60" s="829">
        <f t="shared" si="7"/>
        <v>540200</v>
      </c>
      <c r="BA60" s="332">
        <f>AO60-'[21]INSUMOS '!AO60</f>
        <v>0</v>
      </c>
    </row>
    <row r="61" spans="1:53" x14ac:dyDescent="0.2">
      <c r="A61" s="942">
        <v>59</v>
      </c>
      <c r="B61" s="1112" t="s">
        <v>88</v>
      </c>
      <c r="C61" s="809" t="s">
        <v>12</v>
      </c>
      <c r="D61" s="810"/>
      <c r="E61" s="526"/>
      <c r="F61" s="526"/>
      <c r="G61" s="882">
        <f>71067.24*1.19</f>
        <v>84570.015599999999</v>
      </c>
      <c r="H61" s="832"/>
      <c r="I61" s="832"/>
      <c r="J61" s="832"/>
      <c r="K61" s="832"/>
      <c r="L61" s="832"/>
      <c r="M61" s="832"/>
      <c r="N61" s="832"/>
      <c r="O61" s="832"/>
      <c r="P61" s="832"/>
      <c r="Q61" s="825"/>
      <c r="R61" s="825"/>
      <c r="S61" s="832"/>
      <c r="T61" s="832"/>
      <c r="U61" s="832"/>
      <c r="V61" s="832"/>
      <c r="W61" s="834"/>
      <c r="X61" s="834"/>
      <c r="Y61" s="834"/>
      <c r="Z61" s="832"/>
      <c r="AA61" s="832"/>
      <c r="AB61" s="818"/>
      <c r="AC61" s="835"/>
      <c r="AD61" s="836"/>
      <c r="AE61" s="836"/>
      <c r="AF61" s="826"/>
      <c r="AG61" s="851"/>
      <c r="AH61" s="826"/>
      <c r="AI61" s="826"/>
      <c r="AJ61" s="825"/>
      <c r="AK61" s="814"/>
      <c r="AL61" s="826"/>
      <c r="AM61" s="826"/>
      <c r="AN61" s="827">
        <f t="shared" si="5"/>
        <v>1</v>
      </c>
      <c r="AO61" s="828">
        <f t="shared" si="6"/>
        <v>84570.015599999999</v>
      </c>
      <c r="AP61" s="829">
        <f t="shared" si="7"/>
        <v>84570.015599999999</v>
      </c>
      <c r="BA61" s="332">
        <f>AO61-'[21]INSUMOS '!AO61</f>
        <v>0</v>
      </c>
    </row>
    <row r="62" spans="1:53" x14ac:dyDescent="0.2">
      <c r="A62" s="808">
        <v>60</v>
      </c>
      <c r="B62" s="1112" t="s">
        <v>103</v>
      </c>
      <c r="C62" s="809" t="s">
        <v>12</v>
      </c>
      <c r="D62" s="810"/>
      <c r="E62" s="526"/>
      <c r="F62" s="880"/>
      <c r="G62" s="882">
        <f>104377.68*1.19</f>
        <v>124209.43919999998</v>
      </c>
      <c r="H62" s="833"/>
      <c r="I62" s="813"/>
      <c r="J62" s="813"/>
      <c r="K62" s="813"/>
      <c r="L62" s="813"/>
      <c r="M62" s="813"/>
      <c r="N62" s="813"/>
      <c r="O62" s="813"/>
      <c r="P62" s="813"/>
      <c r="Q62" s="814"/>
      <c r="R62" s="825"/>
      <c r="S62" s="813"/>
      <c r="T62" s="813"/>
      <c r="U62" s="813"/>
      <c r="V62" s="813"/>
      <c r="W62" s="817"/>
      <c r="X62" s="817"/>
      <c r="Y62" s="817"/>
      <c r="Z62" s="813"/>
      <c r="AA62" s="813"/>
      <c r="AB62" s="818"/>
      <c r="AC62" s="819"/>
      <c r="AD62" s="820"/>
      <c r="AE62" s="820"/>
      <c r="AF62" s="825"/>
      <c r="AG62" s="851"/>
      <c r="AH62" s="826"/>
      <c r="AI62" s="826"/>
      <c r="AJ62" s="825"/>
      <c r="AK62" s="814"/>
      <c r="AL62" s="826"/>
      <c r="AM62" s="826"/>
      <c r="AN62" s="827">
        <f t="shared" si="5"/>
        <v>1</v>
      </c>
      <c r="AO62" s="828">
        <f t="shared" si="6"/>
        <v>124209.43919999998</v>
      </c>
      <c r="AP62" s="829">
        <f t="shared" si="7"/>
        <v>124209.43919999998</v>
      </c>
      <c r="BA62" s="332">
        <f>AO62-'[21]INSUMOS '!AO62</f>
        <v>0</v>
      </c>
    </row>
    <row r="63" spans="1:53" ht="17.25" customHeight="1" x14ac:dyDescent="0.2">
      <c r="A63" s="942">
        <v>61</v>
      </c>
      <c r="B63" s="1112" t="s">
        <v>90</v>
      </c>
      <c r="C63" s="809" t="s">
        <v>12</v>
      </c>
      <c r="D63" s="810"/>
      <c r="E63" s="811"/>
      <c r="F63" s="880"/>
      <c r="G63" s="882">
        <f>128847.84*1.19</f>
        <v>153328.9296</v>
      </c>
      <c r="H63" s="883"/>
      <c r="I63" s="813"/>
      <c r="J63" s="813"/>
      <c r="K63" s="813"/>
      <c r="L63" s="813"/>
      <c r="M63" s="813"/>
      <c r="N63" s="813"/>
      <c r="O63" s="813"/>
      <c r="P63" s="813"/>
      <c r="Q63" s="814"/>
      <c r="R63" s="825"/>
      <c r="S63" s="813"/>
      <c r="T63" s="813"/>
      <c r="U63" s="813"/>
      <c r="V63" s="813"/>
      <c r="W63" s="817"/>
      <c r="X63" s="817"/>
      <c r="Y63" s="817"/>
      <c r="Z63" s="813"/>
      <c r="AA63" s="813"/>
      <c r="AB63" s="818"/>
      <c r="AC63" s="819"/>
      <c r="AD63" s="820"/>
      <c r="AE63" s="820"/>
      <c r="AF63" s="825"/>
      <c r="AG63" s="851"/>
      <c r="AH63" s="826"/>
      <c r="AI63" s="826"/>
      <c r="AJ63" s="825"/>
      <c r="AK63" s="814"/>
      <c r="AL63" s="826"/>
      <c r="AM63" s="826"/>
      <c r="AN63" s="827">
        <f t="shared" si="5"/>
        <v>1</v>
      </c>
      <c r="AO63" s="1409">
        <f t="shared" si="6"/>
        <v>153328.9296</v>
      </c>
      <c r="AP63" s="829">
        <f t="shared" si="7"/>
        <v>153328.9296</v>
      </c>
      <c r="BA63" s="332">
        <f>AO63-'[21]INSUMOS '!AO63</f>
        <v>0</v>
      </c>
    </row>
    <row r="64" spans="1:53" ht="21" customHeight="1" x14ac:dyDescent="0.2">
      <c r="A64" s="808">
        <v>62</v>
      </c>
      <c r="B64" s="1112" t="s">
        <v>3398</v>
      </c>
      <c r="C64" s="809" t="s">
        <v>12</v>
      </c>
      <c r="D64" s="810"/>
      <c r="E64" s="526"/>
      <c r="F64" s="880"/>
      <c r="G64" s="882">
        <f>104377.68*1.19</f>
        <v>124209.43919999998</v>
      </c>
      <c r="H64" s="883"/>
      <c r="I64" s="832"/>
      <c r="J64" s="832"/>
      <c r="K64" s="832"/>
      <c r="L64" s="832"/>
      <c r="M64" s="832"/>
      <c r="N64" s="832"/>
      <c r="O64" s="832"/>
      <c r="P64" s="832"/>
      <c r="Q64" s="825"/>
      <c r="R64" s="825"/>
      <c r="S64" s="832"/>
      <c r="T64" s="832"/>
      <c r="U64" s="832"/>
      <c r="V64" s="832"/>
      <c r="W64" s="834"/>
      <c r="X64" s="834"/>
      <c r="Y64" s="834"/>
      <c r="Z64" s="832"/>
      <c r="AA64" s="832"/>
      <c r="AB64" s="818"/>
      <c r="AC64" s="835"/>
      <c r="AD64" s="836"/>
      <c r="AE64" s="836"/>
      <c r="AF64" s="825"/>
      <c r="AG64" s="851"/>
      <c r="AH64" s="826"/>
      <c r="AI64" s="826"/>
      <c r="AJ64" s="825"/>
      <c r="AK64" s="814"/>
      <c r="AL64" s="826"/>
      <c r="AM64" s="826"/>
      <c r="AN64" s="827">
        <f t="shared" si="5"/>
        <v>1</v>
      </c>
      <c r="AO64" s="828">
        <f t="shared" si="6"/>
        <v>124209.43919999998</v>
      </c>
      <c r="AP64" s="829">
        <f t="shared" si="7"/>
        <v>124209.43919999998</v>
      </c>
      <c r="BA64" s="332">
        <f>AO64-'[21]INSUMOS '!AO64</f>
        <v>0</v>
      </c>
    </row>
    <row r="65" spans="1:53" x14ac:dyDescent="0.2">
      <c r="A65" s="942">
        <v>63</v>
      </c>
      <c r="B65" s="1112" t="s">
        <v>48</v>
      </c>
      <c r="C65" s="809" t="s">
        <v>6</v>
      </c>
      <c r="D65" s="810"/>
      <c r="E65" s="526"/>
      <c r="F65" s="880"/>
      <c r="G65" s="831"/>
      <c r="H65" s="831"/>
      <c r="I65" s="831"/>
      <c r="J65" s="832"/>
      <c r="K65" s="832"/>
      <c r="L65" s="832"/>
      <c r="M65" s="832"/>
      <c r="N65" s="832"/>
      <c r="O65" s="1343">
        <v>146748</v>
      </c>
      <c r="P65" s="832"/>
      <c r="Q65" s="825"/>
      <c r="R65" s="825"/>
      <c r="S65" s="832"/>
      <c r="T65" s="832"/>
      <c r="U65" s="832"/>
      <c r="V65" s="832"/>
      <c r="W65" s="834"/>
      <c r="X65" s="834"/>
      <c r="Y65" s="834"/>
      <c r="Z65" s="832"/>
      <c r="AA65" s="832"/>
      <c r="AB65" s="880"/>
      <c r="AC65" s="835"/>
      <c r="AD65" s="836"/>
      <c r="AE65" s="836"/>
      <c r="AF65" s="826"/>
      <c r="AG65" s="851"/>
      <c r="AH65" s="826"/>
      <c r="AI65" s="826"/>
      <c r="AJ65" s="825"/>
      <c r="AK65" s="814"/>
      <c r="AL65" s="826"/>
      <c r="AM65" s="826"/>
      <c r="AN65" s="827">
        <f t="shared" si="5"/>
        <v>1</v>
      </c>
      <c r="AO65" s="828">
        <f t="shared" si="6"/>
        <v>146748</v>
      </c>
      <c r="AP65" s="829">
        <f t="shared" si="7"/>
        <v>146748</v>
      </c>
      <c r="BA65" s="332">
        <f>AO65-'[21]INSUMOS '!AO65</f>
        <v>0</v>
      </c>
    </row>
    <row r="66" spans="1:53" ht="25.5" x14ac:dyDescent="0.2">
      <c r="A66" s="808">
        <v>64</v>
      </c>
      <c r="B66" s="1112" t="s">
        <v>71</v>
      </c>
      <c r="C66" s="809" t="s">
        <v>6</v>
      </c>
      <c r="D66" s="810"/>
      <c r="E66" s="526"/>
      <c r="F66" s="884">
        <v>42739</v>
      </c>
      <c r="G66" s="831"/>
      <c r="H66" s="841">
        <v>59900</v>
      </c>
      <c r="I66" s="831"/>
      <c r="J66" s="832"/>
      <c r="K66" s="832"/>
      <c r="L66" s="832"/>
      <c r="M66" s="832"/>
      <c r="N66" s="832"/>
      <c r="O66" s="526"/>
      <c r="P66" s="526"/>
      <c r="Q66" s="801"/>
      <c r="R66" s="825"/>
      <c r="S66" s="832"/>
      <c r="T66" s="832"/>
      <c r="U66" s="832"/>
      <c r="V66" s="832"/>
      <c r="W66" s="834"/>
      <c r="X66" s="834"/>
      <c r="Y66" s="834"/>
      <c r="Z66" s="832"/>
      <c r="AA66" s="832"/>
      <c r="AB66" s="884">
        <v>38000</v>
      </c>
      <c r="AC66" s="835"/>
      <c r="AD66" s="836"/>
      <c r="AE66" s="836"/>
      <c r="AF66" s="826"/>
      <c r="AG66" s="851"/>
      <c r="AH66" s="826"/>
      <c r="AI66" s="826"/>
      <c r="AJ66" s="825"/>
      <c r="AK66" s="814"/>
      <c r="AL66" s="826"/>
      <c r="AM66" s="826"/>
      <c r="AN66" s="827">
        <f t="shared" si="5"/>
        <v>3</v>
      </c>
      <c r="AO66" s="828">
        <f t="shared" si="6"/>
        <v>46879.666666666664</v>
      </c>
      <c r="AP66" s="829">
        <f t="shared" si="7"/>
        <v>42739</v>
      </c>
      <c r="BA66" s="332">
        <f>AO66-'[21]INSUMOS '!AO66</f>
        <v>0</v>
      </c>
    </row>
    <row r="67" spans="1:53" x14ac:dyDescent="0.2">
      <c r="A67" s="942">
        <v>65</v>
      </c>
      <c r="B67" s="1112" t="s">
        <v>89</v>
      </c>
      <c r="C67" s="809" t="s">
        <v>12</v>
      </c>
      <c r="D67" s="810"/>
      <c r="E67" s="526"/>
      <c r="F67" s="526"/>
      <c r="G67" s="882">
        <f>54768.52*1.19</f>
        <v>65174.538799999995</v>
      </c>
      <c r="H67" s="831"/>
      <c r="I67" s="831"/>
      <c r="J67" s="832"/>
      <c r="K67" s="832"/>
      <c r="L67" s="832"/>
      <c r="M67" s="832"/>
      <c r="N67" s="832"/>
      <c r="O67" s="832"/>
      <c r="P67" s="832"/>
      <c r="Q67" s="825"/>
      <c r="R67" s="825"/>
      <c r="S67" s="832"/>
      <c r="T67" s="832"/>
      <c r="U67" s="832"/>
      <c r="V67" s="832"/>
      <c r="W67" s="834"/>
      <c r="X67" s="834"/>
      <c r="Y67" s="834"/>
      <c r="Z67" s="832"/>
      <c r="AA67" s="832"/>
      <c r="AB67" s="818"/>
      <c r="AC67" s="835"/>
      <c r="AD67" s="836"/>
      <c r="AE67" s="836"/>
      <c r="AF67" s="825"/>
      <c r="AG67" s="851"/>
      <c r="AH67" s="826"/>
      <c r="AI67" s="826"/>
      <c r="AJ67" s="825"/>
      <c r="AK67" s="814"/>
      <c r="AL67" s="826"/>
      <c r="AM67" s="826"/>
      <c r="AN67" s="827">
        <f t="shared" ref="AN67:AN98" si="8">+COUNTA(D67:AM67)</f>
        <v>1</v>
      </c>
      <c r="AO67" s="828">
        <f t="shared" ref="AO67:AO98" si="9">+IFERROR(AVERAGE(D67:AM67),0)</f>
        <v>65174.538799999995</v>
      </c>
      <c r="AP67" s="829">
        <f t="shared" ref="AP67:AP98" si="10">+IFERROR(MEDIAN(D67:AM67),0)</f>
        <v>65174.538799999995</v>
      </c>
      <c r="BA67" s="332">
        <f>AO67-'[21]INSUMOS '!AO67</f>
        <v>0</v>
      </c>
    </row>
    <row r="68" spans="1:53" ht="25.5" x14ac:dyDescent="0.2">
      <c r="A68" s="808">
        <v>66</v>
      </c>
      <c r="B68" s="1112" t="s">
        <v>52</v>
      </c>
      <c r="C68" s="809" t="s">
        <v>3490</v>
      </c>
      <c r="D68" s="810"/>
      <c r="E68" s="526"/>
      <c r="F68" s="526"/>
      <c r="G68" s="831"/>
      <c r="H68" s="831"/>
      <c r="I68" s="832"/>
      <c r="J68" s="832"/>
      <c r="K68" s="832"/>
      <c r="L68" s="832"/>
      <c r="M68" s="832"/>
      <c r="N68" s="832"/>
      <c r="O68" s="858">
        <v>95000</v>
      </c>
      <c r="P68" s="526"/>
      <c r="Q68" s="801"/>
      <c r="R68" s="825"/>
      <c r="S68" s="832"/>
      <c r="T68" s="832"/>
      <c r="U68" s="832"/>
      <c r="V68" s="832"/>
      <c r="W68" s="834"/>
      <c r="X68" s="834"/>
      <c r="Y68" s="834"/>
      <c r="Z68" s="832"/>
      <c r="AA68" s="832"/>
      <c r="AB68" s="818"/>
      <c r="AC68" s="835"/>
      <c r="AD68" s="836"/>
      <c r="AE68" s="836"/>
      <c r="AF68" s="826"/>
      <c r="AG68" s="851"/>
      <c r="AH68" s="826"/>
      <c r="AI68" s="826"/>
      <c r="AJ68" s="825"/>
      <c r="AK68" s="814"/>
      <c r="AL68" s="826"/>
      <c r="AM68" s="826"/>
      <c r="AN68" s="827">
        <f t="shared" si="8"/>
        <v>1</v>
      </c>
      <c r="AO68" s="828">
        <f t="shared" si="9"/>
        <v>95000</v>
      </c>
      <c r="AP68" s="829">
        <f t="shared" si="10"/>
        <v>95000</v>
      </c>
      <c r="BA68" s="332">
        <f>AO68-'[21]INSUMOS '!AO68</f>
        <v>0</v>
      </c>
    </row>
    <row r="69" spans="1:53" x14ac:dyDescent="0.2">
      <c r="A69" s="942">
        <v>67</v>
      </c>
      <c r="B69" s="1112" t="s">
        <v>49</v>
      </c>
      <c r="C69" s="809" t="s">
        <v>3490</v>
      </c>
      <c r="D69" s="810"/>
      <c r="E69" s="526"/>
      <c r="F69" s="526"/>
      <c r="G69" s="831"/>
      <c r="H69" s="831"/>
      <c r="I69" s="858">
        <v>82729</v>
      </c>
      <c r="J69" s="832"/>
      <c r="K69" s="832"/>
      <c r="L69" s="832"/>
      <c r="M69" s="832"/>
      <c r="N69" s="832"/>
      <c r="O69" s="858">
        <v>95000</v>
      </c>
      <c r="P69" s="526"/>
      <c r="Q69" s="801"/>
      <c r="R69" s="825"/>
      <c r="S69" s="832"/>
      <c r="T69" s="832"/>
      <c r="U69" s="832"/>
      <c r="V69" s="832"/>
      <c r="W69" s="834"/>
      <c r="X69" s="834"/>
      <c r="Y69" s="834"/>
      <c r="Z69" s="832"/>
      <c r="AA69" s="832"/>
      <c r="AB69" s="818"/>
      <c r="AC69" s="835"/>
      <c r="AD69" s="836"/>
      <c r="AE69" s="836"/>
      <c r="AF69" s="826"/>
      <c r="AG69" s="851"/>
      <c r="AH69" s="826"/>
      <c r="AI69" s="826"/>
      <c r="AJ69" s="825"/>
      <c r="AK69" s="814"/>
      <c r="AL69" s="826"/>
      <c r="AM69" s="826"/>
      <c r="AN69" s="827">
        <f t="shared" si="8"/>
        <v>2</v>
      </c>
      <c r="AO69" s="828">
        <f t="shared" si="9"/>
        <v>88864.5</v>
      </c>
      <c r="AP69" s="829">
        <f t="shared" si="10"/>
        <v>88864.5</v>
      </c>
      <c r="BA69" s="332">
        <f>AO69-'[21]INSUMOS '!AO69</f>
        <v>0</v>
      </c>
    </row>
    <row r="70" spans="1:53" x14ac:dyDescent="0.2">
      <c r="A70" s="808">
        <v>68</v>
      </c>
      <c r="B70" s="1112" t="s">
        <v>50</v>
      </c>
      <c r="C70" s="809" t="s">
        <v>3490</v>
      </c>
      <c r="D70" s="810"/>
      <c r="E70" s="526"/>
      <c r="F70" s="526"/>
      <c r="G70" s="831"/>
      <c r="H70" s="831"/>
      <c r="I70" s="832"/>
      <c r="J70" s="832"/>
      <c r="K70" s="832"/>
      <c r="L70" s="832"/>
      <c r="M70" s="832"/>
      <c r="N70" s="832"/>
      <c r="O70" s="832"/>
      <c r="P70" s="832"/>
      <c r="Q70" s="825"/>
      <c r="R70" s="825"/>
      <c r="S70" s="832"/>
      <c r="T70" s="1343">
        <v>104990</v>
      </c>
      <c r="U70" s="832"/>
      <c r="V70" s="832"/>
      <c r="W70" s="834"/>
      <c r="X70" s="834"/>
      <c r="Y70" s="834"/>
      <c r="Z70" s="832"/>
      <c r="AA70" s="832"/>
      <c r="AB70" s="818"/>
      <c r="AC70" s="835"/>
      <c r="AD70" s="836"/>
      <c r="AE70" s="836"/>
      <c r="AF70" s="826"/>
      <c r="AG70" s="851"/>
      <c r="AH70" s="826"/>
      <c r="AI70" s="826"/>
      <c r="AJ70" s="825"/>
      <c r="AK70" s="814"/>
      <c r="AL70" s="826"/>
      <c r="AM70" s="826"/>
      <c r="AN70" s="827">
        <f t="shared" si="8"/>
        <v>1</v>
      </c>
      <c r="AO70" s="828">
        <f t="shared" si="9"/>
        <v>104990</v>
      </c>
      <c r="AP70" s="829">
        <f t="shared" si="10"/>
        <v>104990</v>
      </c>
      <c r="BA70" s="332">
        <f>AO70-'[21]INSUMOS '!AO70</f>
        <v>0</v>
      </c>
    </row>
    <row r="71" spans="1:53" x14ac:dyDescent="0.2">
      <c r="A71" s="942">
        <v>69</v>
      </c>
      <c r="B71" s="1112" t="s">
        <v>51</v>
      </c>
      <c r="C71" s="809" t="s">
        <v>3490</v>
      </c>
      <c r="D71" s="810"/>
      <c r="E71" s="526"/>
      <c r="F71" s="526"/>
      <c r="G71" s="831"/>
      <c r="H71" s="831"/>
      <c r="I71" s="858">
        <v>113859</v>
      </c>
      <c r="J71" s="832"/>
      <c r="K71" s="832"/>
      <c r="L71" s="832"/>
      <c r="M71" s="832"/>
      <c r="N71" s="832"/>
      <c r="O71" s="858">
        <v>112000</v>
      </c>
      <c r="P71" s="526"/>
      <c r="Q71" s="801"/>
      <c r="R71" s="825"/>
      <c r="S71" s="832"/>
      <c r="T71" s="832"/>
      <c r="U71" s="832"/>
      <c r="V71" s="858">
        <v>147900</v>
      </c>
      <c r="W71" s="834"/>
      <c r="X71" s="834"/>
      <c r="Y71" s="834"/>
      <c r="Z71" s="832"/>
      <c r="AA71" s="832"/>
      <c r="AB71" s="818"/>
      <c r="AC71" s="835"/>
      <c r="AD71" s="836"/>
      <c r="AE71" s="836"/>
      <c r="AF71" s="826"/>
      <c r="AG71" s="851"/>
      <c r="AH71" s="826"/>
      <c r="AI71" s="826"/>
      <c r="AJ71" s="825"/>
      <c r="AK71" s="814"/>
      <c r="AL71" s="826"/>
      <c r="AM71" s="826"/>
      <c r="AN71" s="827">
        <f t="shared" si="8"/>
        <v>3</v>
      </c>
      <c r="AO71" s="828">
        <f t="shared" si="9"/>
        <v>124586.33333333333</v>
      </c>
      <c r="AP71" s="829">
        <f t="shared" si="10"/>
        <v>113859</v>
      </c>
      <c r="BA71" s="332">
        <f>AO71-'[21]INSUMOS '!AO71</f>
        <v>0</v>
      </c>
    </row>
    <row r="72" spans="1:53" ht="33" customHeight="1" x14ac:dyDescent="0.2">
      <c r="A72" s="808">
        <v>70</v>
      </c>
      <c r="B72" s="1112" t="s">
        <v>53</v>
      </c>
      <c r="C72" s="809" t="s">
        <v>3490</v>
      </c>
      <c r="D72" s="810"/>
      <c r="E72" s="526"/>
      <c r="F72" s="526"/>
      <c r="G72" s="831"/>
      <c r="H72" s="831"/>
      <c r="I72" s="858">
        <v>113859</v>
      </c>
      <c r="J72" s="832"/>
      <c r="K72" s="832"/>
      <c r="L72" s="832"/>
      <c r="M72" s="832"/>
      <c r="N72" s="832"/>
      <c r="O72" s="858">
        <v>112000</v>
      </c>
      <c r="P72" s="526"/>
      <c r="Q72" s="801"/>
      <c r="R72" s="825"/>
      <c r="S72" s="832"/>
      <c r="T72" s="832"/>
      <c r="U72" s="832"/>
      <c r="V72" s="832"/>
      <c r="W72" s="834"/>
      <c r="X72" s="834"/>
      <c r="Y72" s="834"/>
      <c r="Z72" s="832"/>
      <c r="AA72" s="832"/>
      <c r="AB72" s="818"/>
      <c r="AC72" s="835"/>
      <c r="AD72" s="836"/>
      <c r="AE72" s="836"/>
      <c r="AF72" s="826"/>
      <c r="AG72" s="851"/>
      <c r="AH72" s="826"/>
      <c r="AI72" s="826"/>
      <c r="AJ72" s="825"/>
      <c r="AK72" s="814"/>
      <c r="AL72" s="826"/>
      <c r="AM72" s="826"/>
      <c r="AN72" s="827">
        <f t="shared" si="8"/>
        <v>2</v>
      </c>
      <c r="AO72" s="828">
        <f t="shared" si="9"/>
        <v>112929.5</v>
      </c>
      <c r="AP72" s="829">
        <f t="shared" si="10"/>
        <v>112929.5</v>
      </c>
      <c r="BA72" s="332">
        <f>AO72-'[21]INSUMOS '!AO72</f>
        <v>0</v>
      </c>
    </row>
    <row r="73" spans="1:53" x14ac:dyDescent="0.2">
      <c r="A73" s="942">
        <v>71</v>
      </c>
      <c r="B73" s="1112" t="s">
        <v>334</v>
      </c>
      <c r="C73" s="809" t="s">
        <v>6</v>
      </c>
      <c r="D73" s="810"/>
      <c r="E73" s="811"/>
      <c r="F73" s="811"/>
      <c r="G73" s="813"/>
      <c r="H73" s="813"/>
      <c r="I73" s="858">
        <v>33271</v>
      </c>
      <c r="J73" s="813"/>
      <c r="K73" s="813"/>
      <c r="L73" s="813"/>
      <c r="M73" s="813"/>
      <c r="N73" s="813"/>
      <c r="O73" s="813"/>
      <c r="P73" s="813"/>
      <c r="Q73" s="814"/>
      <c r="R73" s="872">
        <v>20058</v>
      </c>
      <c r="S73" s="813"/>
      <c r="T73" s="813"/>
      <c r="U73" s="813"/>
      <c r="V73" s="813"/>
      <c r="W73" s="817"/>
      <c r="X73" s="817"/>
      <c r="Y73" s="817"/>
      <c r="Z73" s="813"/>
      <c r="AA73" s="813"/>
      <c r="AB73" s="818"/>
      <c r="AC73" s="819"/>
      <c r="AD73" s="820"/>
      <c r="AE73" s="820"/>
      <c r="AF73" s="826"/>
      <c r="AG73" s="851"/>
      <c r="AH73" s="826"/>
      <c r="AI73" s="826"/>
      <c r="AJ73" s="825"/>
      <c r="AK73" s="814"/>
      <c r="AL73" s="826"/>
      <c r="AM73" s="826"/>
      <c r="AN73" s="827">
        <f t="shared" si="8"/>
        <v>2</v>
      </c>
      <c r="AO73" s="828">
        <f t="shared" si="9"/>
        <v>26664.5</v>
      </c>
      <c r="AP73" s="829">
        <f t="shared" si="10"/>
        <v>26664.5</v>
      </c>
      <c r="BA73" s="332">
        <f>AO73-'[21]INSUMOS '!AO73</f>
        <v>0</v>
      </c>
    </row>
    <row r="74" spans="1:53" x14ac:dyDescent="0.2">
      <c r="A74" s="808">
        <v>72</v>
      </c>
      <c r="B74" s="1112" t="s">
        <v>54</v>
      </c>
      <c r="C74" s="809" t="s">
        <v>6</v>
      </c>
      <c r="D74" s="810"/>
      <c r="E74" s="526"/>
      <c r="F74" s="526"/>
      <c r="G74" s="831"/>
      <c r="H74" s="831"/>
      <c r="I74" s="832"/>
      <c r="J74" s="832"/>
      <c r="K74" s="832"/>
      <c r="L74" s="832"/>
      <c r="M74" s="832"/>
      <c r="N74" s="832"/>
      <c r="O74" s="858">
        <v>20020</v>
      </c>
      <c r="P74" s="832"/>
      <c r="Q74" s="825"/>
      <c r="R74" s="833"/>
      <c r="S74" s="832"/>
      <c r="T74" s="832"/>
      <c r="U74" s="832"/>
      <c r="V74" s="832"/>
      <c r="W74" s="834"/>
      <c r="X74" s="834"/>
      <c r="Y74" s="834"/>
      <c r="Z74" s="832"/>
      <c r="AA74" s="832"/>
      <c r="AB74" s="818"/>
      <c r="AC74" s="835"/>
      <c r="AD74" s="836"/>
      <c r="AE74" s="836"/>
      <c r="AF74" s="826"/>
      <c r="AG74" s="851"/>
      <c r="AH74" s="826"/>
      <c r="AI74" s="826"/>
      <c r="AJ74" s="825"/>
      <c r="AK74" s="814"/>
      <c r="AL74" s="826"/>
      <c r="AM74" s="826"/>
      <c r="AN74" s="827">
        <f t="shared" si="8"/>
        <v>1</v>
      </c>
      <c r="AO74" s="828">
        <f t="shared" si="9"/>
        <v>20020</v>
      </c>
      <c r="AP74" s="829">
        <f t="shared" si="10"/>
        <v>20020</v>
      </c>
      <c r="BA74" s="332">
        <f>AO74-'[21]INSUMOS '!AO74</f>
        <v>0</v>
      </c>
    </row>
    <row r="75" spans="1:53" ht="25.5" x14ac:dyDescent="0.2">
      <c r="A75" s="942">
        <v>73</v>
      </c>
      <c r="B75" s="1112" t="s">
        <v>55</v>
      </c>
      <c r="C75" s="809" t="s">
        <v>3490</v>
      </c>
      <c r="D75" s="810"/>
      <c r="E75" s="526"/>
      <c r="F75" s="526"/>
      <c r="G75" s="831"/>
      <c r="H75" s="831"/>
      <c r="I75" s="832"/>
      <c r="J75" s="832"/>
      <c r="K75" s="832"/>
      <c r="L75" s="832"/>
      <c r="M75" s="832"/>
      <c r="N75" s="832"/>
      <c r="O75" s="858">
        <v>160575</v>
      </c>
      <c r="P75" s="832"/>
      <c r="Q75" s="825"/>
      <c r="R75" s="825"/>
      <c r="S75" s="832"/>
      <c r="T75" s="832"/>
      <c r="U75" s="832"/>
      <c r="V75" s="832"/>
      <c r="W75" s="834"/>
      <c r="X75" s="834"/>
      <c r="Y75" s="834"/>
      <c r="Z75" s="832"/>
      <c r="AA75" s="832"/>
      <c r="AB75" s="818"/>
      <c r="AC75" s="835"/>
      <c r="AD75" s="836"/>
      <c r="AE75" s="836"/>
      <c r="AF75" s="826"/>
      <c r="AG75" s="851"/>
      <c r="AH75" s="826"/>
      <c r="AI75" s="826"/>
      <c r="AJ75" s="825"/>
      <c r="AK75" s="814"/>
      <c r="AL75" s="826"/>
      <c r="AM75" s="826"/>
      <c r="AN75" s="827">
        <f t="shared" si="8"/>
        <v>1</v>
      </c>
      <c r="AO75" s="828">
        <f t="shared" si="9"/>
        <v>160575</v>
      </c>
      <c r="AP75" s="829">
        <f t="shared" si="10"/>
        <v>160575</v>
      </c>
      <c r="BA75" s="332">
        <f>AO75-'[21]INSUMOS '!AO75</f>
        <v>0</v>
      </c>
    </row>
    <row r="76" spans="1:53" ht="38.25" customHeight="1" x14ac:dyDescent="0.2">
      <c r="A76" s="808">
        <v>74</v>
      </c>
      <c r="B76" s="1112" t="s">
        <v>56</v>
      </c>
      <c r="C76" s="809" t="s">
        <v>3490</v>
      </c>
      <c r="D76" s="810"/>
      <c r="E76" s="526"/>
      <c r="F76" s="526"/>
      <c r="G76" s="831"/>
      <c r="H76" s="831"/>
      <c r="I76" s="858">
        <v>137445</v>
      </c>
      <c r="J76" s="832"/>
      <c r="K76" s="832"/>
      <c r="L76" s="832"/>
      <c r="M76" s="832"/>
      <c r="N76" s="832"/>
      <c r="O76" s="832"/>
      <c r="P76" s="811"/>
      <c r="Q76" s="822"/>
      <c r="R76" s="825"/>
      <c r="S76" s="832"/>
      <c r="T76" s="832"/>
      <c r="U76" s="832"/>
      <c r="V76" s="832"/>
      <c r="W76" s="834"/>
      <c r="X76" s="834"/>
      <c r="Y76" s="834"/>
      <c r="Z76" s="832"/>
      <c r="AA76" s="832"/>
      <c r="AB76" s="818"/>
      <c r="AC76" s="835"/>
      <c r="AD76" s="836"/>
      <c r="AE76" s="836"/>
      <c r="AF76" s="826"/>
      <c r="AG76" s="851"/>
      <c r="AH76" s="826"/>
      <c r="AI76" s="826"/>
      <c r="AJ76" s="825"/>
      <c r="AK76" s="814"/>
      <c r="AL76" s="826"/>
      <c r="AM76" s="826"/>
      <c r="AN76" s="827">
        <f t="shared" si="8"/>
        <v>1</v>
      </c>
      <c r="AO76" s="828">
        <f t="shared" si="9"/>
        <v>137445</v>
      </c>
      <c r="AP76" s="829">
        <f t="shared" si="10"/>
        <v>137445</v>
      </c>
      <c r="BA76" s="332">
        <f>AO76-'[21]INSUMOS '!AO76</f>
        <v>0</v>
      </c>
    </row>
    <row r="77" spans="1:53" ht="25.5" customHeight="1" x14ac:dyDescent="0.2">
      <c r="A77" s="942">
        <v>75</v>
      </c>
      <c r="B77" s="1431" t="s">
        <v>58</v>
      </c>
      <c r="C77" s="809" t="s">
        <v>3490</v>
      </c>
      <c r="D77" s="810"/>
      <c r="E77" s="526"/>
      <c r="F77" s="526"/>
      <c r="G77" s="831"/>
      <c r="H77" s="831"/>
      <c r="I77" s="858">
        <f>1357552/8</f>
        <v>169694</v>
      </c>
      <c r="J77" s="832"/>
      <c r="K77" s="832"/>
      <c r="L77" s="832"/>
      <c r="M77" s="832"/>
      <c r="N77" s="832"/>
      <c r="O77" s="832"/>
      <c r="P77" s="526"/>
      <c r="Q77" s="801"/>
      <c r="R77" s="825"/>
      <c r="S77" s="832"/>
      <c r="T77" s="832"/>
      <c r="U77" s="832"/>
      <c r="V77" s="832"/>
      <c r="W77" s="834"/>
      <c r="X77" s="834"/>
      <c r="Y77" s="834"/>
      <c r="Z77" s="832"/>
      <c r="AA77" s="832"/>
      <c r="AB77" s="818"/>
      <c r="AC77" s="835"/>
      <c r="AD77" s="836"/>
      <c r="AE77" s="836"/>
      <c r="AF77" s="826"/>
      <c r="AG77" s="851"/>
      <c r="AH77" s="826"/>
      <c r="AI77" s="826"/>
      <c r="AJ77" s="825"/>
      <c r="AK77" s="814"/>
      <c r="AL77" s="826"/>
      <c r="AM77" s="826"/>
      <c r="AN77" s="827">
        <f t="shared" si="8"/>
        <v>1</v>
      </c>
      <c r="AO77" s="828">
        <f t="shared" si="9"/>
        <v>169694</v>
      </c>
      <c r="AP77" s="829">
        <f t="shared" si="10"/>
        <v>169694</v>
      </c>
      <c r="BA77" s="332">
        <f>AO77-'[21]INSUMOS '!AO77</f>
        <v>0</v>
      </c>
    </row>
    <row r="78" spans="1:53" ht="38.25" x14ac:dyDescent="0.2">
      <c r="A78" s="808">
        <v>76</v>
      </c>
      <c r="B78" s="1112" t="s">
        <v>57</v>
      </c>
      <c r="C78" s="809" t="s">
        <v>3490</v>
      </c>
      <c r="D78" s="810"/>
      <c r="E78" s="526"/>
      <c r="F78" s="526"/>
      <c r="G78" s="831"/>
      <c r="H78" s="831"/>
      <c r="I78" s="858">
        <v>141372</v>
      </c>
      <c r="J78" s="832"/>
      <c r="K78" s="832"/>
      <c r="L78" s="832"/>
      <c r="M78" s="832"/>
      <c r="N78" s="832"/>
      <c r="O78" s="832"/>
      <c r="P78" s="526"/>
      <c r="Q78" s="801"/>
      <c r="R78" s="825"/>
      <c r="S78" s="832"/>
      <c r="T78" s="832"/>
      <c r="U78" s="832"/>
      <c r="V78" s="832"/>
      <c r="W78" s="834"/>
      <c r="X78" s="834"/>
      <c r="Y78" s="834"/>
      <c r="Z78" s="832"/>
      <c r="AA78" s="832"/>
      <c r="AB78" s="818"/>
      <c r="AC78" s="835"/>
      <c r="AD78" s="836"/>
      <c r="AE78" s="836"/>
      <c r="AF78" s="826"/>
      <c r="AG78" s="851"/>
      <c r="AH78" s="826"/>
      <c r="AI78" s="826"/>
      <c r="AJ78" s="825"/>
      <c r="AK78" s="814"/>
      <c r="AL78" s="826"/>
      <c r="AM78" s="826"/>
      <c r="AN78" s="827">
        <f t="shared" si="8"/>
        <v>1</v>
      </c>
      <c r="AO78" s="828">
        <f t="shared" si="9"/>
        <v>141372</v>
      </c>
      <c r="AP78" s="829">
        <f t="shared" si="10"/>
        <v>141372</v>
      </c>
      <c r="BA78" s="332">
        <f>AO78-'[21]INSUMOS '!AO78</f>
        <v>0</v>
      </c>
    </row>
    <row r="79" spans="1:53" ht="21" customHeight="1" x14ac:dyDescent="0.2">
      <c r="A79" s="942">
        <v>77</v>
      </c>
      <c r="B79" s="1112" t="s">
        <v>7387</v>
      </c>
      <c r="C79" s="809" t="s">
        <v>3488</v>
      </c>
      <c r="D79" s="810"/>
      <c r="E79" s="811"/>
      <c r="F79" s="811"/>
      <c r="G79" s="812"/>
      <c r="H79" s="812"/>
      <c r="I79" s="812"/>
      <c r="J79" s="813"/>
      <c r="K79" s="813"/>
      <c r="L79" s="813"/>
      <c r="M79" s="813"/>
      <c r="N79" s="813"/>
      <c r="O79" s="813"/>
      <c r="P79" s="813"/>
      <c r="Q79" s="814"/>
      <c r="R79" s="825"/>
      <c r="S79" s="817"/>
      <c r="T79" s="813"/>
      <c r="U79" s="813"/>
      <c r="V79" s="813"/>
      <c r="W79" s="817"/>
      <c r="X79" s="817"/>
      <c r="Y79" s="817"/>
      <c r="Z79" s="1352">
        <v>47400</v>
      </c>
      <c r="AA79" s="813"/>
      <c r="AB79" s="818"/>
      <c r="AC79" s="819"/>
      <c r="AD79" s="820"/>
      <c r="AE79" s="820"/>
      <c r="AF79" s="826"/>
      <c r="AG79" s="851"/>
      <c r="AH79" s="826"/>
      <c r="AI79" s="826"/>
      <c r="AJ79" s="825"/>
      <c r="AK79" s="814"/>
      <c r="AL79" s="826"/>
      <c r="AM79" s="826"/>
      <c r="AN79" s="827">
        <f t="shared" si="8"/>
        <v>1</v>
      </c>
      <c r="AO79" s="828">
        <f t="shared" si="9"/>
        <v>47400</v>
      </c>
      <c r="AP79" s="829">
        <f t="shared" si="10"/>
        <v>47400</v>
      </c>
      <c r="BA79" s="332">
        <f>AO79-'[21]INSUMOS '!AO79</f>
        <v>0</v>
      </c>
    </row>
    <row r="80" spans="1:53" ht="25.5" x14ac:dyDescent="0.2">
      <c r="A80" s="808">
        <v>78</v>
      </c>
      <c r="B80" s="1112" t="s">
        <v>41</v>
      </c>
      <c r="C80" s="809" t="s">
        <v>12</v>
      </c>
      <c r="D80" s="810"/>
      <c r="E80" s="811"/>
      <c r="F80" s="811"/>
      <c r="G80" s="812"/>
      <c r="H80" s="812"/>
      <c r="I80" s="812"/>
      <c r="J80" s="813"/>
      <c r="K80" s="813"/>
      <c r="L80" s="813"/>
      <c r="M80" s="813"/>
      <c r="N80" s="813"/>
      <c r="O80" s="838">
        <v>2529</v>
      </c>
      <c r="P80" s="813"/>
      <c r="Q80" s="814"/>
      <c r="R80" s="825"/>
      <c r="S80" s="838">
        <f>3109</f>
        <v>3109</v>
      </c>
      <c r="T80" s="838">
        <v>4190</v>
      </c>
      <c r="U80" s="813"/>
      <c r="V80" s="838">
        <v>3300</v>
      </c>
      <c r="W80" s="817"/>
      <c r="X80" s="817"/>
      <c r="Y80" s="817"/>
      <c r="Z80" s="813"/>
      <c r="AA80" s="813"/>
      <c r="AB80" s="818"/>
      <c r="AC80" s="819"/>
      <c r="AD80" s="820"/>
      <c r="AE80" s="820"/>
      <c r="AF80" s="826"/>
      <c r="AG80" s="851"/>
      <c r="AH80" s="826"/>
      <c r="AI80" s="826"/>
      <c r="AJ80" s="825"/>
      <c r="AK80" s="814"/>
      <c r="AL80" s="826"/>
      <c r="AM80" s="826"/>
      <c r="AN80" s="827">
        <f t="shared" si="8"/>
        <v>4</v>
      </c>
      <c r="AO80" s="828">
        <f t="shared" si="9"/>
        <v>3282</v>
      </c>
      <c r="AP80" s="829">
        <f t="shared" si="10"/>
        <v>3204.5</v>
      </c>
      <c r="BA80" s="332">
        <f>AO80-'[21]INSUMOS '!AO80</f>
        <v>0</v>
      </c>
    </row>
    <row r="81" spans="1:53" x14ac:dyDescent="0.2">
      <c r="A81" s="942">
        <v>79</v>
      </c>
      <c r="B81" s="1112" t="s">
        <v>84</v>
      </c>
      <c r="C81" s="830" t="s">
        <v>3488</v>
      </c>
      <c r="D81" s="810"/>
      <c r="E81" s="526"/>
      <c r="F81" s="526"/>
      <c r="G81" s="831"/>
      <c r="H81" s="831"/>
      <c r="I81" s="831"/>
      <c r="J81" s="832"/>
      <c r="K81" s="832"/>
      <c r="L81" s="832"/>
      <c r="M81" s="832"/>
      <c r="N81" s="832"/>
      <c r="O81" s="832"/>
      <c r="P81" s="832"/>
      <c r="Q81" s="825"/>
      <c r="R81" s="825"/>
      <c r="S81" s="832"/>
      <c r="T81" s="832"/>
      <c r="U81" s="832"/>
      <c r="V81" s="832"/>
      <c r="W81" s="834"/>
      <c r="X81" s="834"/>
      <c r="Y81" s="834"/>
      <c r="Z81" s="832"/>
      <c r="AA81" s="832"/>
      <c r="AB81" s="818"/>
      <c r="AC81" s="885">
        <v>17000</v>
      </c>
      <c r="AD81" s="1007"/>
      <c r="AE81" s="886"/>
      <c r="AF81" s="826"/>
      <c r="AG81" s="851"/>
      <c r="AH81" s="826"/>
      <c r="AI81" s="826"/>
      <c r="AJ81" s="825"/>
      <c r="AK81" s="814"/>
      <c r="AL81" s="826"/>
      <c r="AM81" s="826"/>
      <c r="AN81" s="827">
        <f t="shared" si="8"/>
        <v>1</v>
      </c>
      <c r="AO81" s="828">
        <f t="shared" si="9"/>
        <v>17000</v>
      </c>
      <c r="AP81" s="829">
        <f t="shared" si="10"/>
        <v>17000</v>
      </c>
      <c r="BA81" s="332">
        <f>AO81-'[21]INSUMOS '!AO81</f>
        <v>0</v>
      </c>
    </row>
    <row r="82" spans="1:53" x14ac:dyDescent="0.2">
      <c r="A82" s="808">
        <v>80</v>
      </c>
      <c r="B82" s="1112" t="s">
        <v>83</v>
      </c>
      <c r="C82" s="830" t="s">
        <v>3488</v>
      </c>
      <c r="D82" s="810"/>
      <c r="E82" s="526"/>
      <c r="F82" s="526"/>
      <c r="G82" s="831"/>
      <c r="H82" s="831"/>
      <c r="I82" s="831"/>
      <c r="J82" s="832"/>
      <c r="K82" s="832"/>
      <c r="L82" s="832"/>
      <c r="M82" s="832"/>
      <c r="N82" s="832"/>
      <c r="O82" s="834"/>
      <c r="P82" s="832"/>
      <c r="Q82" s="825"/>
      <c r="R82" s="825"/>
      <c r="S82" s="832"/>
      <c r="T82" s="832"/>
      <c r="U82" s="832"/>
      <c r="V82" s="832"/>
      <c r="W82" s="834"/>
      <c r="X82" s="834"/>
      <c r="Y82" s="834"/>
      <c r="Z82" s="832"/>
      <c r="AA82" s="832"/>
      <c r="AB82" s="818"/>
      <c r="AC82" s="885">
        <v>40000</v>
      </c>
      <c r="AD82" s="1007"/>
      <c r="AE82" s="886">
        <f>64969*1.05</f>
        <v>68217.45</v>
      </c>
      <c r="AF82" s="826"/>
      <c r="AG82" s="851"/>
      <c r="AH82" s="826"/>
      <c r="AI82" s="826"/>
      <c r="AJ82" s="825"/>
      <c r="AK82" s="814"/>
      <c r="AL82" s="826"/>
      <c r="AM82" s="826"/>
      <c r="AN82" s="827">
        <f t="shared" si="8"/>
        <v>2</v>
      </c>
      <c r="AO82" s="828">
        <f t="shared" si="9"/>
        <v>54108.724999999999</v>
      </c>
      <c r="AP82" s="829">
        <f t="shared" si="10"/>
        <v>54108.724999999999</v>
      </c>
      <c r="BA82" s="332">
        <f>AO82-'[21]INSUMOS '!AO82</f>
        <v>0</v>
      </c>
    </row>
    <row r="83" spans="1:53" ht="22.5" customHeight="1" x14ac:dyDescent="0.2">
      <c r="A83" s="942">
        <v>81</v>
      </c>
      <c r="B83" s="1112" t="s">
        <v>36</v>
      </c>
      <c r="C83" s="830" t="s">
        <v>266</v>
      </c>
      <c r="D83" s="810"/>
      <c r="E83" s="811"/>
      <c r="F83" s="811"/>
      <c r="G83" s="812"/>
      <c r="H83" s="812"/>
      <c r="I83" s="812"/>
      <c r="J83" s="813"/>
      <c r="K83" s="813"/>
      <c r="L83" s="813"/>
      <c r="M83" s="813"/>
      <c r="N83" s="813"/>
      <c r="O83" s="813"/>
      <c r="P83" s="813"/>
      <c r="Q83" s="814"/>
      <c r="R83" s="825"/>
      <c r="S83" s="813"/>
      <c r="T83" s="813"/>
      <c r="U83" s="813"/>
      <c r="V83" s="813"/>
      <c r="W83" s="817"/>
      <c r="X83" s="817"/>
      <c r="Y83" s="817"/>
      <c r="Z83" s="838">
        <v>135750</v>
      </c>
      <c r="AA83" s="813"/>
      <c r="AB83" s="818"/>
      <c r="AC83" s="819"/>
      <c r="AD83" s="820"/>
      <c r="AE83" s="820"/>
      <c r="AF83" s="826"/>
      <c r="AG83" s="851"/>
      <c r="AH83" s="826"/>
      <c r="AI83" s="826"/>
      <c r="AJ83" s="825"/>
      <c r="AK83" s="814"/>
      <c r="AL83" s="826"/>
      <c r="AM83" s="826"/>
      <c r="AN83" s="827">
        <f t="shared" si="8"/>
        <v>1</v>
      </c>
      <c r="AO83" s="828">
        <f t="shared" si="9"/>
        <v>135750</v>
      </c>
      <c r="AP83" s="829">
        <f t="shared" si="10"/>
        <v>135750</v>
      </c>
      <c r="BA83" s="332">
        <f>AO83-'[21]INSUMOS '!AO83</f>
        <v>0</v>
      </c>
    </row>
    <row r="84" spans="1:53" x14ac:dyDescent="0.2">
      <c r="A84" s="808">
        <v>82</v>
      </c>
      <c r="B84" s="1112" t="s">
        <v>326</v>
      </c>
      <c r="C84" s="809" t="s">
        <v>157</v>
      </c>
      <c r="D84" s="810"/>
      <c r="E84" s="811"/>
      <c r="F84" s="811"/>
      <c r="G84" s="812"/>
      <c r="H84" s="812"/>
      <c r="I84" s="812"/>
      <c r="J84" s="813"/>
      <c r="K84" s="813"/>
      <c r="L84" s="813"/>
      <c r="M84" s="813"/>
      <c r="N84" s="813"/>
      <c r="O84" s="813"/>
      <c r="P84" s="813"/>
      <c r="Q84" s="814"/>
      <c r="R84" s="825"/>
      <c r="S84" s="838">
        <v>4900</v>
      </c>
      <c r="T84" s="813"/>
      <c r="U84" s="813"/>
      <c r="V84" s="838">
        <v>6000</v>
      </c>
      <c r="W84" s="817"/>
      <c r="X84" s="838">
        <v>4400</v>
      </c>
      <c r="Y84" s="817"/>
      <c r="Z84" s="813"/>
      <c r="AA84" s="813"/>
      <c r="AB84" s="818"/>
      <c r="AC84" s="819"/>
      <c r="AD84" s="820"/>
      <c r="AE84" s="820"/>
      <c r="AF84" s="826"/>
      <c r="AG84" s="851"/>
      <c r="AH84" s="826"/>
      <c r="AI84" s="826"/>
      <c r="AJ84" s="825"/>
      <c r="AK84" s="814"/>
      <c r="AL84" s="826"/>
      <c r="AM84" s="826"/>
      <c r="AN84" s="827">
        <f t="shared" si="8"/>
        <v>3</v>
      </c>
      <c r="AO84" s="828">
        <f t="shared" si="9"/>
        <v>5100</v>
      </c>
      <c r="AP84" s="829">
        <f t="shared" si="10"/>
        <v>4900</v>
      </c>
      <c r="BA84" s="332">
        <f>AO84-'[21]INSUMOS '!AO84</f>
        <v>0</v>
      </c>
    </row>
    <row r="85" spans="1:53" ht="15" customHeight="1" x14ac:dyDescent="0.2">
      <c r="A85" s="942">
        <v>83</v>
      </c>
      <c r="B85" s="1112" t="s">
        <v>2897</v>
      </c>
      <c r="C85" s="809" t="s">
        <v>12</v>
      </c>
      <c r="D85" s="810"/>
      <c r="E85" s="526"/>
      <c r="F85" s="811"/>
      <c r="G85" s="882">
        <f>54768.52*1.19</f>
        <v>65174.538799999995</v>
      </c>
      <c r="H85" s="812"/>
      <c r="I85" s="812"/>
      <c r="J85" s="813"/>
      <c r="K85" s="813"/>
      <c r="L85" s="813"/>
      <c r="M85" s="813"/>
      <c r="N85" s="813"/>
      <c r="O85" s="813"/>
      <c r="P85" s="813"/>
      <c r="Q85" s="814"/>
      <c r="R85" s="825"/>
      <c r="S85" s="813"/>
      <c r="T85" s="813"/>
      <c r="U85" s="813"/>
      <c r="V85" s="813"/>
      <c r="W85" s="817"/>
      <c r="X85" s="817"/>
      <c r="Y85" s="817"/>
      <c r="Z85" s="813"/>
      <c r="AA85" s="813"/>
      <c r="AB85" s="818"/>
      <c r="AC85" s="819"/>
      <c r="AD85" s="820"/>
      <c r="AE85" s="820"/>
      <c r="AF85" s="826"/>
      <c r="AG85" s="851"/>
      <c r="AH85" s="826"/>
      <c r="AI85" s="826"/>
      <c r="AJ85" s="825"/>
      <c r="AK85" s="814"/>
      <c r="AL85" s="826"/>
      <c r="AM85" s="826"/>
      <c r="AN85" s="827">
        <f t="shared" si="8"/>
        <v>1</v>
      </c>
      <c r="AO85" s="828">
        <f t="shared" si="9"/>
        <v>65174.538799999995</v>
      </c>
      <c r="AP85" s="829">
        <f t="shared" si="10"/>
        <v>65174.538799999995</v>
      </c>
      <c r="BA85" s="332">
        <f>AO85-'[21]INSUMOS '!AO85</f>
        <v>0</v>
      </c>
    </row>
    <row r="86" spans="1:53" ht="29.25" customHeight="1" x14ac:dyDescent="0.2">
      <c r="A86" s="808">
        <v>84</v>
      </c>
      <c r="B86" s="1112" t="s">
        <v>327</v>
      </c>
      <c r="C86" s="809" t="s">
        <v>157</v>
      </c>
      <c r="D86" s="810"/>
      <c r="E86" s="811"/>
      <c r="F86" s="811"/>
      <c r="G86" s="812"/>
      <c r="H86" s="812"/>
      <c r="I86" s="812"/>
      <c r="J86" s="838">
        <v>7600</v>
      </c>
      <c r="K86" s="813"/>
      <c r="L86" s="813"/>
      <c r="M86" s="813"/>
      <c r="N86" s="813"/>
      <c r="O86" s="813"/>
      <c r="P86" s="813"/>
      <c r="Q86" s="814"/>
      <c r="R86" s="833"/>
      <c r="S86" s="838">
        <v>5900</v>
      </c>
      <c r="T86" s="813"/>
      <c r="U86" s="813"/>
      <c r="V86" s="838">
        <v>6800</v>
      </c>
      <c r="W86" s="817"/>
      <c r="X86" s="817"/>
      <c r="Y86" s="817"/>
      <c r="Z86" s="813"/>
      <c r="AA86" s="813"/>
      <c r="AB86" s="818"/>
      <c r="AC86" s="819"/>
      <c r="AD86" s="820"/>
      <c r="AE86" s="820"/>
      <c r="AF86" s="826"/>
      <c r="AG86" s="851"/>
      <c r="AH86" s="826"/>
      <c r="AI86" s="826"/>
      <c r="AJ86" s="825"/>
      <c r="AK86" s="814"/>
      <c r="AL86" s="826"/>
      <c r="AM86" s="826"/>
      <c r="AN86" s="827">
        <f t="shared" si="8"/>
        <v>3</v>
      </c>
      <c r="AO86" s="828">
        <f t="shared" si="9"/>
        <v>6766.666666666667</v>
      </c>
      <c r="AP86" s="829">
        <f t="shared" si="10"/>
        <v>6800</v>
      </c>
      <c r="BA86" s="332">
        <f>AO86-'[21]INSUMOS '!AO86</f>
        <v>0</v>
      </c>
    </row>
    <row r="87" spans="1:53" x14ac:dyDescent="0.2">
      <c r="A87" s="942">
        <v>85</v>
      </c>
      <c r="B87" s="1112" t="s">
        <v>37</v>
      </c>
      <c r="C87" s="809" t="s">
        <v>3</v>
      </c>
      <c r="D87" s="810"/>
      <c r="E87" s="811"/>
      <c r="F87" s="811"/>
      <c r="G87" s="812"/>
      <c r="H87" s="812"/>
      <c r="I87" s="812"/>
      <c r="J87" s="813"/>
      <c r="K87" s="813"/>
      <c r="L87" s="813"/>
      <c r="M87" s="813"/>
      <c r="N87" s="838">
        <v>95000</v>
      </c>
      <c r="O87" s="1344">
        <v>91040</v>
      </c>
      <c r="P87" s="813"/>
      <c r="Q87" s="814"/>
      <c r="R87" s="825"/>
      <c r="S87" s="813"/>
      <c r="T87" s="813"/>
      <c r="U87" s="813"/>
      <c r="V87" s="813"/>
      <c r="W87" s="817"/>
      <c r="X87" s="817"/>
      <c r="Y87" s="817"/>
      <c r="Z87" s="813"/>
      <c r="AA87" s="813"/>
      <c r="AB87" s="818"/>
      <c r="AC87" s="819"/>
      <c r="AD87" s="820"/>
      <c r="AE87" s="820"/>
      <c r="AF87" s="826"/>
      <c r="AG87" s="851"/>
      <c r="AH87" s="826"/>
      <c r="AI87" s="826"/>
      <c r="AJ87" s="825"/>
      <c r="AK87" s="814"/>
      <c r="AL87" s="826"/>
      <c r="AM87" s="826"/>
      <c r="AN87" s="827">
        <f t="shared" si="8"/>
        <v>2</v>
      </c>
      <c r="AO87" s="828">
        <f t="shared" si="9"/>
        <v>93020</v>
      </c>
      <c r="AP87" s="829">
        <f t="shared" si="10"/>
        <v>93020</v>
      </c>
      <c r="BA87" s="332">
        <f>AO87-'[21]INSUMOS '!AO87</f>
        <v>0</v>
      </c>
    </row>
    <row r="88" spans="1:53" x14ac:dyDescent="0.2">
      <c r="A88" s="808">
        <v>86</v>
      </c>
      <c r="B88" s="1112" t="s">
        <v>43</v>
      </c>
      <c r="C88" s="830" t="s">
        <v>266</v>
      </c>
      <c r="D88" s="810"/>
      <c r="E88" s="811"/>
      <c r="F88" s="811"/>
      <c r="G88" s="812"/>
      <c r="H88" s="812"/>
      <c r="I88" s="812"/>
      <c r="J88" s="813"/>
      <c r="K88" s="813"/>
      <c r="L88" s="813"/>
      <c r="M88" s="813"/>
      <c r="N88" s="813"/>
      <c r="O88" s="813"/>
      <c r="P88" s="813"/>
      <c r="Q88" s="814"/>
      <c r="R88" s="825"/>
      <c r="S88" s="817"/>
      <c r="T88" s="838">
        <f>1700/10</f>
        <v>170</v>
      </c>
      <c r="U88" s="813"/>
      <c r="V88" s="813"/>
      <c r="W88" s="817"/>
      <c r="X88" s="817"/>
      <c r="Y88" s="817"/>
      <c r="Z88" s="813"/>
      <c r="AA88" s="813"/>
      <c r="AB88" s="818"/>
      <c r="AC88" s="819"/>
      <c r="AD88" s="820"/>
      <c r="AE88" s="820"/>
      <c r="AF88" s="826"/>
      <c r="AG88" s="851"/>
      <c r="AH88" s="826"/>
      <c r="AI88" s="826"/>
      <c r="AJ88" s="825"/>
      <c r="AK88" s="814"/>
      <c r="AL88" s="826"/>
      <c r="AM88" s="826"/>
      <c r="AN88" s="827">
        <f t="shared" si="8"/>
        <v>1</v>
      </c>
      <c r="AO88" s="828">
        <f t="shared" si="9"/>
        <v>170</v>
      </c>
      <c r="AP88" s="829">
        <f t="shared" si="10"/>
        <v>170</v>
      </c>
      <c r="BA88" s="332">
        <f>AO88-'[21]INSUMOS '!AO88</f>
        <v>0</v>
      </c>
    </row>
    <row r="89" spans="1:53" x14ac:dyDescent="0.2">
      <c r="A89" s="942">
        <v>87</v>
      </c>
      <c r="B89" s="1112" t="s">
        <v>104</v>
      </c>
      <c r="C89" s="830" t="s">
        <v>266</v>
      </c>
      <c r="D89" s="810"/>
      <c r="E89" s="811"/>
      <c r="F89" s="811"/>
      <c r="G89" s="812"/>
      <c r="H89" s="812"/>
      <c r="I89" s="812"/>
      <c r="J89" s="813"/>
      <c r="K89" s="813"/>
      <c r="L89" s="813"/>
      <c r="M89" s="813"/>
      <c r="N89" s="813"/>
      <c r="O89" s="813"/>
      <c r="P89" s="813"/>
      <c r="Q89" s="814"/>
      <c r="R89" s="825"/>
      <c r="S89" s="1344">
        <f>4700/5</f>
        <v>940</v>
      </c>
      <c r="T89" s="813"/>
      <c r="U89" s="813"/>
      <c r="V89" s="813"/>
      <c r="W89" s="817"/>
      <c r="X89" s="817"/>
      <c r="Y89" s="817"/>
      <c r="Z89" s="813"/>
      <c r="AA89" s="813"/>
      <c r="AB89" s="818"/>
      <c r="AC89" s="819"/>
      <c r="AD89" s="820"/>
      <c r="AE89" s="820"/>
      <c r="AF89" s="826"/>
      <c r="AG89" s="851"/>
      <c r="AH89" s="826"/>
      <c r="AI89" s="826"/>
      <c r="AJ89" s="825"/>
      <c r="AK89" s="814"/>
      <c r="AL89" s="826"/>
      <c r="AM89" s="826"/>
      <c r="AN89" s="827">
        <f t="shared" si="8"/>
        <v>1</v>
      </c>
      <c r="AO89" s="828">
        <f t="shared" si="9"/>
        <v>940</v>
      </c>
      <c r="AP89" s="829">
        <f t="shared" si="10"/>
        <v>940</v>
      </c>
      <c r="BA89" s="332">
        <f>AO89-'[21]INSUMOS '!AO89</f>
        <v>0</v>
      </c>
    </row>
    <row r="90" spans="1:53" ht="25.5" x14ac:dyDescent="0.2">
      <c r="A90" s="808">
        <v>88</v>
      </c>
      <c r="B90" s="1112" t="s">
        <v>72</v>
      </c>
      <c r="C90" s="809" t="s">
        <v>3488</v>
      </c>
      <c r="D90" s="810"/>
      <c r="E90" s="526"/>
      <c r="F90" s="880"/>
      <c r="G90" s="831"/>
      <c r="H90" s="831"/>
      <c r="I90" s="831"/>
      <c r="J90" s="832"/>
      <c r="K90" s="832"/>
      <c r="L90" s="832"/>
      <c r="M90" s="825"/>
      <c r="N90" s="825"/>
      <c r="O90" s="841">
        <v>214170</v>
      </c>
      <c r="P90" s="832"/>
      <c r="Q90" s="825"/>
      <c r="R90" s="825"/>
      <c r="S90" s="832"/>
      <c r="T90" s="832"/>
      <c r="U90" s="832"/>
      <c r="V90" s="832"/>
      <c r="W90" s="834"/>
      <c r="X90" s="834"/>
      <c r="Y90" s="834"/>
      <c r="Z90" s="832"/>
      <c r="AA90" s="832"/>
      <c r="AB90" s="817"/>
      <c r="AC90" s="835"/>
      <c r="AD90" s="836"/>
      <c r="AE90" s="836"/>
      <c r="AF90" s="826"/>
      <c r="AG90" s="851"/>
      <c r="AH90" s="826"/>
      <c r="AI90" s="826"/>
      <c r="AJ90" s="825"/>
      <c r="AK90" s="814"/>
      <c r="AL90" s="826"/>
      <c r="AM90" s="826"/>
      <c r="AN90" s="827">
        <f t="shared" si="8"/>
        <v>1</v>
      </c>
      <c r="AO90" s="828">
        <f t="shared" si="9"/>
        <v>214170</v>
      </c>
      <c r="AP90" s="829">
        <f t="shared" si="10"/>
        <v>214170</v>
      </c>
      <c r="BA90" s="332">
        <f>AO90-'[21]INSUMOS '!AO90</f>
        <v>0</v>
      </c>
    </row>
    <row r="91" spans="1:53" ht="38.25" x14ac:dyDescent="0.2">
      <c r="A91" s="942">
        <v>89</v>
      </c>
      <c r="B91" s="1112" t="s">
        <v>3160</v>
      </c>
      <c r="C91" s="809"/>
      <c r="D91" s="810"/>
      <c r="E91" s="526"/>
      <c r="F91" s="1113">
        <v>126082</v>
      </c>
      <c r="G91" s="831"/>
      <c r="H91" s="831"/>
      <c r="I91" s="831"/>
      <c r="J91" s="832"/>
      <c r="K91" s="832"/>
      <c r="L91" s="832"/>
      <c r="M91" s="832"/>
      <c r="N91" s="832"/>
      <c r="O91" s="832"/>
      <c r="P91" s="832"/>
      <c r="Q91" s="825"/>
      <c r="R91" s="825"/>
      <c r="S91" s="832"/>
      <c r="T91" s="832"/>
      <c r="U91" s="832"/>
      <c r="V91" s="832"/>
      <c r="W91" s="834"/>
      <c r="X91" s="834"/>
      <c r="Y91" s="834"/>
      <c r="Z91" s="832"/>
      <c r="AA91" s="832"/>
      <c r="AB91" s="838">
        <f>98700*1.19</f>
        <v>117453</v>
      </c>
      <c r="AC91" s="835"/>
      <c r="AD91" s="836"/>
      <c r="AE91" s="836"/>
      <c r="AF91" s="826"/>
      <c r="AG91" s="851"/>
      <c r="AH91" s="826"/>
      <c r="AI91" s="826"/>
      <c r="AJ91" s="825"/>
      <c r="AK91" s="814"/>
      <c r="AL91" s="826"/>
      <c r="AM91" s="826"/>
      <c r="AN91" s="827">
        <f t="shared" si="8"/>
        <v>2</v>
      </c>
      <c r="AO91" s="828">
        <f t="shared" si="9"/>
        <v>121767.5</v>
      </c>
      <c r="AP91" s="829">
        <f t="shared" si="10"/>
        <v>121767.5</v>
      </c>
      <c r="BA91" s="332">
        <f>AO91-'[21]INSUMOS '!AO91</f>
        <v>0</v>
      </c>
    </row>
    <row r="92" spans="1:53" ht="18.75" customHeight="1" x14ac:dyDescent="0.2">
      <c r="A92" s="808">
        <v>90</v>
      </c>
      <c r="B92" s="1112" t="s">
        <v>78</v>
      </c>
      <c r="C92" s="830" t="s">
        <v>266</v>
      </c>
      <c r="D92" s="810"/>
      <c r="E92" s="526"/>
      <c r="F92" s="873">
        <v>161444</v>
      </c>
      <c r="G92" s="831"/>
      <c r="H92" s="831"/>
      <c r="I92" s="831"/>
      <c r="J92" s="832"/>
      <c r="K92" s="832"/>
      <c r="L92" s="832"/>
      <c r="M92" s="832"/>
      <c r="N92" s="832"/>
      <c r="O92" s="832"/>
      <c r="P92" s="832"/>
      <c r="Q92" s="825"/>
      <c r="R92" s="825"/>
      <c r="S92" s="832"/>
      <c r="T92" s="832"/>
      <c r="U92" s="832"/>
      <c r="V92" s="832"/>
      <c r="W92" s="834"/>
      <c r="X92" s="834"/>
      <c r="Y92" s="834"/>
      <c r="Z92" s="832"/>
      <c r="AA92" s="832"/>
      <c r="AB92" s="838">
        <v>178500</v>
      </c>
      <c r="AC92" s="835"/>
      <c r="AD92" s="836"/>
      <c r="AE92" s="836"/>
      <c r="AF92" s="826"/>
      <c r="AG92" s="851"/>
      <c r="AH92" s="826"/>
      <c r="AI92" s="826"/>
      <c r="AJ92" s="825"/>
      <c r="AK92" s="814"/>
      <c r="AL92" s="826"/>
      <c r="AM92" s="826"/>
      <c r="AN92" s="827">
        <f t="shared" si="8"/>
        <v>2</v>
      </c>
      <c r="AO92" s="828">
        <f t="shared" si="9"/>
        <v>169972</v>
      </c>
      <c r="AP92" s="829">
        <f t="shared" si="10"/>
        <v>169972</v>
      </c>
      <c r="BA92" s="332">
        <f>AO92-'[21]INSUMOS '!AO92</f>
        <v>0</v>
      </c>
    </row>
    <row r="93" spans="1:53" ht="24.75" customHeight="1" x14ac:dyDescent="0.2">
      <c r="A93" s="942">
        <v>91</v>
      </c>
      <c r="B93" s="1112" t="s">
        <v>87</v>
      </c>
      <c r="C93" s="809" t="s">
        <v>6</v>
      </c>
      <c r="D93" s="810"/>
      <c r="E93" s="811"/>
      <c r="F93" s="811"/>
      <c r="G93" s="812"/>
      <c r="H93" s="812"/>
      <c r="I93" s="812"/>
      <c r="J93" s="813"/>
      <c r="K93" s="838">
        <v>24091</v>
      </c>
      <c r="L93" s="817"/>
      <c r="M93" s="817"/>
      <c r="N93" s="817"/>
      <c r="O93" s="813"/>
      <c r="P93" s="813"/>
      <c r="Q93" s="814"/>
      <c r="R93" s="833"/>
      <c r="S93" s="1344">
        <v>19900</v>
      </c>
      <c r="T93" s="813"/>
      <c r="U93" s="813"/>
      <c r="V93" s="813"/>
      <c r="W93" s="817"/>
      <c r="X93" s="1344">
        <v>13500</v>
      </c>
      <c r="Y93" s="817"/>
      <c r="Z93" s="813"/>
      <c r="AA93" s="813"/>
      <c r="AB93" s="818"/>
      <c r="AC93" s="819"/>
      <c r="AD93" s="820"/>
      <c r="AE93" s="820"/>
      <c r="AF93" s="826"/>
      <c r="AG93" s="851"/>
      <c r="AH93" s="826"/>
      <c r="AI93" s="826"/>
      <c r="AJ93" s="825"/>
      <c r="AK93" s="814"/>
      <c r="AL93" s="826"/>
      <c r="AM93" s="826"/>
      <c r="AN93" s="827">
        <f t="shared" si="8"/>
        <v>3</v>
      </c>
      <c r="AO93" s="828">
        <f t="shared" si="9"/>
        <v>19163.666666666668</v>
      </c>
      <c r="AP93" s="829">
        <f t="shared" si="10"/>
        <v>19900</v>
      </c>
      <c r="BA93" s="332">
        <f>AO93-'[21]INSUMOS '!AO93</f>
        <v>0</v>
      </c>
    </row>
    <row r="94" spans="1:53" s="89" customFormat="1" ht="24.75" customHeight="1" x14ac:dyDescent="0.2">
      <c r="A94" s="808">
        <v>92</v>
      </c>
      <c r="B94" s="1112" t="s">
        <v>92</v>
      </c>
      <c r="C94" s="830" t="s">
        <v>266</v>
      </c>
      <c r="D94" s="810"/>
      <c r="E94" s="526"/>
      <c r="F94" s="526"/>
      <c r="G94" s="1003"/>
      <c r="H94" s="526"/>
      <c r="I94" s="526"/>
      <c r="J94" s="526"/>
      <c r="K94" s="526"/>
      <c r="L94" s="526"/>
      <c r="M94" s="526"/>
      <c r="N94" s="526"/>
      <c r="O94" s="526"/>
      <c r="P94" s="526"/>
      <c r="Q94" s="801"/>
      <c r="R94" s="801"/>
      <c r="S94" s="526"/>
      <c r="T94" s="526"/>
      <c r="U94" s="526"/>
      <c r="V94" s="526"/>
      <c r="W94" s="887"/>
      <c r="X94" s="887"/>
      <c r="Y94" s="887"/>
      <c r="Z94" s="526"/>
      <c r="AA94" s="526"/>
      <c r="AB94" s="809"/>
      <c r="AC94" s="888"/>
      <c r="AD94" s="889"/>
      <c r="AE94" s="889"/>
      <c r="AF94" s="838">
        <v>2500</v>
      </c>
      <c r="AG94" s="801"/>
      <c r="AH94" s="890"/>
      <c r="AI94" s="890"/>
      <c r="AJ94" s="890"/>
      <c r="AK94" s="822"/>
      <c r="AL94" s="801"/>
      <c r="AM94" s="890"/>
      <c r="AN94" s="827">
        <f t="shared" si="8"/>
        <v>1</v>
      </c>
      <c r="AO94" s="828">
        <f t="shared" si="9"/>
        <v>2500</v>
      </c>
      <c r="AP94" s="829">
        <f t="shared" si="10"/>
        <v>2500</v>
      </c>
      <c r="AQ94" s="682"/>
      <c r="BA94" s="332">
        <f>AO94-'[21]INSUMOS '!AO94</f>
        <v>0</v>
      </c>
    </row>
    <row r="95" spans="1:53" ht="60" customHeight="1" x14ac:dyDescent="0.2">
      <c r="A95" s="942">
        <v>93</v>
      </c>
      <c r="B95" s="1112" t="s">
        <v>7397</v>
      </c>
      <c r="C95" s="830" t="s">
        <v>266</v>
      </c>
      <c r="D95" s="810"/>
      <c r="E95" s="526"/>
      <c r="F95" s="884">
        <v>6030</v>
      </c>
      <c r="G95" s="831"/>
      <c r="H95" s="1347">
        <v>5600</v>
      </c>
      <c r="I95" s="831"/>
      <c r="J95" s="832"/>
      <c r="K95" s="832"/>
      <c r="L95" s="832"/>
      <c r="M95" s="832"/>
      <c r="N95" s="832"/>
      <c r="O95" s="873">
        <v>6426</v>
      </c>
      <c r="P95" s="526"/>
      <c r="Q95" s="801"/>
      <c r="R95" s="833"/>
      <c r="S95" s="832"/>
      <c r="T95" s="832"/>
      <c r="U95" s="832"/>
      <c r="V95" s="832"/>
      <c r="W95" s="834"/>
      <c r="X95" s="834"/>
      <c r="Y95" s="834"/>
      <c r="Z95" s="832"/>
      <c r="AA95" s="832"/>
      <c r="AB95" s="1118"/>
      <c r="AC95" s="835"/>
      <c r="AD95" s="836"/>
      <c r="AE95" s="836"/>
      <c r="AF95" s="826"/>
      <c r="AG95" s="851"/>
      <c r="AH95" s="826"/>
      <c r="AI95" s="826"/>
      <c r="AJ95" s="825"/>
      <c r="AK95" s="814"/>
      <c r="AL95" s="826"/>
      <c r="AM95" s="826"/>
      <c r="AN95" s="827">
        <f t="shared" si="8"/>
        <v>3</v>
      </c>
      <c r="AO95" s="828">
        <f t="shared" si="9"/>
        <v>6018.666666666667</v>
      </c>
      <c r="AP95" s="829">
        <f t="shared" si="10"/>
        <v>6030</v>
      </c>
      <c r="BA95" s="332">
        <f>AO95-'[21]INSUMOS '!AO95</f>
        <v>0</v>
      </c>
    </row>
    <row r="96" spans="1:53" ht="38.25" x14ac:dyDescent="0.2">
      <c r="A96" s="808">
        <v>94</v>
      </c>
      <c r="B96" s="1112" t="s">
        <v>7398</v>
      </c>
      <c r="C96" s="830" t="s">
        <v>266</v>
      </c>
      <c r="D96" s="810"/>
      <c r="E96" s="526"/>
      <c r="F96" s="880"/>
      <c r="G96" s="831"/>
      <c r="H96" s="831"/>
      <c r="I96" s="831"/>
      <c r="J96" s="832"/>
      <c r="K96" s="832"/>
      <c r="L96" s="832"/>
      <c r="M96" s="832"/>
      <c r="N96" s="832"/>
      <c r="O96" s="526"/>
      <c r="P96" s="526"/>
      <c r="Q96" s="801"/>
      <c r="R96" s="825"/>
      <c r="S96" s="858">
        <v>9158</v>
      </c>
      <c r="T96" s="832"/>
      <c r="U96" s="832"/>
      <c r="V96" s="832"/>
      <c r="W96" s="834"/>
      <c r="X96" s="834"/>
      <c r="Y96" s="834"/>
      <c r="Z96" s="832"/>
      <c r="AA96" s="832"/>
      <c r="AB96" s="884" t="s">
        <v>3351</v>
      </c>
      <c r="AC96" s="835"/>
      <c r="AD96" s="836"/>
      <c r="AE96" s="836"/>
      <c r="AF96" s="826"/>
      <c r="AG96" s="851"/>
      <c r="AH96" s="826"/>
      <c r="AI96" s="826"/>
      <c r="AJ96" s="825"/>
      <c r="AK96" s="814"/>
      <c r="AL96" s="826"/>
      <c r="AM96" s="826"/>
      <c r="AN96" s="827">
        <f t="shared" si="8"/>
        <v>2</v>
      </c>
      <c r="AO96" s="828">
        <f t="shared" si="9"/>
        <v>9158</v>
      </c>
      <c r="AP96" s="829">
        <f t="shared" si="10"/>
        <v>9158</v>
      </c>
      <c r="BA96" s="332">
        <f>AO96-'[21]INSUMOS '!AO96</f>
        <v>-2021</v>
      </c>
    </row>
    <row r="97" spans="1:53" ht="33" customHeight="1" x14ac:dyDescent="0.2">
      <c r="A97" s="942">
        <v>95</v>
      </c>
      <c r="B97" s="1112" t="s">
        <v>77</v>
      </c>
      <c r="C97" s="809" t="s">
        <v>3488</v>
      </c>
      <c r="D97" s="810"/>
      <c r="E97" s="526"/>
      <c r="F97" s="880"/>
      <c r="G97" s="831"/>
      <c r="H97" s="831"/>
      <c r="I97" s="831"/>
      <c r="J97" s="832"/>
      <c r="K97" s="832"/>
      <c r="L97" s="832"/>
      <c r="M97" s="832"/>
      <c r="N97" s="832"/>
      <c r="O97" s="832"/>
      <c r="P97" s="526"/>
      <c r="Q97" s="801"/>
      <c r="R97" s="825"/>
      <c r="S97" s="832"/>
      <c r="T97" s="832"/>
      <c r="U97" s="832"/>
      <c r="V97" s="832"/>
      <c r="W97" s="834"/>
      <c r="X97" s="834"/>
      <c r="Y97" s="834"/>
      <c r="Z97" s="832"/>
      <c r="AA97" s="832"/>
      <c r="AB97" s="891">
        <v>71500</v>
      </c>
      <c r="AC97" s="835"/>
      <c r="AD97" s="836"/>
      <c r="AE97" s="836"/>
      <c r="AF97" s="826"/>
      <c r="AG97" s="851"/>
      <c r="AH97" s="826"/>
      <c r="AI97" s="826"/>
      <c r="AJ97" s="825"/>
      <c r="AK97" s="814"/>
      <c r="AL97" s="826"/>
      <c r="AM97" s="826"/>
      <c r="AN97" s="827">
        <f t="shared" si="8"/>
        <v>1</v>
      </c>
      <c r="AO97" s="828">
        <f t="shared" si="9"/>
        <v>71500</v>
      </c>
      <c r="AP97" s="829">
        <f t="shared" si="10"/>
        <v>71500</v>
      </c>
      <c r="BA97" s="332">
        <f>AO97-'[21]INSUMOS '!AO97</f>
        <v>0</v>
      </c>
    </row>
    <row r="98" spans="1:53" ht="22.5" customHeight="1" x14ac:dyDescent="0.2">
      <c r="A98" s="808">
        <v>96</v>
      </c>
      <c r="B98" s="1112" t="s">
        <v>7399</v>
      </c>
      <c r="C98" s="809" t="s">
        <v>12</v>
      </c>
      <c r="D98" s="810"/>
      <c r="E98" s="526"/>
      <c r="F98" s="526"/>
      <c r="G98" s="831"/>
      <c r="H98" s="831"/>
      <c r="I98" s="831"/>
      <c r="J98" s="832"/>
      <c r="K98" s="832"/>
      <c r="L98" s="832"/>
      <c r="M98" s="832"/>
      <c r="N98" s="832"/>
      <c r="O98" s="832"/>
      <c r="P98" s="832"/>
      <c r="Q98" s="825"/>
      <c r="R98" s="825"/>
      <c r="S98" s="832"/>
      <c r="T98" s="832"/>
      <c r="U98" s="832"/>
      <c r="V98" s="832"/>
      <c r="W98" s="834"/>
      <c r="X98" s="834"/>
      <c r="Y98" s="858">
        <v>20600</v>
      </c>
      <c r="Z98" s="832"/>
      <c r="AA98" s="832"/>
      <c r="AB98" s="818"/>
      <c r="AC98" s="835"/>
      <c r="AD98" s="836"/>
      <c r="AE98" s="836"/>
      <c r="AF98" s="825"/>
      <c r="AG98" s="851"/>
      <c r="AH98" s="826"/>
      <c r="AI98" s="826"/>
      <c r="AJ98" s="825"/>
      <c r="AK98" s="814"/>
      <c r="AL98" s="826"/>
      <c r="AM98" s="826"/>
      <c r="AN98" s="827">
        <f t="shared" si="8"/>
        <v>1</v>
      </c>
      <c r="AO98" s="828">
        <f t="shared" si="9"/>
        <v>20600</v>
      </c>
      <c r="AP98" s="829">
        <f t="shared" si="10"/>
        <v>20600</v>
      </c>
      <c r="BA98" s="332">
        <f>AO98-'[21]INSUMOS '!AO98</f>
        <v>0</v>
      </c>
    </row>
    <row r="99" spans="1:53" ht="18" customHeight="1" x14ac:dyDescent="0.2">
      <c r="A99" s="942">
        <v>97</v>
      </c>
      <c r="B99" s="1112" t="s">
        <v>3020</v>
      </c>
      <c r="C99" s="809" t="s">
        <v>3490</v>
      </c>
      <c r="D99" s="810"/>
      <c r="E99" s="811"/>
      <c r="F99" s="811"/>
      <c r="G99" s="812"/>
      <c r="H99" s="812"/>
      <c r="I99" s="812"/>
      <c r="J99" s="813"/>
      <c r="K99" s="813"/>
      <c r="L99" s="813"/>
      <c r="M99" s="813"/>
      <c r="N99" s="813"/>
      <c r="O99" s="838">
        <v>24500</v>
      </c>
      <c r="P99" s="811"/>
      <c r="Q99" s="822"/>
      <c r="R99" s="833"/>
      <c r="S99" s="813"/>
      <c r="T99" s="1344">
        <v>44990</v>
      </c>
      <c r="U99" s="813"/>
      <c r="V99" s="813"/>
      <c r="W99" s="817"/>
      <c r="X99" s="817"/>
      <c r="Y99" s="817"/>
      <c r="Z99" s="813"/>
      <c r="AA99" s="813"/>
      <c r="AB99" s="818"/>
      <c r="AC99" s="819"/>
      <c r="AD99" s="820"/>
      <c r="AE99" s="820"/>
      <c r="AF99" s="826"/>
      <c r="AG99" s="851"/>
      <c r="AH99" s="826"/>
      <c r="AI99" s="826"/>
      <c r="AJ99" s="825"/>
      <c r="AK99" s="814"/>
      <c r="AL99" s="826"/>
      <c r="AM99" s="826"/>
      <c r="AN99" s="827">
        <f t="shared" ref="AN99:AN130" si="11">+COUNTA(D99:AM99)</f>
        <v>2</v>
      </c>
      <c r="AO99" s="828">
        <f t="shared" ref="AO99:AO130" si="12">+IFERROR(AVERAGE(D99:AM99),0)</f>
        <v>34745</v>
      </c>
      <c r="AP99" s="829">
        <f t="shared" ref="AP99:AP130" si="13">+IFERROR(MEDIAN(D99:AM99),0)</f>
        <v>34745</v>
      </c>
      <c r="BA99" s="332">
        <f>AO99-'[21]INSUMOS '!AO99</f>
        <v>0</v>
      </c>
    </row>
    <row r="100" spans="1:53" ht="19.5" customHeight="1" x14ac:dyDescent="0.2">
      <c r="A100" s="808">
        <v>98</v>
      </c>
      <c r="B100" s="1112" t="s">
        <v>45</v>
      </c>
      <c r="C100" s="809" t="s">
        <v>157</v>
      </c>
      <c r="D100" s="810"/>
      <c r="E100" s="526"/>
      <c r="F100" s="526"/>
      <c r="G100" s="882">
        <f>370482.16*1.19</f>
        <v>440873.77039999992</v>
      </c>
      <c r="H100" s="831"/>
      <c r="I100" s="831"/>
      <c r="J100" s="832"/>
      <c r="K100" s="832"/>
      <c r="L100" s="832"/>
      <c r="M100" s="832"/>
      <c r="N100" s="832"/>
      <c r="O100" s="832"/>
      <c r="P100" s="832"/>
      <c r="Q100" s="825"/>
      <c r="R100" s="825"/>
      <c r="S100" s="832"/>
      <c r="T100" s="832"/>
      <c r="U100" s="832"/>
      <c r="V100" s="832"/>
      <c r="W100" s="834"/>
      <c r="X100" s="834"/>
      <c r="Y100" s="834"/>
      <c r="Z100" s="832"/>
      <c r="AA100" s="832"/>
      <c r="AB100" s="818"/>
      <c r="AC100" s="835"/>
      <c r="AD100" s="836"/>
      <c r="AE100" s="836"/>
      <c r="AF100" s="826"/>
      <c r="AG100" s="851"/>
      <c r="AH100" s="826"/>
      <c r="AI100" s="826"/>
      <c r="AJ100" s="825"/>
      <c r="AK100" s="814"/>
      <c r="AL100" s="826"/>
      <c r="AM100" s="826"/>
      <c r="AN100" s="827">
        <f t="shared" si="11"/>
        <v>1</v>
      </c>
      <c r="AO100" s="828">
        <f t="shared" si="12"/>
        <v>440873.77039999992</v>
      </c>
      <c r="AP100" s="829">
        <f t="shared" si="13"/>
        <v>440873.77039999992</v>
      </c>
      <c r="BA100" s="332">
        <f>AO100-'[21]INSUMOS '!AO100</f>
        <v>0</v>
      </c>
    </row>
    <row r="101" spans="1:53" ht="25.5" x14ac:dyDescent="0.2">
      <c r="A101" s="942">
        <v>99</v>
      </c>
      <c r="B101" s="1112" t="s">
        <v>34</v>
      </c>
      <c r="C101" s="830" t="s">
        <v>266</v>
      </c>
      <c r="D101" s="810"/>
      <c r="E101" s="811"/>
      <c r="F101" s="811"/>
      <c r="G101" s="812"/>
      <c r="H101" s="812"/>
      <c r="I101" s="812"/>
      <c r="J101" s="813"/>
      <c r="K101" s="813"/>
      <c r="L101" s="813"/>
      <c r="M101" s="813"/>
      <c r="N101" s="813"/>
      <c r="O101" s="813"/>
      <c r="P101" s="813"/>
      <c r="Q101" s="814"/>
      <c r="R101" s="825"/>
      <c r="S101" s="1344">
        <v>5600</v>
      </c>
      <c r="T101" s="813"/>
      <c r="U101" s="813"/>
      <c r="V101" s="813"/>
      <c r="W101" s="817"/>
      <c r="X101" s="817"/>
      <c r="Y101" s="817"/>
      <c r="Z101" s="813"/>
      <c r="AA101" s="813"/>
      <c r="AB101" s="818"/>
      <c r="AC101" s="819"/>
      <c r="AD101" s="820"/>
      <c r="AE101" s="820"/>
      <c r="AF101" s="826"/>
      <c r="AG101" s="851"/>
      <c r="AH101" s="826"/>
      <c r="AI101" s="826"/>
      <c r="AJ101" s="825"/>
      <c r="AK101" s="814"/>
      <c r="AL101" s="826"/>
      <c r="AM101" s="826"/>
      <c r="AN101" s="827">
        <f t="shared" si="11"/>
        <v>1</v>
      </c>
      <c r="AO101" s="828">
        <f t="shared" si="12"/>
        <v>5600</v>
      </c>
      <c r="AP101" s="829">
        <f t="shared" si="13"/>
        <v>5600</v>
      </c>
      <c r="BA101" s="332">
        <f>AO101-'[21]INSUMOS '!AO101</f>
        <v>0</v>
      </c>
    </row>
    <row r="102" spans="1:53" x14ac:dyDescent="0.2">
      <c r="A102" s="808">
        <v>100</v>
      </c>
      <c r="B102" s="1112" t="s">
        <v>42</v>
      </c>
      <c r="C102" s="830" t="s">
        <v>266</v>
      </c>
      <c r="D102" s="810"/>
      <c r="E102" s="811"/>
      <c r="F102" s="811"/>
      <c r="G102" s="812"/>
      <c r="H102" s="812"/>
      <c r="I102" s="812"/>
      <c r="J102" s="813"/>
      <c r="K102" s="813"/>
      <c r="L102" s="813"/>
      <c r="M102" s="813"/>
      <c r="N102" s="813"/>
      <c r="O102" s="813"/>
      <c r="P102" s="813"/>
      <c r="Q102" s="814"/>
      <c r="R102" s="825"/>
      <c r="S102" s="817"/>
      <c r="T102" s="813"/>
      <c r="U102" s="813"/>
      <c r="V102" s="813"/>
      <c r="W102" s="817"/>
      <c r="X102" s="817"/>
      <c r="Y102" s="817"/>
      <c r="Z102" s="838">
        <f>6990/4</f>
        <v>1747.5</v>
      </c>
      <c r="AA102" s="813"/>
      <c r="AB102" s="818"/>
      <c r="AC102" s="819"/>
      <c r="AD102" s="820"/>
      <c r="AE102" s="820"/>
      <c r="AF102" s="826"/>
      <c r="AG102" s="851"/>
      <c r="AH102" s="826"/>
      <c r="AI102" s="826"/>
      <c r="AJ102" s="825"/>
      <c r="AK102" s="814"/>
      <c r="AL102" s="826"/>
      <c r="AM102" s="826"/>
      <c r="AN102" s="827">
        <f t="shared" si="11"/>
        <v>1</v>
      </c>
      <c r="AO102" s="828">
        <f t="shared" si="12"/>
        <v>1747.5</v>
      </c>
      <c r="AP102" s="829">
        <f t="shared" si="13"/>
        <v>1747.5</v>
      </c>
      <c r="BA102" s="332">
        <f>AO102-'[21]INSUMOS '!AO102</f>
        <v>0</v>
      </c>
    </row>
    <row r="103" spans="1:53" ht="25.5" x14ac:dyDescent="0.2">
      <c r="A103" s="942">
        <v>101</v>
      </c>
      <c r="B103" s="1112" t="s">
        <v>33</v>
      </c>
      <c r="C103" s="830" t="s">
        <v>266</v>
      </c>
      <c r="D103" s="810"/>
      <c r="E103" s="811"/>
      <c r="F103" s="811"/>
      <c r="G103" s="812"/>
      <c r="H103" s="812"/>
      <c r="I103" s="812"/>
      <c r="J103" s="813"/>
      <c r="K103" s="813"/>
      <c r="L103" s="813"/>
      <c r="M103" s="813"/>
      <c r="N103" s="813"/>
      <c r="O103" s="813"/>
      <c r="P103" s="813"/>
      <c r="Q103" s="814"/>
      <c r="R103" s="825"/>
      <c r="S103" s="1344">
        <v>3700</v>
      </c>
      <c r="T103" s="813"/>
      <c r="U103" s="813"/>
      <c r="V103" s="813"/>
      <c r="W103" s="817"/>
      <c r="X103" s="817"/>
      <c r="Y103" s="817"/>
      <c r="Z103" s="813"/>
      <c r="AA103" s="813"/>
      <c r="AB103" s="818"/>
      <c r="AC103" s="819"/>
      <c r="AD103" s="820"/>
      <c r="AE103" s="820"/>
      <c r="AF103" s="826"/>
      <c r="AG103" s="851"/>
      <c r="AH103" s="826"/>
      <c r="AI103" s="826"/>
      <c r="AJ103" s="825"/>
      <c r="AK103" s="814"/>
      <c r="AL103" s="826"/>
      <c r="AM103" s="826"/>
      <c r="AN103" s="827">
        <f t="shared" si="11"/>
        <v>1</v>
      </c>
      <c r="AO103" s="828">
        <f t="shared" si="12"/>
        <v>3700</v>
      </c>
      <c r="AP103" s="829">
        <f t="shared" si="13"/>
        <v>3700</v>
      </c>
      <c r="BA103" s="332">
        <f>AO103-'[21]INSUMOS '!AO103</f>
        <v>0</v>
      </c>
    </row>
    <row r="104" spans="1:53" x14ac:dyDescent="0.2">
      <c r="A104" s="808">
        <v>102</v>
      </c>
      <c r="B104" s="1112" t="s">
        <v>31</v>
      </c>
      <c r="C104" s="809" t="s">
        <v>3488</v>
      </c>
      <c r="D104" s="810"/>
      <c r="E104" s="811"/>
      <c r="F104" s="811"/>
      <c r="G104" s="812"/>
      <c r="H104" s="812"/>
      <c r="I104" s="812"/>
      <c r="J104" s="813"/>
      <c r="K104" s="813"/>
      <c r="L104" s="813"/>
      <c r="M104" s="813"/>
      <c r="N104" s="813"/>
      <c r="O104" s="813"/>
      <c r="P104" s="813"/>
      <c r="Q104" s="814"/>
      <c r="R104" s="825"/>
      <c r="S104" s="893">
        <f>115900/6</f>
        <v>19316.666666666668</v>
      </c>
      <c r="T104" s="813"/>
      <c r="U104" s="813"/>
      <c r="V104" s="813"/>
      <c r="W104" s="817"/>
      <c r="X104" s="817"/>
      <c r="Y104" s="817"/>
      <c r="Z104" s="813"/>
      <c r="AA104" s="813"/>
      <c r="AB104" s="818"/>
      <c r="AC104" s="819"/>
      <c r="AD104" s="820"/>
      <c r="AE104" s="820"/>
      <c r="AF104" s="826"/>
      <c r="AG104" s="851"/>
      <c r="AH104" s="826"/>
      <c r="AI104" s="826"/>
      <c r="AJ104" s="825"/>
      <c r="AK104" s="814"/>
      <c r="AL104" s="826"/>
      <c r="AM104" s="826"/>
      <c r="AN104" s="827">
        <f t="shared" si="11"/>
        <v>1</v>
      </c>
      <c r="AO104" s="828">
        <f t="shared" si="12"/>
        <v>19316.666666666668</v>
      </c>
      <c r="AP104" s="829">
        <f t="shared" si="13"/>
        <v>19316.666666666668</v>
      </c>
      <c r="BA104" s="332">
        <f>AO104-'[21]INSUMOS '!AO104</f>
        <v>0</v>
      </c>
    </row>
    <row r="105" spans="1:53" ht="18" customHeight="1" x14ac:dyDescent="0.2">
      <c r="A105" s="942">
        <v>103</v>
      </c>
      <c r="B105" s="1112" t="s">
        <v>7315</v>
      </c>
      <c r="C105" s="809" t="s">
        <v>3488</v>
      </c>
      <c r="D105" s="810"/>
      <c r="E105" s="811"/>
      <c r="F105" s="811"/>
      <c r="G105" s="812"/>
      <c r="H105" s="812"/>
      <c r="I105" s="812"/>
      <c r="J105" s="813"/>
      <c r="K105" s="813"/>
      <c r="L105" s="813"/>
      <c r="M105" s="813"/>
      <c r="N105" s="813"/>
      <c r="O105" s="813"/>
      <c r="P105" s="813"/>
      <c r="Q105" s="814"/>
      <c r="R105" s="825"/>
      <c r="S105" s="833"/>
      <c r="T105" s="813"/>
      <c r="U105" s="813"/>
      <c r="V105" s="813"/>
      <c r="W105" s="817"/>
      <c r="X105" s="817"/>
      <c r="Y105" s="817"/>
      <c r="Z105" s="813"/>
      <c r="AA105" s="813"/>
      <c r="AB105" s="818"/>
      <c r="AC105" s="819"/>
      <c r="AD105" s="820"/>
      <c r="AE105" s="820"/>
      <c r="AF105" s="826"/>
      <c r="AG105" s="1368">
        <f>97902/6</f>
        <v>16317</v>
      </c>
      <c r="AH105" s="1368">
        <f>109500/6</f>
        <v>18250</v>
      </c>
      <c r="AI105" s="826"/>
      <c r="AJ105" s="872">
        <f>97500/6</f>
        <v>16250</v>
      </c>
      <c r="AK105" s="814"/>
      <c r="AL105" s="826"/>
      <c r="AM105" s="826"/>
      <c r="AN105" s="827">
        <f t="shared" si="11"/>
        <v>3</v>
      </c>
      <c r="AO105" s="828">
        <f t="shared" si="12"/>
        <v>16939</v>
      </c>
      <c r="AP105" s="829">
        <f t="shared" si="13"/>
        <v>16317</v>
      </c>
      <c r="BA105" s="332">
        <f>AO105-'[21]INSUMOS '!AO105</f>
        <v>-6877.6666666666679</v>
      </c>
    </row>
    <row r="106" spans="1:53" ht="18" customHeight="1" x14ac:dyDescent="0.2">
      <c r="A106" s="808">
        <v>104</v>
      </c>
      <c r="B106" s="1112" t="s">
        <v>3024</v>
      </c>
      <c r="C106" s="809" t="s">
        <v>3490</v>
      </c>
      <c r="D106" s="810"/>
      <c r="E106" s="811"/>
      <c r="F106" s="811"/>
      <c r="G106" s="812"/>
      <c r="H106" s="812"/>
      <c r="I106" s="838">
        <v>98175</v>
      </c>
      <c r="J106" s="832"/>
      <c r="K106" s="832"/>
      <c r="L106" s="832"/>
      <c r="M106" s="832"/>
      <c r="N106" s="832"/>
      <c r="O106" s="813"/>
      <c r="P106" s="813"/>
      <c r="Q106" s="814"/>
      <c r="R106" s="833"/>
      <c r="S106" s="833"/>
      <c r="T106" s="813"/>
      <c r="U106" s="813"/>
      <c r="V106" s="813"/>
      <c r="W106" s="817"/>
      <c r="X106" s="817"/>
      <c r="Y106" s="817"/>
      <c r="Z106" s="813"/>
      <c r="AA106" s="813"/>
      <c r="AB106" s="818"/>
      <c r="AC106" s="819"/>
      <c r="AD106" s="820"/>
      <c r="AE106" s="820"/>
      <c r="AF106" s="826"/>
      <c r="AG106" s="851"/>
      <c r="AH106" s="826"/>
      <c r="AI106" s="826"/>
      <c r="AJ106" s="825"/>
      <c r="AK106" s="814"/>
      <c r="AL106" s="826"/>
      <c r="AM106" s="826"/>
      <c r="AN106" s="827">
        <f t="shared" si="11"/>
        <v>1</v>
      </c>
      <c r="AO106" s="828">
        <f t="shared" si="12"/>
        <v>98175</v>
      </c>
      <c r="AP106" s="829">
        <f t="shared" si="13"/>
        <v>98175</v>
      </c>
      <c r="BA106" s="332">
        <f>AO106-'[21]INSUMOS '!AO106</f>
        <v>0</v>
      </c>
    </row>
    <row r="107" spans="1:53" x14ac:dyDescent="0.2">
      <c r="A107" s="942">
        <v>105</v>
      </c>
      <c r="B107" s="1112" t="s">
        <v>2910</v>
      </c>
      <c r="C107" s="809" t="s">
        <v>3105</v>
      </c>
      <c r="D107" s="810"/>
      <c r="E107" s="526"/>
      <c r="F107" s="526"/>
      <c r="G107" s="831"/>
      <c r="H107" s="831"/>
      <c r="I107" s="838">
        <v>91630</v>
      </c>
      <c r="J107" s="832"/>
      <c r="K107" s="832"/>
      <c r="L107" s="832"/>
      <c r="M107" s="832"/>
      <c r="N107" s="832"/>
      <c r="O107" s="832"/>
      <c r="P107" s="526"/>
      <c r="Q107" s="801"/>
      <c r="R107" s="833"/>
      <c r="S107" s="833"/>
      <c r="T107" s="832"/>
      <c r="U107" s="832"/>
      <c r="V107" s="832"/>
      <c r="W107" s="834"/>
      <c r="X107" s="834"/>
      <c r="Y107" s="834"/>
      <c r="Z107" s="832"/>
      <c r="AA107" s="832"/>
      <c r="AB107" s="818"/>
      <c r="AC107" s="835"/>
      <c r="AD107" s="836"/>
      <c r="AE107" s="836"/>
      <c r="AF107" s="826"/>
      <c r="AG107" s="851"/>
      <c r="AH107" s="826"/>
      <c r="AI107" s="826"/>
      <c r="AJ107" s="825"/>
      <c r="AK107" s="814"/>
      <c r="AL107" s="826"/>
      <c r="AM107" s="826"/>
      <c r="AN107" s="827">
        <f t="shared" si="11"/>
        <v>1</v>
      </c>
      <c r="AO107" s="828">
        <f t="shared" si="12"/>
        <v>91630</v>
      </c>
      <c r="AP107" s="829">
        <f t="shared" si="13"/>
        <v>91630</v>
      </c>
      <c r="BA107" s="332">
        <f>AO107-'[21]INSUMOS '!AO107</f>
        <v>0</v>
      </c>
    </row>
    <row r="108" spans="1:53" x14ac:dyDescent="0.2">
      <c r="A108" s="808">
        <v>106</v>
      </c>
      <c r="B108" s="1112" t="s">
        <v>2930</v>
      </c>
      <c r="C108" s="809" t="s">
        <v>3105</v>
      </c>
      <c r="D108" s="810"/>
      <c r="E108" s="526"/>
      <c r="F108" s="526"/>
      <c r="G108" s="831"/>
      <c r="H108" s="831"/>
      <c r="I108" s="838">
        <v>178074</v>
      </c>
      <c r="J108" s="832"/>
      <c r="K108" s="832"/>
      <c r="L108" s="832"/>
      <c r="M108" s="832"/>
      <c r="N108" s="832"/>
      <c r="O108" s="832"/>
      <c r="P108" s="526"/>
      <c r="Q108" s="801"/>
      <c r="R108" s="825"/>
      <c r="S108" s="841">
        <v>181900</v>
      </c>
      <c r="T108" s="834"/>
      <c r="U108" s="832"/>
      <c r="V108" s="832"/>
      <c r="W108" s="834"/>
      <c r="X108" s="834"/>
      <c r="Y108" s="834"/>
      <c r="Z108" s="832"/>
      <c r="AA108" s="832"/>
      <c r="AB108" s="818"/>
      <c r="AC108" s="835"/>
      <c r="AD108" s="836"/>
      <c r="AE108" s="836"/>
      <c r="AF108" s="826"/>
      <c r="AG108" s="851"/>
      <c r="AH108" s="826"/>
      <c r="AI108" s="826"/>
      <c r="AJ108" s="825"/>
      <c r="AK108" s="814"/>
      <c r="AL108" s="826"/>
      <c r="AM108" s="826"/>
      <c r="AN108" s="827">
        <f t="shared" si="11"/>
        <v>2</v>
      </c>
      <c r="AO108" s="828">
        <f t="shared" si="12"/>
        <v>179987</v>
      </c>
      <c r="AP108" s="829">
        <f t="shared" si="13"/>
        <v>179987</v>
      </c>
      <c r="BA108" s="332">
        <f>AO108-'[21]INSUMOS '!AO108</f>
        <v>0</v>
      </c>
    </row>
    <row r="109" spans="1:53" x14ac:dyDescent="0.2">
      <c r="A109" s="942">
        <v>107</v>
      </c>
      <c r="B109" s="1112" t="s">
        <v>2933</v>
      </c>
      <c r="C109" s="809" t="s">
        <v>3105</v>
      </c>
      <c r="D109" s="810"/>
      <c r="E109" s="526"/>
      <c r="F109" s="526"/>
      <c r="G109" s="831"/>
      <c r="H109" s="831"/>
      <c r="I109" s="858">
        <v>58905</v>
      </c>
      <c r="J109" s="832"/>
      <c r="K109" s="832"/>
      <c r="L109" s="832"/>
      <c r="M109" s="832"/>
      <c r="N109" s="832"/>
      <c r="O109" s="858">
        <v>69468</v>
      </c>
      <c r="P109" s="526"/>
      <c r="Q109" s="801"/>
      <c r="R109" s="825"/>
      <c r="S109" s="1342">
        <v>67900</v>
      </c>
      <c r="T109" s="834"/>
      <c r="U109" s="832"/>
      <c r="V109" s="832"/>
      <c r="W109" s="834"/>
      <c r="X109" s="834"/>
      <c r="Y109" s="834"/>
      <c r="Z109" s="832"/>
      <c r="AA109" s="832"/>
      <c r="AB109" s="818"/>
      <c r="AC109" s="835"/>
      <c r="AD109" s="836"/>
      <c r="AE109" s="836"/>
      <c r="AF109" s="826"/>
      <c r="AG109" s="851"/>
      <c r="AH109" s="826"/>
      <c r="AI109" s="826"/>
      <c r="AJ109" s="825"/>
      <c r="AK109" s="814"/>
      <c r="AL109" s="826"/>
      <c r="AM109" s="826"/>
      <c r="AN109" s="827">
        <f t="shared" si="11"/>
        <v>3</v>
      </c>
      <c r="AO109" s="828">
        <f t="shared" si="12"/>
        <v>65424.333333333336</v>
      </c>
      <c r="AP109" s="829">
        <f t="shared" si="13"/>
        <v>67900</v>
      </c>
      <c r="BA109" s="332">
        <f>AO109-'[21]INSUMOS '!AO109</f>
        <v>0</v>
      </c>
    </row>
    <row r="110" spans="1:53" x14ac:dyDescent="0.2">
      <c r="A110" s="808">
        <v>108</v>
      </c>
      <c r="B110" s="1112" t="s">
        <v>3022</v>
      </c>
      <c r="C110" s="809" t="s">
        <v>3023</v>
      </c>
      <c r="D110" s="810"/>
      <c r="E110" s="526"/>
      <c r="F110" s="526"/>
      <c r="G110" s="831"/>
      <c r="H110" s="831"/>
      <c r="I110" s="831"/>
      <c r="J110" s="832"/>
      <c r="K110" s="832"/>
      <c r="L110" s="832"/>
      <c r="M110" s="832"/>
      <c r="N110" s="832"/>
      <c r="O110" s="832"/>
      <c r="P110" s="832"/>
      <c r="Q110" s="825"/>
      <c r="R110" s="825"/>
      <c r="S110" s="832"/>
      <c r="T110" s="1343">
        <v>8392</v>
      </c>
      <c r="U110" s="832"/>
      <c r="V110" s="832"/>
      <c r="W110" s="834"/>
      <c r="X110" s="834"/>
      <c r="Y110" s="834"/>
      <c r="Z110" s="832"/>
      <c r="AA110" s="832"/>
      <c r="AB110" s="818"/>
      <c r="AC110" s="835"/>
      <c r="AD110" s="836"/>
      <c r="AE110" s="836"/>
      <c r="AF110" s="826"/>
      <c r="AG110" s="851"/>
      <c r="AH110" s="826"/>
      <c r="AI110" s="826"/>
      <c r="AJ110" s="825"/>
      <c r="AK110" s="814"/>
      <c r="AL110" s="826"/>
      <c r="AM110" s="826"/>
      <c r="AN110" s="827">
        <f t="shared" si="11"/>
        <v>1</v>
      </c>
      <c r="AO110" s="828">
        <f t="shared" si="12"/>
        <v>8392</v>
      </c>
      <c r="AP110" s="829">
        <f t="shared" si="13"/>
        <v>8392</v>
      </c>
      <c r="BA110" s="332">
        <f>AO110-'[21]INSUMOS '!AO110</f>
        <v>0</v>
      </c>
    </row>
    <row r="111" spans="1:53" x14ac:dyDescent="0.2">
      <c r="A111" s="942">
        <v>109</v>
      </c>
      <c r="B111" s="1112" t="s">
        <v>7389</v>
      </c>
      <c r="C111" s="809" t="s">
        <v>266</v>
      </c>
      <c r="D111" s="810"/>
      <c r="E111" s="875"/>
      <c r="F111" s="880"/>
      <c r="G111" s="831"/>
      <c r="H111" s="831"/>
      <c r="I111" s="831"/>
      <c r="J111" s="832"/>
      <c r="K111" s="832"/>
      <c r="L111" s="832"/>
      <c r="M111" s="832"/>
      <c r="N111" s="832"/>
      <c r="O111" s="1343">
        <v>49523</v>
      </c>
      <c r="P111" s="526"/>
      <c r="Q111" s="801"/>
      <c r="R111" s="825"/>
      <c r="S111" s="832"/>
      <c r="T111" s="832"/>
      <c r="U111" s="832"/>
      <c r="V111" s="832"/>
      <c r="W111" s="834"/>
      <c r="X111" s="834"/>
      <c r="Y111" s="834"/>
      <c r="Z111" s="832"/>
      <c r="AA111" s="832"/>
      <c r="AB111" s="1117"/>
      <c r="AC111" s="835"/>
      <c r="AD111" s="836"/>
      <c r="AE111" s="836"/>
      <c r="AF111" s="826"/>
      <c r="AG111" s="851"/>
      <c r="AH111" s="826"/>
      <c r="AI111" s="826"/>
      <c r="AJ111" s="825"/>
      <c r="AK111" s="814"/>
      <c r="AL111" s="826"/>
      <c r="AM111" s="826"/>
      <c r="AN111" s="827">
        <f t="shared" si="11"/>
        <v>1</v>
      </c>
      <c r="AO111" s="828">
        <f t="shared" si="12"/>
        <v>49523</v>
      </c>
      <c r="AP111" s="829">
        <f t="shared" si="13"/>
        <v>49523</v>
      </c>
      <c r="BA111" s="332">
        <f>AO111-'[21]INSUMOS '!AO111</f>
        <v>0</v>
      </c>
    </row>
    <row r="112" spans="1:53" x14ac:dyDescent="0.2">
      <c r="A112" s="808">
        <v>110</v>
      </c>
      <c r="B112" s="1112" t="s">
        <v>3060</v>
      </c>
      <c r="C112" s="809" t="s">
        <v>266</v>
      </c>
      <c r="D112" s="810"/>
      <c r="E112" s="526"/>
      <c r="F112" s="880"/>
      <c r="G112" s="831"/>
      <c r="H112" s="831"/>
      <c r="I112" s="831"/>
      <c r="J112" s="832"/>
      <c r="K112" s="832"/>
      <c r="L112" s="832"/>
      <c r="M112" s="832"/>
      <c r="N112" s="832"/>
      <c r="O112" s="832"/>
      <c r="P112" s="832"/>
      <c r="Q112" s="825"/>
      <c r="R112" s="825"/>
      <c r="S112" s="832"/>
      <c r="T112" s="832"/>
      <c r="U112" s="832"/>
      <c r="V112" s="832"/>
      <c r="W112" s="834"/>
      <c r="X112" s="834"/>
      <c r="Y112" s="834"/>
      <c r="Z112" s="832"/>
      <c r="AA112" s="832"/>
      <c r="AB112" s="894">
        <v>6960000</v>
      </c>
      <c r="AC112" s="835"/>
      <c r="AD112" s="836"/>
      <c r="AE112" s="836"/>
      <c r="AF112" s="826"/>
      <c r="AG112" s="851"/>
      <c r="AH112" s="826"/>
      <c r="AI112" s="826"/>
      <c r="AJ112" s="825"/>
      <c r="AK112" s="814"/>
      <c r="AL112" s="826"/>
      <c r="AM112" s="826"/>
      <c r="AN112" s="827">
        <f t="shared" si="11"/>
        <v>1</v>
      </c>
      <c r="AO112" s="828">
        <f t="shared" si="12"/>
        <v>6960000</v>
      </c>
      <c r="AP112" s="829">
        <f t="shared" si="13"/>
        <v>6960000</v>
      </c>
      <c r="BA112" s="332">
        <f>AO112-'[21]INSUMOS '!AO112</f>
        <v>0</v>
      </c>
    </row>
    <row r="113" spans="1:53" x14ac:dyDescent="0.2">
      <c r="A113" s="942">
        <v>111</v>
      </c>
      <c r="B113" s="1112" t="s">
        <v>3234</v>
      </c>
      <c r="C113" s="809" t="s">
        <v>266</v>
      </c>
      <c r="D113" s="810"/>
      <c r="E113" s="526"/>
      <c r="F113" s="880"/>
      <c r="G113" s="831"/>
      <c r="H113" s="831"/>
      <c r="I113" s="831"/>
      <c r="J113" s="832"/>
      <c r="K113" s="832"/>
      <c r="L113" s="832"/>
      <c r="M113" s="832"/>
      <c r="N113" s="832"/>
      <c r="O113" s="832"/>
      <c r="P113" s="832"/>
      <c r="Q113" s="825"/>
      <c r="R113" s="825"/>
      <c r="S113" s="832"/>
      <c r="T113" s="832"/>
      <c r="U113" s="832"/>
      <c r="V113" s="832"/>
      <c r="W113" s="834"/>
      <c r="X113" s="834"/>
      <c r="Y113" s="834"/>
      <c r="Z113" s="832"/>
      <c r="AA113" s="832"/>
      <c r="AB113" s="894">
        <f>35000*1.19</f>
        <v>41650</v>
      </c>
      <c r="AC113" s="835"/>
      <c r="AD113" s="836"/>
      <c r="AE113" s="836"/>
      <c r="AF113" s="826"/>
      <c r="AG113" s="851"/>
      <c r="AH113" s="826"/>
      <c r="AI113" s="826"/>
      <c r="AJ113" s="825"/>
      <c r="AK113" s="814"/>
      <c r="AL113" s="826"/>
      <c r="AM113" s="826"/>
      <c r="AN113" s="827">
        <f t="shared" si="11"/>
        <v>1</v>
      </c>
      <c r="AO113" s="828">
        <f t="shared" si="12"/>
        <v>41650</v>
      </c>
      <c r="AP113" s="829">
        <f t="shared" si="13"/>
        <v>41650</v>
      </c>
      <c r="BA113" s="332">
        <f>AO113-'[21]INSUMOS '!AO113</f>
        <v>0</v>
      </c>
    </row>
    <row r="114" spans="1:53" x14ac:dyDescent="0.2">
      <c r="A114" s="808">
        <v>112</v>
      </c>
      <c r="B114" s="1112" t="s">
        <v>1519</v>
      </c>
      <c r="C114" s="809" t="s">
        <v>3490</v>
      </c>
      <c r="D114" s="810"/>
      <c r="E114" s="526"/>
      <c r="F114" s="887"/>
      <c r="G114" s="831"/>
      <c r="H114" s="831"/>
      <c r="I114" s="831"/>
      <c r="J114" s="832"/>
      <c r="K114" s="832"/>
      <c r="L114" s="832"/>
      <c r="M114" s="832"/>
      <c r="N114" s="832"/>
      <c r="O114" s="1343">
        <v>15861</v>
      </c>
      <c r="P114" s="832"/>
      <c r="Q114" s="825"/>
      <c r="R114" s="825"/>
      <c r="S114" s="832"/>
      <c r="T114" s="832"/>
      <c r="U114" s="832"/>
      <c r="V114" s="832"/>
      <c r="W114" s="834"/>
      <c r="X114" s="834"/>
      <c r="Y114" s="834"/>
      <c r="Z114" s="832"/>
      <c r="AA114" s="832"/>
      <c r="AB114" s="818"/>
      <c r="AC114" s="835"/>
      <c r="AD114" s="836"/>
      <c r="AE114" s="836"/>
      <c r="AF114" s="826"/>
      <c r="AG114" s="851"/>
      <c r="AH114" s="826"/>
      <c r="AI114" s="826"/>
      <c r="AJ114" s="825"/>
      <c r="AK114" s="814"/>
      <c r="AL114" s="826"/>
      <c r="AM114" s="826"/>
      <c r="AN114" s="827">
        <f t="shared" si="11"/>
        <v>1</v>
      </c>
      <c r="AO114" s="828">
        <f t="shared" si="12"/>
        <v>15861</v>
      </c>
      <c r="AP114" s="829">
        <f t="shared" si="13"/>
        <v>15861</v>
      </c>
      <c r="BA114" s="332">
        <f>AO114-'[21]INSUMOS '!AO114</f>
        <v>0</v>
      </c>
    </row>
    <row r="115" spans="1:53" x14ac:dyDescent="0.2">
      <c r="A115" s="942">
        <v>113</v>
      </c>
      <c r="B115" s="1112" t="s">
        <v>3128</v>
      </c>
      <c r="C115" s="809" t="s">
        <v>266</v>
      </c>
      <c r="D115" s="810"/>
      <c r="E115" s="526"/>
      <c r="F115" s="887"/>
      <c r="G115" s="831"/>
      <c r="H115" s="831"/>
      <c r="I115" s="831"/>
      <c r="J115" s="858">
        <v>700</v>
      </c>
      <c r="K115" s="832"/>
      <c r="L115" s="832"/>
      <c r="M115" s="832"/>
      <c r="N115" s="832"/>
      <c r="O115" s="832"/>
      <c r="P115" s="832"/>
      <c r="Q115" s="825"/>
      <c r="R115" s="825"/>
      <c r="S115" s="834"/>
      <c r="T115" s="832"/>
      <c r="U115" s="832"/>
      <c r="V115" s="832"/>
      <c r="W115" s="834"/>
      <c r="X115" s="834"/>
      <c r="Y115" s="834"/>
      <c r="Z115" s="832"/>
      <c r="AA115" s="832"/>
      <c r="AB115" s="818"/>
      <c r="AC115" s="835"/>
      <c r="AD115" s="836"/>
      <c r="AE115" s="836"/>
      <c r="AF115" s="826"/>
      <c r="AG115" s="851"/>
      <c r="AH115" s="826"/>
      <c r="AI115" s="826"/>
      <c r="AJ115" s="825"/>
      <c r="AK115" s="814"/>
      <c r="AL115" s="826"/>
      <c r="AM115" s="826"/>
      <c r="AN115" s="827">
        <f t="shared" si="11"/>
        <v>1</v>
      </c>
      <c r="AO115" s="828">
        <f t="shared" si="12"/>
        <v>700</v>
      </c>
      <c r="AP115" s="829">
        <f t="shared" si="13"/>
        <v>700</v>
      </c>
      <c r="BA115" s="332">
        <f>AO115-'[21]INSUMOS '!AO115</f>
        <v>0</v>
      </c>
    </row>
    <row r="116" spans="1:53" x14ac:dyDescent="0.2">
      <c r="A116" s="808">
        <v>114</v>
      </c>
      <c r="B116" s="1112" t="s">
        <v>3137</v>
      </c>
      <c r="C116" s="809" t="s">
        <v>93</v>
      </c>
      <c r="D116" s="810"/>
      <c r="E116" s="526"/>
      <c r="F116" s="887"/>
      <c r="G116" s="1419"/>
      <c r="H116" s="831"/>
      <c r="I116" s="831"/>
      <c r="J116" s="832"/>
      <c r="K116" s="832"/>
      <c r="L116" s="832"/>
      <c r="M116" s="832"/>
      <c r="N116" s="832"/>
      <c r="O116" s="832"/>
      <c r="P116" s="832"/>
      <c r="Q116" s="825"/>
      <c r="R116" s="825"/>
      <c r="S116" s="832"/>
      <c r="T116" s="832"/>
      <c r="U116" s="832"/>
      <c r="V116" s="832"/>
      <c r="W116" s="834"/>
      <c r="X116" s="834"/>
      <c r="Y116" s="834"/>
      <c r="Z116" s="858">
        <f>(1000*26200)/420</f>
        <v>62380.952380952382</v>
      </c>
      <c r="AA116" s="832"/>
      <c r="AB116" s="818"/>
      <c r="AC116" s="835"/>
      <c r="AD116" s="836"/>
      <c r="AE116" s="836"/>
      <c r="AF116" s="826"/>
      <c r="AG116" s="851"/>
      <c r="AH116" s="826"/>
      <c r="AI116" s="826"/>
      <c r="AJ116" s="825"/>
      <c r="AK116" s="814"/>
      <c r="AL116" s="826"/>
      <c r="AM116" s="826"/>
      <c r="AN116" s="827">
        <f t="shared" si="11"/>
        <v>1</v>
      </c>
      <c r="AO116" s="828">
        <f t="shared" si="12"/>
        <v>62380.952380952382</v>
      </c>
      <c r="AP116" s="829">
        <f t="shared" si="13"/>
        <v>62380.952380952382</v>
      </c>
      <c r="BA116" s="332">
        <f>AO116-'[21]INSUMOS '!AO116</f>
        <v>0</v>
      </c>
    </row>
    <row r="117" spans="1:53" x14ac:dyDescent="0.2">
      <c r="A117" s="942">
        <v>115</v>
      </c>
      <c r="B117" s="1112" t="s">
        <v>3156</v>
      </c>
      <c r="C117" s="809" t="s">
        <v>6</v>
      </c>
      <c r="D117" s="895"/>
      <c r="E117" s="526"/>
      <c r="F117" s="880"/>
      <c r="G117" s="831"/>
      <c r="H117" s="831"/>
      <c r="I117" s="831"/>
      <c r="J117" s="832"/>
      <c r="K117" s="832"/>
      <c r="L117" s="832"/>
      <c r="M117" s="832"/>
      <c r="N117" s="832"/>
      <c r="O117" s="834"/>
      <c r="P117" s="526"/>
      <c r="Q117" s="801"/>
      <c r="R117" s="825"/>
      <c r="S117" s="832"/>
      <c r="T117" s="832"/>
      <c r="U117" s="832"/>
      <c r="V117" s="832"/>
      <c r="W117" s="834"/>
      <c r="X117" s="834"/>
      <c r="Y117" s="834"/>
      <c r="Z117" s="832"/>
      <c r="AA117" s="832"/>
      <c r="AB117" s="1121">
        <v>55000</v>
      </c>
      <c r="AC117" s="835"/>
      <c r="AD117" s="836"/>
      <c r="AE117" s="836"/>
      <c r="AF117" s="826"/>
      <c r="AG117" s="851"/>
      <c r="AH117" s="826"/>
      <c r="AI117" s="826"/>
      <c r="AJ117" s="825"/>
      <c r="AK117" s="814"/>
      <c r="AL117" s="826"/>
      <c r="AM117" s="826"/>
      <c r="AN117" s="827">
        <f t="shared" si="11"/>
        <v>1</v>
      </c>
      <c r="AO117" s="828">
        <f t="shared" si="12"/>
        <v>55000</v>
      </c>
      <c r="AP117" s="829">
        <f t="shared" si="13"/>
        <v>55000</v>
      </c>
      <c r="BA117" s="332">
        <f>AO117-'[21]INSUMOS '!AO117</f>
        <v>0</v>
      </c>
    </row>
    <row r="118" spans="1:53" x14ac:dyDescent="0.2">
      <c r="A118" s="808">
        <v>116</v>
      </c>
      <c r="B118" s="1112" t="s">
        <v>3168</v>
      </c>
      <c r="C118" s="809" t="s">
        <v>3490</v>
      </c>
      <c r="D118" s="896"/>
      <c r="E118" s="526"/>
      <c r="F118" s="887"/>
      <c r="G118" s="831"/>
      <c r="H118" s="831"/>
      <c r="I118" s="858">
        <v>183260</v>
      </c>
      <c r="J118" s="832"/>
      <c r="K118" s="832"/>
      <c r="L118" s="832"/>
      <c r="M118" s="832"/>
      <c r="N118" s="832"/>
      <c r="O118" s="858">
        <v>162540</v>
      </c>
      <c r="P118" s="526"/>
      <c r="Q118" s="801"/>
      <c r="R118" s="825"/>
      <c r="S118" s="1343">
        <v>72200</v>
      </c>
      <c r="T118" s="832"/>
      <c r="U118" s="832"/>
      <c r="V118" s="832"/>
      <c r="W118" s="834"/>
      <c r="X118" s="834"/>
      <c r="Y118" s="834"/>
      <c r="Z118" s="832"/>
      <c r="AA118" s="832"/>
      <c r="AB118" s="1122"/>
      <c r="AC118" s="835"/>
      <c r="AD118" s="836"/>
      <c r="AE118" s="836"/>
      <c r="AF118" s="826"/>
      <c r="AG118" s="851"/>
      <c r="AH118" s="826"/>
      <c r="AI118" s="826"/>
      <c r="AJ118" s="825"/>
      <c r="AK118" s="814"/>
      <c r="AL118" s="826"/>
      <c r="AM118" s="826"/>
      <c r="AN118" s="827">
        <f t="shared" si="11"/>
        <v>3</v>
      </c>
      <c r="AO118" s="828">
        <f t="shared" si="12"/>
        <v>139333.33333333334</v>
      </c>
      <c r="AP118" s="829">
        <f t="shared" si="13"/>
        <v>162540</v>
      </c>
      <c r="BA118" s="332">
        <f>AO118-'[21]INSUMOS '!AO118</f>
        <v>0</v>
      </c>
    </row>
    <row r="119" spans="1:53" ht="38.25" x14ac:dyDescent="0.2">
      <c r="A119" s="942">
        <v>117</v>
      </c>
      <c r="B119" s="1112" t="s">
        <v>3157</v>
      </c>
      <c r="C119" s="809" t="s">
        <v>12</v>
      </c>
      <c r="D119" s="896"/>
      <c r="E119" s="526"/>
      <c r="F119" s="526"/>
      <c r="G119" s="831"/>
      <c r="H119" s="831"/>
      <c r="I119" s="831"/>
      <c r="J119" s="832"/>
      <c r="K119" s="832"/>
      <c r="L119" s="832"/>
      <c r="M119" s="832"/>
      <c r="N119" s="832"/>
      <c r="O119" s="832"/>
      <c r="P119" s="832"/>
      <c r="Q119" s="825"/>
      <c r="R119" s="825"/>
      <c r="S119" s="832"/>
      <c r="T119" s="832"/>
      <c r="U119" s="832"/>
      <c r="V119" s="832"/>
      <c r="W119" s="834"/>
      <c r="X119" s="834"/>
      <c r="Y119" s="834"/>
      <c r="Z119" s="1337"/>
      <c r="AA119" s="832"/>
      <c r="AB119" s="1336">
        <v>978000</v>
      </c>
      <c r="AC119" s="835"/>
      <c r="AD119" s="836"/>
      <c r="AE119" s="836"/>
      <c r="AF119" s="826"/>
      <c r="AG119" s="851"/>
      <c r="AH119" s="826"/>
      <c r="AI119" s="826"/>
      <c r="AJ119" s="825"/>
      <c r="AK119" s="814"/>
      <c r="AL119" s="826"/>
      <c r="AM119" s="826"/>
      <c r="AN119" s="827">
        <f t="shared" si="11"/>
        <v>1</v>
      </c>
      <c r="AO119" s="828">
        <f t="shared" si="12"/>
        <v>978000</v>
      </c>
      <c r="AP119" s="829">
        <f t="shared" si="13"/>
        <v>978000</v>
      </c>
      <c r="AR119" s="1114">
        <v>2900000</v>
      </c>
      <c r="BA119" s="332">
        <f>AO119-'[21]INSUMOS '!AO119</f>
        <v>0</v>
      </c>
    </row>
    <row r="120" spans="1:53" ht="31.15" customHeight="1" x14ac:dyDescent="0.2">
      <c r="A120" s="808">
        <v>118</v>
      </c>
      <c r="B120" s="1112" t="s">
        <v>3159</v>
      </c>
      <c r="C120" s="809" t="s">
        <v>266</v>
      </c>
      <c r="D120" s="896"/>
      <c r="E120" s="526"/>
      <c r="F120" s="884">
        <v>47600</v>
      </c>
      <c r="G120" s="831"/>
      <c r="H120" s="832"/>
      <c r="I120" s="832"/>
      <c r="J120" s="832"/>
      <c r="K120" s="832"/>
      <c r="L120" s="832"/>
      <c r="M120" s="832"/>
      <c r="N120" s="832"/>
      <c r="O120" s="834"/>
      <c r="P120" s="526"/>
      <c r="Q120" s="801"/>
      <c r="R120" s="825"/>
      <c r="S120" s="832"/>
      <c r="T120" s="832"/>
      <c r="U120" s="832"/>
      <c r="V120" s="832"/>
      <c r="W120" s="834"/>
      <c r="X120" s="834"/>
      <c r="Y120" s="834"/>
      <c r="Z120" s="832"/>
      <c r="AA120" s="832"/>
      <c r="AB120" s="897"/>
      <c r="AC120" s="835"/>
      <c r="AD120" s="836"/>
      <c r="AE120" s="836"/>
      <c r="AF120" s="826"/>
      <c r="AG120" s="851"/>
      <c r="AH120" s="826"/>
      <c r="AI120" s="826"/>
      <c r="AJ120" s="825"/>
      <c r="AK120" s="814"/>
      <c r="AL120" s="826"/>
      <c r="AM120" s="826"/>
      <c r="AN120" s="827">
        <f t="shared" si="11"/>
        <v>1</v>
      </c>
      <c r="AO120" s="828">
        <f t="shared" si="12"/>
        <v>47600</v>
      </c>
      <c r="AP120" s="829">
        <f t="shared" si="13"/>
        <v>47600</v>
      </c>
      <c r="BA120" s="332">
        <f>AO120-'[21]INSUMOS '!AO120</f>
        <v>0</v>
      </c>
    </row>
    <row r="121" spans="1:53" x14ac:dyDescent="0.2">
      <c r="A121" s="942">
        <v>119</v>
      </c>
      <c r="B121" s="1112" t="s">
        <v>3162</v>
      </c>
      <c r="C121" s="809" t="s">
        <v>12</v>
      </c>
      <c r="D121" s="896"/>
      <c r="E121" s="526"/>
      <c r="F121" s="887"/>
      <c r="G121" s="882">
        <f>104377.68*1.19</f>
        <v>124209.43919999998</v>
      </c>
      <c r="H121" s="831"/>
      <c r="I121" s="831"/>
      <c r="J121" s="832"/>
      <c r="K121" s="832"/>
      <c r="L121" s="832"/>
      <c r="M121" s="832"/>
      <c r="N121" s="832"/>
      <c r="O121" s="832"/>
      <c r="P121" s="832"/>
      <c r="Q121" s="825"/>
      <c r="R121" s="825"/>
      <c r="S121" s="832"/>
      <c r="T121" s="832"/>
      <c r="U121" s="832"/>
      <c r="V121" s="832"/>
      <c r="W121" s="834"/>
      <c r="X121" s="834"/>
      <c r="Y121" s="834"/>
      <c r="Z121" s="832"/>
      <c r="AA121" s="832"/>
      <c r="AB121" s="818"/>
      <c r="AC121" s="835"/>
      <c r="AD121" s="836"/>
      <c r="AE121" s="836"/>
      <c r="AF121" s="826"/>
      <c r="AG121" s="851"/>
      <c r="AH121" s="826"/>
      <c r="AI121" s="826"/>
      <c r="AJ121" s="825"/>
      <c r="AK121" s="814"/>
      <c r="AL121" s="826"/>
      <c r="AM121" s="826"/>
      <c r="AN121" s="827">
        <f t="shared" si="11"/>
        <v>1</v>
      </c>
      <c r="AO121" s="828">
        <f t="shared" si="12"/>
        <v>124209.43919999998</v>
      </c>
      <c r="AP121" s="829">
        <f t="shared" si="13"/>
        <v>124209.43919999998</v>
      </c>
      <c r="BA121" s="332">
        <f>AO121-'[21]INSUMOS '!AO121</f>
        <v>0</v>
      </c>
    </row>
    <row r="122" spans="1:53" x14ac:dyDescent="0.2">
      <c r="A122" s="808">
        <v>120</v>
      </c>
      <c r="B122" s="1112" t="s">
        <v>3163</v>
      </c>
      <c r="C122" s="809" t="s">
        <v>12</v>
      </c>
      <c r="D122" s="896"/>
      <c r="E122" s="526"/>
      <c r="F122" s="887"/>
      <c r="G122" s="882">
        <f>128847.84*1.19</f>
        <v>153328.9296</v>
      </c>
      <c r="H122" s="883"/>
      <c r="I122" s="831"/>
      <c r="J122" s="832"/>
      <c r="K122" s="832"/>
      <c r="L122" s="832"/>
      <c r="M122" s="832"/>
      <c r="N122" s="832"/>
      <c r="O122" s="832"/>
      <c r="P122" s="832"/>
      <c r="Q122" s="825"/>
      <c r="R122" s="825"/>
      <c r="S122" s="832"/>
      <c r="T122" s="832"/>
      <c r="U122" s="832"/>
      <c r="V122" s="832"/>
      <c r="W122" s="834"/>
      <c r="X122" s="834"/>
      <c r="Y122" s="834"/>
      <c r="Z122" s="832"/>
      <c r="AA122" s="832"/>
      <c r="AB122" s="818"/>
      <c r="AC122" s="835"/>
      <c r="AD122" s="836"/>
      <c r="AE122" s="836"/>
      <c r="AF122" s="826"/>
      <c r="AG122" s="851"/>
      <c r="AH122" s="826"/>
      <c r="AI122" s="826"/>
      <c r="AJ122" s="825"/>
      <c r="AK122" s="814"/>
      <c r="AL122" s="826"/>
      <c r="AM122" s="826"/>
      <c r="AN122" s="827">
        <f t="shared" si="11"/>
        <v>1</v>
      </c>
      <c r="AO122" s="1409">
        <f t="shared" si="12"/>
        <v>153328.9296</v>
      </c>
      <c r="AP122" s="829">
        <f t="shared" si="13"/>
        <v>153328.9296</v>
      </c>
      <c r="BA122" s="332">
        <f>AO122-'[21]INSUMOS '!AO122</f>
        <v>0</v>
      </c>
    </row>
    <row r="123" spans="1:53" ht="25.5" x14ac:dyDescent="0.2">
      <c r="A123" s="942">
        <v>121</v>
      </c>
      <c r="B123" s="1112" t="s">
        <v>3164</v>
      </c>
      <c r="C123" s="809" t="s">
        <v>12</v>
      </c>
      <c r="D123" s="896"/>
      <c r="E123" s="526"/>
      <c r="F123" s="887"/>
      <c r="G123" s="882">
        <f>128847.84*1.19</f>
        <v>153328.9296</v>
      </c>
      <c r="H123" s="883"/>
      <c r="I123" s="832"/>
      <c r="J123" s="832"/>
      <c r="K123" s="832"/>
      <c r="L123" s="832"/>
      <c r="M123" s="832"/>
      <c r="N123" s="832"/>
      <c r="O123" s="832"/>
      <c r="P123" s="832"/>
      <c r="Q123" s="825"/>
      <c r="R123" s="825"/>
      <c r="S123" s="832"/>
      <c r="T123" s="832"/>
      <c r="U123" s="832"/>
      <c r="V123" s="832"/>
      <c r="W123" s="834"/>
      <c r="X123" s="834"/>
      <c r="Y123" s="834"/>
      <c r="Z123" s="832"/>
      <c r="AA123" s="832"/>
      <c r="AB123" s="818"/>
      <c r="AC123" s="835"/>
      <c r="AD123" s="836"/>
      <c r="AE123" s="836"/>
      <c r="AF123" s="826"/>
      <c r="AG123" s="851"/>
      <c r="AH123" s="826"/>
      <c r="AI123" s="826"/>
      <c r="AJ123" s="825"/>
      <c r="AK123" s="814"/>
      <c r="AL123" s="826"/>
      <c r="AM123" s="826"/>
      <c r="AN123" s="827">
        <f t="shared" si="11"/>
        <v>1</v>
      </c>
      <c r="AO123" s="1409">
        <f t="shared" si="12"/>
        <v>153328.9296</v>
      </c>
      <c r="AP123" s="829">
        <f t="shared" si="13"/>
        <v>153328.9296</v>
      </c>
      <c r="BA123" s="332">
        <f>AO123-'[21]INSUMOS '!AO123</f>
        <v>0</v>
      </c>
    </row>
    <row r="124" spans="1:53" ht="27.75" customHeight="1" x14ac:dyDescent="0.2">
      <c r="A124" s="808">
        <v>122</v>
      </c>
      <c r="B124" s="1112" t="s">
        <v>7425</v>
      </c>
      <c r="C124" s="809" t="s">
        <v>12</v>
      </c>
      <c r="D124" s="896"/>
      <c r="E124" s="526"/>
      <c r="F124" s="887"/>
      <c r="G124" s="882">
        <f>125263.52*1.19</f>
        <v>149063.5888</v>
      </c>
      <c r="H124" s="883"/>
      <c r="I124" s="832"/>
      <c r="J124" s="832"/>
      <c r="K124" s="832"/>
      <c r="L124" s="832"/>
      <c r="M124" s="832"/>
      <c r="N124" s="832"/>
      <c r="O124" s="832"/>
      <c r="P124" s="832"/>
      <c r="Q124" s="825"/>
      <c r="R124" s="825"/>
      <c r="S124" s="832"/>
      <c r="T124" s="832"/>
      <c r="U124" s="832"/>
      <c r="V124" s="832"/>
      <c r="W124" s="834"/>
      <c r="X124" s="834"/>
      <c r="Y124" s="834"/>
      <c r="Z124" s="832"/>
      <c r="AA124" s="832"/>
      <c r="AB124" s="818"/>
      <c r="AC124" s="835"/>
      <c r="AD124" s="836"/>
      <c r="AE124" s="836"/>
      <c r="AF124" s="826"/>
      <c r="AG124" s="851"/>
      <c r="AH124" s="826"/>
      <c r="AI124" s="826"/>
      <c r="AJ124" s="825"/>
      <c r="AK124" s="814"/>
      <c r="AL124" s="826"/>
      <c r="AM124" s="826"/>
      <c r="AN124" s="827">
        <f t="shared" si="11"/>
        <v>1</v>
      </c>
      <c r="AO124" s="828">
        <f t="shared" si="12"/>
        <v>149063.5888</v>
      </c>
      <c r="AP124" s="829">
        <f t="shared" si="13"/>
        <v>149063.5888</v>
      </c>
      <c r="BA124" s="332">
        <f>AO124-'[21]INSUMOS '!AO124</f>
        <v>0</v>
      </c>
    </row>
    <row r="125" spans="1:53" ht="30.75" customHeight="1" x14ac:dyDescent="0.2">
      <c r="A125" s="942">
        <v>123</v>
      </c>
      <c r="B125" s="1112" t="s">
        <v>7426</v>
      </c>
      <c r="C125" s="809" t="s">
        <v>12</v>
      </c>
      <c r="D125" s="896"/>
      <c r="E125" s="526"/>
      <c r="F125" s="887"/>
      <c r="G125" s="1469"/>
      <c r="H125" s="883"/>
      <c r="I125" s="832"/>
      <c r="J125" s="832"/>
      <c r="K125" s="832"/>
      <c r="L125" s="832"/>
      <c r="M125" s="832"/>
      <c r="N125" s="832"/>
      <c r="O125" s="832"/>
      <c r="P125" s="832"/>
      <c r="Q125" s="825"/>
      <c r="R125" s="825"/>
      <c r="S125" s="832"/>
      <c r="T125" s="832"/>
      <c r="U125" s="832"/>
      <c r="V125" s="832"/>
      <c r="W125" s="834"/>
      <c r="X125" s="834"/>
      <c r="Y125" s="834"/>
      <c r="Z125" s="832"/>
      <c r="AA125" s="832"/>
      <c r="AB125" s="818"/>
      <c r="AC125" s="835"/>
      <c r="AD125" s="836"/>
      <c r="AE125" s="836"/>
      <c r="AF125" s="826"/>
      <c r="AG125" s="851"/>
      <c r="AH125" s="826"/>
      <c r="AI125" s="826"/>
      <c r="AJ125" s="825"/>
      <c r="AK125" s="814"/>
      <c r="AL125" s="894">
        <v>196248</v>
      </c>
      <c r="AM125" s="826"/>
      <c r="AN125" s="827">
        <f t="shared" si="11"/>
        <v>1</v>
      </c>
      <c r="AO125" s="1409">
        <f t="shared" si="12"/>
        <v>196248</v>
      </c>
      <c r="AP125" s="829">
        <f t="shared" si="13"/>
        <v>196248</v>
      </c>
      <c r="BA125" s="332">
        <f>AO125-'[21]INSUMOS '!AO125</f>
        <v>28587.043600000005</v>
      </c>
    </row>
    <row r="126" spans="1:53" x14ac:dyDescent="0.2">
      <c r="A126" s="808">
        <v>124</v>
      </c>
      <c r="B126" s="1112" t="s">
        <v>3167</v>
      </c>
      <c r="C126" s="809" t="s">
        <v>3490</v>
      </c>
      <c r="D126" s="896"/>
      <c r="E126" s="526"/>
      <c r="F126" s="887"/>
      <c r="G126" s="832"/>
      <c r="H126" s="832"/>
      <c r="I126" s="858">
        <v>99484</v>
      </c>
      <c r="J126" s="832"/>
      <c r="K126" s="832"/>
      <c r="L126" s="832"/>
      <c r="M126" s="832"/>
      <c r="N126" s="832"/>
      <c r="O126" s="858">
        <v>112000</v>
      </c>
      <c r="P126" s="526"/>
      <c r="Q126" s="801"/>
      <c r="R126" s="825"/>
      <c r="S126" s="832"/>
      <c r="T126" s="832"/>
      <c r="U126" s="832"/>
      <c r="V126" s="832"/>
      <c r="W126" s="834"/>
      <c r="X126" s="834"/>
      <c r="Y126" s="834"/>
      <c r="Z126" s="832"/>
      <c r="AA126" s="832"/>
      <c r="AB126" s="818"/>
      <c r="AC126" s="835"/>
      <c r="AD126" s="836"/>
      <c r="AE126" s="836"/>
      <c r="AF126" s="826"/>
      <c r="AG126" s="851"/>
      <c r="AH126" s="826"/>
      <c r="AI126" s="826"/>
      <c r="AJ126" s="825"/>
      <c r="AK126" s="814"/>
      <c r="AL126" s="826"/>
      <c r="AM126" s="826"/>
      <c r="AN126" s="827">
        <f t="shared" si="11"/>
        <v>2</v>
      </c>
      <c r="AO126" s="828">
        <f t="shared" si="12"/>
        <v>105742</v>
      </c>
      <c r="AP126" s="829">
        <f t="shared" si="13"/>
        <v>105742</v>
      </c>
      <c r="BA126" s="332">
        <f>AO126-'[21]INSUMOS '!AO126</f>
        <v>0</v>
      </c>
    </row>
    <row r="127" spans="1:53" x14ac:dyDescent="0.2">
      <c r="A127" s="942">
        <v>125</v>
      </c>
      <c r="B127" s="1112" t="s">
        <v>3173</v>
      </c>
      <c r="C127" s="809" t="s">
        <v>266</v>
      </c>
      <c r="D127" s="898"/>
      <c r="E127" s="526"/>
      <c r="F127" s="880"/>
      <c r="G127" s="831"/>
      <c r="H127" s="832"/>
      <c r="I127" s="832"/>
      <c r="J127" s="832"/>
      <c r="K127" s="832"/>
      <c r="L127" s="832"/>
      <c r="M127" s="832"/>
      <c r="N127" s="832"/>
      <c r="O127" s="526"/>
      <c r="P127" s="526"/>
      <c r="Q127" s="801"/>
      <c r="R127" s="825"/>
      <c r="S127" s="832"/>
      <c r="T127" s="832"/>
      <c r="U127" s="832"/>
      <c r="V127" s="832"/>
      <c r="W127" s="834"/>
      <c r="X127" s="834"/>
      <c r="Y127" s="834"/>
      <c r="Z127" s="832"/>
      <c r="AA127" s="832"/>
      <c r="AB127" s="1119">
        <f>AR127*1.0562*1.1312*1.0928</f>
        <v>266841.89486304001</v>
      </c>
      <c r="AC127" s="835"/>
      <c r="AD127" s="836"/>
      <c r="AE127" s="836"/>
      <c r="AF127" s="826"/>
      <c r="AG127" s="851"/>
      <c r="AH127" s="826"/>
      <c r="AI127" s="826"/>
      <c r="AJ127" s="825"/>
      <c r="AK127" s="814"/>
      <c r="AL127" s="826"/>
      <c r="AM127" s="826"/>
      <c r="AN127" s="827">
        <f t="shared" si="11"/>
        <v>1</v>
      </c>
      <c r="AO127" s="828">
        <f t="shared" si="12"/>
        <v>266841.89486304001</v>
      </c>
      <c r="AP127" s="829">
        <f t="shared" si="13"/>
        <v>266841.89486304001</v>
      </c>
      <c r="AR127" s="1114">
        <v>204375</v>
      </c>
      <c r="BA127" s="332">
        <f>AO127-'[21]INSUMOS '!AO127</f>
        <v>0</v>
      </c>
    </row>
    <row r="128" spans="1:53" ht="75" customHeight="1" x14ac:dyDescent="0.2">
      <c r="A128" s="808">
        <v>126</v>
      </c>
      <c r="B128" s="1112" t="s">
        <v>7400</v>
      </c>
      <c r="C128" s="809" t="s">
        <v>266</v>
      </c>
      <c r="D128" s="896"/>
      <c r="E128" s="526"/>
      <c r="F128" s="994"/>
      <c r="G128" s="902"/>
      <c r="H128" s="526"/>
      <c r="I128" s="832"/>
      <c r="J128" s="832"/>
      <c r="K128" s="832"/>
      <c r="L128" s="832"/>
      <c r="M128" s="832"/>
      <c r="N128" s="832"/>
      <c r="O128" s="832"/>
      <c r="P128" s="526"/>
      <c r="Q128" s="801"/>
      <c r="R128" s="825"/>
      <c r="S128" s="832"/>
      <c r="T128" s="832"/>
      <c r="U128" s="832"/>
      <c r="V128" s="832"/>
      <c r="W128" s="834"/>
      <c r="X128" s="834"/>
      <c r="Y128" s="834"/>
      <c r="Z128" s="834"/>
      <c r="AA128" s="818"/>
      <c r="AB128" s="899">
        <v>108888</v>
      </c>
      <c r="AC128" s="900"/>
      <c r="AD128" s="901"/>
      <c r="AE128" s="901"/>
      <c r="AF128" s="826"/>
      <c r="AG128" s="851"/>
      <c r="AH128" s="826"/>
      <c r="AI128" s="826"/>
      <c r="AJ128" s="825"/>
      <c r="AK128" s="814"/>
      <c r="AL128" s="826"/>
      <c r="AM128" s="826"/>
      <c r="AN128" s="827">
        <f t="shared" si="11"/>
        <v>1</v>
      </c>
      <c r="AO128" s="828">
        <f t="shared" si="12"/>
        <v>108888</v>
      </c>
      <c r="AP128" s="829">
        <f t="shared" si="13"/>
        <v>108888</v>
      </c>
      <c r="BA128" s="332">
        <f>AO128-'[21]INSUMOS '!AO128</f>
        <v>0</v>
      </c>
    </row>
    <row r="129" spans="1:53" ht="51" x14ac:dyDescent="0.2">
      <c r="A129" s="942">
        <v>127</v>
      </c>
      <c r="B129" s="1112" t="s">
        <v>7401</v>
      </c>
      <c r="C129" s="809" t="s">
        <v>12</v>
      </c>
      <c r="D129" s="903"/>
      <c r="E129" s="526"/>
      <c r="F129" s="904"/>
      <c r="G129" s="831"/>
      <c r="H129" s="832"/>
      <c r="I129" s="832"/>
      <c r="J129" s="832"/>
      <c r="K129" s="832"/>
      <c r="L129" s="832"/>
      <c r="M129" s="832"/>
      <c r="N129" s="832"/>
      <c r="O129" s="832"/>
      <c r="P129" s="832"/>
      <c r="Q129" s="825"/>
      <c r="R129" s="825"/>
      <c r="S129" s="832"/>
      <c r="T129" s="832"/>
      <c r="U129" s="832"/>
      <c r="V129" s="832"/>
      <c r="W129" s="834"/>
      <c r="X129" s="834"/>
      <c r="Y129" s="834"/>
      <c r="Z129" s="832"/>
      <c r="AA129" s="832"/>
      <c r="AB129" s="1119">
        <f>2360000*1.19</f>
        <v>2808400</v>
      </c>
      <c r="AC129" s="835"/>
      <c r="AD129" s="836"/>
      <c r="AE129" s="836"/>
      <c r="AF129" s="826"/>
      <c r="AG129" s="851"/>
      <c r="AH129" s="826"/>
      <c r="AI129" s="826"/>
      <c r="AJ129" s="825"/>
      <c r="AK129" s="814"/>
      <c r="AL129" s="826"/>
      <c r="AM129" s="826"/>
      <c r="AN129" s="827">
        <f t="shared" si="11"/>
        <v>1</v>
      </c>
      <c r="AO129" s="828">
        <f t="shared" si="12"/>
        <v>2808400</v>
      </c>
      <c r="AP129" s="829">
        <f t="shared" si="13"/>
        <v>2808400</v>
      </c>
      <c r="BA129" s="332">
        <f>AO129-'[21]INSUMOS '!AO129</f>
        <v>0</v>
      </c>
    </row>
    <row r="130" spans="1:53" ht="51" x14ac:dyDescent="0.2">
      <c r="A130" s="808">
        <v>128</v>
      </c>
      <c r="B130" s="1112" t="s">
        <v>2438</v>
      </c>
      <c r="C130" s="809" t="s">
        <v>266</v>
      </c>
      <c r="D130" s="896"/>
      <c r="E130" s="526"/>
      <c r="F130" s="887"/>
      <c r="G130" s="831"/>
      <c r="H130" s="832"/>
      <c r="I130" s="832"/>
      <c r="J130" s="832"/>
      <c r="K130" s="832"/>
      <c r="L130" s="832"/>
      <c r="M130" s="832"/>
      <c r="N130" s="832"/>
      <c r="O130" s="873">
        <v>918108</v>
      </c>
      <c r="P130" s="832"/>
      <c r="Q130" s="825"/>
      <c r="R130" s="825"/>
      <c r="S130" s="832"/>
      <c r="T130" s="832"/>
      <c r="U130" s="832"/>
      <c r="V130" s="832"/>
      <c r="W130" s="834"/>
      <c r="X130" s="834"/>
      <c r="Y130" s="834"/>
      <c r="Z130" s="832"/>
      <c r="AA130" s="832"/>
      <c r="AB130" s="1119">
        <v>960000</v>
      </c>
      <c r="AC130" s="835"/>
      <c r="AD130" s="836"/>
      <c r="AE130" s="836"/>
      <c r="AF130" s="826"/>
      <c r="AG130" s="851"/>
      <c r="AH130" s="826"/>
      <c r="AI130" s="826"/>
      <c r="AJ130" s="825"/>
      <c r="AK130" s="814"/>
      <c r="AL130" s="826"/>
      <c r="AM130" s="826"/>
      <c r="AN130" s="827">
        <f t="shared" si="11"/>
        <v>2</v>
      </c>
      <c r="AO130" s="828">
        <f t="shared" si="12"/>
        <v>939054</v>
      </c>
      <c r="AP130" s="829">
        <f t="shared" si="13"/>
        <v>939054</v>
      </c>
      <c r="BA130" s="332">
        <f>AO130-'[21]INSUMOS '!AO130</f>
        <v>0</v>
      </c>
    </row>
    <row r="131" spans="1:53" x14ac:dyDescent="0.2">
      <c r="A131" s="942">
        <v>129</v>
      </c>
      <c r="B131" s="1112" t="s">
        <v>3246</v>
      </c>
      <c r="C131" s="809" t="s">
        <v>266</v>
      </c>
      <c r="D131" s="810"/>
      <c r="E131" s="526"/>
      <c r="F131" s="880"/>
      <c r="G131" s="831"/>
      <c r="H131" s="880"/>
      <c r="I131" s="832"/>
      <c r="J131" s="832"/>
      <c r="K131" s="832"/>
      <c r="L131" s="832"/>
      <c r="M131" s="832"/>
      <c r="N131" s="832"/>
      <c r="O131" s="832"/>
      <c r="P131" s="832"/>
      <c r="Q131" s="825"/>
      <c r="R131" s="825"/>
      <c r="S131" s="832"/>
      <c r="T131" s="832"/>
      <c r="U131" s="832"/>
      <c r="V131" s="832"/>
      <c r="W131" s="834"/>
      <c r="X131" s="834"/>
      <c r="Y131" s="834"/>
      <c r="Z131" s="1354">
        <f>41800*1.19</f>
        <v>49742</v>
      </c>
      <c r="AA131" s="832"/>
      <c r="AB131" s="1120"/>
      <c r="AC131" s="835"/>
      <c r="AD131" s="836"/>
      <c r="AE131" s="836"/>
      <c r="AF131" s="826"/>
      <c r="AG131" s="851"/>
      <c r="AH131" s="826"/>
      <c r="AI131" s="826"/>
      <c r="AJ131" s="825"/>
      <c r="AK131" s="814"/>
      <c r="AL131" s="826"/>
      <c r="AM131" s="826"/>
      <c r="AN131" s="827">
        <f t="shared" ref="AN131:AN164" si="14">+COUNTA(D131:AM131)</f>
        <v>1</v>
      </c>
      <c r="AO131" s="828">
        <f t="shared" ref="AO131:AO154" si="15">+IFERROR(AVERAGE(D131:AM131),0)</f>
        <v>49742</v>
      </c>
      <c r="AP131" s="829">
        <f t="shared" ref="AP131:AP164" si="16">+IFERROR(MEDIAN(D131:AM131),0)</f>
        <v>49742</v>
      </c>
      <c r="BA131" s="332">
        <f>AO131-'[21]INSUMOS '!AO131</f>
        <v>0</v>
      </c>
    </row>
    <row r="132" spans="1:53" ht="38.25" x14ac:dyDescent="0.2">
      <c r="A132" s="808">
        <v>130</v>
      </c>
      <c r="B132" s="1112" t="s">
        <v>3238</v>
      </c>
      <c r="C132" s="809" t="s">
        <v>266</v>
      </c>
      <c r="D132" s="830"/>
      <c r="E132" s="830"/>
      <c r="F132" s="993"/>
      <c r="G132" s="831"/>
      <c r="H132" s="832"/>
      <c r="I132" s="832"/>
      <c r="J132" s="832"/>
      <c r="K132" s="832"/>
      <c r="L132" s="832"/>
      <c r="M132" s="832"/>
      <c r="N132" s="832"/>
      <c r="O132" s="526"/>
      <c r="P132" s="832"/>
      <c r="Q132" s="825"/>
      <c r="R132" s="825"/>
      <c r="S132" s="832"/>
      <c r="T132" s="832"/>
      <c r="U132" s="832"/>
      <c r="V132" s="832"/>
      <c r="W132" s="834"/>
      <c r="X132" s="834"/>
      <c r="Y132" s="834"/>
      <c r="Z132" s="832"/>
      <c r="AA132" s="832"/>
      <c r="AB132" s="1119">
        <v>84000</v>
      </c>
      <c r="AC132" s="835"/>
      <c r="AD132" s="836"/>
      <c r="AE132" s="836"/>
      <c r="AF132" s="826"/>
      <c r="AG132" s="851"/>
      <c r="AH132" s="826"/>
      <c r="AI132" s="826"/>
      <c r="AJ132" s="825"/>
      <c r="AK132" s="814"/>
      <c r="AL132" s="826"/>
      <c r="AM132" s="826"/>
      <c r="AN132" s="827">
        <f t="shared" si="14"/>
        <v>1</v>
      </c>
      <c r="AO132" s="828">
        <f t="shared" si="15"/>
        <v>84000</v>
      </c>
      <c r="AP132" s="829">
        <f t="shared" si="16"/>
        <v>84000</v>
      </c>
      <c r="BA132" s="332">
        <f>AO132-'[21]INSUMOS '!AO132</f>
        <v>0</v>
      </c>
    </row>
    <row r="133" spans="1:53" ht="38.25" x14ac:dyDescent="0.2">
      <c r="A133" s="942">
        <v>131</v>
      </c>
      <c r="B133" s="1112" t="s">
        <v>7402</v>
      </c>
      <c r="C133" s="809" t="s">
        <v>12</v>
      </c>
      <c r="D133" s="526"/>
      <c r="E133" s="526"/>
      <c r="F133" s="887"/>
      <c r="G133" s="831"/>
      <c r="H133" s="832"/>
      <c r="I133" s="832"/>
      <c r="J133" s="832"/>
      <c r="K133" s="832"/>
      <c r="L133" s="832"/>
      <c r="M133" s="832"/>
      <c r="N133" s="832"/>
      <c r="O133" s="526"/>
      <c r="P133" s="832"/>
      <c r="Q133" s="825"/>
      <c r="R133" s="825"/>
      <c r="S133" s="832"/>
      <c r="T133" s="832"/>
      <c r="U133" s="832"/>
      <c r="V133" s="832"/>
      <c r="W133" s="834"/>
      <c r="X133" s="834"/>
      <c r="Y133" s="834"/>
      <c r="Z133" s="832"/>
      <c r="AA133" s="832"/>
      <c r="AB133" s="1119">
        <f>2120000*1.19</f>
        <v>2522800</v>
      </c>
      <c r="AC133" s="835"/>
      <c r="AD133" s="836"/>
      <c r="AE133" s="836"/>
      <c r="AF133" s="826"/>
      <c r="AG133" s="851"/>
      <c r="AH133" s="826"/>
      <c r="AI133" s="826"/>
      <c r="AJ133" s="825"/>
      <c r="AK133" s="814"/>
      <c r="AL133" s="826"/>
      <c r="AM133" s="826"/>
      <c r="AN133" s="827">
        <f t="shared" si="14"/>
        <v>1</v>
      </c>
      <c r="AO133" s="828">
        <f t="shared" si="15"/>
        <v>2522800</v>
      </c>
      <c r="AP133" s="829">
        <f t="shared" si="16"/>
        <v>2522800</v>
      </c>
      <c r="BA133" s="332">
        <f>AO133-'[21]INSUMOS '!AO133</f>
        <v>0</v>
      </c>
    </row>
    <row r="134" spans="1:53" ht="38.25" x14ac:dyDescent="0.2">
      <c r="A134" s="808">
        <v>132</v>
      </c>
      <c r="B134" s="1112" t="s">
        <v>3217</v>
      </c>
      <c r="C134" s="809" t="s">
        <v>12</v>
      </c>
      <c r="D134" s="526"/>
      <c r="E134" s="526"/>
      <c r="F134" s="526"/>
      <c r="G134" s="831"/>
      <c r="H134" s="832"/>
      <c r="I134" s="832"/>
      <c r="J134" s="832"/>
      <c r="K134" s="832"/>
      <c r="L134" s="832"/>
      <c r="M134" s="832"/>
      <c r="N134" s="832"/>
      <c r="O134" s="526"/>
      <c r="P134" s="832"/>
      <c r="Q134" s="825"/>
      <c r="R134" s="825"/>
      <c r="S134" s="832"/>
      <c r="T134" s="832"/>
      <c r="U134" s="832"/>
      <c r="V134" s="832"/>
      <c r="W134" s="834"/>
      <c r="X134" s="834"/>
      <c r="Y134" s="834"/>
      <c r="Z134" s="1353">
        <f>2073000*1.19</f>
        <v>2466870</v>
      </c>
      <c r="AA134" s="832"/>
      <c r="AB134" s="1335"/>
      <c r="AC134" s="835"/>
      <c r="AD134" s="836"/>
      <c r="AE134" s="836"/>
      <c r="AF134" s="826"/>
      <c r="AG134" s="851"/>
      <c r="AH134" s="826"/>
      <c r="AI134" s="826"/>
      <c r="AJ134" s="825"/>
      <c r="AK134" s="814"/>
      <c r="AL134" s="826"/>
      <c r="AM134" s="826"/>
      <c r="AN134" s="827">
        <f t="shared" si="14"/>
        <v>1</v>
      </c>
      <c r="AO134" s="828">
        <f t="shared" si="15"/>
        <v>2466870</v>
      </c>
      <c r="AP134" s="829">
        <f t="shared" si="16"/>
        <v>2466870</v>
      </c>
      <c r="AR134" s="1114">
        <v>2900000</v>
      </c>
      <c r="BA134" s="332">
        <f>AO134-'[21]INSUMOS '!AO134</f>
        <v>0</v>
      </c>
    </row>
    <row r="135" spans="1:53" ht="38.25" x14ac:dyDescent="0.2">
      <c r="A135" s="808">
        <v>133</v>
      </c>
      <c r="B135" s="1112" t="s">
        <v>7403</v>
      </c>
      <c r="C135" s="809" t="s">
        <v>266</v>
      </c>
      <c r="D135" s="526"/>
      <c r="E135" s="526"/>
      <c r="F135" s="526"/>
      <c r="G135" s="831"/>
      <c r="H135" s="832"/>
      <c r="I135" s="832"/>
      <c r="J135" s="832"/>
      <c r="K135" s="832"/>
      <c r="L135" s="832"/>
      <c r="M135" s="832"/>
      <c r="N135" s="832"/>
      <c r="O135" s="526"/>
      <c r="P135" s="832"/>
      <c r="Q135" s="825"/>
      <c r="R135" s="825"/>
      <c r="S135" s="832"/>
      <c r="T135" s="832"/>
      <c r="U135" s="832"/>
      <c r="V135" s="832"/>
      <c r="W135" s="834"/>
      <c r="X135" s="834"/>
      <c r="Y135" s="834"/>
      <c r="Z135" s="832"/>
      <c r="AA135" s="832"/>
      <c r="AB135" s="1119">
        <f>AR135*1.0562*1.1312*1.0928</f>
        <v>11228576.370995201</v>
      </c>
      <c r="AC135" s="835"/>
      <c r="AD135" s="836"/>
      <c r="AE135" s="836"/>
      <c r="AF135" s="826"/>
      <c r="AG135" s="851"/>
      <c r="AH135" s="826"/>
      <c r="AI135" s="826"/>
      <c r="AJ135" s="825"/>
      <c r="AK135" s="814"/>
      <c r="AL135" s="826"/>
      <c r="AM135" s="826"/>
      <c r="AN135" s="827">
        <f t="shared" si="14"/>
        <v>1</v>
      </c>
      <c r="AO135" s="828">
        <f t="shared" si="15"/>
        <v>11228576.370995201</v>
      </c>
      <c r="AP135" s="829">
        <f t="shared" si="16"/>
        <v>11228576.370995201</v>
      </c>
      <c r="AR135" s="1114">
        <v>8600000</v>
      </c>
      <c r="BA135" s="332">
        <f>AO135-'[21]INSUMOS '!AO135</f>
        <v>0</v>
      </c>
    </row>
    <row r="136" spans="1:53" ht="25.5" x14ac:dyDescent="0.2">
      <c r="A136" s="808">
        <v>134</v>
      </c>
      <c r="B136" s="1112" t="s">
        <v>7404</v>
      </c>
      <c r="C136" s="809" t="s">
        <v>266</v>
      </c>
      <c r="D136" s="526"/>
      <c r="E136" s="526"/>
      <c r="F136" s="526"/>
      <c r="G136" s="831"/>
      <c r="H136" s="832"/>
      <c r="I136" s="832"/>
      <c r="J136" s="832"/>
      <c r="K136" s="832"/>
      <c r="L136" s="832"/>
      <c r="M136" s="832"/>
      <c r="N136" s="832"/>
      <c r="O136" s="526"/>
      <c r="P136" s="832"/>
      <c r="Q136" s="825"/>
      <c r="R136" s="825"/>
      <c r="S136" s="832"/>
      <c r="T136" s="832"/>
      <c r="U136" s="832"/>
      <c r="V136" s="832"/>
      <c r="W136" s="834"/>
      <c r="X136" s="834"/>
      <c r="Y136" s="834"/>
      <c r="Z136" s="832"/>
      <c r="AA136" s="832"/>
      <c r="AB136" s="1119">
        <f>AVERAGE(1026226,1042740,1382476)</f>
        <v>1150480.6666666667</v>
      </c>
      <c r="AC136" s="835"/>
      <c r="AD136" s="836"/>
      <c r="AE136" s="836"/>
      <c r="AF136" s="826"/>
      <c r="AG136" s="851"/>
      <c r="AH136" s="826"/>
      <c r="AI136" s="826"/>
      <c r="AJ136" s="825"/>
      <c r="AK136" s="814"/>
      <c r="AL136" s="826"/>
      <c r="AM136" s="826"/>
      <c r="AN136" s="827">
        <f t="shared" si="14"/>
        <v>1</v>
      </c>
      <c r="AO136" s="828">
        <f t="shared" si="15"/>
        <v>1150480.6666666667</v>
      </c>
      <c r="AP136" s="829">
        <f t="shared" si="16"/>
        <v>1150480.6666666667</v>
      </c>
      <c r="AR136" s="1114"/>
      <c r="BA136" s="332">
        <f>AO136-'[21]INSUMOS '!AO136</f>
        <v>0</v>
      </c>
    </row>
    <row r="137" spans="1:53" ht="38.25" x14ac:dyDescent="0.2">
      <c r="A137" s="808">
        <v>135</v>
      </c>
      <c r="B137" s="1112" t="s">
        <v>7405</v>
      </c>
      <c r="C137" s="809" t="s">
        <v>266</v>
      </c>
      <c r="D137" s="526"/>
      <c r="E137" s="526"/>
      <c r="F137" s="526"/>
      <c r="G137" s="831"/>
      <c r="H137" s="832"/>
      <c r="I137" s="832"/>
      <c r="J137" s="832"/>
      <c r="K137" s="832"/>
      <c r="L137" s="832"/>
      <c r="M137" s="832"/>
      <c r="N137" s="832"/>
      <c r="O137" s="526"/>
      <c r="P137" s="832"/>
      <c r="Q137" s="825"/>
      <c r="R137" s="825"/>
      <c r="S137" s="832"/>
      <c r="T137" s="832"/>
      <c r="U137" s="832"/>
      <c r="V137" s="832"/>
      <c r="W137" s="834"/>
      <c r="X137" s="834"/>
      <c r="Y137" s="834"/>
      <c r="Z137" s="832"/>
      <c r="AA137" s="832"/>
      <c r="AB137" s="1119">
        <f>AR137*1.0562*1.1312*1.0928</f>
        <v>23501671.474175997</v>
      </c>
      <c r="AC137" s="835"/>
      <c r="AD137" s="836"/>
      <c r="AE137" s="836"/>
      <c r="AF137" s="826"/>
      <c r="AG137" s="851"/>
      <c r="AH137" s="826"/>
      <c r="AI137" s="826"/>
      <c r="AJ137" s="825"/>
      <c r="AK137" s="814"/>
      <c r="AL137" s="826"/>
      <c r="AM137" s="826"/>
      <c r="AN137" s="827">
        <f t="shared" si="14"/>
        <v>1</v>
      </c>
      <c r="AO137" s="828">
        <f t="shared" si="15"/>
        <v>23501671.474175997</v>
      </c>
      <c r="AP137" s="829">
        <f t="shared" si="16"/>
        <v>23501671.474175997</v>
      </c>
      <c r="AR137" s="1114">
        <v>18000000</v>
      </c>
      <c r="BA137" s="332">
        <f>AO137-'[21]INSUMOS '!AO137</f>
        <v>0</v>
      </c>
    </row>
    <row r="138" spans="1:53" ht="38.25" x14ac:dyDescent="0.2">
      <c r="A138" s="808">
        <v>136</v>
      </c>
      <c r="B138" s="1112" t="s">
        <v>7406</v>
      </c>
      <c r="C138" s="809" t="s">
        <v>266</v>
      </c>
      <c r="D138" s="526"/>
      <c r="E138" s="526"/>
      <c r="F138" s="526"/>
      <c r="G138" s="831"/>
      <c r="H138" s="832"/>
      <c r="I138" s="832"/>
      <c r="J138" s="832"/>
      <c r="K138" s="832"/>
      <c r="L138" s="832"/>
      <c r="M138" s="832"/>
      <c r="N138" s="832"/>
      <c r="O138" s="526"/>
      <c r="P138" s="832"/>
      <c r="Q138" s="825"/>
      <c r="R138" s="825"/>
      <c r="S138" s="832"/>
      <c r="T138" s="832"/>
      <c r="U138" s="832"/>
      <c r="V138" s="832"/>
      <c r="W138" s="834"/>
      <c r="X138" s="834"/>
      <c r="Y138" s="834"/>
      <c r="Z138" s="832"/>
      <c r="AA138" s="832"/>
      <c r="AB138" s="1119">
        <f>AR138*1.0562*1.1312*1.0928</f>
        <v>24807319.889408</v>
      </c>
      <c r="AC138" s="835"/>
      <c r="AD138" s="836"/>
      <c r="AE138" s="836"/>
      <c r="AF138" s="826"/>
      <c r="AG138" s="851"/>
      <c r="AH138" s="826"/>
      <c r="AI138" s="826"/>
      <c r="AJ138" s="825"/>
      <c r="AK138" s="814"/>
      <c r="AL138" s="826"/>
      <c r="AM138" s="826"/>
      <c r="AN138" s="827">
        <f t="shared" si="14"/>
        <v>1</v>
      </c>
      <c r="AO138" s="828">
        <f t="shared" si="15"/>
        <v>24807319.889408</v>
      </c>
      <c r="AP138" s="829">
        <f t="shared" si="16"/>
        <v>24807319.889408</v>
      </c>
      <c r="AR138" s="1114">
        <v>19000000</v>
      </c>
      <c r="BA138" s="332">
        <f>AO138-'[21]INSUMOS '!AO138</f>
        <v>0</v>
      </c>
    </row>
    <row r="139" spans="1:53" ht="25.5" x14ac:dyDescent="0.2">
      <c r="A139" s="942">
        <v>137</v>
      </c>
      <c r="B139" s="1112" t="s">
        <v>3227</v>
      </c>
      <c r="C139" s="809" t="s">
        <v>12</v>
      </c>
      <c r="D139" s="526"/>
      <c r="E139" s="526"/>
      <c r="F139" s="526"/>
      <c r="G139" s="882">
        <f>125263.52*1.19</f>
        <v>149063.5888</v>
      </c>
      <c r="H139" s="833"/>
      <c r="I139" s="832"/>
      <c r="J139" s="832"/>
      <c r="K139" s="832"/>
      <c r="L139" s="832"/>
      <c r="M139" s="832"/>
      <c r="N139" s="832"/>
      <c r="O139" s="526"/>
      <c r="P139" s="526"/>
      <c r="Q139" s="801"/>
      <c r="R139" s="825"/>
      <c r="S139" s="832"/>
      <c r="T139" s="832"/>
      <c r="U139" s="832"/>
      <c r="V139" s="832"/>
      <c r="W139" s="834"/>
      <c r="X139" s="834"/>
      <c r="Y139" s="834"/>
      <c r="Z139" s="832"/>
      <c r="AA139" s="832"/>
      <c r="AB139" s="831"/>
      <c r="AC139" s="835"/>
      <c r="AD139" s="836"/>
      <c r="AE139" s="836"/>
      <c r="AF139" s="826"/>
      <c r="AG139" s="851"/>
      <c r="AH139" s="826"/>
      <c r="AI139" s="826"/>
      <c r="AJ139" s="825"/>
      <c r="AK139" s="814"/>
      <c r="AL139" s="826"/>
      <c r="AM139" s="826"/>
      <c r="AN139" s="827">
        <f t="shared" si="14"/>
        <v>1</v>
      </c>
      <c r="AO139" s="828">
        <f t="shared" si="15"/>
        <v>149063.5888</v>
      </c>
      <c r="AP139" s="829">
        <f t="shared" si="16"/>
        <v>149063.5888</v>
      </c>
      <c r="BA139" s="332">
        <f>AO139-'[21]INSUMOS '!AO139</f>
        <v>0</v>
      </c>
    </row>
    <row r="140" spans="1:53" ht="18" customHeight="1" x14ac:dyDescent="0.2">
      <c r="A140" s="808">
        <v>138</v>
      </c>
      <c r="B140" s="1112" t="s">
        <v>3236</v>
      </c>
      <c r="C140" s="809" t="s">
        <v>266</v>
      </c>
      <c r="D140" s="526"/>
      <c r="E140" s="526"/>
      <c r="F140" s="880"/>
      <c r="G140" s="831"/>
      <c r="H140" s="832"/>
      <c r="I140" s="832"/>
      <c r="J140" s="832"/>
      <c r="K140" s="832"/>
      <c r="L140" s="832"/>
      <c r="M140" s="832"/>
      <c r="N140" s="832"/>
      <c r="O140" s="526"/>
      <c r="P140" s="526"/>
      <c r="Q140" s="801"/>
      <c r="R140" s="825"/>
      <c r="S140" s="832"/>
      <c r="T140" s="832"/>
      <c r="U140" s="832"/>
      <c r="V140" s="832"/>
      <c r="W140" s="834"/>
      <c r="X140" s="834"/>
      <c r="Y140" s="834"/>
      <c r="Z140" s="832"/>
      <c r="AA140" s="832"/>
      <c r="AB140" s="841">
        <f>440588*1.19</f>
        <v>524299.72</v>
      </c>
      <c r="AC140" s="835"/>
      <c r="AD140" s="836"/>
      <c r="AE140" s="836"/>
      <c r="AF140" s="826"/>
      <c r="AG140" s="851"/>
      <c r="AH140" s="826"/>
      <c r="AI140" s="826"/>
      <c r="AJ140" s="825"/>
      <c r="AK140" s="814"/>
      <c r="AL140" s="826"/>
      <c r="AM140" s="826"/>
      <c r="AN140" s="827">
        <f t="shared" si="14"/>
        <v>1</v>
      </c>
      <c r="AO140" s="828">
        <f t="shared" si="15"/>
        <v>524299.72</v>
      </c>
      <c r="AP140" s="829">
        <f t="shared" si="16"/>
        <v>524299.72</v>
      </c>
      <c r="BA140" s="332">
        <f>AO140-'[21]INSUMOS '!AO140</f>
        <v>0</v>
      </c>
    </row>
    <row r="141" spans="1:53" ht="37.5" customHeight="1" x14ac:dyDescent="0.2">
      <c r="A141" s="942">
        <v>139</v>
      </c>
      <c r="B141" s="1112" t="s">
        <v>3247</v>
      </c>
      <c r="C141" s="809" t="s">
        <v>266</v>
      </c>
      <c r="D141" s="526"/>
      <c r="E141" s="526"/>
      <c r="F141" s="880"/>
      <c r="G141" s="831"/>
      <c r="H141" s="833"/>
      <c r="I141" s="834"/>
      <c r="J141" s="834"/>
      <c r="K141" s="834"/>
      <c r="L141" s="834"/>
      <c r="M141" s="834"/>
      <c r="N141" s="834"/>
      <c r="O141" s="887"/>
      <c r="P141" s="887"/>
      <c r="Q141" s="801"/>
      <c r="R141" s="825"/>
      <c r="S141" s="832"/>
      <c r="T141" s="832"/>
      <c r="U141" s="832"/>
      <c r="V141" s="832"/>
      <c r="W141" s="834"/>
      <c r="X141" s="834"/>
      <c r="Y141" s="834"/>
      <c r="Z141" s="832"/>
      <c r="AA141" s="832"/>
      <c r="AB141" s="841">
        <f>111176*1.19</f>
        <v>132299.44</v>
      </c>
      <c r="AC141" s="835"/>
      <c r="AD141" s="836"/>
      <c r="AE141" s="836"/>
      <c r="AF141" s="826"/>
      <c r="AG141" s="851"/>
      <c r="AH141" s="826"/>
      <c r="AI141" s="826"/>
      <c r="AJ141" s="825"/>
      <c r="AK141" s="814"/>
      <c r="AL141" s="826"/>
      <c r="AM141" s="826"/>
      <c r="AN141" s="827">
        <f t="shared" si="14"/>
        <v>1</v>
      </c>
      <c r="AO141" s="828">
        <f t="shared" si="15"/>
        <v>132299.44</v>
      </c>
      <c r="AP141" s="829">
        <f t="shared" si="16"/>
        <v>132299.44</v>
      </c>
      <c r="BA141" s="332">
        <f>AO141-'[21]INSUMOS '!AO141</f>
        <v>0</v>
      </c>
    </row>
    <row r="142" spans="1:53" x14ac:dyDescent="0.2">
      <c r="A142" s="808">
        <v>140</v>
      </c>
      <c r="B142" s="1112" t="s">
        <v>7407</v>
      </c>
      <c r="C142" s="809" t="s">
        <v>266</v>
      </c>
      <c r="D142" s="526"/>
      <c r="E142" s="905"/>
      <c r="F142" s="995"/>
      <c r="G142" s="905"/>
      <c r="H142" s="832"/>
      <c r="I142" s="832"/>
      <c r="J142" s="832"/>
      <c r="K142" s="832"/>
      <c r="L142" s="832"/>
      <c r="M142" s="832"/>
      <c r="N142" s="832"/>
      <c r="O142" s="526"/>
      <c r="P142" s="526"/>
      <c r="Q142" s="801"/>
      <c r="R142" s="825"/>
      <c r="S142" s="832"/>
      <c r="T142" s="832"/>
      <c r="U142" s="832"/>
      <c r="V142" s="832"/>
      <c r="W142" s="834"/>
      <c r="X142" s="834"/>
      <c r="Y142" s="834"/>
      <c r="Z142" s="841">
        <f>141015*1.32667</f>
        <v>187080.37005</v>
      </c>
      <c r="AA142" s="832"/>
      <c r="AB142" s="831"/>
      <c r="AC142" s="835"/>
      <c r="AD142" s="836"/>
      <c r="AE142" s="836"/>
      <c r="AF142" s="826"/>
      <c r="AG142" s="851"/>
      <c r="AH142" s="826"/>
      <c r="AI142" s="826"/>
      <c r="AJ142" s="825"/>
      <c r="AK142" s="814"/>
      <c r="AL142" s="826"/>
      <c r="AM142" s="826"/>
      <c r="AN142" s="827">
        <f t="shared" si="14"/>
        <v>1</v>
      </c>
      <c r="AO142" s="828">
        <f t="shared" si="15"/>
        <v>187080.37005</v>
      </c>
      <c r="AP142" s="829">
        <f t="shared" si="16"/>
        <v>187080.37005</v>
      </c>
      <c r="BA142" s="332">
        <f>AO142-'[21]INSUMOS '!AO142</f>
        <v>0</v>
      </c>
    </row>
    <row r="143" spans="1:53" x14ac:dyDescent="0.2">
      <c r="A143" s="942">
        <v>141</v>
      </c>
      <c r="B143" s="1112" t="s">
        <v>3249</v>
      </c>
      <c r="C143" s="809" t="s">
        <v>266</v>
      </c>
      <c r="D143" s="526"/>
      <c r="E143" s="526"/>
      <c r="F143" s="887"/>
      <c r="G143" s="831"/>
      <c r="H143" s="832"/>
      <c r="I143" s="832"/>
      <c r="J143" s="832"/>
      <c r="K143" s="832"/>
      <c r="L143" s="832"/>
      <c r="M143" s="832"/>
      <c r="N143" s="832"/>
      <c r="O143" s="873">
        <v>333200</v>
      </c>
      <c r="P143" s="526"/>
      <c r="Q143" s="801"/>
      <c r="R143" s="825"/>
      <c r="S143" s="834"/>
      <c r="T143" s="832"/>
      <c r="U143" s="832"/>
      <c r="V143" s="832"/>
      <c r="W143" s="834"/>
      <c r="X143" s="834"/>
      <c r="Y143" s="834"/>
      <c r="Z143" s="832"/>
      <c r="AA143" s="832"/>
      <c r="AB143" s="831"/>
      <c r="AC143" s="835"/>
      <c r="AD143" s="836"/>
      <c r="AE143" s="836"/>
      <c r="AF143" s="826"/>
      <c r="AG143" s="851"/>
      <c r="AH143" s="826"/>
      <c r="AI143" s="826"/>
      <c r="AJ143" s="825"/>
      <c r="AK143" s="814"/>
      <c r="AL143" s="826"/>
      <c r="AM143" s="826"/>
      <c r="AN143" s="827">
        <f t="shared" si="14"/>
        <v>1</v>
      </c>
      <c r="AO143" s="828">
        <f t="shared" si="15"/>
        <v>333200</v>
      </c>
      <c r="AP143" s="829">
        <f t="shared" si="16"/>
        <v>333200</v>
      </c>
      <c r="BA143" s="332">
        <f>AO143-'[21]INSUMOS '!AO143</f>
        <v>0</v>
      </c>
    </row>
    <row r="144" spans="1:53" x14ac:dyDescent="0.2">
      <c r="A144" s="808">
        <v>142</v>
      </c>
      <c r="B144" s="1112" t="s">
        <v>3250</v>
      </c>
      <c r="C144" s="809" t="s">
        <v>12</v>
      </c>
      <c r="D144" s="526"/>
      <c r="E144" s="526"/>
      <c r="F144" s="880"/>
      <c r="G144" s="831"/>
      <c r="H144" s="832"/>
      <c r="I144" s="832"/>
      <c r="J144" s="832"/>
      <c r="K144" s="832"/>
      <c r="L144" s="832"/>
      <c r="M144" s="832"/>
      <c r="N144" s="832"/>
      <c r="O144" s="526"/>
      <c r="P144" s="526"/>
      <c r="Q144" s="801"/>
      <c r="R144" s="825"/>
      <c r="S144" s="832"/>
      <c r="T144" s="832"/>
      <c r="U144" s="832"/>
      <c r="V144" s="832"/>
      <c r="W144" s="834"/>
      <c r="X144" s="834"/>
      <c r="Y144" s="834"/>
      <c r="Z144" s="833"/>
      <c r="AA144" s="832"/>
      <c r="AB144" s="841">
        <v>332000</v>
      </c>
      <c r="AC144" s="835"/>
      <c r="AD144" s="836"/>
      <c r="AE144" s="836"/>
      <c r="AF144" s="826"/>
      <c r="AG144" s="851"/>
      <c r="AH144" s="826"/>
      <c r="AI144" s="826"/>
      <c r="AJ144" s="825"/>
      <c r="AK144" s="814"/>
      <c r="AL144" s="826"/>
      <c r="AM144" s="826"/>
      <c r="AN144" s="827">
        <f t="shared" si="14"/>
        <v>1</v>
      </c>
      <c r="AO144" s="828">
        <f t="shared" si="15"/>
        <v>332000</v>
      </c>
      <c r="AP144" s="829">
        <f t="shared" si="16"/>
        <v>332000</v>
      </c>
      <c r="BA144" s="332">
        <f>AO144-'[21]INSUMOS '!AO144</f>
        <v>0</v>
      </c>
    </row>
    <row r="145" spans="1:53" x14ac:dyDescent="0.2">
      <c r="A145" s="942">
        <v>143</v>
      </c>
      <c r="B145" s="1112" t="s">
        <v>3251</v>
      </c>
      <c r="C145" s="809" t="s">
        <v>12</v>
      </c>
      <c r="D145" s="526"/>
      <c r="E145" s="526"/>
      <c r="F145" s="880"/>
      <c r="G145" s="831"/>
      <c r="H145" s="832"/>
      <c r="I145" s="832"/>
      <c r="J145" s="832"/>
      <c r="K145" s="832"/>
      <c r="L145" s="832"/>
      <c r="M145" s="832"/>
      <c r="N145" s="832"/>
      <c r="O145" s="526"/>
      <c r="P145" s="526"/>
      <c r="Q145" s="801"/>
      <c r="R145" s="825"/>
      <c r="S145" s="832"/>
      <c r="T145" s="832"/>
      <c r="U145" s="832"/>
      <c r="V145" s="832"/>
      <c r="W145" s="834"/>
      <c r="X145" s="834"/>
      <c r="Y145" s="834"/>
      <c r="Z145" s="833"/>
      <c r="AA145" s="832"/>
      <c r="AB145" s="841">
        <v>400000</v>
      </c>
      <c r="AC145" s="835"/>
      <c r="AD145" s="836"/>
      <c r="AE145" s="836"/>
      <c r="AF145" s="826"/>
      <c r="AG145" s="851"/>
      <c r="AH145" s="826"/>
      <c r="AI145" s="826"/>
      <c r="AJ145" s="825"/>
      <c r="AK145" s="814"/>
      <c r="AL145" s="826"/>
      <c r="AM145" s="826"/>
      <c r="AN145" s="827">
        <f t="shared" si="14"/>
        <v>1</v>
      </c>
      <c r="AO145" s="828">
        <f t="shared" si="15"/>
        <v>400000</v>
      </c>
      <c r="AP145" s="829">
        <f t="shared" si="16"/>
        <v>400000</v>
      </c>
      <c r="BA145" s="332">
        <f>AO145-'[21]INSUMOS '!AO145</f>
        <v>0</v>
      </c>
    </row>
    <row r="146" spans="1:53" x14ac:dyDescent="0.2">
      <c r="A146" s="808">
        <v>144</v>
      </c>
      <c r="B146" s="1112" t="s">
        <v>3252</v>
      </c>
      <c r="C146" s="809" t="s">
        <v>12</v>
      </c>
      <c r="D146" s="526"/>
      <c r="E146" s="526"/>
      <c r="F146" s="880"/>
      <c r="G146" s="831"/>
      <c r="H146" s="832"/>
      <c r="I146" s="832"/>
      <c r="J146" s="832"/>
      <c r="K146" s="832"/>
      <c r="L146" s="832"/>
      <c r="M146" s="832"/>
      <c r="N146" s="832"/>
      <c r="O146" s="526"/>
      <c r="P146" s="526"/>
      <c r="Q146" s="801"/>
      <c r="R146" s="825"/>
      <c r="S146" s="832"/>
      <c r="T146" s="832"/>
      <c r="U146" s="832"/>
      <c r="V146" s="832"/>
      <c r="W146" s="834"/>
      <c r="X146" s="834"/>
      <c r="Y146" s="834"/>
      <c r="Z146" s="833"/>
      <c r="AA146" s="832"/>
      <c r="AB146" s="841">
        <v>332000</v>
      </c>
      <c r="AC146" s="835"/>
      <c r="AD146" s="836"/>
      <c r="AE146" s="836"/>
      <c r="AF146" s="826"/>
      <c r="AG146" s="851"/>
      <c r="AH146" s="826"/>
      <c r="AI146" s="826"/>
      <c r="AJ146" s="825"/>
      <c r="AK146" s="814"/>
      <c r="AL146" s="826"/>
      <c r="AM146" s="826"/>
      <c r="AN146" s="827">
        <f t="shared" si="14"/>
        <v>1</v>
      </c>
      <c r="AO146" s="828">
        <f t="shared" si="15"/>
        <v>332000</v>
      </c>
      <c r="AP146" s="829">
        <f t="shared" si="16"/>
        <v>332000</v>
      </c>
      <c r="BA146" s="332">
        <f>AO146-'[21]INSUMOS '!AO146</f>
        <v>0</v>
      </c>
    </row>
    <row r="147" spans="1:53" x14ac:dyDescent="0.2">
      <c r="A147" s="942">
        <v>145</v>
      </c>
      <c r="B147" s="1112" t="s">
        <v>3253</v>
      </c>
      <c r="C147" s="809" t="s">
        <v>12</v>
      </c>
      <c r="D147" s="526"/>
      <c r="E147" s="526"/>
      <c r="F147" s="880"/>
      <c r="G147" s="831"/>
      <c r="H147" s="832"/>
      <c r="I147" s="832"/>
      <c r="J147" s="832"/>
      <c r="K147" s="832"/>
      <c r="L147" s="832"/>
      <c r="M147" s="832"/>
      <c r="N147" s="832"/>
      <c r="O147" s="526"/>
      <c r="P147" s="526"/>
      <c r="Q147" s="801"/>
      <c r="R147" s="825"/>
      <c r="S147" s="832"/>
      <c r="T147" s="832"/>
      <c r="U147" s="832"/>
      <c r="V147" s="832"/>
      <c r="W147" s="834"/>
      <c r="X147" s="834"/>
      <c r="Y147" s="834"/>
      <c r="Z147" s="833"/>
      <c r="AA147" s="832"/>
      <c r="AB147" s="841">
        <v>400000</v>
      </c>
      <c r="AC147" s="835"/>
      <c r="AD147" s="836"/>
      <c r="AE147" s="836"/>
      <c r="AF147" s="826"/>
      <c r="AG147" s="851"/>
      <c r="AH147" s="826"/>
      <c r="AI147" s="826"/>
      <c r="AJ147" s="825"/>
      <c r="AK147" s="814"/>
      <c r="AL147" s="826"/>
      <c r="AM147" s="826"/>
      <c r="AN147" s="827">
        <f t="shared" si="14"/>
        <v>1</v>
      </c>
      <c r="AO147" s="828">
        <f t="shared" si="15"/>
        <v>400000</v>
      </c>
      <c r="AP147" s="829">
        <f t="shared" si="16"/>
        <v>400000</v>
      </c>
      <c r="BA147" s="332">
        <f>AO147-'[21]INSUMOS '!AO147</f>
        <v>0</v>
      </c>
    </row>
    <row r="148" spans="1:53" x14ac:dyDescent="0.2">
      <c r="A148" s="808">
        <v>146</v>
      </c>
      <c r="B148" s="1112" t="s">
        <v>3254</v>
      </c>
      <c r="C148" s="809" t="s">
        <v>12</v>
      </c>
      <c r="D148" s="526"/>
      <c r="E148" s="526"/>
      <c r="F148" s="880"/>
      <c r="G148" s="831"/>
      <c r="H148" s="832"/>
      <c r="I148" s="832"/>
      <c r="J148" s="832"/>
      <c r="K148" s="832"/>
      <c r="L148" s="832"/>
      <c r="M148" s="832"/>
      <c r="N148" s="832"/>
      <c r="O148" s="526"/>
      <c r="P148" s="526"/>
      <c r="Q148" s="801"/>
      <c r="R148" s="825"/>
      <c r="S148" s="832"/>
      <c r="T148" s="832"/>
      <c r="U148" s="832"/>
      <c r="V148" s="832"/>
      <c r="W148" s="834"/>
      <c r="X148" s="834"/>
      <c r="Y148" s="834"/>
      <c r="Z148" s="833"/>
      <c r="AA148" s="832"/>
      <c r="AB148" s="841">
        <v>380347</v>
      </c>
      <c r="AC148" s="835"/>
      <c r="AD148" s="836"/>
      <c r="AE148" s="836"/>
      <c r="AF148" s="826"/>
      <c r="AG148" s="851"/>
      <c r="AH148" s="826"/>
      <c r="AI148" s="826"/>
      <c r="AJ148" s="825"/>
      <c r="AK148" s="814"/>
      <c r="AL148" s="826"/>
      <c r="AM148" s="826"/>
      <c r="AN148" s="827">
        <f t="shared" si="14"/>
        <v>1</v>
      </c>
      <c r="AO148" s="828">
        <f t="shared" si="15"/>
        <v>380347</v>
      </c>
      <c r="AP148" s="829">
        <f t="shared" si="16"/>
        <v>380347</v>
      </c>
      <c r="BA148" s="332">
        <f>AO148-'[21]INSUMOS '!AO148</f>
        <v>0</v>
      </c>
    </row>
    <row r="149" spans="1:53" x14ac:dyDescent="0.2">
      <c r="A149" s="942">
        <v>147</v>
      </c>
      <c r="B149" s="1112" t="s">
        <v>3255</v>
      </c>
      <c r="C149" s="809" t="s">
        <v>12</v>
      </c>
      <c r="D149" s="526"/>
      <c r="E149" s="526"/>
      <c r="F149" s="880"/>
      <c r="G149" s="831"/>
      <c r="H149" s="832"/>
      <c r="I149" s="832"/>
      <c r="J149" s="832"/>
      <c r="K149" s="832"/>
      <c r="L149" s="832"/>
      <c r="M149" s="832"/>
      <c r="N149" s="832"/>
      <c r="O149" s="526"/>
      <c r="P149" s="526"/>
      <c r="Q149" s="801"/>
      <c r="R149" s="825"/>
      <c r="S149" s="832"/>
      <c r="T149" s="832"/>
      <c r="U149" s="832"/>
      <c r="V149" s="832"/>
      <c r="W149" s="834"/>
      <c r="X149" s="834"/>
      <c r="Y149" s="834"/>
      <c r="Z149" s="833"/>
      <c r="AA149" s="832"/>
      <c r="AB149" s="841">
        <v>445000</v>
      </c>
      <c r="AC149" s="835"/>
      <c r="AD149" s="836"/>
      <c r="AE149" s="836"/>
      <c r="AF149" s="826"/>
      <c r="AG149" s="851"/>
      <c r="AH149" s="826"/>
      <c r="AI149" s="826"/>
      <c r="AJ149" s="825"/>
      <c r="AK149" s="814"/>
      <c r="AL149" s="826"/>
      <c r="AM149" s="826"/>
      <c r="AN149" s="827">
        <f t="shared" si="14"/>
        <v>1</v>
      </c>
      <c r="AO149" s="828">
        <f t="shared" si="15"/>
        <v>445000</v>
      </c>
      <c r="AP149" s="829">
        <f t="shared" si="16"/>
        <v>445000</v>
      </c>
      <c r="BA149" s="332">
        <f>AO149-'[21]INSUMOS '!AO149</f>
        <v>0</v>
      </c>
    </row>
    <row r="150" spans="1:53" x14ac:dyDescent="0.2">
      <c r="A150" s="808">
        <v>148</v>
      </c>
      <c r="B150" s="1112" t="s">
        <v>3256</v>
      </c>
      <c r="C150" s="809" t="s">
        <v>12</v>
      </c>
      <c r="D150" s="526"/>
      <c r="E150" s="526"/>
      <c r="F150" s="880"/>
      <c r="G150" s="831"/>
      <c r="H150" s="832"/>
      <c r="I150" s="832"/>
      <c r="J150" s="832"/>
      <c r="K150" s="832"/>
      <c r="L150" s="832"/>
      <c r="M150" s="832"/>
      <c r="N150" s="832"/>
      <c r="O150" s="526"/>
      <c r="P150" s="526"/>
      <c r="Q150" s="801"/>
      <c r="R150" s="825"/>
      <c r="S150" s="832"/>
      <c r="T150" s="832"/>
      <c r="U150" s="832"/>
      <c r="V150" s="832"/>
      <c r="W150" s="834"/>
      <c r="X150" s="834"/>
      <c r="Y150" s="834"/>
      <c r="Z150" s="833"/>
      <c r="AA150" s="832"/>
      <c r="AB150" s="841">
        <v>372000</v>
      </c>
      <c r="AC150" s="835"/>
      <c r="AD150" s="836"/>
      <c r="AE150" s="836"/>
      <c r="AF150" s="826"/>
      <c r="AG150" s="851"/>
      <c r="AH150" s="826"/>
      <c r="AI150" s="826"/>
      <c r="AJ150" s="825"/>
      <c r="AK150" s="814"/>
      <c r="AL150" s="826"/>
      <c r="AM150" s="826"/>
      <c r="AN150" s="827">
        <f t="shared" si="14"/>
        <v>1</v>
      </c>
      <c r="AO150" s="828">
        <f t="shared" si="15"/>
        <v>372000</v>
      </c>
      <c r="AP150" s="829">
        <f t="shared" si="16"/>
        <v>372000</v>
      </c>
      <c r="BA150" s="332">
        <f>AO150-'[21]INSUMOS '!AO150</f>
        <v>0</v>
      </c>
    </row>
    <row r="151" spans="1:53" x14ac:dyDescent="0.2">
      <c r="A151" s="942">
        <v>149</v>
      </c>
      <c r="B151" s="1112" t="s">
        <v>3257</v>
      </c>
      <c r="C151" s="809" t="s">
        <v>12</v>
      </c>
      <c r="D151" s="526"/>
      <c r="E151" s="526"/>
      <c r="F151" s="880"/>
      <c r="G151" s="831"/>
      <c r="H151" s="832"/>
      <c r="I151" s="832"/>
      <c r="J151" s="832"/>
      <c r="K151" s="832"/>
      <c r="L151" s="832"/>
      <c r="M151" s="832"/>
      <c r="N151" s="832"/>
      <c r="O151" s="526"/>
      <c r="P151" s="526"/>
      <c r="Q151" s="801"/>
      <c r="R151" s="825"/>
      <c r="S151" s="832"/>
      <c r="T151" s="832"/>
      <c r="U151" s="832"/>
      <c r="V151" s="832"/>
      <c r="W151" s="834"/>
      <c r="X151" s="834"/>
      <c r="Y151" s="834"/>
      <c r="Z151" s="833"/>
      <c r="AA151" s="832"/>
      <c r="AB151" s="841">
        <v>423000</v>
      </c>
      <c r="AC151" s="835"/>
      <c r="AD151" s="836"/>
      <c r="AE151" s="836"/>
      <c r="AF151" s="826"/>
      <c r="AG151" s="851"/>
      <c r="AH151" s="826"/>
      <c r="AI151" s="826"/>
      <c r="AJ151" s="825"/>
      <c r="AK151" s="814"/>
      <c r="AL151" s="826"/>
      <c r="AM151" s="826"/>
      <c r="AN151" s="827">
        <f t="shared" si="14"/>
        <v>1</v>
      </c>
      <c r="AO151" s="828">
        <f t="shared" si="15"/>
        <v>423000</v>
      </c>
      <c r="AP151" s="829">
        <f t="shared" si="16"/>
        <v>423000</v>
      </c>
      <c r="BA151" s="332">
        <f>AO151-'[21]INSUMOS '!AO151</f>
        <v>0</v>
      </c>
    </row>
    <row r="152" spans="1:53" x14ac:dyDescent="0.2">
      <c r="A152" s="808">
        <v>150</v>
      </c>
      <c r="B152" s="1112" t="s">
        <v>3320</v>
      </c>
      <c r="C152" s="809" t="s">
        <v>6</v>
      </c>
      <c r="D152" s="906"/>
      <c r="E152" s="907"/>
      <c r="F152" s="996"/>
      <c r="G152" s="906"/>
      <c r="H152" s="832"/>
      <c r="I152" s="832"/>
      <c r="J152" s="832"/>
      <c r="K152" s="832"/>
      <c r="L152" s="832"/>
      <c r="M152" s="832"/>
      <c r="N152" s="832"/>
      <c r="O152" s="526"/>
      <c r="P152" s="526"/>
      <c r="Q152" s="801"/>
      <c r="R152" s="825"/>
      <c r="S152" s="832"/>
      <c r="T152" s="832"/>
      <c r="U152" s="832"/>
      <c r="V152" s="832"/>
      <c r="W152" s="834"/>
      <c r="X152" s="834"/>
      <c r="Y152" s="834"/>
      <c r="Z152" s="858">
        <v>497353</v>
      </c>
      <c r="AA152" s="832"/>
      <c r="AB152" s="841">
        <v>553000</v>
      </c>
      <c r="AC152" s="835"/>
      <c r="AD152" s="836"/>
      <c r="AE152" s="836"/>
      <c r="AF152" s="826"/>
      <c r="AG152" s="851"/>
      <c r="AH152" s="826"/>
      <c r="AI152" s="826"/>
      <c r="AJ152" s="825"/>
      <c r="AK152" s="814"/>
      <c r="AL152" s="826"/>
      <c r="AM152" s="826"/>
      <c r="AN152" s="827">
        <f t="shared" si="14"/>
        <v>2</v>
      </c>
      <c r="AO152" s="828">
        <f t="shared" si="15"/>
        <v>525176.5</v>
      </c>
      <c r="AP152" s="829">
        <f t="shared" si="16"/>
        <v>525176.5</v>
      </c>
      <c r="BA152" s="332">
        <f>AO152-'[21]INSUMOS '!AO152</f>
        <v>0</v>
      </c>
    </row>
    <row r="153" spans="1:53" x14ac:dyDescent="0.2">
      <c r="A153" s="942">
        <v>151</v>
      </c>
      <c r="B153" s="1112" t="s">
        <v>3322</v>
      </c>
      <c r="C153" s="809" t="s">
        <v>6</v>
      </c>
      <c r="D153" s="906"/>
      <c r="E153" s="907"/>
      <c r="F153" s="997"/>
      <c r="G153" s="906"/>
      <c r="H153" s="832"/>
      <c r="I153" s="832"/>
      <c r="J153" s="832"/>
      <c r="K153" s="832"/>
      <c r="L153" s="832"/>
      <c r="M153" s="832"/>
      <c r="N153" s="832"/>
      <c r="O153" s="526"/>
      <c r="P153" s="526"/>
      <c r="Q153" s="801"/>
      <c r="R153" s="825"/>
      <c r="S153" s="858">
        <f>74900/30</f>
        <v>2496.6666666666665</v>
      </c>
      <c r="T153" s="832"/>
      <c r="U153" s="832"/>
      <c r="V153" s="832"/>
      <c r="W153" s="834"/>
      <c r="X153" s="834"/>
      <c r="Y153" s="834"/>
      <c r="Z153" s="834"/>
      <c r="AA153" s="832"/>
      <c r="AB153" s="831"/>
      <c r="AC153" s="835"/>
      <c r="AD153" s="836"/>
      <c r="AE153" s="836"/>
      <c r="AF153" s="826"/>
      <c r="AG153" s="851"/>
      <c r="AH153" s="826"/>
      <c r="AI153" s="826"/>
      <c r="AJ153" s="825"/>
      <c r="AK153" s="814"/>
      <c r="AL153" s="826"/>
      <c r="AM153" s="826"/>
      <c r="AN153" s="827">
        <f t="shared" si="14"/>
        <v>1</v>
      </c>
      <c r="AO153" s="828">
        <f t="shared" si="15"/>
        <v>2496.6666666666665</v>
      </c>
      <c r="AP153" s="829">
        <f t="shared" si="16"/>
        <v>2496.6666666666665</v>
      </c>
      <c r="BA153" s="332">
        <f>AO153-'[21]INSUMOS '!AO153</f>
        <v>0</v>
      </c>
    </row>
    <row r="154" spans="1:53" x14ac:dyDescent="0.2">
      <c r="A154" s="808">
        <v>152</v>
      </c>
      <c r="B154" s="1112" t="s">
        <v>3361</v>
      </c>
      <c r="C154" s="809" t="s">
        <v>12</v>
      </c>
      <c r="D154" s="909"/>
      <c r="E154" s="909"/>
      <c r="F154" s="998"/>
      <c r="G154" s="910"/>
      <c r="H154" s="911"/>
      <c r="I154" s="911"/>
      <c r="J154" s="911"/>
      <c r="K154" s="911"/>
      <c r="L154" s="911"/>
      <c r="M154" s="911"/>
      <c r="N154" s="911"/>
      <c r="O154" s="909"/>
      <c r="P154" s="909"/>
      <c r="Q154" s="801"/>
      <c r="R154" s="825"/>
      <c r="S154" s="911"/>
      <c r="T154" s="911"/>
      <c r="U154" s="911"/>
      <c r="V154" s="911"/>
      <c r="W154" s="912"/>
      <c r="X154" s="912"/>
      <c r="Y154" s="912"/>
      <c r="Z154" s="963"/>
      <c r="AA154" s="911"/>
      <c r="AB154" s="841">
        <v>512605</v>
      </c>
      <c r="AC154" s="913"/>
      <c r="AD154" s="914"/>
      <c r="AE154" s="914"/>
      <c r="AF154" s="826"/>
      <c r="AG154" s="851"/>
      <c r="AH154" s="826"/>
      <c r="AI154" s="826"/>
      <c r="AJ154" s="825"/>
      <c r="AK154" s="814"/>
      <c r="AL154" s="826"/>
      <c r="AM154" s="826"/>
      <c r="AN154" s="827">
        <f t="shared" si="14"/>
        <v>1</v>
      </c>
      <c r="AO154" s="828">
        <f t="shared" si="15"/>
        <v>512605</v>
      </c>
      <c r="AP154" s="829">
        <f t="shared" si="16"/>
        <v>512605</v>
      </c>
      <c r="BA154" s="332">
        <f>AO154-'[21]INSUMOS '!AO154</f>
        <v>0</v>
      </c>
    </row>
    <row r="155" spans="1:53" ht="38.25" x14ac:dyDescent="0.2">
      <c r="A155" s="942">
        <v>153</v>
      </c>
      <c r="B155" s="1112" t="s">
        <v>3395</v>
      </c>
      <c r="C155" s="809" t="s">
        <v>266</v>
      </c>
      <c r="D155" s="915"/>
      <c r="E155" s="915"/>
      <c r="F155" s="999"/>
      <c r="G155" s="916"/>
      <c r="H155" s="917"/>
      <c r="I155" s="832"/>
      <c r="J155" s="832"/>
      <c r="K155" s="832"/>
      <c r="L155" s="832"/>
      <c r="M155" s="832"/>
      <c r="N155" s="832"/>
      <c r="O155" s="526"/>
      <c r="P155" s="526"/>
      <c r="Q155" s="526"/>
      <c r="R155" s="832"/>
      <c r="S155" s="832"/>
      <c r="T155" s="832"/>
      <c r="U155" s="832"/>
      <c r="V155" s="832"/>
      <c r="W155" s="834"/>
      <c r="X155" s="834"/>
      <c r="Y155" s="834"/>
      <c r="Z155" s="834"/>
      <c r="AA155" s="832"/>
      <c r="AB155" s="841">
        <f>502353*1.19</f>
        <v>597800.06999999995</v>
      </c>
      <c r="AC155" s="835"/>
      <c r="AD155" s="835"/>
      <c r="AE155" s="835"/>
      <c r="AF155" s="831"/>
      <c r="AG155" s="850"/>
      <c r="AH155" s="831"/>
      <c r="AI155" s="831"/>
      <c r="AJ155" s="832"/>
      <c r="AK155" s="813"/>
      <c r="AL155" s="888"/>
      <c r="AM155" s="888"/>
      <c r="AN155" s="827">
        <f t="shared" si="14"/>
        <v>1</v>
      </c>
      <c r="AO155" s="828">
        <f t="shared" ref="AO155:AO164" si="17">+IFERROR(AVERAGE(D155:AM155),0)</f>
        <v>597800.06999999995</v>
      </c>
      <c r="AP155" s="829">
        <f t="shared" si="16"/>
        <v>597800.06999999995</v>
      </c>
      <c r="AQ155" s="807"/>
      <c r="BA155" s="332">
        <f>AO155-'[21]INSUMOS '!AO155</f>
        <v>0</v>
      </c>
    </row>
    <row r="156" spans="1:53" ht="37.9" customHeight="1" x14ac:dyDescent="0.2">
      <c r="A156" s="808">
        <v>154</v>
      </c>
      <c r="B156" s="1112" t="s">
        <v>3397</v>
      </c>
      <c r="C156" s="809" t="s">
        <v>266</v>
      </c>
      <c r="D156" s="918"/>
      <c r="E156" s="918"/>
      <c r="F156" s="918"/>
      <c r="G156" s="918"/>
      <c r="H156" s="918"/>
      <c r="I156" s="832"/>
      <c r="J156" s="832"/>
      <c r="K156" s="832"/>
      <c r="L156" s="832"/>
      <c r="M156" s="832"/>
      <c r="N156" s="832"/>
      <c r="O156" s="526"/>
      <c r="P156" s="526"/>
      <c r="Q156" s="526"/>
      <c r="R156" s="832"/>
      <c r="S156" s="834"/>
      <c r="T156" s="832"/>
      <c r="U156" s="832"/>
      <c r="V156" s="832"/>
      <c r="W156" s="834"/>
      <c r="X156" s="834"/>
      <c r="Y156" s="834"/>
      <c r="Z156" s="834"/>
      <c r="AA156" s="832"/>
      <c r="AB156" s="858">
        <f>115294*1.19</f>
        <v>137199.85999999999</v>
      </c>
      <c r="AC156" s="835"/>
      <c r="AD156" s="835"/>
      <c r="AE156" s="835"/>
      <c r="AF156" s="831"/>
      <c r="AG156" s="850"/>
      <c r="AH156" s="831"/>
      <c r="AI156" s="831"/>
      <c r="AJ156" s="832"/>
      <c r="AK156" s="813"/>
      <c r="AL156" s="888"/>
      <c r="AM156" s="888"/>
      <c r="AN156" s="827">
        <f t="shared" si="14"/>
        <v>1</v>
      </c>
      <c r="AO156" s="828">
        <f t="shared" si="17"/>
        <v>137199.85999999999</v>
      </c>
      <c r="AP156" s="829">
        <f t="shared" si="16"/>
        <v>137199.85999999999</v>
      </c>
      <c r="AQ156" s="807"/>
      <c r="BA156" s="332">
        <f>AO156-'[21]INSUMOS '!AO156</f>
        <v>0</v>
      </c>
    </row>
    <row r="157" spans="1:53" x14ac:dyDescent="0.2">
      <c r="A157" s="942">
        <v>155</v>
      </c>
      <c r="B157" s="1112" t="s">
        <v>3509</v>
      </c>
      <c r="C157" s="809" t="s">
        <v>266</v>
      </c>
      <c r="D157" s="801"/>
      <c r="E157" s="801"/>
      <c r="F157" s="920"/>
      <c r="G157" s="921"/>
      <c r="H157" s="922"/>
      <c r="I157" s="922"/>
      <c r="J157" s="922"/>
      <c r="K157" s="922"/>
      <c r="L157" s="922"/>
      <c r="M157" s="922"/>
      <c r="N157" s="922"/>
      <c r="O157" s="920"/>
      <c r="P157" s="920"/>
      <c r="Q157" s="801"/>
      <c r="R157" s="825"/>
      <c r="S157" s="1343">
        <f>4200</f>
        <v>4200</v>
      </c>
      <c r="T157" s="922"/>
      <c r="U157" s="922"/>
      <c r="V157" s="922"/>
      <c r="W157" s="923"/>
      <c r="X157" s="923"/>
      <c r="Y157" s="923"/>
      <c r="Z157" s="923"/>
      <c r="AA157" s="922"/>
      <c r="AB157" s="921"/>
      <c r="AC157" s="836"/>
      <c r="AD157" s="836"/>
      <c r="AE157" s="836"/>
      <c r="AF157" s="826"/>
      <c r="AG157" s="851"/>
      <c r="AH157" s="826"/>
      <c r="AI157" s="826"/>
      <c r="AJ157" s="825"/>
      <c r="AK157" s="814"/>
      <c r="AL157" s="826"/>
      <c r="AM157" s="826"/>
      <c r="AN157" s="827">
        <f t="shared" si="14"/>
        <v>1</v>
      </c>
      <c r="AO157" s="828">
        <f t="shared" si="17"/>
        <v>4200</v>
      </c>
      <c r="AP157" s="829">
        <f t="shared" si="16"/>
        <v>4200</v>
      </c>
      <c r="BA157" s="332">
        <f>AO157-'[21]INSUMOS '!AO157</f>
        <v>0</v>
      </c>
    </row>
    <row r="158" spans="1:53" ht="25.5" x14ac:dyDescent="0.2">
      <c r="A158" s="808">
        <v>156</v>
      </c>
      <c r="B158" s="1112" t="s">
        <v>3527</v>
      </c>
      <c r="C158" s="809" t="s">
        <v>266</v>
      </c>
      <c r="D158" s="801"/>
      <c r="E158" s="801"/>
      <c r="F158" s="920"/>
      <c r="G158" s="921"/>
      <c r="H158" s="922"/>
      <c r="I158" s="922"/>
      <c r="J158" s="922"/>
      <c r="K158" s="922"/>
      <c r="L158" s="922"/>
      <c r="M158" s="922"/>
      <c r="N158" s="922"/>
      <c r="O158" s="920"/>
      <c r="P158" s="920"/>
      <c r="Q158" s="801"/>
      <c r="R158" s="825"/>
      <c r="S158" s="922"/>
      <c r="T158" s="922"/>
      <c r="U158" s="922"/>
      <c r="V158" s="922"/>
      <c r="W158" s="923"/>
      <c r="X158" s="923"/>
      <c r="Y158" s="923"/>
      <c r="Z158" s="923"/>
      <c r="AA158" s="922"/>
      <c r="AB158" s="921"/>
      <c r="AC158" s="836"/>
      <c r="AD158" s="836"/>
      <c r="AE158" s="836"/>
      <c r="AF158" s="841">
        <v>95000</v>
      </c>
      <c r="AG158" s="851"/>
      <c r="AH158" s="826"/>
      <c r="AI158" s="826"/>
      <c r="AJ158" s="825"/>
      <c r="AK158" s="814"/>
      <c r="AL158" s="826"/>
      <c r="AM158" s="826"/>
      <c r="AN158" s="827">
        <f t="shared" si="14"/>
        <v>1</v>
      </c>
      <c r="AO158" s="828">
        <f t="shared" si="17"/>
        <v>95000</v>
      </c>
      <c r="AP158" s="829">
        <f t="shared" si="16"/>
        <v>95000</v>
      </c>
      <c r="BA158" s="332">
        <f>AO158-'[21]INSUMOS '!AO158</f>
        <v>0</v>
      </c>
    </row>
    <row r="159" spans="1:53" x14ac:dyDescent="0.2">
      <c r="A159" s="942">
        <v>157</v>
      </c>
      <c r="B159" s="1112" t="s">
        <v>3507</v>
      </c>
      <c r="C159" s="809" t="s">
        <v>266</v>
      </c>
      <c r="D159" s="801"/>
      <c r="E159" s="801"/>
      <c r="F159" s="526"/>
      <c r="G159" s="831"/>
      <c r="H159" s="832"/>
      <c r="I159" s="832"/>
      <c r="J159" s="832"/>
      <c r="K159" s="832"/>
      <c r="L159" s="832"/>
      <c r="M159" s="832"/>
      <c r="N159" s="832"/>
      <c r="O159" s="873">
        <v>8542</v>
      </c>
      <c r="P159" s="526"/>
      <c r="Q159" s="801"/>
      <c r="R159" s="825"/>
      <c r="S159" s="832"/>
      <c r="T159" s="832"/>
      <c r="U159" s="832"/>
      <c r="V159" s="832"/>
      <c r="W159" s="834"/>
      <c r="X159" s="834"/>
      <c r="Y159" s="834"/>
      <c r="Z159" s="834"/>
      <c r="AA159" s="832"/>
      <c r="AB159" s="831"/>
      <c r="AC159" s="835"/>
      <c r="AD159" s="836"/>
      <c r="AE159" s="836"/>
      <c r="AF159" s="826"/>
      <c r="AG159" s="851"/>
      <c r="AH159" s="826"/>
      <c r="AI159" s="826"/>
      <c r="AJ159" s="825"/>
      <c r="AK159" s="814"/>
      <c r="AL159" s="826"/>
      <c r="AM159" s="826"/>
      <c r="AN159" s="827">
        <f t="shared" si="14"/>
        <v>1</v>
      </c>
      <c r="AO159" s="828">
        <f t="shared" si="17"/>
        <v>8542</v>
      </c>
      <c r="AP159" s="829">
        <f t="shared" si="16"/>
        <v>8542</v>
      </c>
      <c r="BA159" s="332">
        <f>AO159-'[21]INSUMOS '!AO159</f>
        <v>0</v>
      </c>
    </row>
    <row r="160" spans="1:53" x14ac:dyDescent="0.2">
      <c r="A160" s="808">
        <v>158</v>
      </c>
      <c r="B160" s="1112" t="s">
        <v>3526</v>
      </c>
      <c r="C160" s="809" t="s">
        <v>12</v>
      </c>
      <c r="D160" s="801"/>
      <c r="E160" s="801"/>
      <c r="F160" s="526"/>
      <c r="G160" s="831"/>
      <c r="H160" s="832"/>
      <c r="I160" s="832"/>
      <c r="J160" s="832"/>
      <c r="K160" s="832"/>
      <c r="L160" s="832"/>
      <c r="M160" s="832"/>
      <c r="N160" s="832"/>
      <c r="O160" s="526"/>
      <c r="P160" s="526"/>
      <c r="Q160" s="801"/>
      <c r="R160" s="825"/>
      <c r="S160" s="832"/>
      <c r="T160" s="832"/>
      <c r="U160" s="832"/>
      <c r="V160" s="832"/>
      <c r="W160" s="834"/>
      <c r="X160" s="834"/>
      <c r="Y160" s="834"/>
      <c r="Z160" s="965"/>
      <c r="AA160" s="832"/>
      <c r="AB160" s="831"/>
      <c r="AC160" s="835"/>
      <c r="AD160" s="836"/>
      <c r="AE160" s="836"/>
      <c r="AF160" s="841">
        <v>60000</v>
      </c>
      <c r="AG160" s="851"/>
      <c r="AH160" s="826"/>
      <c r="AI160" s="826"/>
      <c r="AJ160" s="825"/>
      <c r="AK160" s="814"/>
      <c r="AL160" s="826"/>
      <c r="AM160" s="826"/>
      <c r="AN160" s="827">
        <f t="shared" si="14"/>
        <v>1</v>
      </c>
      <c r="AO160" s="828">
        <f t="shared" si="17"/>
        <v>60000</v>
      </c>
      <c r="AP160" s="829">
        <f t="shared" si="16"/>
        <v>60000</v>
      </c>
      <c r="BA160" s="332">
        <f>AO160-'[21]INSUMOS '!AO160</f>
        <v>0</v>
      </c>
    </row>
    <row r="161" spans="1:53" x14ac:dyDescent="0.2">
      <c r="A161" s="942">
        <v>159</v>
      </c>
      <c r="B161" s="1112" t="s">
        <v>3528</v>
      </c>
      <c r="C161" s="809" t="s">
        <v>10</v>
      </c>
      <c r="D161" s="526"/>
      <c r="E161" s="526"/>
      <c r="F161" s="526"/>
      <c r="G161" s="831"/>
      <c r="H161" s="832"/>
      <c r="I161" s="832"/>
      <c r="J161" s="832"/>
      <c r="K161" s="832"/>
      <c r="L161" s="832"/>
      <c r="M161" s="832"/>
      <c r="N161" s="832"/>
      <c r="O161" s="526"/>
      <c r="P161" s="526"/>
      <c r="Q161" s="801"/>
      <c r="R161" s="825"/>
      <c r="S161" s="832"/>
      <c r="T161" s="832"/>
      <c r="U161" s="832"/>
      <c r="V161" s="832"/>
      <c r="W161" s="834"/>
      <c r="X161" s="834"/>
      <c r="Y161" s="834"/>
      <c r="Z161" s="833"/>
      <c r="AA161" s="832"/>
      <c r="AB161" s="850"/>
      <c r="AC161" s="835"/>
      <c r="AD161" s="836"/>
      <c r="AE161" s="836"/>
      <c r="AF161" s="841">
        <v>140000</v>
      </c>
      <c r="AG161" s="851"/>
      <c r="AH161" s="826"/>
      <c r="AI161" s="826"/>
      <c r="AJ161" s="825"/>
      <c r="AK161" s="814"/>
      <c r="AL161" s="826"/>
      <c r="AM161" s="826"/>
      <c r="AN161" s="827">
        <f t="shared" si="14"/>
        <v>1</v>
      </c>
      <c r="AO161" s="828">
        <f t="shared" si="17"/>
        <v>140000</v>
      </c>
      <c r="AP161" s="829">
        <f t="shared" si="16"/>
        <v>140000</v>
      </c>
      <c r="BA161" s="332">
        <f>AO161-'[21]INSUMOS '!AO161</f>
        <v>0</v>
      </c>
    </row>
    <row r="162" spans="1:53" x14ac:dyDescent="0.2">
      <c r="A162" s="924">
        <v>160</v>
      </c>
      <c r="B162" s="906" t="s">
        <v>7312</v>
      </c>
      <c r="C162" s="809" t="s">
        <v>3</v>
      </c>
      <c r="D162" s="526"/>
      <c r="E162" s="526"/>
      <c r="F162" s="526"/>
      <c r="G162" s="831"/>
      <c r="H162" s="832"/>
      <c r="I162" s="832"/>
      <c r="J162" s="832"/>
      <c r="K162" s="832"/>
      <c r="L162" s="832"/>
      <c r="M162" s="832"/>
      <c r="N162" s="832"/>
      <c r="O162" s="526"/>
      <c r="P162" s="526"/>
      <c r="Q162" s="801"/>
      <c r="R162" s="825"/>
      <c r="S162" s="832"/>
      <c r="T162" s="832"/>
      <c r="U162" s="832"/>
      <c r="V162" s="832"/>
      <c r="W162" s="834"/>
      <c r="X162" s="834"/>
      <c r="Y162" s="834"/>
      <c r="Z162" s="832"/>
      <c r="AA162" s="832"/>
      <c r="AB162" s="850"/>
      <c r="AC162" s="835"/>
      <c r="AD162" s="836"/>
      <c r="AE162" s="836"/>
      <c r="AF162" s="826"/>
      <c r="AG162" s="851"/>
      <c r="AH162" s="826"/>
      <c r="AI162" s="826"/>
      <c r="AJ162" s="825"/>
      <c r="AK162" s="814"/>
      <c r="AL162" s="826"/>
      <c r="AM162" s="826"/>
      <c r="AN162" s="827">
        <f t="shared" si="14"/>
        <v>0</v>
      </c>
      <c r="AO162" s="828">
        <f t="shared" si="17"/>
        <v>0</v>
      </c>
      <c r="AP162" s="829">
        <f t="shared" si="16"/>
        <v>0</v>
      </c>
      <c r="BA162" s="332">
        <f>AO162-'[21]INSUMOS '!AO162</f>
        <v>0</v>
      </c>
    </row>
    <row r="163" spans="1:53" x14ac:dyDescent="0.2">
      <c r="A163" s="1382"/>
      <c r="B163" s="1432"/>
      <c r="C163" s="908"/>
      <c r="D163" s="909"/>
      <c r="E163" s="909"/>
      <c r="F163" s="909"/>
      <c r="G163" s="910"/>
      <c r="H163" s="911"/>
      <c r="I163" s="911"/>
      <c r="J163" s="911"/>
      <c r="K163" s="911"/>
      <c r="L163" s="911"/>
      <c r="M163" s="911"/>
      <c r="N163" s="911"/>
      <c r="O163" s="909"/>
      <c r="P163" s="909"/>
      <c r="Q163" s="801"/>
      <c r="R163" s="825"/>
      <c r="S163" s="911"/>
      <c r="T163" s="911"/>
      <c r="U163" s="911"/>
      <c r="V163" s="911"/>
      <c r="W163" s="912"/>
      <c r="X163" s="912"/>
      <c r="Y163" s="912"/>
      <c r="Z163" s="911"/>
      <c r="AA163" s="911"/>
      <c r="AB163" s="1383"/>
      <c r="AC163" s="913"/>
      <c r="AD163" s="914"/>
      <c r="AE163" s="914"/>
      <c r="AF163" s="826"/>
      <c r="AG163" s="851"/>
      <c r="AH163" s="826"/>
      <c r="AI163" s="826"/>
      <c r="AJ163" s="825"/>
      <c r="AK163" s="814"/>
      <c r="AL163" s="826"/>
      <c r="AM163" s="826"/>
      <c r="AN163" s="827">
        <f t="shared" si="14"/>
        <v>0</v>
      </c>
      <c r="AO163" s="828">
        <f t="shared" si="17"/>
        <v>0</v>
      </c>
      <c r="AP163" s="829">
        <f t="shared" si="16"/>
        <v>0</v>
      </c>
      <c r="BA163" s="332"/>
    </row>
    <row r="164" spans="1:53" x14ac:dyDescent="0.2">
      <c r="A164" s="1382"/>
      <c r="B164" s="1432"/>
      <c r="C164" s="908"/>
      <c r="D164" s="909"/>
      <c r="E164" s="909"/>
      <c r="F164" s="909"/>
      <c r="G164" s="910"/>
      <c r="H164" s="911"/>
      <c r="I164" s="911"/>
      <c r="J164" s="911"/>
      <c r="K164" s="911"/>
      <c r="L164" s="911"/>
      <c r="M164" s="911"/>
      <c r="N164" s="911"/>
      <c r="O164" s="909"/>
      <c r="P164" s="909"/>
      <c r="Q164" s="801"/>
      <c r="R164" s="825"/>
      <c r="S164" s="911"/>
      <c r="T164" s="911"/>
      <c r="U164" s="911"/>
      <c r="V164" s="911"/>
      <c r="W164" s="912"/>
      <c r="X164" s="912"/>
      <c r="Y164" s="912"/>
      <c r="Z164" s="911"/>
      <c r="AA164" s="911"/>
      <c r="AB164" s="1383"/>
      <c r="AC164" s="913"/>
      <c r="AD164" s="914"/>
      <c r="AE164" s="914"/>
      <c r="AF164" s="826"/>
      <c r="AG164" s="851"/>
      <c r="AH164" s="826"/>
      <c r="AI164" s="826"/>
      <c r="AJ164" s="825"/>
      <c r="AK164" s="814"/>
      <c r="AL164" s="826"/>
      <c r="AM164" s="826"/>
      <c r="AN164" s="827">
        <f t="shared" si="14"/>
        <v>0</v>
      </c>
      <c r="AO164" s="828">
        <f t="shared" si="17"/>
        <v>0</v>
      </c>
      <c r="AP164" s="829">
        <f t="shared" si="16"/>
        <v>0</v>
      </c>
      <c r="BA164" s="332"/>
    </row>
    <row r="165" spans="1:53" x14ac:dyDescent="0.2">
      <c r="A165" s="1382"/>
      <c r="B165" s="1432"/>
      <c r="C165" s="908"/>
      <c r="D165" s="909"/>
      <c r="E165" s="909"/>
      <c r="F165" s="909"/>
      <c r="G165" s="910"/>
      <c r="H165" s="911"/>
      <c r="I165" s="911"/>
      <c r="J165" s="911"/>
      <c r="K165" s="911"/>
      <c r="L165" s="911"/>
      <c r="M165" s="911"/>
      <c r="N165" s="911"/>
      <c r="O165" s="909"/>
      <c r="P165" s="909"/>
      <c r="Q165" s="801"/>
      <c r="R165" s="825"/>
      <c r="S165" s="911"/>
      <c r="T165" s="911"/>
      <c r="U165" s="911"/>
      <c r="V165" s="911"/>
      <c r="W165" s="912"/>
      <c r="X165" s="912"/>
      <c r="Y165" s="912"/>
      <c r="Z165" s="911"/>
      <c r="AA165" s="911"/>
      <c r="AB165" s="1383"/>
      <c r="AC165" s="913"/>
      <c r="AD165" s="914"/>
      <c r="AE165" s="914"/>
      <c r="AF165" s="826"/>
      <c r="AG165" s="851"/>
      <c r="AH165" s="826"/>
      <c r="AI165" s="826"/>
      <c r="AJ165" s="825"/>
      <c r="AK165" s="814"/>
      <c r="AL165" s="826"/>
      <c r="AM165" s="826"/>
      <c r="AN165" s="1384"/>
      <c r="AO165" s="1385"/>
      <c r="AP165" s="1386"/>
      <c r="BA165" s="332"/>
    </row>
    <row r="166" spans="1:53" ht="24" customHeight="1" thickBot="1" x14ac:dyDescent="0.25">
      <c r="A166" s="925"/>
      <c r="B166" s="1433" t="s">
        <v>3124</v>
      </c>
      <c r="C166" s="926"/>
      <c r="D166" s="927"/>
      <c r="E166" s="927"/>
      <c r="F166" s="927"/>
      <c r="G166" s="928"/>
      <c r="H166" s="929"/>
      <c r="I166" s="929"/>
      <c r="J166" s="929"/>
      <c r="K166" s="929"/>
      <c r="L166" s="929"/>
      <c r="M166" s="929"/>
      <c r="N166" s="929"/>
      <c r="O166" s="927"/>
      <c r="P166" s="927"/>
      <c r="Q166" s="931"/>
      <c r="R166" s="932"/>
      <c r="S166" s="929"/>
      <c r="T166" s="929"/>
      <c r="U166" s="929"/>
      <c r="V166" s="929"/>
      <c r="W166" s="930"/>
      <c r="X166" s="930"/>
      <c r="Y166" s="930"/>
      <c r="Z166" s="929"/>
      <c r="AA166" s="929"/>
      <c r="AB166" s="933"/>
      <c r="AC166" s="934"/>
      <c r="AD166" s="935"/>
      <c r="AE166" s="935"/>
      <c r="AF166" s="936"/>
      <c r="AG166" s="937"/>
      <c r="AH166" s="936"/>
      <c r="AI166" s="936"/>
      <c r="AJ166" s="932"/>
      <c r="AK166" s="938"/>
      <c r="AL166" s="936"/>
      <c r="AM166" s="936"/>
      <c r="AN166" s="939"/>
      <c r="AO166" s="940"/>
      <c r="AP166" s="941"/>
      <c r="BA166" s="332">
        <f>AO166-'[21]INSUMOS '!AO163</f>
        <v>0</v>
      </c>
    </row>
    <row r="167" spans="1:53" ht="15" x14ac:dyDescent="0.25">
      <c r="B167" s="794" t="s">
        <v>3125</v>
      </c>
      <c r="W167" s="785"/>
    </row>
    <row r="168" spans="1:53" ht="16.5" x14ac:dyDescent="0.2">
      <c r="B168" s="1434"/>
      <c r="W168" s="785"/>
    </row>
    <row r="169" spans="1:53" ht="6.6" customHeight="1" x14ac:dyDescent="0.2">
      <c r="B169" s="1435" t="s">
        <v>3118</v>
      </c>
      <c r="F169" s="350">
        <f>+F154*0.2</f>
        <v>0</v>
      </c>
      <c r="W169" s="785"/>
      <c r="AN169" s="89">
        <f>48300/12</f>
        <v>4025</v>
      </c>
    </row>
    <row r="170" spans="1:53" ht="15" x14ac:dyDescent="0.2">
      <c r="B170" s="1435" t="s">
        <v>3119</v>
      </c>
      <c r="C170" s="89">
        <f>16500/4.76</f>
        <v>3466.386554621849</v>
      </c>
      <c r="W170" s="785"/>
    </row>
    <row r="171" spans="1:53" ht="15" x14ac:dyDescent="0.2">
      <c r="B171" s="1435" t="s">
        <v>3120</v>
      </c>
      <c r="W171" s="785"/>
    </row>
    <row r="172" spans="1:53" ht="15" x14ac:dyDescent="0.2">
      <c r="B172" s="1435" t="s">
        <v>3121</v>
      </c>
      <c r="C172" s="300" t="s">
        <v>3358</v>
      </c>
      <c r="D172" s="330" t="s">
        <v>3359</v>
      </c>
      <c r="E172" s="330"/>
      <c r="W172" s="785"/>
    </row>
    <row r="173" spans="1:53" ht="15" x14ac:dyDescent="0.2">
      <c r="B173" s="1435" t="s">
        <v>3122</v>
      </c>
      <c r="D173" s="300">
        <f>1.5*39.37</f>
        <v>59.054999999999993</v>
      </c>
      <c r="E173" s="668">
        <v>1.5</v>
      </c>
      <c r="W173" s="785"/>
    </row>
    <row r="174" spans="1:53" ht="15" x14ac:dyDescent="0.25">
      <c r="B174" s="1435" t="s">
        <v>3123</v>
      </c>
      <c r="D174" s="300" t="s">
        <v>3360</v>
      </c>
      <c r="E174" s="668">
        <f>90/(39.37)</f>
        <v>2.2860045720091442</v>
      </c>
      <c r="J174" s="989" t="s">
        <v>3523</v>
      </c>
      <c r="W174" s="785"/>
    </row>
    <row r="175" spans="1:53" x14ac:dyDescent="0.2">
      <c r="D175" s="300">
        <v>125</v>
      </c>
      <c r="E175" s="668">
        <f>125/(39.37)</f>
        <v>3.1750063500127004</v>
      </c>
    </row>
    <row r="183" spans="8:8" x14ac:dyDescent="0.2">
      <c r="H183" s="919" t="s">
        <v>3509</v>
      </c>
    </row>
    <row r="184" spans="8:8" x14ac:dyDescent="0.2">
      <c r="H184" s="919" t="s">
        <v>3527</v>
      </c>
    </row>
    <row r="185" spans="8:8" x14ac:dyDescent="0.2">
      <c r="H185" s="849" t="s">
        <v>3507</v>
      </c>
    </row>
    <row r="186" spans="8:8" x14ac:dyDescent="0.2">
      <c r="H186" s="849" t="s">
        <v>3526</v>
      </c>
    </row>
    <row r="187" spans="8:8" x14ac:dyDescent="0.2">
      <c r="H187" s="849" t="s">
        <v>3528</v>
      </c>
    </row>
    <row r="200" spans="29:41" x14ac:dyDescent="0.2">
      <c r="AN200" s="89">
        <v>1.03</v>
      </c>
    </row>
    <row r="201" spans="29:41" x14ac:dyDescent="0.2">
      <c r="AC201" s="332">
        <f>+AN201/1.03</f>
        <v>94.259590913375419</v>
      </c>
      <c r="AD201" s="332"/>
      <c r="AE201" s="332"/>
      <c r="AN201" s="89">
        <f>+AO201/1.03</f>
        <v>97.087378640776691</v>
      </c>
      <c r="AO201" s="350">
        <v>100</v>
      </c>
    </row>
    <row r="202" spans="29:41" x14ac:dyDescent="0.2">
      <c r="AC202" s="686">
        <f>+$AO$201/AC201</f>
        <v>1.0609000000000002</v>
      </c>
      <c r="AD202" s="686"/>
      <c r="AE202" s="686"/>
      <c r="AN202" s="686">
        <f>+$AO$201/AN201</f>
        <v>1.03</v>
      </c>
      <c r="AO202" s="686">
        <f>+$AO$201/AO201</f>
        <v>1</v>
      </c>
    </row>
    <row r="211" spans="6:8" x14ac:dyDescent="0.2">
      <c r="F211" s="350">
        <f>5333*4.76</f>
        <v>25385.079999999998</v>
      </c>
      <c r="G211" s="759">
        <f>+F211/F212</f>
        <v>1.5384896969696968</v>
      </c>
    </row>
    <row r="212" spans="6:8" x14ac:dyDescent="0.2">
      <c r="F212" s="350">
        <v>16500</v>
      </c>
    </row>
    <row r="213" spans="6:8" x14ac:dyDescent="0.2">
      <c r="F213" s="350">
        <f>+F211-F212</f>
        <v>8885.0799999999981</v>
      </c>
      <c r="G213" s="759">
        <f>+F213/F212</f>
        <v>0.53848969696969684</v>
      </c>
    </row>
    <row r="215" spans="6:8" x14ac:dyDescent="0.2">
      <c r="F215" s="350">
        <v>52000</v>
      </c>
      <c r="G215" s="2">
        <f>+F215/6</f>
        <v>8666.6666666666661</v>
      </c>
    </row>
    <row r="216" spans="6:8" x14ac:dyDescent="0.2">
      <c r="G216" s="2">
        <v>8333</v>
      </c>
      <c r="H216" s="759">
        <f>+G215/G216</f>
        <v>1.0400416016640666</v>
      </c>
    </row>
    <row r="226" spans="2:4" x14ac:dyDescent="0.2">
      <c r="C226" s="89">
        <f>1/4</f>
        <v>0.25</v>
      </c>
    </row>
    <row r="227" spans="2:4" x14ac:dyDescent="0.2">
      <c r="C227" s="89">
        <f>+C226*2.54</f>
        <v>0.63500000000000001</v>
      </c>
      <c r="D227" s="350">
        <v>0.1875</v>
      </c>
    </row>
    <row r="229" spans="2:4" x14ac:dyDescent="0.2">
      <c r="B229" s="1428">
        <f>4.5*2</f>
        <v>9</v>
      </c>
    </row>
    <row r="230" spans="2:4" x14ac:dyDescent="0.2">
      <c r="B230" s="1428">
        <f>16500/4.76</f>
        <v>3466.386554621849</v>
      </c>
    </row>
  </sheetData>
  <autoFilter ref="A2:AP175" xr:uid="{00000000-0009-0000-0000-000011000000}"/>
  <sortState xmlns:xlrd2="http://schemas.microsoft.com/office/spreadsheetml/2017/richdata2" ref="A3:AP106">
    <sortCondition ref="B3"/>
  </sortState>
  <phoneticPr fontId="32" type="noConversion"/>
  <conditionalFormatting sqref="B3:B161">
    <cfRule type="expression" dxfId="6" priority="10">
      <formula>AN3&gt;1</formula>
    </cfRule>
    <cfRule type="expression" dxfId="5" priority="11">
      <formula>AN3=1</formula>
    </cfRule>
    <cfRule type="expression" dxfId="4" priority="12">
      <formula>AN3=0</formula>
    </cfRule>
  </conditionalFormatting>
  <conditionalFormatting sqref="B13:B14">
    <cfRule type="duplicateValues" dxfId="3" priority="148"/>
  </conditionalFormatting>
  <conditionalFormatting sqref="B112">
    <cfRule type="duplicateValues" dxfId="2" priority="48"/>
  </conditionalFormatting>
  <conditionalFormatting sqref="B127">
    <cfRule type="duplicateValues" dxfId="1" priority="43"/>
  </conditionalFormatting>
  <conditionalFormatting sqref="B129">
    <cfRule type="duplicateValues" dxfId="0" priority="42"/>
  </conditionalFormatting>
  <hyperlinks>
    <hyperlink ref="B169" r:id="rId1" display="https://www.reflex.com.co/" xr:uid="{00000000-0004-0000-1100-000000000000}"/>
    <hyperlink ref="B170" r:id="rId2" display="https://www.reflex.com.co/?gclid=EAIaIQobChMIv6_U2saA7AIVA4NaBR1-2gV3EAAYASAAEgIlU_D_BwE" xr:uid="{00000000-0004-0000-1100-000001000000}"/>
    <hyperlink ref="B171" r:id="rId3" display="https://www.reflex.com.co/newpagee58a3e97" xr:uid="{00000000-0004-0000-1100-000002000000}"/>
    <hyperlink ref="B172" r:id="rId4" display="https://www.reflex.com.co/newpage5dd98379" xr:uid="{00000000-0004-0000-1100-000003000000}"/>
    <hyperlink ref="B173" r:id="rId5" display="https://www.reflex.com.co/newpage" xr:uid="{00000000-0004-0000-1100-000004000000}"/>
    <hyperlink ref="B174" r:id="rId6" location="NOSOTROS" display="https://www.reflex.com.co/ - NOSOTROS" xr:uid="{00000000-0004-0000-1100-000005000000}"/>
    <hyperlink ref="B166" r:id="rId7" xr:uid="{00000000-0004-0000-1100-000006000000}"/>
    <hyperlink ref="B167" r:id="rId8" xr:uid="{00000000-0004-0000-1100-000007000000}"/>
    <hyperlink ref="E2" r:id="rId9" location="/24-tamano-120/267-color-azul" display="https://www.dvial.es/bolardos-de-plastico-hitos-y-balizas/999-191-hito-de-vertice-divergente-de-senalizacion-obispo.html - /24-tamano-120/267-color-azul" xr:uid="{00000000-0004-0000-1100-000008000000}"/>
    <hyperlink ref="J174" r:id="rId10" xr:uid="{00000000-0004-0000-1100-000009000000}"/>
  </hyperlinks>
  <pageMargins left="0.7" right="0.7" top="0.75" bottom="0.75" header="0.3" footer="0.3"/>
  <pageSetup paperSize="9" orientation="portrait" r:id="rId11"/>
  <ignoredErrors>
    <ignoredError sqref="AB136" formula="1"/>
  </ignoredErrors>
  <drawing r:id="rId12"/>
  <legacyDrawing r:id="rId1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73">
    <tabColor rgb="FFFFFF00"/>
  </sheetPr>
  <dimension ref="A1:L54"/>
  <sheetViews>
    <sheetView topLeftCell="A1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3393</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SUMINISTRO DE BANNER 1,20 M X 1,20 M CON IMPRESIÓN DIGITAL FULL COLOR, EN LONA VINILICA (APLICACIÓN Y EL USO DE LA MARCA CIUDAD)</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'!B156</f>
        <v xml:space="preserve"> BANNER 1,20 M X 1,20 M CON IMPRESIÓN DIGITAL FULL COLOR, EN LONA VINILICA (APLICACIÓN Y EL USO DE LA MARCA CIUDAD), CON OJALES</v>
      </c>
      <c r="B22" s="1569"/>
      <c r="C22" s="1569"/>
      <c r="D22" s="1569"/>
      <c r="E22" s="1569"/>
      <c r="F22" s="1570"/>
      <c r="G22" s="29" t="s">
        <v>10</v>
      </c>
      <c r="H22" s="35">
        <v>1</v>
      </c>
      <c r="I22" s="33">
        <f>+IFERROR(VLOOKUP(A22,'INSUMOS '!$B$2:$AP$167,'INSUMOS '!$AO$2+1,FALSE),0)</f>
        <v>137199.85999999999</v>
      </c>
      <c r="J22" s="33">
        <f>ROUND(I22*H22,0)</f>
        <v>137200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137200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(0.5/1000)/12</f>
        <v>4.1666666666666665E-5</v>
      </c>
      <c r="H36" s="33">
        <f>+IFERROR(VLOOKUP(A36,'EQUIPOS '!$B$3:$M$78,12,FALSE),0)</f>
        <v>611492.5</v>
      </c>
      <c r="I36" s="33">
        <f>IFERROR(H36*G36,0)</f>
        <v>25.478854166666665</v>
      </c>
      <c r="J36" s="33">
        <f>ROUND(I36,0)</f>
        <v>25</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25</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250</v>
      </c>
      <c r="I43" s="33">
        <f t="shared" ref="I43" si="1">IFERROR(ROUND(G43/H43,0),0)</f>
        <v>580</v>
      </c>
      <c r="J43" s="33">
        <f t="shared" ref="J43" si="2">+I43</f>
        <v>580</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580</v>
      </c>
    </row>
    <row r="50" spans="1:10" ht="13.9" customHeight="1" x14ac:dyDescent="0.25"/>
    <row r="51" spans="1:10" ht="13.9" customHeight="1" x14ac:dyDescent="0.25">
      <c r="E51" s="41" t="s">
        <v>276</v>
      </c>
      <c r="I51" s="42">
        <f>J49+J39+J32+J18</f>
        <v>137805</v>
      </c>
      <c r="J51" s="43"/>
    </row>
    <row r="52" spans="1:10" ht="13.9" customHeight="1" x14ac:dyDescent="0.25"/>
    <row r="53" spans="1:10" ht="14.1" customHeight="1" x14ac:dyDescent="0.25"/>
    <row r="54" spans="1:10" ht="14.1" customHeight="1" x14ac:dyDescent="0.25"/>
  </sheetData>
  <mergeCells count="40">
    <mergeCell ref="A45:D45"/>
    <mergeCell ref="A46:D46"/>
    <mergeCell ref="A47:D47"/>
    <mergeCell ref="A48:D48"/>
    <mergeCell ref="A37:F37"/>
    <mergeCell ref="A38:F38"/>
    <mergeCell ref="A41:H41"/>
    <mergeCell ref="A42:D42"/>
    <mergeCell ref="A43:D43"/>
    <mergeCell ref="A44:D44"/>
    <mergeCell ref="A36:F36"/>
    <mergeCell ref="A23:F23"/>
    <mergeCell ref="A24:F24"/>
    <mergeCell ref="A25:F25"/>
    <mergeCell ref="A26:F26"/>
    <mergeCell ref="A27:F27"/>
    <mergeCell ref="A28:F28"/>
    <mergeCell ref="A29:F29"/>
    <mergeCell ref="A30:F30"/>
    <mergeCell ref="A31:F31"/>
    <mergeCell ref="A34:H34"/>
    <mergeCell ref="A35:F35"/>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72">
    <tabColor rgb="FFFFFF00"/>
  </sheetPr>
  <dimension ref="A1:L54"/>
  <sheetViews>
    <sheetView topLeftCell="A35" workbookViewId="0">
      <selection activeCell="G38" sqref="G38"/>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3392</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VALLA ROMPETRAFICO DE 0,80 X 1,20 MTS, CONSTRUIDA EN TUBO CUADRADO DE 1"  C-18 Y  LAMINA GALVANIZADA C-20 (APLICACIÓN Y EL USO DE LA MARCA CIUDAD)</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40.5" customHeight="1" x14ac:dyDescent="0.25">
      <c r="A22" s="1568" t="str">
        <f>+C7</f>
        <v>VALLA ROMPETRAFICO DE 0,80 X 1,20 MTS, CONSTRUIDA EN TUBO CUADRADO DE 1"  C-18 Y  LAMINA GALVANIZADA C-20 (APLICACIÓN Y EL USO DE LA MARCA CIUDAD)</v>
      </c>
      <c r="B22" s="1569"/>
      <c r="C22" s="1569"/>
      <c r="D22" s="1569"/>
      <c r="E22" s="1569"/>
      <c r="F22" s="1570"/>
      <c r="G22" s="29" t="s">
        <v>10</v>
      </c>
      <c r="H22" s="35">
        <v>1</v>
      </c>
      <c r="I22" s="33">
        <f>+IFERROR(VLOOKUP(A22,'INSUMOS '!$B$2:$AP$167,'INSUMOS '!$AO$2+1,FALSE),0)</f>
        <v>597800.06999999995</v>
      </c>
      <c r="J22" s="33">
        <f>ROUND(I22*H22,0)</f>
        <v>597800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597800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29">
        <f>(30/1000)/12</f>
        <v>2.5000000000000001E-3</v>
      </c>
      <c r="H36" s="33">
        <f>+IFERROR(VLOOKUP(A36,'EQUIPOS '!$B$3:$M$78,12,FALSE),0)</f>
        <v>611492.5</v>
      </c>
      <c r="I36" s="33">
        <f>IFERROR(H36*G36,0)</f>
        <v>1528.73125</v>
      </c>
      <c r="J36" s="33">
        <f>ROUND(I36,0)</f>
        <v>1529</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1529</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250</v>
      </c>
      <c r="I43" s="33">
        <f t="shared" ref="I43" si="1">IFERROR(ROUND(G43/H43,0),0)</f>
        <v>580</v>
      </c>
      <c r="J43" s="33">
        <f t="shared" ref="J43" si="2">+I43</f>
        <v>580</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t="str">
        <f>IF(A45="","",IFERROR(H14*8,0))</f>
        <v/>
      </c>
      <c r="I45" s="33"/>
      <c r="J45" s="33"/>
    </row>
    <row r="46" spans="1:12" s="39" customFormat="1" ht="13.9" customHeight="1" x14ac:dyDescent="0.25">
      <c r="A46" s="1558"/>
      <c r="B46" s="1559"/>
      <c r="C46" s="1559"/>
      <c r="D46" s="1560"/>
      <c r="E46" s="40"/>
      <c r="F46" s="30"/>
      <c r="G46" s="40"/>
      <c r="H46" s="35" t="str">
        <f>IF(A46="","",IFERROR(H15*8,0))</f>
        <v/>
      </c>
      <c r="I46" s="33"/>
      <c r="J46" s="33"/>
    </row>
    <row r="47" spans="1:12" s="39" customFormat="1" ht="13.9" customHeight="1" x14ac:dyDescent="0.25">
      <c r="A47" s="1558"/>
      <c r="B47" s="1559"/>
      <c r="C47" s="1559"/>
      <c r="D47" s="1560"/>
      <c r="E47" s="40"/>
      <c r="F47" s="30"/>
      <c r="G47" s="40"/>
      <c r="H47" s="35" t="str">
        <f>IF(A47="","",IFERROR(H16*8,0))</f>
        <v/>
      </c>
      <c r="I47" s="33"/>
      <c r="J47" s="33"/>
    </row>
    <row r="48" spans="1:12" s="39" customFormat="1" ht="13.9" customHeight="1" x14ac:dyDescent="0.25">
      <c r="A48" s="1558"/>
      <c r="B48" s="1559"/>
      <c r="C48" s="1559"/>
      <c r="D48" s="1560"/>
      <c r="E48" s="40"/>
      <c r="F48" s="30"/>
      <c r="G48" s="40"/>
      <c r="H48" s="35" t="str">
        <f>IF(A48="","",IFERROR(H17*8,0))</f>
        <v/>
      </c>
      <c r="I48" s="33"/>
      <c r="J48" s="33"/>
    </row>
    <row r="49" spans="1:10" ht="13.9" customHeight="1" x14ac:dyDescent="0.25">
      <c r="A49" s="20"/>
      <c r="B49" s="20"/>
      <c r="C49" s="20"/>
      <c r="E49" s="20"/>
      <c r="F49" s="20"/>
      <c r="G49" s="20"/>
      <c r="H49" s="20"/>
      <c r="I49" s="30" t="s">
        <v>257</v>
      </c>
      <c r="J49" s="34">
        <f>+SUM(J43:J48)</f>
        <v>580</v>
      </c>
    </row>
    <row r="50" spans="1:10" ht="13.9" customHeight="1" x14ac:dyDescent="0.25"/>
    <row r="51" spans="1:10" ht="13.9" customHeight="1" x14ac:dyDescent="0.25">
      <c r="E51" s="41" t="s">
        <v>276</v>
      </c>
      <c r="I51" s="42">
        <f>J49+J39+J32+J18</f>
        <v>599909</v>
      </c>
      <c r="J51" s="43"/>
    </row>
    <row r="52" spans="1:10" ht="13.9" customHeight="1" x14ac:dyDescent="0.25"/>
    <row r="53" spans="1:10" ht="14.1" customHeight="1" x14ac:dyDescent="0.25"/>
    <row r="54" spans="1:10" ht="14.1" customHeight="1" x14ac:dyDescent="0.25"/>
  </sheetData>
  <mergeCells count="40">
    <mergeCell ref="A45:D45"/>
    <mergeCell ref="A46:D46"/>
    <mergeCell ref="A47:D47"/>
    <mergeCell ref="A48:D48"/>
    <mergeCell ref="A37:F37"/>
    <mergeCell ref="A38:F38"/>
    <mergeCell ref="A41:H41"/>
    <mergeCell ref="A42:D42"/>
    <mergeCell ref="A43:D43"/>
    <mergeCell ref="A44:D44"/>
    <mergeCell ref="A36:F36"/>
    <mergeCell ref="A23:F23"/>
    <mergeCell ref="A24:F24"/>
    <mergeCell ref="A25:F25"/>
    <mergeCell ref="A26:F26"/>
    <mergeCell ref="A27:F27"/>
    <mergeCell ref="A28:F28"/>
    <mergeCell ref="A29:F29"/>
    <mergeCell ref="A30:F30"/>
    <mergeCell ref="A31:F31"/>
    <mergeCell ref="A34:H34"/>
    <mergeCell ref="A35:F35"/>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68">
    <tabColor rgb="FFFFFF00"/>
  </sheetPr>
  <dimension ref="A1:L54"/>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3244</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 xml:space="preserve">DISPOSITIVOS LUMINOSOS  TIPO FLASHER PARAVALLA PUESTO DE CONTROL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'!B131</f>
        <v>FLASHER PARA VALLA</v>
      </c>
      <c r="B22" s="1569"/>
      <c r="C22" s="1569"/>
      <c r="D22" s="1569"/>
      <c r="E22" s="1569"/>
      <c r="F22" s="1570"/>
      <c r="G22" s="29" t="s">
        <v>10</v>
      </c>
      <c r="H22" s="35">
        <v>1</v>
      </c>
      <c r="I22" s="33">
        <f>+IFERROR(VLOOKUP(A22,'INSUMOS '!$B$2:$AP$167,'INSUMOS '!$AO$2+1,FALSE),0)</f>
        <v>49742</v>
      </c>
      <c r="J22" s="33">
        <f>ROUND(I22*H22,0)</f>
        <v>49742</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49742</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(0.5/1000)/12</f>
        <v>4.1666666666666665E-5</v>
      </c>
      <c r="H36" s="33">
        <f>+IFERROR(VLOOKUP(A36,'EQUIPOS '!$B$3:$M$78,12,FALSE),0)</f>
        <v>611492.5</v>
      </c>
      <c r="I36" s="33">
        <f>IFERROR(H36*G36,0)</f>
        <v>25.478854166666665</v>
      </c>
      <c r="J36" s="33">
        <f>ROUND(I36,0)</f>
        <v>25</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25</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250</v>
      </c>
      <c r="I43" s="33">
        <f t="shared" ref="I43" si="1">IFERROR(ROUND(G43/H43,0),0)</f>
        <v>580</v>
      </c>
      <c r="J43" s="33">
        <f t="shared" ref="J43" si="2">+I43</f>
        <v>580</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580</v>
      </c>
    </row>
    <row r="50" spans="1:10" ht="13.9" customHeight="1" x14ac:dyDescent="0.25"/>
    <row r="51" spans="1:10" ht="13.9" customHeight="1" x14ac:dyDescent="0.25">
      <c r="E51" s="41" t="s">
        <v>276</v>
      </c>
      <c r="I51" s="42">
        <f>J49+J39+J32+J18</f>
        <v>50347</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67">
    <tabColor rgb="FFFFFF00"/>
  </sheetPr>
  <dimension ref="A1:L54"/>
  <sheetViews>
    <sheetView topLeftCell="A28"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3242</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 xml:space="preserve">SEÑALES TEMPORALES SR- SP CON  APOYO TRIPODE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'!B143</f>
        <v xml:space="preserve">SEÑAL PORTATIL CON APOYO TRIPODE </v>
      </c>
      <c r="B22" s="1569"/>
      <c r="C22" s="1569"/>
      <c r="D22" s="1569"/>
      <c r="E22" s="1569"/>
      <c r="F22" s="1570"/>
      <c r="G22" s="29" t="s">
        <v>10</v>
      </c>
      <c r="H22" s="35">
        <v>1</v>
      </c>
      <c r="I22" s="33">
        <f>+IFERROR(VLOOKUP(A22,'INSUMOS '!$B$2:$AP$167,'INSUMOS '!$AO$2+1,FALSE),0)</f>
        <v>333200</v>
      </c>
      <c r="J22" s="33">
        <f>ROUND(I22*H22,0)</f>
        <v>333200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333200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(15/1000)/12</f>
        <v>1.25E-3</v>
      </c>
      <c r="H36" s="33">
        <f>+IFERROR(VLOOKUP(A36,'EQUIPOS '!$B$3:$M$78,12,FALSE),0)</f>
        <v>611492.5</v>
      </c>
      <c r="I36" s="33">
        <f>IFERROR(H36*G36,0)</f>
        <v>764.36562500000002</v>
      </c>
      <c r="J36" s="33">
        <f>ROUND(I36,0)</f>
        <v>764</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764</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200</v>
      </c>
      <c r="I43" s="33">
        <f t="shared" ref="I43" si="1">IFERROR(ROUND(G43/H43,0),0)</f>
        <v>725</v>
      </c>
      <c r="J43" s="33">
        <f t="shared" ref="J43" si="2">+I43</f>
        <v>725</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725</v>
      </c>
    </row>
    <row r="50" spans="1:10" ht="13.9" customHeight="1" x14ac:dyDescent="0.25"/>
    <row r="51" spans="1:10" ht="13.9" customHeight="1" x14ac:dyDescent="0.25">
      <c r="E51" s="41" t="s">
        <v>276</v>
      </c>
      <c r="I51" s="42">
        <f>J49+J39+J32+J18</f>
        <v>334689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66">
    <tabColor rgb="FFFFFF00"/>
  </sheetPr>
  <dimension ref="A1:L54"/>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3241</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BASTON LUMINOSO BICOLOR</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0</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'!B141</f>
        <v>BASTON LUMINOSO BICOLOR RECARGABLE RETRACTIL</v>
      </c>
      <c r="B22" s="1569"/>
      <c r="C22" s="1569"/>
      <c r="D22" s="1569"/>
      <c r="E22" s="1569"/>
      <c r="F22" s="1570"/>
      <c r="G22" s="29" t="s">
        <v>10</v>
      </c>
      <c r="H22" s="35">
        <v>1</v>
      </c>
      <c r="I22" s="33">
        <f>+IFERROR(VLOOKUP(A22,'INSUMOS '!$B$2:$AP$167,'INSUMOS '!$AO$2+1,FALSE),0)</f>
        <v>132299.44</v>
      </c>
      <c r="J22" s="33">
        <f>ROUND(I22*H22,0)</f>
        <v>132299</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132299</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51</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5000</v>
      </c>
      <c r="I43" s="33">
        <f t="shared" ref="I43" si="1">IFERROR(ROUND(G43/H43,0),0)</f>
        <v>29</v>
      </c>
      <c r="J43" s="33">
        <f t="shared" ref="J43" si="2">+I43</f>
        <v>29</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v>
      </c>
    </row>
    <row r="50" spans="1:10" ht="13.9" customHeight="1" x14ac:dyDescent="0.25"/>
    <row r="51" spans="1:10" ht="13.9" customHeight="1" x14ac:dyDescent="0.25">
      <c r="E51" s="41" t="s">
        <v>276</v>
      </c>
      <c r="I51" s="42">
        <f>J49+J39+J32+J18</f>
        <v>132379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65">
    <tabColor rgb="FFFFFF00"/>
  </sheetPr>
  <dimension ref="A1:L54"/>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3240</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DISPOSITIVOS LUMINOSOS  TIPO FLASHER PARA CONO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'!B113</f>
        <v>DISPOSITIVOS LUMINOSOS  TIPO FLASHER PARA CONO</v>
      </c>
      <c r="B22" s="1569"/>
      <c r="C22" s="1569"/>
      <c r="D22" s="1569"/>
      <c r="E22" s="1569"/>
      <c r="F22" s="1570"/>
      <c r="G22" s="29" t="s">
        <v>10</v>
      </c>
      <c r="H22" s="35">
        <v>1</v>
      </c>
      <c r="I22" s="33">
        <f>+IFERROR(VLOOKUP(A22,'INSUMOS '!$B$2:$AP$167,'INSUMOS '!$AO$2+1,FALSE),0)</f>
        <v>41650</v>
      </c>
      <c r="J22" s="33">
        <f>ROUND(I22*H22,0)</f>
        <v>41650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41650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51</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5000</v>
      </c>
      <c r="I43" s="33">
        <f t="shared" ref="I43" si="1">IFERROR(ROUND(G43/H43,0),0)</f>
        <v>29</v>
      </c>
      <c r="J43" s="33">
        <f t="shared" ref="J43" si="2">+I43</f>
        <v>29</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v>
      </c>
    </row>
    <row r="50" spans="1:10" ht="13.9" customHeight="1" x14ac:dyDescent="0.25"/>
    <row r="51" spans="1:10" ht="13.9" customHeight="1" x14ac:dyDescent="0.25">
      <c r="E51" s="41" t="s">
        <v>276</v>
      </c>
      <c r="I51" s="42">
        <f>J49+J39+J32+J18</f>
        <v>41730</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64">
    <tabColor rgb="FFFFFF00"/>
  </sheetPr>
  <dimension ref="A1:J54"/>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3239</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VALLA DE APERTURA TIPO  A</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'!B140</f>
        <v>VALLA DE APERTURA TIPO  A</v>
      </c>
      <c r="B22" s="1569"/>
      <c r="C22" s="1569"/>
      <c r="D22" s="1569"/>
      <c r="E22" s="1569"/>
      <c r="F22" s="1570"/>
      <c r="G22" s="29" t="s">
        <v>10</v>
      </c>
      <c r="H22" s="35">
        <v>1</v>
      </c>
      <c r="I22" s="33">
        <f>+IFERROR(VLOOKUP(A22,'INSUMOS '!$B$2:$AP$167,'INSUMOS '!$AO$2+1,FALSE),0)</f>
        <v>524299.72</v>
      </c>
      <c r="J22" s="33">
        <f>ROUND(I22*H22,0)</f>
        <v>524300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524300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51</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5000</v>
      </c>
      <c r="I43" s="33">
        <f t="shared" ref="I43" si="1">IFERROR(ROUND(G43/H43,0),0)</f>
        <v>29</v>
      </c>
      <c r="J43" s="33">
        <f t="shared" ref="J43" si="2">+I43</f>
        <v>29</v>
      </c>
    </row>
    <row r="44" spans="1:10" s="39" customFormat="1" ht="13.9" customHeight="1" x14ac:dyDescent="0.25">
      <c r="A44" s="1558"/>
      <c r="B44" s="1559"/>
      <c r="C44" s="1559"/>
      <c r="D44" s="1560"/>
      <c r="E44" s="40"/>
      <c r="F44" s="30"/>
      <c r="G44" s="40"/>
      <c r="H44" s="35"/>
      <c r="I44" s="33"/>
      <c r="J44" s="33"/>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v>
      </c>
    </row>
    <row r="50" spans="1:10" ht="13.9" customHeight="1" x14ac:dyDescent="0.25"/>
    <row r="51" spans="1:10" ht="13.9" customHeight="1" x14ac:dyDescent="0.25">
      <c r="E51" s="41" t="s">
        <v>276</v>
      </c>
      <c r="I51" s="42">
        <f>J49+J39+J32+J18</f>
        <v>524380</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163">
    <tabColor rgb="FFFFFF00"/>
  </sheetPr>
  <dimension ref="A1:L54"/>
  <sheetViews>
    <sheetView topLeftCell="A20"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3233</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SEÑAL PARE/SIGA EN PAPEL RETROREFLECTIVO TIPO IV O SUPERIOR (30 CM)</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'!B120</f>
        <v>SEÑAL PARE/SIGA EN PAPEL RETROREFLECTIVO TIPO IV O SUPERIOR (30 CM)</v>
      </c>
      <c r="B22" s="1569"/>
      <c r="C22" s="1569"/>
      <c r="D22" s="1569"/>
      <c r="E22" s="1569"/>
      <c r="F22" s="1570"/>
      <c r="G22" s="29" t="s">
        <v>10</v>
      </c>
      <c r="H22" s="35">
        <v>1</v>
      </c>
      <c r="I22" s="33">
        <f>+IFERROR(VLOOKUP(A22,'INSUMOS '!$B$2:$AP$167,'INSUMOS '!$AO$2+1,FALSE),0)</f>
        <v>47600</v>
      </c>
      <c r="J22" s="33">
        <f>ROUND(I22*H22,0)</f>
        <v>47600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47600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51</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5000</v>
      </c>
      <c r="I43" s="33">
        <f t="shared" ref="I43" si="1">IFERROR(ROUND(G43/H43,0),0)</f>
        <v>29</v>
      </c>
      <c r="J43" s="33">
        <f t="shared" ref="J43" si="2">+I43</f>
        <v>29</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v>
      </c>
    </row>
    <row r="50" spans="1:10" ht="13.9" customHeight="1" x14ac:dyDescent="0.25"/>
    <row r="51" spans="1:10" ht="13.9" customHeight="1" x14ac:dyDescent="0.25">
      <c r="E51" s="41" t="s">
        <v>276</v>
      </c>
      <c r="I51" s="42">
        <f>+J49+J39+J32+J18</f>
        <v>47680</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162">
    <tabColor rgb="FFFFFF00"/>
  </sheetPr>
  <dimension ref="A1:L54"/>
  <sheetViews>
    <sheetView topLeftCell="A32"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140625" style="19" customWidth="1"/>
    <col min="10" max="10" width="14.1406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3232</v>
      </c>
      <c r="D6" s="23"/>
      <c r="E6" s="23"/>
      <c r="F6" s="23"/>
      <c r="G6" s="23"/>
      <c r="H6" s="24"/>
      <c r="I6" s="25" t="s">
        <v>248</v>
      </c>
      <c r="J6" s="338" t="str">
        <f>+VLOOKUP(C6,'ANEXO PLIEGO_2'!$A$4:$C$24,2,FALSE)</f>
        <v>UND</v>
      </c>
    </row>
    <row r="7" spans="1:10" ht="35.1" customHeight="1" x14ac:dyDescent="0.25">
      <c r="A7" s="1568" t="s">
        <v>249</v>
      </c>
      <c r="B7" s="1570"/>
      <c r="C7" s="1578" t="str">
        <f>+VLOOKUP(C6,'ANEXO PLIEGO_2'!$A$4:$C$24,3,FALSE)</f>
        <v>BARRICADA, ANCHO 2,4 M, 3 LISTONES DE 20 CM DE ANCHO EN MATERIAL REFLECTIVO TIPO IV O SUPERIOR (BLANCO Y NARANJA), ALTURA MIN 1,5M, FIGURA 4-15 RESOLUCIÓN 1885 DE 2015</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45.75" customHeight="1" x14ac:dyDescent="0.25">
      <c r="A22" s="1568" t="str">
        <f>+'INSUMOS '!B13</f>
        <v>BARRICADA, ANCHO 2,4 M, 3 LISTONES DE 20 CM DE ANCHO EN MATERIAL REFLECTIVO TIPO IV O SUPERIOR (BLANCO Y NARANJA), ALTURA MIN 1,5M</v>
      </c>
      <c r="B22" s="1569"/>
      <c r="C22" s="1569"/>
      <c r="D22" s="1569"/>
      <c r="E22" s="1569"/>
      <c r="F22" s="1570"/>
      <c r="G22" s="29" t="s">
        <v>294</v>
      </c>
      <c r="H22" s="35">
        <v>1</v>
      </c>
      <c r="I22" s="33">
        <f>+IFERROR(VLOOKUP(A22,'INSUMOS '!$B$2:$AP$167,'INSUMOS '!$AO$2+1,FALSE),0)</f>
        <v>448170.35000000003</v>
      </c>
      <c r="J22" s="33">
        <f>ROUND(I22*H22,0)</f>
        <v>448170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448170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29">
        <f>(50/1000)/12</f>
        <v>4.1666666666666666E-3</v>
      </c>
      <c r="H36" s="33">
        <f>+IFERROR(VLOOKUP(A36,'EQUIPOS '!$B$3:$M$78,12,FALSE),0)</f>
        <v>611492.5</v>
      </c>
      <c r="I36" s="33">
        <f>IFERROR(H36*G36,0)</f>
        <v>2547.8854166666665</v>
      </c>
      <c r="J36" s="33">
        <f>ROUND(I36,0)</f>
        <v>2548</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2548</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50</v>
      </c>
      <c r="I43" s="33">
        <f t="shared" ref="I43" si="1">IFERROR(ROUND(G43/H43,0),0)</f>
        <v>2899</v>
      </c>
      <c r="J43" s="33">
        <f t="shared" ref="J43" si="2">+I43</f>
        <v>2899</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2899</v>
      </c>
    </row>
    <row r="50" spans="1:10" ht="13.9" customHeight="1" x14ac:dyDescent="0.25"/>
    <row r="51" spans="1:10" ht="13.9" customHeight="1" x14ac:dyDescent="0.25">
      <c r="E51" s="41" t="s">
        <v>276</v>
      </c>
      <c r="I51" s="42">
        <f>+J49+J39+J32+J18</f>
        <v>453617</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115">
    <tabColor rgb="FFFFFF00"/>
  </sheetPr>
  <dimension ref="A1:L54"/>
  <sheetViews>
    <sheetView topLeftCell="A35"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300</v>
      </c>
      <c r="D6" s="23"/>
      <c r="E6" s="23"/>
      <c r="F6" s="23"/>
      <c r="G6" s="23"/>
      <c r="H6" s="24"/>
      <c r="I6" s="25" t="s">
        <v>248</v>
      </c>
      <c r="J6" s="338" t="str">
        <f>+VLOOKUP(C6,'ANEXO PLIEGO_2'!$A$4:$C$8,2,FALSE)</f>
        <v>ROLLO</v>
      </c>
    </row>
    <row r="7" spans="1:10" ht="35.1" customHeight="1" x14ac:dyDescent="0.25">
      <c r="A7" s="1568" t="s">
        <v>249</v>
      </c>
      <c r="B7" s="1570"/>
      <c r="C7" s="1578" t="str">
        <f>+VLOOKUP(C6,'ANEXO PLIEGO_2'!$A$4:$C$8,3,FALSE)</f>
        <v>Suministro de Cinta de señalización, de calibre mínimo 2 mm de 10 cm de ancho por 500m de longitud por rollo.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'!B26</f>
        <v>CINTA DE SEÑALIZACIÓN CALIBRE MÍNIMO DE 2 MM, ANCHO 10 CM X 500M DE LONGITUD</v>
      </c>
      <c r="B22" s="1569"/>
      <c r="C22" s="1569"/>
      <c r="D22" s="1569"/>
      <c r="E22" s="1569"/>
      <c r="F22" s="1570"/>
      <c r="G22" s="29" t="s">
        <v>294</v>
      </c>
      <c r="H22" s="35">
        <v>1</v>
      </c>
      <c r="I22" s="33">
        <f>+IFERROR(VLOOKUP(A22,'INSUMOS '!$B$2:$AP$167,'INSUMOS '!$AO$2+1,FALSE),0)*500</f>
        <v>36900</v>
      </c>
      <c r="J22" s="33">
        <f>ROUND(I22*H22,0)</f>
        <v>36900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36900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29">
        <f>(0.3/1000)/12</f>
        <v>2.4999999999999998E-5</v>
      </c>
      <c r="H36" s="33">
        <f>+IFERROR(VLOOKUP(A36,'EQUIPOS '!$B$3:$M$78,12,FALSE),0)</f>
        <v>611492.5</v>
      </c>
      <c r="I36" s="33">
        <f>IFERROR(H36*G36,0)</f>
        <v>15.287312499999999</v>
      </c>
      <c r="J36" s="33">
        <f>ROUND(I36,0)</f>
        <v>15</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15</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f>300*20</f>
        <v>6000</v>
      </c>
      <c r="I43" s="33">
        <f t="shared" ref="I43" si="1">IFERROR(ROUND(G43/H43,0),0)</f>
        <v>24</v>
      </c>
      <c r="J43" s="33">
        <f t="shared" ref="J43" si="2">+I43</f>
        <v>24</v>
      </c>
      <c r="L43" s="39">
        <f>8000/30</f>
        <v>266.66666666666669</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24</v>
      </c>
    </row>
    <row r="50" spans="1:10" ht="13.9" customHeight="1" x14ac:dyDescent="0.25"/>
    <row r="51" spans="1:10" ht="13.9" customHeight="1" x14ac:dyDescent="0.25">
      <c r="E51" s="41" t="s">
        <v>276</v>
      </c>
      <c r="I51" s="42">
        <f>+J49+J39+J32+J18</f>
        <v>36939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114">
    <tabColor rgb="FFFFFF00"/>
  </sheetPr>
  <dimension ref="A1:L54"/>
  <sheetViews>
    <sheetView topLeftCell="A32"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299</v>
      </c>
      <c r="D6" s="23"/>
      <c r="E6" s="23"/>
      <c r="F6" s="23"/>
      <c r="G6" s="23"/>
      <c r="H6" s="24"/>
      <c r="I6" s="25" t="s">
        <v>248</v>
      </c>
      <c r="J6" s="338" t="str">
        <f>+VLOOKUP(C6,'ANEXO PLIEGO_2'!$A$4:$C$8,2,FALSE)</f>
        <v>ML</v>
      </c>
    </row>
    <row r="7" spans="1:10" ht="35.1" customHeight="1" x14ac:dyDescent="0.25">
      <c r="A7" s="1568" t="s">
        <v>249</v>
      </c>
      <c r="B7" s="1570"/>
      <c r="C7" s="1578" t="str">
        <f>+VLOOKUP(C6,'ANEXO PLIEGO_2'!$A$4:$C$8,3,FALSE)</f>
        <v>Suministro de Resalto portátil de caucho con alta resistencia al impacto con ancho mínimo de 30 cm y altura entre 5 y 8 cm.</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3" customHeight="1" x14ac:dyDescent="0.25">
      <c r="A22" s="1568" t="str">
        <f>+'INSUMOS '!B90</f>
        <v>RESALTO PORTÁTIL DE CAUCHO  CON ALTA RESISTENCIA AL IMPACTO CON ANCHO MÍNIMO DE 30 CM Y ALTURA ENTRE 5 Y 8 CM</v>
      </c>
      <c r="B22" s="1569"/>
      <c r="C22" s="1569"/>
      <c r="D22" s="1569"/>
      <c r="E22" s="1569"/>
      <c r="F22" s="1570"/>
      <c r="G22" s="29" t="s">
        <v>266</v>
      </c>
      <c r="H22" s="35">
        <v>1</v>
      </c>
      <c r="I22" s="33">
        <f>+IFERROR(VLOOKUP(A22,'INSUMOS '!$B$2:$AP$167,'INSUMOS '!$AO$2+1,FALSE),0)</f>
        <v>214170</v>
      </c>
      <c r="J22" s="33">
        <f>ROUND(I22*H22,0)</f>
        <v>214170</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637"/>
      <c r="B25" s="1638"/>
      <c r="C25" s="1638"/>
      <c r="D25" s="1638"/>
      <c r="E25" s="1638"/>
      <c r="F25" s="1639"/>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214170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29">
        <f>(18/1000)/12</f>
        <v>1.4999999999999998E-3</v>
      </c>
      <c r="H36" s="33">
        <f>+IFERROR(VLOOKUP(A36,'EQUIPOS '!$B$3:$M$78,12,FALSE),0)</f>
        <v>611492.5</v>
      </c>
      <c r="I36" s="33">
        <f>IFERROR(H36*G36,0)</f>
        <v>917.23874999999987</v>
      </c>
      <c r="J36" s="33">
        <f>ROUND(I36,0)</f>
        <v>917</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917</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450</v>
      </c>
      <c r="I43" s="33">
        <f t="shared" ref="I43" si="1">IFERROR(ROUND(G43/H43,0),0)</f>
        <v>322</v>
      </c>
      <c r="J43" s="33">
        <f t="shared" ref="J43" si="2">+I43</f>
        <v>322</v>
      </c>
      <c r="L43" s="39">
        <f>8000/18</f>
        <v>444.44444444444446</v>
      </c>
    </row>
    <row r="44" spans="1:12" s="39" customFormat="1" ht="13.9" customHeight="1" x14ac:dyDescent="0.25">
      <c r="A44" s="1558"/>
      <c r="B44" s="1559"/>
      <c r="C44" s="1559"/>
      <c r="D44" s="1560"/>
      <c r="E44" s="40"/>
      <c r="F44" s="30"/>
      <c r="G44" s="40"/>
      <c r="H44" s="35"/>
      <c r="I44" s="33"/>
      <c r="J44" s="33"/>
    </row>
    <row r="45" spans="1:12" s="39" customFormat="1" ht="13.9" customHeight="1" x14ac:dyDescent="0.25">
      <c r="A45" s="1558"/>
      <c r="B45" s="1559"/>
      <c r="C45" s="1559"/>
      <c r="D45" s="1560"/>
      <c r="E45" s="40"/>
      <c r="F45" s="30"/>
      <c r="G45" s="40"/>
      <c r="H45" s="35"/>
      <c r="I45" s="33"/>
      <c r="J45" s="33"/>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322</v>
      </c>
    </row>
    <row r="50" spans="1:10" ht="13.9" customHeight="1" x14ac:dyDescent="0.25"/>
    <row r="51" spans="1:10" ht="13.9" customHeight="1" x14ac:dyDescent="0.25">
      <c r="E51" s="41" t="s">
        <v>276</v>
      </c>
      <c r="I51" s="42">
        <f>+J49+J39+J32+J18</f>
        <v>215409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3">
    <tabColor rgb="FFFFFF00"/>
  </sheetPr>
  <dimension ref="A1:J54"/>
  <sheetViews>
    <sheetView topLeftCell="A29"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298</v>
      </c>
      <c r="D6" s="23"/>
      <c r="E6" s="23"/>
      <c r="F6" s="23"/>
      <c r="G6" s="23"/>
      <c r="H6" s="24"/>
      <c r="I6" s="25" t="s">
        <v>248</v>
      </c>
      <c r="J6" s="338" t="str">
        <f>+VLOOKUP(C6,'ANEXO PLIEGO_2'!$A$4:$C$8,2,FALSE)</f>
        <v>UND</v>
      </c>
    </row>
    <row r="7" spans="1:10" ht="35.1" customHeight="1" x14ac:dyDescent="0.25">
      <c r="A7" s="1568" t="s">
        <v>249</v>
      </c>
      <c r="B7" s="1570"/>
      <c r="C7" s="1578" t="str">
        <f>+VLOOKUP(C6,'ANEXO PLIEGO_2'!$A$4:$C$8,3,FALSE)</f>
        <v>Suministro de delineador Tubular Tipo Canalizador de 129 cm de altura.</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58" t="str">
        <f>+'INSUMOS '!B38</f>
        <v>DELINEADOR TUBULAR TIPO CANALIZADOR DE 129 CM DE ALTURA.</v>
      </c>
      <c r="B22" s="1559"/>
      <c r="C22" s="1559"/>
      <c r="D22" s="1559"/>
      <c r="E22" s="1559"/>
      <c r="F22" s="1560"/>
      <c r="G22" s="29" t="s">
        <v>266</v>
      </c>
      <c r="H22" s="35">
        <v>1</v>
      </c>
      <c r="I22" s="33">
        <f>+IFERROR(VLOOKUP(A22,'INSUMOS '!$B$2:$AP$167,'INSUMOS '!$AO$2+1,FALSE),0)</f>
        <v>45616.333333333336</v>
      </c>
      <c r="J22" s="33">
        <f>ROUND(I22*H22,0)</f>
        <v>45616</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45616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29">
        <f>(10/1000)/12</f>
        <v>8.3333333333333339E-4</v>
      </c>
      <c r="H36" s="33">
        <f>+IFERROR(VLOOKUP(A36,'EQUIPOS '!$B$3:$M$78,12,FALSE),0)</f>
        <v>611492.5</v>
      </c>
      <c r="I36" s="33">
        <f>IFERROR(H36*G36,0)</f>
        <v>509.57708333333335</v>
      </c>
      <c r="J36" s="33">
        <f>ROUND(I36,0)</f>
        <v>510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510</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3000</v>
      </c>
      <c r="I43" s="33">
        <f t="shared" ref="I43" si="1">IFERROR(ROUND(G43/H43,0),0)</f>
        <v>48</v>
      </c>
      <c r="J43" s="33">
        <f t="shared" ref="J43" si="2">+I43</f>
        <v>48</v>
      </c>
    </row>
    <row r="44" spans="1:10" s="39" customFormat="1" ht="13.9" customHeight="1" x14ac:dyDescent="0.25">
      <c r="A44" s="1558"/>
      <c r="B44" s="1559"/>
      <c r="C44" s="1559"/>
      <c r="D44" s="1560"/>
      <c r="E44" s="40"/>
      <c r="F44" s="30"/>
      <c r="G44" s="40"/>
      <c r="H44" s="35"/>
      <c r="I44" s="33"/>
      <c r="J44" s="33"/>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48</v>
      </c>
    </row>
    <row r="50" spans="1:10" ht="13.9" customHeight="1" x14ac:dyDescent="0.25"/>
    <row r="51" spans="1:10" ht="13.9" customHeight="1" x14ac:dyDescent="0.25">
      <c r="E51" s="41" t="s">
        <v>276</v>
      </c>
      <c r="I51" s="42">
        <f>+J49+J39+J32+J18</f>
        <v>46174</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112">
    <tabColor rgb="FFFFFF00"/>
  </sheetPr>
  <dimension ref="A1:J54"/>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297</v>
      </c>
      <c r="D6" s="23"/>
      <c r="E6" s="23"/>
      <c r="F6" s="23"/>
      <c r="G6" s="23"/>
      <c r="H6" s="24"/>
      <c r="I6" s="25" t="s">
        <v>248</v>
      </c>
      <c r="J6" s="338" t="str">
        <f>+VLOOKUP(C6,'ANEXO PLIEGO_2'!$A$4:$C$8,2,FALSE)</f>
        <v>UND</v>
      </c>
    </row>
    <row r="7" spans="1:10" ht="35.1" customHeight="1" x14ac:dyDescent="0.25">
      <c r="A7" s="1568" t="s">
        <v>249</v>
      </c>
      <c r="B7" s="1570"/>
      <c r="C7" s="1578" t="str">
        <f>+VLOOKUP(C6,'ANEXO PLIEGO_2'!$A$4:$C$8,3,FALSE)</f>
        <v>Suministro de maletín plástico de base mínima de 50 cm por 200 cm y altura mínima de 100 cm, con material reflectivo tipo IV o superior color blanco.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8.5" customHeight="1" x14ac:dyDescent="0.25">
      <c r="A22" s="1568" t="str">
        <f>+'INSUMOS '!B57</f>
        <v>MALETÍN PLÁSTICO DE BASE MÍNIMA DE 50 CM POR 200 CM Y ALTURA MÍNIMA DE 100 CM, CON MATERIAL REFLECTIVO COLOR BLANCO TIPO IV O SUPERIOR.</v>
      </c>
      <c r="B22" s="1569"/>
      <c r="C22" s="1569"/>
      <c r="D22" s="1569"/>
      <c r="E22" s="1569"/>
      <c r="F22" s="1570"/>
      <c r="G22" s="29" t="s">
        <v>266</v>
      </c>
      <c r="H22" s="35">
        <v>1</v>
      </c>
      <c r="I22" s="33">
        <f>+IFERROR(VLOOKUP(A22,'INSUMOS '!$B$2:$AP$167,'INSUMOS '!$AO$2+1,FALSE),0)</f>
        <v>413093.5</v>
      </c>
      <c r="J22" s="33">
        <f>ROUND(I22*H22,0)</f>
        <v>413094</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413094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29">
        <f>(50/1000)/12</f>
        <v>4.1666666666666666E-3</v>
      </c>
      <c r="H36" s="33">
        <f>+IFERROR(VLOOKUP(A36,'EQUIPOS '!$B$3:$M$78,12,FALSE),0)</f>
        <v>611492.5</v>
      </c>
      <c r="I36" s="33">
        <f>IFERROR(H36*G36,0)</f>
        <v>2547.8854166666665</v>
      </c>
      <c r="J36" s="33">
        <f>ROUND(I36,0)</f>
        <v>2548</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2548</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500</v>
      </c>
      <c r="I43" s="33">
        <f t="shared" ref="I43" si="1">IFERROR(ROUND(G43/H43,0),0)</f>
        <v>290</v>
      </c>
      <c r="J43" s="33">
        <f t="shared" ref="J43" si="2">+I43</f>
        <v>290</v>
      </c>
    </row>
    <row r="44" spans="1:10" s="39" customFormat="1" ht="13.9" customHeight="1" x14ac:dyDescent="0.25">
      <c r="A44" s="1558"/>
      <c r="B44" s="1559"/>
      <c r="C44" s="1559"/>
      <c r="D44" s="1560"/>
      <c r="E44" s="40"/>
      <c r="F44" s="30"/>
      <c r="G44" s="40"/>
      <c r="H44" s="35"/>
      <c r="I44" s="33"/>
      <c r="J44" s="33"/>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290</v>
      </c>
    </row>
    <row r="50" spans="1:10" ht="13.9" customHeight="1" x14ac:dyDescent="0.25"/>
    <row r="51" spans="1:10" ht="13.9" customHeight="1" x14ac:dyDescent="0.25">
      <c r="E51" s="41" t="s">
        <v>276</v>
      </c>
      <c r="I51" s="42">
        <f>+J49+J39+J32+J18</f>
        <v>415932</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111">
    <tabColor rgb="FFFFFF00"/>
  </sheetPr>
  <dimension ref="A1:N54"/>
  <sheetViews>
    <sheetView topLeftCell="A35"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t="s">
        <v>296</v>
      </c>
      <c r="D6" s="23"/>
      <c r="E6" s="23"/>
      <c r="F6" s="23"/>
      <c r="G6" s="23"/>
      <c r="H6" s="24"/>
      <c r="I6" s="25" t="s">
        <v>248</v>
      </c>
      <c r="J6" s="338" t="str">
        <f>+VLOOKUP(C6,'ANEXO PLIEGO_2'!$A$4:$C$8,2,FALSE)</f>
        <v>UND</v>
      </c>
    </row>
    <row r="7" spans="1:10" ht="35.1" customHeight="1" x14ac:dyDescent="0.25">
      <c r="A7" s="1568" t="s">
        <v>249</v>
      </c>
      <c r="B7" s="1570"/>
      <c r="C7" s="1578" t="str">
        <f>+VLOOKUP(C6,'ANEXO PLIEGO_2'!$A$4:$C$8,3,FALSE)</f>
        <v>Suministro de cono vial construido en matareial sintetico flexible con tres bandas de 10 cm en papel reflectivo blanco tipo IV o superior, altura 90 cm.</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t="str">
        <f>IFERROR(VLOOKUP(A11,'[10]EQUIPOS TRANSPOR SALARIO'!$A$3:$G$42,2,FALSE),"")</f>
        <v/>
      </c>
      <c r="G11" s="31" t="str">
        <f>IFERROR(VLOOKUP(A11,'[10]EQUIPOS TRANSPOR SALARIO'!$A$3:$G$42,6,FALSE),"")</f>
        <v/>
      </c>
      <c r="H11" s="30"/>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44.25" customHeight="1" x14ac:dyDescent="0.25">
      <c r="A22" s="1568" t="str">
        <f>+'INSUMOS '!B35</f>
        <v>CONO VIAL CONSTRUIDO EN MATERIAL SINTETICO FLEXIBLE CON TRES BANDAS DE 10 CM EN PAPEL REFLECTIVO BLANCO TIPO IV O SUPERIOR, ALTURA 90 CM.</v>
      </c>
      <c r="B22" s="1569"/>
      <c r="C22" s="1569"/>
      <c r="D22" s="1569"/>
      <c r="E22" s="1569"/>
      <c r="F22" s="1570"/>
      <c r="G22" s="29" t="s">
        <v>266</v>
      </c>
      <c r="H22" s="35">
        <v>1</v>
      </c>
      <c r="I22" s="33">
        <f>+IFERROR(VLOOKUP(A22,'INSUMOS '!$B$2:$AP$167,'INSUMOS '!$AO$2+1,FALSE),0)</f>
        <v>92596</v>
      </c>
      <c r="J22" s="33">
        <f>ROUND(I22*H22,0)</f>
        <v>92596</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92596</v>
      </c>
    </row>
    <row r="33" spans="1:14" ht="13.9" customHeight="1" x14ac:dyDescent="0.25"/>
    <row r="34" spans="1:14" ht="13.9" customHeight="1" x14ac:dyDescent="0.25">
      <c r="A34" s="1561" t="s">
        <v>267</v>
      </c>
      <c r="B34" s="1561"/>
      <c r="C34" s="1561"/>
      <c r="D34" s="1561"/>
      <c r="E34" s="1561"/>
      <c r="F34" s="1561"/>
      <c r="G34" s="1561"/>
      <c r="H34" s="1561"/>
      <c r="I34" s="27"/>
    </row>
    <row r="35" spans="1:14" ht="13.9" customHeight="1" x14ac:dyDescent="0.25">
      <c r="A35" s="1562" t="s">
        <v>268</v>
      </c>
      <c r="B35" s="1563"/>
      <c r="C35" s="1563"/>
      <c r="D35" s="1563"/>
      <c r="E35" s="1563"/>
      <c r="F35" s="1564"/>
      <c r="G35" s="38" t="s">
        <v>255</v>
      </c>
      <c r="H35" s="28" t="s">
        <v>269</v>
      </c>
      <c r="I35" s="28" t="s">
        <v>256</v>
      </c>
      <c r="J35" s="28" t="s">
        <v>257</v>
      </c>
      <c r="N35" s="19">
        <f>13800/2400</f>
        <v>5.75</v>
      </c>
    </row>
    <row r="36" spans="1:14" ht="13.9" customHeight="1" x14ac:dyDescent="0.25">
      <c r="A36" s="1558" t="str">
        <f>+'EQUIPOS '!B6</f>
        <v>CAMION INCLUYE CONDUCTOR</v>
      </c>
      <c r="B36" s="1559"/>
      <c r="C36" s="1559"/>
      <c r="D36" s="1559"/>
      <c r="E36" s="1559"/>
      <c r="F36" s="1560"/>
      <c r="G36" s="29">
        <f>(5/1000)/12</f>
        <v>4.1666666666666669E-4</v>
      </c>
      <c r="H36" s="33">
        <f>+IFERROR(VLOOKUP(A36,'EQUIPOS '!$B$3:$M$78,12,FALSE),0)</f>
        <v>611492.5</v>
      </c>
      <c r="I36" s="33">
        <f>IFERROR(H36*G36,0)</f>
        <v>254.78854166666667</v>
      </c>
      <c r="J36" s="33">
        <f>ROUND(I36,0)</f>
        <v>255</v>
      </c>
    </row>
    <row r="37" spans="1:14" ht="13.9" customHeight="1" x14ac:dyDescent="0.25">
      <c r="A37" s="1558"/>
      <c r="B37" s="1559"/>
      <c r="C37" s="1559"/>
      <c r="D37" s="1559"/>
      <c r="E37" s="1559"/>
      <c r="F37" s="1560"/>
      <c r="G37" s="29"/>
      <c r="H37" s="33"/>
      <c r="I37" s="33"/>
      <c r="J37" s="33"/>
    </row>
    <row r="38" spans="1:14" ht="13.9" customHeight="1" x14ac:dyDescent="0.25">
      <c r="A38" s="1558"/>
      <c r="B38" s="1559"/>
      <c r="C38" s="1559"/>
      <c r="D38" s="1559"/>
      <c r="E38" s="1559"/>
      <c r="F38" s="1560"/>
      <c r="G38" s="29"/>
      <c r="H38" s="33"/>
      <c r="I38" s="33"/>
      <c r="J38" s="33"/>
    </row>
    <row r="39" spans="1:14" ht="13.9" customHeight="1" x14ac:dyDescent="0.25">
      <c r="G39" s="39"/>
      <c r="H39" s="39"/>
      <c r="I39" s="30" t="s">
        <v>257</v>
      </c>
      <c r="J39" s="33">
        <f>+SUM(J36:J38)</f>
        <v>255</v>
      </c>
    </row>
    <row r="40" spans="1:14" ht="13.9" customHeight="1" x14ac:dyDescent="0.25"/>
    <row r="41" spans="1:14" ht="13.9" customHeight="1" x14ac:dyDescent="0.25">
      <c r="A41" s="1561" t="s">
        <v>270</v>
      </c>
      <c r="B41" s="1561"/>
      <c r="C41" s="1561"/>
      <c r="D41" s="1561"/>
      <c r="E41" s="1561"/>
      <c r="F41" s="1561"/>
      <c r="G41" s="1561"/>
      <c r="H41" s="1561"/>
      <c r="I41" s="27"/>
    </row>
    <row r="42" spans="1:14" s="39" customFormat="1" ht="13.9" customHeight="1" x14ac:dyDescent="0.25">
      <c r="A42" s="1562" t="s">
        <v>271</v>
      </c>
      <c r="B42" s="1563"/>
      <c r="C42" s="1563"/>
      <c r="D42" s="1564"/>
      <c r="E42" s="28" t="s">
        <v>272</v>
      </c>
      <c r="F42" s="28" t="s">
        <v>264</v>
      </c>
      <c r="G42" s="28" t="s">
        <v>273</v>
      </c>
      <c r="H42" s="28" t="s">
        <v>255</v>
      </c>
      <c r="I42" s="28" t="s">
        <v>256</v>
      </c>
      <c r="J42" s="28" t="s">
        <v>257</v>
      </c>
    </row>
    <row r="43" spans="1:14" s="39" customFormat="1" ht="13.9" customHeight="1" x14ac:dyDescent="0.25">
      <c r="A43" s="1558" t="str">
        <f>+PERSONAL!B5</f>
        <v xml:space="preserve">AYUDANTE </v>
      </c>
      <c r="B43" s="1559"/>
      <c r="C43" s="1559"/>
      <c r="D43" s="1560"/>
      <c r="E43" s="40">
        <f>+IFERROR(VLOOKUP(A43,PERSONAL!$B$3:$E$56,4,FALSE),0)</f>
        <v>72476</v>
      </c>
      <c r="F43" s="30">
        <v>2</v>
      </c>
      <c r="G43" s="40">
        <f t="shared" ref="G43" si="0">+E43*F43</f>
        <v>144952</v>
      </c>
      <c r="H43" s="35">
        <v>10000</v>
      </c>
      <c r="I43" s="33">
        <f t="shared" ref="I43" si="1">IFERROR(ROUND(G43/H43,0),0)</f>
        <v>14</v>
      </c>
      <c r="J43" s="33">
        <f t="shared" ref="J43" si="2">+I43</f>
        <v>14</v>
      </c>
    </row>
    <row r="44" spans="1:14" s="39" customFormat="1" ht="13.9" customHeight="1" x14ac:dyDescent="0.25">
      <c r="A44" s="1558"/>
      <c r="B44" s="1559"/>
      <c r="C44" s="1559"/>
      <c r="D44" s="1560"/>
      <c r="E44" s="40"/>
      <c r="F44" s="30"/>
      <c r="G44" s="40"/>
      <c r="H44" s="35"/>
      <c r="I44" s="33"/>
      <c r="J44" s="33"/>
    </row>
    <row r="45" spans="1:14" s="39" customFormat="1" ht="13.9" customHeight="1" x14ac:dyDescent="0.25">
      <c r="A45" s="1558"/>
      <c r="B45" s="1559"/>
      <c r="C45" s="1559"/>
      <c r="D45" s="1560"/>
      <c r="E45" s="40"/>
      <c r="F45" s="30"/>
      <c r="G45" s="40"/>
      <c r="H45" s="35"/>
      <c r="I45" s="33"/>
      <c r="J45" s="33"/>
    </row>
    <row r="46" spans="1:14" s="39" customFormat="1" ht="13.9" customHeight="1" x14ac:dyDescent="0.25">
      <c r="A46" s="1558"/>
      <c r="B46" s="1559"/>
      <c r="C46" s="1559"/>
      <c r="D46" s="1560"/>
      <c r="E46" s="40"/>
      <c r="F46" s="30"/>
      <c r="G46" s="40"/>
      <c r="H46" s="35"/>
      <c r="I46" s="33"/>
      <c r="J46" s="33"/>
    </row>
    <row r="47" spans="1:14" s="39" customFormat="1" ht="13.9" customHeight="1" x14ac:dyDescent="0.25">
      <c r="A47" s="1558"/>
      <c r="B47" s="1559"/>
      <c r="C47" s="1559"/>
      <c r="D47" s="1560"/>
      <c r="E47" s="40"/>
      <c r="F47" s="30"/>
      <c r="G47" s="40"/>
      <c r="H47" s="35"/>
      <c r="I47" s="33"/>
      <c r="J47" s="33"/>
    </row>
    <row r="48" spans="1:14"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14</v>
      </c>
    </row>
    <row r="50" spans="1:10" ht="13.9" customHeight="1" x14ac:dyDescent="0.25"/>
    <row r="51" spans="1:10" ht="13.9" customHeight="1" x14ac:dyDescent="0.25">
      <c r="E51" s="41" t="s">
        <v>276</v>
      </c>
      <c r="I51" s="42">
        <f>+J49+J39+J32+J18</f>
        <v>92865</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5" tint="-0.499984740745262"/>
  </sheetPr>
  <dimension ref="A1:M53"/>
  <sheetViews>
    <sheetView topLeftCell="A4" workbookViewId="0">
      <selection activeCell="G39" sqref="G39"/>
    </sheetView>
  </sheetViews>
  <sheetFormatPr baseColWidth="10" defaultColWidth="11.5703125" defaultRowHeight="15" x14ac:dyDescent="0.25"/>
  <cols>
    <col min="9" max="9" width="14.28515625" bestFit="1" customWidth="1"/>
  </cols>
  <sheetData>
    <row r="1" spans="1:13" x14ac:dyDescent="0.25">
      <c r="A1" s="1574" t="s">
        <v>244</v>
      </c>
      <c r="B1" s="1575"/>
      <c r="C1" s="1575"/>
      <c r="D1" s="1575"/>
      <c r="E1" s="1575"/>
      <c r="F1" s="1575"/>
      <c r="G1" s="1575"/>
      <c r="H1" s="1575"/>
      <c r="I1" s="1575"/>
      <c r="J1" s="1575"/>
    </row>
    <row r="2" spans="1:13" x14ac:dyDescent="0.25">
      <c r="A2" s="1576" t="s">
        <v>245</v>
      </c>
      <c r="B2" s="1576"/>
      <c r="C2" s="1576"/>
      <c r="D2" s="1576"/>
      <c r="E2" s="1576"/>
      <c r="F2" s="1576"/>
      <c r="G2" s="1576"/>
      <c r="H2" s="1576"/>
      <c r="I2" s="1576"/>
      <c r="J2" s="1576"/>
    </row>
    <row r="3" spans="1:13" x14ac:dyDescent="0.25">
      <c r="A3" s="19"/>
      <c r="B3" s="19"/>
      <c r="C3" s="19"/>
      <c r="D3" s="19"/>
      <c r="E3" s="19"/>
      <c r="F3" s="19"/>
      <c r="G3" s="19"/>
      <c r="H3" s="19"/>
      <c r="I3" s="19"/>
      <c r="J3" s="19"/>
    </row>
    <row r="4" spans="1:13" x14ac:dyDescent="0.25">
      <c r="A4" s="1577" t="s">
        <v>246</v>
      </c>
      <c r="B4" s="1577"/>
      <c r="C4" s="1577"/>
      <c r="D4" s="1577"/>
      <c r="E4" s="1577"/>
      <c r="F4" s="1577"/>
      <c r="G4" s="1577"/>
      <c r="H4" s="1577"/>
      <c r="I4" s="1577"/>
      <c r="J4" s="1577"/>
    </row>
    <row r="5" spans="1:13" x14ac:dyDescent="0.25">
      <c r="A5" s="20"/>
      <c r="B5" s="21"/>
      <c r="C5" s="21"/>
      <c r="D5" s="21"/>
      <c r="E5" s="21"/>
      <c r="F5" s="21"/>
      <c r="G5" s="21"/>
      <c r="H5" s="20"/>
      <c r="I5" s="20"/>
      <c r="J5" s="20"/>
    </row>
    <row r="6" spans="1:13" x14ac:dyDescent="0.25">
      <c r="A6" s="1558" t="s">
        <v>247</v>
      </c>
      <c r="B6" s="1560"/>
      <c r="C6" s="45">
        <v>129</v>
      </c>
      <c r="D6" s="8"/>
      <c r="E6" s="8"/>
      <c r="F6" s="8"/>
      <c r="G6" s="8"/>
      <c r="H6" s="46"/>
      <c r="I6" s="29" t="s">
        <v>248</v>
      </c>
      <c r="J6" s="26" t="str">
        <f>+VLOOKUP(C6,'ANEXO PLIEGO_1'!$A$7:$C$133,3,FALSE)</f>
        <v>M2</v>
      </c>
    </row>
    <row r="7" spans="1:13" ht="22.9" customHeight="1" x14ac:dyDescent="0.25">
      <c r="A7" s="1568" t="s">
        <v>249</v>
      </c>
      <c r="B7" s="1570"/>
      <c r="C7" s="1578" t="str">
        <f>+VLOOKUP(C6,'ANEXO PLIEGO_1'!$A$7:$B$133,2,FALSE)</f>
        <v xml:space="preserve">Suministro e instalación de tableros y/o lamas en lamina galvanizada C-20, papel retroflectivo tipo XI; fondos, textos, flechas, pictogramas y orlas en impresión digital. Incluye papel antigrafitti, tornilleria, perfiles para marcos y abrazaderas. </v>
      </c>
      <c r="D7" s="1579"/>
      <c r="E7" s="1579"/>
      <c r="F7" s="1579"/>
      <c r="G7" s="1579"/>
      <c r="H7" s="1579"/>
      <c r="I7" s="1579"/>
      <c r="J7" s="1580"/>
    </row>
    <row r="8" spans="1:13" x14ac:dyDescent="0.25">
      <c r="A8" s="19"/>
      <c r="B8" s="19"/>
      <c r="C8" s="19"/>
      <c r="D8" s="19"/>
      <c r="E8" s="19"/>
      <c r="F8" s="19"/>
      <c r="G8" s="19"/>
      <c r="H8" s="19"/>
      <c r="I8" s="19"/>
      <c r="J8" s="19"/>
    </row>
    <row r="9" spans="1:13" x14ac:dyDescent="0.25">
      <c r="A9" s="1561" t="s">
        <v>250</v>
      </c>
      <c r="B9" s="1561"/>
      <c r="C9" s="1561"/>
      <c r="D9" s="1561"/>
      <c r="E9" s="1561"/>
      <c r="F9" s="1561"/>
      <c r="G9" s="1561"/>
      <c r="H9" s="1561"/>
      <c r="I9" s="27"/>
      <c r="J9" s="27"/>
    </row>
    <row r="10" spans="1:13" x14ac:dyDescent="0.25">
      <c r="A10" s="1562" t="s">
        <v>251</v>
      </c>
      <c r="B10" s="1563"/>
      <c r="C10" s="1563"/>
      <c r="D10" s="1564"/>
      <c r="E10" s="28" t="s">
        <v>252</v>
      </c>
      <c r="F10" s="28" t="s">
        <v>253</v>
      </c>
      <c r="G10" s="28" t="s">
        <v>254</v>
      </c>
      <c r="H10" s="28" t="s">
        <v>255</v>
      </c>
      <c r="I10" s="28" t="s">
        <v>256</v>
      </c>
      <c r="J10" s="28" t="s">
        <v>257</v>
      </c>
    </row>
    <row r="11" spans="1:13" x14ac:dyDescent="0.25">
      <c r="A11" s="1558" t="str">
        <f>'EQUIPOS '!B27</f>
        <v xml:space="preserve">EQUIPO SOLDADURA ELECTRICA </v>
      </c>
      <c r="B11" s="1559"/>
      <c r="C11" s="1559"/>
      <c r="D11" s="1560"/>
      <c r="E11" s="29" t="s">
        <v>202</v>
      </c>
      <c r="F11" s="30" t="str">
        <f>IFERROR(VLOOKUP(A11,'[10]EQUIPOS TRANSPOR SALARIO'!$A$3:$G$42,2,FALSE),"")</f>
        <v/>
      </c>
      <c r="G11" s="31">
        <f>+VLOOKUP(A11,'EQUIPOS '!$B$3:$M$64,12,FALSE)</f>
        <v>4862.5</v>
      </c>
      <c r="H11" s="30">
        <v>2.5</v>
      </c>
      <c r="I11" s="33">
        <f>IFERROR((G11/H11),"")</f>
        <v>1945</v>
      </c>
      <c r="J11" s="33">
        <f t="shared" ref="J11:J19" si="0">ROUND(I11,0)</f>
        <v>1945</v>
      </c>
      <c r="M11">
        <f>1/0.02/8</f>
        <v>6.25</v>
      </c>
    </row>
    <row r="12" spans="1:13" x14ac:dyDescent="0.25">
      <c r="A12" s="1558" t="str">
        <f>+'EQUIPOS '!B9</f>
        <v>COMPRESOR</v>
      </c>
      <c r="B12" s="1559"/>
      <c r="C12" s="1559"/>
      <c r="D12" s="1560"/>
      <c r="E12" s="29" t="s">
        <v>202</v>
      </c>
      <c r="F12" s="30" t="str">
        <f>IFERROR(VLOOKUP(A12,'[10]EQUIPOS TRANSPOR SALARIO'!$A$3:$G$42,2,FALSE),"")</f>
        <v>Eléctrico</v>
      </c>
      <c r="G12" s="31">
        <f>+VLOOKUP(A12,'EQUIPOS '!$B$3:$M$64,12,FALSE)</f>
        <v>7999.94</v>
      </c>
      <c r="H12" s="30">
        <v>6.25</v>
      </c>
      <c r="I12" s="33">
        <f t="shared" ref="I12:I18" si="1">IFERROR((G12/H12),0)</f>
        <v>1279.9903999999999</v>
      </c>
      <c r="J12" s="33">
        <f t="shared" si="0"/>
        <v>1280</v>
      </c>
    </row>
    <row r="13" spans="1:13" x14ac:dyDescent="0.25">
      <c r="A13" s="1558" t="str">
        <f>'EQUIPOS '!B31</f>
        <v>GRUA DE BRAZO ARTICULADO</v>
      </c>
      <c r="B13" s="1559"/>
      <c r="C13" s="1559"/>
      <c r="D13" s="1560"/>
      <c r="E13" s="29" t="s">
        <v>202</v>
      </c>
      <c r="F13" s="30" t="str">
        <f>IFERROR(VLOOKUP(A13,'[10]EQUIPOS TRANSPOR SALARIO'!$A$3:$G$42,2,FALSE),"")</f>
        <v/>
      </c>
      <c r="G13" s="31">
        <f>+VLOOKUP(A13,'EQUIPOS '!$B$3:$M$64,12,FALSE)</f>
        <v>227008</v>
      </c>
      <c r="H13" s="30">
        <v>6</v>
      </c>
      <c r="I13" s="33">
        <f t="shared" si="1"/>
        <v>37834.666666666664</v>
      </c>
      <c r="J13" s="33">
        <f t="shared" si="0"/>
        <v>37835</v>
      </c>
    </row>
    <row r="14" spans="1:13" x14ac:dyDescent="0.25">
      <c r="A14" s="1558" t="str">
        <f>'EQUIPOS '!B10</f>
        <v>CORTADORA DE LÁMINA</v>
      </c>
      <c r="B14" s="1559"/>
      <c r="C14" s="1559"/>
      <c r="D14" s="1560"/>
      <c r="E14" s="29" t="s">
        <v>202</v>
      </c>
      <c r="F14" s="30" t="str">
        <f>IFERROR(VLOOKUP(A14,'[10]EQUIPOS TRANSPOR SALARIO'!$A$3:$G$42,2,FALSE),"")</f>
        <v>Eléctrico</v>
      </c>
      <c r="G14" s="31">
        <f>+VLOOKUP(A14,'EQUIPOS '!$B$3:$M$64,12,FALSE)</f>
        <v>5299.33</v>
      </c>
      <c r="H14" s="30">
        <v>5</v>
      </c>
      <c r="I14" s="33">
        <f t="shared" si="1"/>
        <v>1059.866</v>
      </c>
      <c r="J14" s="33">
        <f t="shared" si="0"/>
        <v>1060</v>
      </c>
    </row>
    <row r="15" spans="1:13" x14ac:dyDescent="0.25">
      <c r="A15" s="1558" t="str">
        <f>'EQUIPOS '!B58</f>
        <v>DOBLADORA DE LAMINA</v>
      </c>
      <c r="B15" s="1559"/>
      <c r="C15" s="1559"/>
      <c r="D15" s="1560"/>
      <c r="E15" s="29" t="s">
        <v>202</v>
      </c>
      <c r="F15" s="30" t="str">
        <f>IFERROR(VLOOKUP(A15,'[10]EQUIPOS TRANSPOR SALARIO'!$A$3:$G$42,2,FALSE),"")</f>
        <v/>
      </c>
      <c r="G15" s="31">
        <f>+VLOOKUP(A15,'EQUIPOS '!$B$3:$M$64,12,FALSE)</f>
        <v>12075</v>
      </c>
      <c r="H15" s="30">
        <v>5</v>
      </c>
      <c r="I15" s="33">
        <f t="shared" si="1"/>
        <v>2415</v>
      </c>
      <c r="J15" s="33">
        <f t="shared" si="0"/>
        <v>2415</v>
      </c>
    </row>
    <row r="16" spans="1:13" x14ac:dyDescent="0.25">
      <c r="A16" s="1640" t="str">
        <f>'EQUIPOS '!B46</f>
        <v xml:space="preserve"> PMT (KIT )</v>
      </c>
      <c r="B16" s="1641"/>
      <c r="C16" s="1641"/>
      <c r="D16" s="1642"/>
      <c r="E16" s="29" t="s">
        <v>202</v>
      </c>
      <c r="F16" s="30" t="str">
        <f>IFERROR(VLOOKUP(A16,'[10]EQUIPOS TRANSPOR SALARIO'!$A$3:$G$42,2,FALSE),"")</f>
        <v/>
      </c>
      <c r="G16" s="31">
        <f>+VLOOKUP(A16,'EQUIPOS '!$B$3:$M$64,12,FALSE)</f>
        <v>13222</v>
      </c>
      <c r="H16" s="30">
        <v>1.8</v>
      </c>
      <c r="I16" s="33">
        <f t="shared" si="1"/>
        <v>7345.5555555555557</v>
      </c>
      <c r="J16" s="33">
        <f t="shared" si="0"/>
        <v>7346</v>
      </c>
    </row>
    <row r="17" spans="1:10" x14ac:dyDescent="0.25">
      <c r="A17" s="1643" t="str">
        <f>'EQUIPOS '!B39</f>
        <v xml:space="preserve">PULIDORA </v>
      </c>
      <c r="B17" s="1644"/>
      <c r="C17" s="1644"/>
      <c r="D17" s="1645"/>
      <c r="E17" s="29" t="s">
        <v>202</v>
      </c>
      <c r="F17" s="29" t="str">
        <f>IFERROR(VLOOKUP(A17,'[10]EQUIPOS TRANSPOR SALARIO'!$A$3:$G$42,2,FALSE),"")</f>
        <v/>
      </c>
      <c r="G17" s="971">
        <f>+VLOOKUP(A17,'EQUIPOS '!$B$3:$M$64,12,FALSE)</f>
        <v>2821</v>
      </c>
      <c r="H17" s="30">
        <v>1.2</v>
      </c>
      <c r="I17" s="968">
        <f t="shared" si="1"/>
        <v>2350.8333333333335</v>
      </c>
      <c r="J17" s="968">
        <f t="shared" si="0"/>
        <v>2351</v>
      </c>
    </row>
    <row r="18" spans="1:10" x14ac:dyDescent="0.25">
      <c r="A18" s="1558" t="str">
        <f>'EQUIPOS '!B36</f>
        <v>PLANTA ELÉCTRICA</v>
      </c>
      <c r="B18" s="1559"/>
      <c r="C18" s="1559"/>
      <c r="D18" s="1560"/>
      <c r="E18" s="29" t="s">
        <v>202</v>
      </c>
      <c r="F18" s="29"/>
      <c r="G18" s="971">
        <f>+VLOOKUP(A18,'EQUIPOS '!$B$3:$M$64,12,FALSE)</f>
        <v>12771</v>
      </c>
      <c r="H18" s="30">
        <f>+$H$11</f>
        <v>2.5</v>
      </c>
      <c r="I18" s="968">
        <f t="shared" si="1"/>
        <v>5108.3999999999996</v>
      </c>
      <c r="J18" s="968">
        <f t="shared" si="0"/>
        <v>5108</v>
      </c>
    </row>
    <row r="19" spans="1:10" x14ac:dyDescent="0.25">
      <c r="A19" s="1558" t="str">
        <f>'EQUIPOS '!B33</f>
        <v>HERRAMIENTA MENOR</v>
      </c>
      <c r="B19" s="1559"/>
      <c r="C19" s="1559"/>
      <c r="D19" s="1560"/>
      <c r="E19" s="29" t="s">
        <v>202</v>
      </c>
      <c r="F19" s="30"/>
      <c r="G19" s="31"/>
      <c r="H19" s="30">
        <v>0.05</v>
      </c>
      <c r="I19" s="33">
        <f>+H19*J51</f>
        <v>2628.55</v>
      </c>
      <c r="J19" s="33">
        <f t="shared" si="0"/>
        <v>2629</v>
      </c>
    </row>
    <row r="20" spans="1:10" x14ac:dyDescent="0.25">
      <c r="A20" s="20"/>
      <c r="B20" s="20"/>
      <c r="C20" s="20"/>
      <c r="D20" s="20"/>
      <c r="E20" s="20"/>
      <c r="F20" s="20"/>
      <c r="G20" s="20"/>
      <c r="H20" s="20"/>
      <c r="I20" s="969" t="s">
        <v>257</v>
      </c>
      <c r="J20" s="970">
        <f>+SUM(J11:J19)</f>
        <v>61969</v>
      </c>
    </row>
    <row r="21" spans="1:10" x14ac:dyDescent="0.25">
      <c r="A21" s="20"/>
      <c r="B21" s="20"/>
      <c r="C21" s="20"/>
      <c r="D21" s="20"/>
      <c r="E21" s="20"/>
      <c r="F21" s="20"/>
      <c r="G21" s="20"/>
      <c r="H21" s="20"/>
      <c r="I21" s="20"/>
      <c r="J21" s="20"/>
    </row>
    <row r="22" spans="1:10" x14ac:dyDescent="0.25">
      <c r="A22" s="1561" t="s">
        <v>263</v>
      </c>
      <c r="B22" s="1561"/>
      <c r="C22" s="1561"/>
      <c r="D22" s="1561"/>
      <c r="E22" s="1561"/>
      <c r="F22" s="1561"/>
      <c r="G22" s="1561"/>
      <c r="H22" s="1561"/>
      <c r="I22" s="27"/>
      <c r="J22" s="20"/>
    </row>
    <row r="23" spans="1:10" x14ac:dyDescent="0.25">
      <c r="A23" s="1565" t="s">
        <v>251</v>
      </c>
      <c r="B23" s="1566"/>
      <c r="C23" s="1566"/>
      <c r="D23" s="1566"/>
      <c r="E23" s="1566"/>
      <c r="F23" s="1567"/>
      <c r="G23" s="28" t="s">
        <v>252</v>
      </c>
      <c r="H23" s="28" t="s">
        <v>264</v>
      </c>
      <c r="I23" s="28" t="s">
        <v>256</v>
      </c>
      <c r="J23" s="28" t="s">
        <v>257</v>
      </c>
    </row>
    <row r="24" spans="1:10" x14ac:dyDescent="0.25">
      <c r="A24" s="1568" t="str">
        <f>'INSUMOS '!B51</f>
        <v>LAMINA GALVANIZADA CL-20 E = 0.85 mm</v>
      </c>
      <c r="B24" s="1569"/>
      <c r="C24" s="1569"/>
      <c r="D24" s="1569"/>
      <c r="E24" s="1569"/>
      <c r="F24" s="1570"/>
      <c r="G24" s="29" t="s">
        <v>3503</v>
      </c>
      <c r="H24" s="35">
        <v>1</v>
      </c>
      <c r="I24" s="33">
        <f>+IFERROR(VLOOKUP(A24,'INSUMOS '!$B$2:$AP$167,'INSUMOS '!$AO$2+1,FALSE),0)</f>
        <v>42153</v>
      </c>
      <c r="J24" s="33">
        <f t="shared" ref="J24:J31" si="2">ROUND(I24*H24,0)</f>
        <v>42153</v>
      </c>
    </row>
    <row r="25" spans="1:10" x14ac:dyDescent="0.25">
      <c r="A25" s="1558" t="str">
        <f>'INSUMOS '!B63</f>
        <v xml:space="preserve">PAPEL REFLECTIVO TIPO XI </v>
      </c>
      <c r="B25" s="1559"/>
      <c r="C25" s="1559"/>
      <c r="D25" s="1559"/>
      <c r="E25" s="1559"/>
      <c r="F25" s="1560"/>
      <c r="G25" s="29" t="s">
        <v>3503</v>
      </c>
      <c r="H25" s="35">
        <f>1</f>
        <v>1</v>
      </c>
      <c r="I25" s="33">
        <f>+IFERROR(VLOOKUP(A25,'INSUMOS '!$B$2:$AP$167,'INSUMOS '!$AO$2+1,FALSE),0)</f>
        <v>153328.9296</v>
      </c>
      <c r="J25" s="33">
        <f t="shared" si="2"/>
        <v>153329</v>
      </c>
    </row>
    <row r="26" spans="1:10" x14ac:dyDescent="0.25">
      <c r="A26" s="1558" t="str">
        <f>'INSUMOS '!B160</f>
        <v xml:space="preserve">IMPRESIÓN DIGITAL INCLUYE TINTA GARANTÍA 12 AÑOS </v>
      </c>
      <c r="B26" s="1559"/>
      <c r="C26" s="1559"/>
      <c r="D26" s="1559"/>
      <c r="E26" s="1559"/>
      <c r="F26" s="1560"/>
      <c r="G26" s="29" t="s">
        <v>3503</v>
      </c>
      <c r="H26" s="35">
        <v>1</v>
      </c>
      <c r="I26" s="33">
        <f>+IFERROR(VLOOKUP(A26,'INSUMOS '!$B$2:$AP$167,'INSUMOS '!$AO$2+1,FALSE),0)</f>
        <v>60000</v>
      </c>
      <c r="J26" s="33">
        <f t="shared" si="2"/>
        <v>60000</v>
      </c>
    </row>
    <row r="27" spans="1:10" x14ac:dyDescent="0.25">
      <c r="A27" s="1558" t="str">
        <f>'INSUMOS '!B93</f>
        <v>SOLDADURA ELECTRICA  E 6013 O SIMILAR</v>
      </c>
      <c r="B27" s="1559"/>
      <c r="C27" s="1559"/>
      <c r="D27" s="1559"/>
      <c r="E27" s="1559"/>
      <c r="F27" s="1560"/>
      <c r="G27" s="29" t="s">
        <v>3504</v>
      </c>
      <c r="H27" s="35">
        <v>0.18</v>
      </c>
      <c r="I27" s="33">
        <f>+IFERROR(VLOOKUP(A27,'INSUMOS '!$B$2:$AP$167,'INSUMOS '!$AO$2+1,FALSE),0)</f>
        <v>19163.666666666668</v>
      </c>
      <c r="J27" s="33">
        <f t="shared" si="2"/>
        <v>3449</v>
      </c>
    </row>
    <row r="28" spans="1:10" x14ac:dyDescent="0.25">
      <c r="A28" s="1558" t="str">
        <f>'INSUMOS '!B157</f>
        <v xml:space="preserve">TORNILLOS ZINCADOS DE 1/2" X 2 1/2" con tuerca y arandelas planas </v>
      </c>
      <c r="B28" s="1559"/>
      <c r="C28" s="1559"/>
      <c r="D28" s="1559"/>
      <c r="E28" s="1559"/>
      <c r="F28" s="1560"/>
      <c r="G28" s="29" t="s">
        <v>252</v>
      </c>
      <c r="H28" s="35">
        <v>3</v>
      </c>
      <c r="I28" s="33">
        <f>+IFERROR(VLOOKUP(A28,'INSUMOS '!$B$2:$AP$167,'INSUMOS '!$AO$2+1,FALSE),0)</f>
        <v>4200</v>
      </c>
      <c r="J28" s="33">
        <f t="shared" si="2"/>
        <v>12600</v>
      </c>
    </row>
    <row r="29" spans="1:10" x14ac:dyDescent="0.25">
      <c r="A29" s="1558" t="str">
        <f>'INSUMOS '!B158</f>
        <v>ABRAZADERA PARA TABLERO DE SEÑAL ELEVADA PARA DIAMETROS MAYORES O IGUALES A 2"</v>
      </c>
      <c r="B29" s="1559"/>
      <c r="C29" s="1559"/>
      <c r="D29" s="1559"/>
      <c r="E29" s="1559"/>
      <c r="F29" s="1560"/>
      <c r="G29" s="29" t="s">
        <v>252</v>
      </c>
      <c r="H29" s="35">
        <v>1</v>
      </c>
      <c r="I29" s="33">
        <f>+IFERROR(VLOOKUP(A29,'INSUMOS '!$B$2:$AP$167,'INSUMOS '!$AO$2+1,FALSE),0)</f>
        <v>95000</v>
      </c>
      <c r="J29" s="33">
        <f t="shared" si="2"/>
        <v>95000</v>
      </c>
    </row>
    <row r="30" spans="1:10" x14ac:dyDescent="0.25">
      <c r="A30" s="1558" t="str">
        <f>'INSUMOS '!B159</f>
        <v>DISCO DE PULIDORA 71/2</v>
      </c>
      <c r="B30" s="1559"/>
      <c r="C30" s="1559"/>
      <c r="D30" s="1559"/>
      <c r="E30" s="1559"/>
      <c r="F30" s="1560"/>
      <c r="G30" s="29" t="s">
        <v>252</v>
      </c>
      <c r="H30" s="35">
        <v>0.18</v>
      </c>
      <c r="I30" s="33">
        <f>+IFERROR(VLOOKUP(A30,'INSUMOS '!$B$2:$AP$167,'INSUMOS '!$AO$2+1,FALSE),0)</f>
        <v>8542</v>
      </c>
      <c r="J30" s="33">
        <f t="shared" si="2"/>
        <v>1538</v>
      </c>
    </row>
    <row r="31" spans="1:10" x14ac:dyDescent="0.25">
      <c r="A31" s="1558" t="str">
        <f>'INSUMOS '!B67</f>
        <v xml:space="preserve">PELÍCULA ANTIGRAFITTI </v>
      </c>
      <c r="B31" s="1559"/>
      <c r="C31" s="1559"/>
      <c r="D31" s="1559"/>
      <c r="E31" s="1559"/>
      <c r="F31" s="1560"/>
      <c r="G31" s="29" t="s">
        <v>3503</v>
      </c>
      <c r="H31" s="35">
        <f>1</f>
        <v>1</v>
      </c>
      <c r="I31" s="33">
        <f>+IFERROR(VLOOKUP(A31,'INSUMOS '!$B$2:$AP$167,'INSUMOS '!$AO$2+1,FALSE),0)</f>
        <v>65174.538799999995</v>
      </c>
      <c r="J31" s="33">
        <f t="shared" si="2"/>
        <v>65175</v>
      </c>
    </row>
    <row r="32" spans="1:10" x14ac:dyDescent="0.25">
      <c r="A32" s="1558"/>
      <c r="B32" s="1559"/>
      <c r="C32" s="1559"/>
      <c r="D32" s="1559"/>
      <c r="E32" s="1559"/>
      <c r="F32" s="1560"/>
      <c r="G32" s="29"/>
      <c r="H32" s="35"/>
      <c r="I32" s="33"/>
      <c r="J32" s="33"/>
    </row>
    <row r="33" spans="1:13" x14ac:dyDescent="0.25">
      <c r="A33" s="1558"/>
      <c r="B33" s="1559"/>
      <c r="C33" s="1559"/>
      <c r="D33" s="1559"/>
      <c r="E33" s="1559"/>
      <c r="F33" s="1560"/>
      <c r="G33" s="29"/>
      <c r="H33" s="35"/>
      <c r="I33" s="33"/>
      <c r="J33" s="33"/>
    </row>
    <row r="34" spans="1:13" x14ac:dyDescent="0.25">
      <c r="A34" s="20"/>
      <c r="B34" s="20"/>
      <c r="C34" s="20"/>
      <c r="D34" s="20"/>
      <c r="E34" s="20"/>
      <c r="F34" s="19"/>
      <c r="G34" s="20"/>
      <c r="H34" s="20"/>
      <c r="I34" s="30" t="s">
        <v>257</v>
      </c>
      <c r="J34" s="34">
        <f>+SUM(J24:J33)</f>
        <v>433244</v>
      </c>
    </row>
    <row r="35" spans="1:13" x14ac:dyDescent="0.25">
      <c r="A35" s="19"/>
      <c r="B35" s="19"/>
      <c r="C35" s="19"/>
      <c r="D35" s="19"/>
      <c r="E35" s="19"/>
      <c r="F35" s="19"/>
      <c r="G35" s="19"/>
      <c r="H35" s="19"/>
      <c r="I35" s="19"/>
      <c r="J35" s="19"/>
    </row>
    <row r="36" spans="1:13" x14ac:dyDescent="0.25">
      <c r="A36" s="1561" t="s">
        <v>267</v>
      </c>
      <c r="B36" s="1561"/>
      <c r="C36" s="1561"/>
      <c r="D36" s="1561"/>
      <c r="E36" s="1561"/>
      <c r="F36" s="1561"/>
      <c r="G36" s="1561"/>
      <c r="H36" s="1561"/>
      <c r="I36" s="27"/>
      <c r="J36" s="19"/>
    </row>
    <row r="37" spans="1:13" x14ac:dyDescent="0.25">
      <c r="A37" s="1562" t="s">
        <v>268</v>
      </c>
      <c r="B37" s="1563"/>
      <c r="C37" s="1563"/>
      <c r="D37" s="1563"/>
      <c r="E37" s="1563"/>
      <c r="F37" s="1564"/>
      <c r="G37" s="38" t="s">
        <v>255</v>
      </c>
      <c r="H37" s="28" t="s">
        <v>269</v>
      </c>
      <c r="I37" s="28" t="s">
        <v>256</v>
      </c>
      <c r="J37" s="28" t="s">
        <v>257</v>
      </c>
    </row>
    <row r="38" spans="1:13" x14ac:dyDescent="0.25">
      <c r="A38" s="1558" t="str">
        <f>+'EQUIPOS '!B6</f>
        <v>CAMION INCLUYE CONDUCTOR</v>
      </c>
      <c r="B38" s="1559"/>
      <c r="C38" s="1559"/>
      <c r="D38" s="1559"/>
      <c r="E38" s="1559"/>
      <c r="F38" s="1560"/>
      <c r="G38" s="1485">
        <f>10*12</f>
        <v>120</v>
      </c>
      <c r="H38" s="33">
        <f>+IFERROR(VLOOKUP(A38,'EQUIPOS '!$B$3:$M$78,12,FALSE),0)</f>
        <v>611492.5</v>
      </c>
      <c r="I38" s="33">
        <f>IFERROR(H38/G38,0)</f>
        <v>5095.770833333333</v>
      </c>
      <c r="J38" s="33">
        <f>ROUND(I38,0)</f>
        <v>5096</v>
      </c>
    </row>
    <row r="39" spans="1:13" x14ac:dyDescent="0.25">
      <c r="A39" s="1558"/>
      <c r="B39" s="1559"/>
      <c r="C39" s="1559"/>
      <c r="D39" s="1559"/>
      <c r="E39" s="1559"/>
      <c r="F39" s="1560"/>
      <c r="G39" s="29"/>
      <c r="H39" s="33"/>
      <c r="I39" s="33"/>
      <c r="J39" s="33"/>
    </row>
    <row r="40" spans="1:13" x14ac:dyDescent="0.25">
      <c r="A40" s="1558"/>
      <c r="B40" s="1559"/>
      <c r="C40" s="1559"/>
      <c r="D40" s="1559"/>
      <c r="E40" s="1559"/>
      <c r="F40" s="1560"/>
      <c r="G40" s="29"/>
      <c r="H40" s="33"/>
      <c r="I40" s="33"/>
      <c r="J40" s="33"/>
    </row>
    <row r="41" spans="1:13" x14ac:dyDescent="0.25">
      <c r="A41" s="19"/>
      <c r="B41" s="19"/>
      <c r="C41" s="19"/>
      <c r="D41" s="19"/>
      <c r="E41" s="19"/>
      <c r="F41" s="19"/>
      <c r="G41" s="39"/>
      <c r="H41" s="39"/>
      <c r="I41" s="30" t="s">
        <v>257</v>
      </c>
      <c r="J41" s="33">
        <f>+SUM(J38:J40)</f>
        <v>5096</v>
      </c>
    </row>
    <row r="42" spans="1:13" x14ac:dyDescent="0.25">
      <c r="A42" s="19"/>
      <c r="B42" s="19"/>
      <c r="C42" s="19"/>
      <c r="D42" s="19"/>
      <c r="E42" s="19"/>
      <c r="F42" s="19"/>
      <c r="G42" s="19"/>
      <c r="H42" s="19"/>
      <c r="I42" s="19"/>
      <c r="J42" s="19"/>
      <c r="M42">
        <f>10*50957.71</f>
        <v>509577.1</v>
      </c>
    </row>
    <row r="43" spans="1:13" x14ac:dyDescent="0.25">
      <c r="A43" s="1561" t="s">
        <v>270</v>
      </c>
      <c r="B43" s="1561"/>
      <c r="C43" s="1561"/>
      <c r="D43" s="1561"/>
      <c r="E43" s="1561"/>
      <c r="F43" s="1561"/>
      <c r="G43" s="1561"/>
      <c r="H43" s="1561"/>
      <c r="I43" s="27"/>
      <c r="J43" s="19"/>
    </row>
    <row r="44" spans="1:13" x14ac:dyDescent="0.25">
      <c r="A44" s="1562" t="s">
        <v>271</v>
      </c>
      <c r="B44" s="1563"/>
      <c r="C44" s="1563"/>
      <c r="D44" s="1564"/>
      <c r="E44" s="28" t="s">
        <v>272</v>
      </c>
      <c r="F44" s="28" t="s">
        <v>264</v>
      </c>
      <c r="G44" s="28" t="s">
        <v>273</v>
      </c>
      <c r="H44" s="28" t="s">
        <v>255</v>
      </c>
      <c r="I44" s="28" t="s">
        <v>256</v>
      </c>
      <c r="J44" s="28" t="s">
        <v>257</v>
      </c>
    </row>
    <row r="45" spans="1:13" x14ac:dyDescent="0.25">
      <c r="A45" s="1558" t="str">
        <f>PERSONAL!B40</f>
        <v xml:space="preserve">SOLDADOR </v>
      </c>
      <c r="B45" s="1559"/>
      <c r="C45" s="1559"/>
      <c r="D45" s="1560"/>
      <c r="E45" s="40">
        <f>+VLOOKUP(A45,PERSONAL!$B$3:$E$100,4,FALSE)</f>
        <v>110344</v>
      </c>
      <c r="F45" s="30">
        <v>1</v>
      </c>
      <c r="G45" s="40">
        <f>+E45*F45</f>
        <v>110344</v>
      </c>
      <c r="H45" s="35">
        <v>15</v>
      </c>
      <c r="I45" s="33">
        <f>IFERROR(ROUND(G45/H45,0),0)</f>
        <v>7356</v>
      </c>
      <c r="J45" s="33">
        <f>+I45</f>
        <v>7356</v>
      </c>
    </row>
    <row r="46" spans="1:13" x14ac:dyDescent="0.25">
      <c r="A46" s="1558" t="str">
        <f>+PERSONAL!B6</f>
        <v>AYUDANTE NOCTURNO</v>
      </c>
      <c r="B46" s="1559"/>
      <c r="C46" s="1559"/>
      <c r="D46" s="1560"/>
      <c r="E46" s="40">
        <f>+VLOOKUP(A46,PERSONAL!$B$3:$E$100,4,FALSE)</f>
        <v>83383</v>
      </c>
      <c r="F46" s="30">
        <v>2</v>
      </c>
      <c r="G46" s="40">
        <f>+E46*F46</f>
        <v>166766</v>
      </c>
      <c r="H46" s="35">
        <f>+H45</f>
        <v>15</v>
      </c>
      <c r="I46" s="33">
        <f>IFERROR(ROUND(G46/H46,0),0)</f>
        <v>11118</v>
      </c>
      <c r="J46" s="33">
        <f>+I46</f>
        <v>11118</v>
      </c>
    </row>
    <row r="47" spans="1:13" x14ac:dyDescent="0.25">
      <c r="A47" s="1558" t="str">
        <f>+PERSONAL!B4</f>
        <v>AUXILIAR DE TRÁFICO NOCTURNO</v>
      </c>
      <c r="B47" s="1559"/>
      <c r="C47" s="1559"/>
      <c r="D47" s="1560"/>
      <c r="E47" s="40">
        <f>+VLOOKUP(A47,PERSONAL!$B$3:$E$100,4,FALSE)</f>
        <v>98122</v>
      </c>
      <c r="F47" s="30">
        <v>2</v>
      </c>
      <c r="G47" s="40">
        <f>+E47*F47</f>
        <v>196244</v>
      </c>
      <c r="H47" s="35">
        <f>+H46</f>
        <v>15</v>
      </c>
      <c r="I47" s="33">
        <f>IFERROR(ROUND(G47/H47,0),0)</f>
        <v>13083</v>
      </c>
      <c r="J47" s="33">
        <f>+I47</f>
        <v>13083</v>
      </c>
    </row>
    <row r="48" spans="1:13" x14ac:dyDescent="0.25">
      <c r="A48" s="1558" t="str">
        <f>+PERSONAL!B19</f>
        <v>JEFE DE CUADRILLA NOCTURNO</v>
      </c>
      <c r="B48" s="1559"/>
      <c r="C48" s="1559"/>
      <c r="D48" s="1560"/>
      <c r="E48" s="40">
        <f>+VLOOKUP(A48,PERSONAL!$B$3:$E$100,4,FALSE)</f>
        <v>213741</v>
      </c>
      <c r="F48" s="30">
        <v>1</v>
      </c>
      <c r="G48" s="40">
        <f>+E48*F48</f>
        <v>213741</v>
      </c>
      <c r="H48" s="35">
        <f>+H47</f>
        <v>15</v>
      </c>
      <c r="I48" s="33">
        <f>IFERROR(ROUND(G48/H48,0),0)</f>
        <v>14249</v>
      </c>
      <c r="J48" s="33">
        <f>+I48</f>
        <v>14249</v>
      </c>
    </row>
    <row r="49" spans="1:10" x14ac:dyDescent="0.25">
      <c r="A49" s="1558" t="str">
        <f>PERSONAL!B22</f>
        <v xml:space="preserve">OFICIAL </v>
      </c>
      <c r="B49" s="1559"/>
      <c r="C49" s="1559"/>
      <c r="D49" s="1560"/>
      <c r="E49" s="40">
        <f>+VLOOKUP(A49,PERSONAL!$B$3:$E$100,4,FALSE)</f>
        <v>101471</v>
      </c>
      <c r="F49" s="30">
        <v>1</v>
      </c>
      <c r="G49" s="40">
        <f>+E49*F49</f>
        <v>101471</v>
      </c>
      <c r="H49" s="35">
        <f>+H48</f>
        <v>15</v>
      </c>
      <c r="I49" s="33">
        <f>IFERROR(ROUND(G49/H49,0),0)</f>
        <v>6765</v>
      </c>
      <c r="J49" s="33">
        <f>+I49</f>
        <v>6765</v>
      </c>
    </row>
    <row r="50" spans="1:10" x14ac:dyDescent="0.25">
      <c r="A50" s="1558"/>
      <c r="B50" s="1559"/>
      <c r="C50" s="1559"/>
      <c r="D50" s="1560"/>
      <c r="E50" s="40"/>
      <c r="F50" s="30"/>
      <c r="G50" s="40"/>
      <c r="H50" s="35"/>
      <c r="I50" s="33"/>
      <c r="J50" s="33"/>
    </row>
    <row r="51" spans="1:10" x14ac:dyDescent="0.25">
      <c r="A51" s="20"/>
      <c r="B51" s="20"/>
      <c r="C51" s="20"/>
      <c r="D51" s="19"/>
      <c r="E51" s="20"/>
      <c r="F51" s="20"/>
      <c r="G51" s="20"/>
      <c r="H51" s="20"/>
      <c r="I51" s="30" t="s">
        <v>257</v>
      </c>
      <c r="J51" s="34">
        <f>+SUM(J45:J50)</f>
        <v>52571</v>
      </c>
    </row>
    <row r="52" spans="1:10" x14ac:dyDescent="0.25">
      <c r="A52" s="19"/>
      <c r="B52" s="19"/>
      <c r="C52" s="19"/>
      <c r="D52" s="19"/>
      <c r="E52" s="19"/>
      <c r="F52" s="19"/>
      <c r="G52" s="19"/>
      <c r="H52" s="19"/>
      <c r="I52" s="19"/>
      <c r="J52" s="19"/>
    </row>
    <row r="53" spans="1:10" x14ac:dyDescent="0.25">
      <c r="A53" s="19"/>
      <c r="B53" s="19"/>
      <c r="C53" s="19"/>
      <c r="D53" s="19"/>
      <c r="E53" s="41" t="s">
        <v>276</v>
      </c>
      <c r="F53" s="19"/>
      <c r="G53" s="19"/>
      <c r="H53" s="19"/>
      <c r="I53" s="42">
        <f>+J51+J41+J34+J20</f>
        <v>552880</v>
      </c>
      <c r="J53" s="43"/>
    </row>
  </sheetData>
  <mergeCells count="42">
    <mergeCell ref="A24:F24"/>
    <mergeCell ref="A19:D19"/>
    <mergeCell ref="A18:D18"/>
    <mergeCell ref="A14:D14"/>
    <mergeCell ref="A1:J1"/>
    <mergeCell ref="A2:J2"/>
    <mergeCell ref="A4:J4"/>
    <mergeCell ref="A6:B6"/>
    <mergeCell ref="A7:B7"/>
    <mergeCell ref="C7:J7"/>
    <mergeCell ref="A9:H9"/>
    <mergeCell ref="A10:D10"/>
    <mergeCell ref="A11:D11"/>
    <mergeCell ref="A12:D12"/>
    <mergeCell ref="A13:D13"/>
    <mergeCell ref="A15:D15"/>
    <mergeCell ref="A16:D16"/>
    <mergeCell ref="A17:D17"/>
    <mergeCell ref="A22:H22"/>
    <mergeCell ref="A23:F23"/>
    <mergeCell ref="A50:D50"/>
    <mergeCell ref="A39:F39"/>
    <mergeCell ref="A40:F40"/>
    <mergeCell ref="A43:H43"/>
    <mergeCell ref="A44:D44"/>
    <mergeCell ref="A45:D45"/>
    <mergeCell ref="A46:D46"/>
    <mergeCell ref="A47:D47"/>
    <mergeCell ref="A48:D48"/>
    <mergeCell ref="A49:D49"/>
    <mergeCell ref="A38:F38"/>
    <mergeCell ref="A25:F25"/>
    <mergeCell ref="A26:F26"/>
    <mergeCell ref="A27:F27"/>
    <mergeCell ref="A28:F28"/>
    <mergeCell ref="A29:F29"/>
    <mergeCell ref="A31:F31"/>
    <mergeCell ref="A32:F32"/>
    <mergeCell ref="A33:F33"/>
    <mergeCell ref="A36:H36"/>
    <mergeCell ref="A37:F37"/>
    <mergeCell ref="A30:F30"/>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5" tint="-0.499984740745262"/>
  </sheetPr>
  <dimension ref="A1:J54"/>
  <sheetViews>
    <sheetView topLeftCell="A40"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128</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Suministro y aplicación manual (método llana) de pintura de plástico en frio metilmetacrilato pigmentada (multicolor según 3.7.3. Color de las demarcaciones planas para urbanismos tácticos u otras intervenciones tácticas urbanas) con microesferas para marcas viales de espesor seco de 50 mils según norma NTC 4744,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4</v>
      </c>
      <c r="I11" s="33">
        <f>IFERROR((G11/H11),0)</f>
        <v>1999.9849999999999</v>
      </c>
      <c r="J11" s="33">
        <f>ROUND(I11,0)</f>
        <v>2000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4</v>
      </c>
      <c r="I12" s="33">
        <f>IFERROR((G12/H12),0)</f>
        <v>3305.5</v>
      </c>
      <c r="J12" s="33">
        <f>ROUND(I12,0)</f>
        <v>3306</v>
      </c>
    </row>
    <row r="13" spans="1:10" s="20" customFormat="1" ht="13.9" customHeight="1" x14ac:dyDescent="0.25">
      <c r="A13" s="1571" t="str">
        <f>+'EQUIPOS '!B50</f>
        <v>EQUIPO DE CONTROL DE OBRA</v>
      </c>
      <c r="B13" s="1572"/>
      <c r="C13" s="1572"/>
      <c r="D13" s="1573"/>
      <c r="E13" s="29" t="s">
        <v>202</v>
      </c>
      <c r="F13" s="30"/>
      <c r="G13" s="31">
        <f>+VLOOKUP(A13,'EQUIPOS '!$B$3:$M$64,12,FALSE)</f>
        <v>1708.75</v>
      </c>
      <c r="H13" s="30">
        <f>+$H$11</f>
        <v>4</v>
      </c>
      <c r="I13" s="33">
        <f>IFERROR((G13/H13),0)</f>
        <v>427.1875</v>
      </c>
      <c r="J13" s="33">
        <f>ROUND(I13,0)</f>
        <v>427</v>
      </c>
    </row>
    <row r="14" spans="1:10" s="20" customFormat="1" ht="13.9" customHeight="1" x14ac:dyDescent="0.25">
      <c r="A14" s="1558" t="s">
        <v>330</v>
      </c>
      <c r="B14" s="1559"/>
      <c r="C14" s="1559"/>
      <c r="D14" s="1560"/>
      <c r="E14" s="29"/>
      <c r="F14" s="30" t="str">
        <f>IFERROR(VLOOKUP(A14,'[10]EQUIPOS TRANSPOR SALARIO'!$A$3:$G$42,2,FALSE),"")</f>
        <v/>
      </c>
      <c r="G14" s="131">
        <v>5.0000000000000001E-3</v>
      </c>
      <c r="H14" s="299">
        <f>+J48</f>
        <v>20629</v>
      </c>
      <c r="I14" s="33">
        <f>+G14*H14</f>
        <v>103.145</v>
      </c>
      <c r="J14" s="33">
        <f>ROUND(I14,0)</f>
        <v>103</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t="str">
        <f>IFERROR(VLOOKUP(A15,'[10]EQUIPOS TRANSPOR SALARIO'!$A$3:$G$42,7,FALSE),"")</f>
        <v/>
      </c>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I17" s="30" t="s">
        <v>257</v>
      </c>
      <c r="J17" s="34">
        <f>+SUM(J11:J16)</f>
        <v>5836</v>
      </c>
    </row>
    <row r="18" spans="1:10" s="20" customFormat="1" ht="13.9" customHeight="1" x14ac:dyDescent="0.25"/>
    <row r="19" spans="1:10" s="20" customFormat="1" ht="13.9" customHeight="1" x14ac:dyDescent="0.25">
      <c r="A19" s="1561" t="s">
        <v>263</v>
      </c>
      <c r="B19" s="1561"/>
      <c r="C19" s="1561"/>
      <c r="D19" s="1561"/>
      <c r="E19" s="1561"/>
      <c r="F19" s="1561"/>
      <c r="G19" s="1561"/>
      <c r="H19" s="1561"/>
      <c r="I19" s="27"/>
    </row>
    <row r="20" spans="1:10" s="20" customFormat="1" ht="13.9" customHeight="1" x14ac:dyDescent="0.25">
      <c r="A20" s="1565" t="s">
        <v>251</v>
      </c>
      <c r="B20" s="1566"/>
      <c r="C20" s="1566"/>
      <c r="D20" s="1566"/>
      <c r="E20" s="1566"/>
      <c r="F20" s="1567"/>
      <c r="G20" s="28" t="s">
        <v>252</v>
      </c>
      <c r="H20" s="28" t="s">
        <v>264</v>
      </c>
      <c r="I20" s="28" t="s">
        <v>256</v>
      </c>
      <c r="J20" s="28" t="s">
        <v>257</v>
      </c>
    </row>
    <row r="21" spans="1:10" ht="32.450000000000003" customHeight="1" x14ac:dyDescent="0.25">
      <c r="A21" s="1568" t="str">
        <f>+'INSUMOS '!B78</f>
        <v>PINTURA PLÁSTICO EN FRIO METIL METACRILATO PIGMENTADA (NARANJA - VERDE - ROJO - AZUL) - PARA APLICACIÓN CON LLANA (98:2), INCLUYE CATALIZADOR</v>
      </c>
      <c r="B21" s="1569"/>
      <c r="C21" s="1569"/>
      <c r="D21" s="1569"/>
      <c r="E21" s="1569"/>
      <c r="F21" s="1570"/>
      <c r="G21" s="29" t="s">
        <v>114</v>
      </c>
      <c r="H21" s="37">
        <v>0.33</v>
      </c>
      <c r="I21" s="33">
        <f>+IFERROR(VLOOKUP(A21,'INSUMOS '!$B$2:$AP$167,'INSUMOS '!$AO$2+1,FALSE),0)</f>
        <v>141372</v>
      </c>
      <c r="J21" s="33">
        <f>ROUND(I21*H21,0)</f>
        <v>46653</v>
      </c>
    </row>
    <row r="22" spans="1:10" ht="28.5" customHeight="1" x14ac:dyDescent="0.25">
      <c r="A22" s="1558" t="str">
        <f>+'INSUMOS '!B40</f>
        <v>DISOLVENTE AJUSTADOR LENTO XILOL</v>
      </c>
      <c r="B22" s="1559"/>
      <c r="C22" s="1559"/>
      <c r="D22" s="1559"/>
      <c r="E22" s="1559"/>
      <c r="F22" s="1560"/>
      <c r="G22" s="29" t="s">
        <v>114</v>
      </c>
      <c r="H22" s="47">
        <v>0.01</v>
      </c>
      <c r="I22" s="33">
        <f>+IFERROR(VLOOKUP(A22,'INSUMOS '!$B$2:$AP$167,'INSUMOS '!$AO$2+1,FALSE),0)</f>
        <v>73200</v>
      </c>
      <c r="J22" s="33">
        <f t="shared" ref="J22:J26" si="0">ROUND(I22*H22,0)</f>
        <v>732</v>
      </c>
    </row>
    <row r="23" spans="1:10" ht="13.9" customHeight="1" x14ac:dyDescent="0.25">
      <c r="A23" s="1558" t="str">
        <f>'INSUMOS '!B59</f>
        <v>MICROESFERA DE VIDRIO  (ESFERICIDAD MAYOR A 80%)</v>
      </c>
      <c r="B23" s="1559"/>
      <c r="C23" s="1559"/>
      <c r="D23" s="1559"/>
      <c r="E23" s="1559"/>
      <c r="F23" s="1560"/>
      <c r="G23" s="29" t="s">
        <v>6</v>
      </c>
      <c r="H23" s="47">
        <f>370*1*1/1000</f>
        <v>0.37</v>
      </c>
      <c r="I23" s="33">
        <f>+IFERROR(VLOOKUP(A23,'INSUMOS '!$B$2:$AP$167,'INSUMOS '!$AO$2+1,FALSE),0)</f>
        <v>7449</v>
      </c>
      <c r="J23" s="33">
        <f>ROUND(I23*H23,0)</f>
        <v>2756</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3">
        <f>J21+J22</f>
        <v>47385</v>
      </c>
      <c r="J26" s="33">
        <f t="shared" si="0"/>
        <v>2369</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7"/>
      <c r="I28" s="33"/>
      <c r="J28" s="33"/>
    </row>
    <row r="29" spans="1:10" ht="13.9" customHeight="1" x14ac:dyDescent="0.25">
      <c r="A29" s="1558"/>
      <c r="B29" s="1559"/>
      <c r="C29" s="1559"/>
      <c r="D29" s="1559"/>
      <c r="E29" s="1559"/>
      <c r="F29" s="1560"/>
      <c r="G29" s="29"/>
      <c r="H29" s="35"/>
      <c r="I29" s="33"/>
      <c r="J29" s="33"/>
    </row>
    <row r="30" spans="1:10" ht="13.9" customHeight="1" x14ac:dyDescent="0.25">
      <c r="A30" s="1558"/>
      <c r="B30" s="1559"/>
      <c r="C30" s="1559"/>
      <c r="D30" s="1559"/>
      <c r="E30" s="1559"/>
      <c r="F30" s="1560"/>
      <c r="G30" s="29"/>
      <c r="H30" s="35"/>
      <c r="I30" s="33"/>
      <c r="J30" s="33"/>
    </row>
    <row r="31" spans="1:10" ht="13.9" customHeight="1" x14ac:dyDescent="0.25">
      <c r="A31" s="20"/>
      <c r="B31" s="20"/>
      <c r="C31" s="20"/>
      <c r="D31" s="20"/>
      <c r="E31" s="20"/>
      <c r="G31" s="20"/>
      <c r="H31" s="20"/>
      <c r="I31" s="30" t="s">
        <v>257</v>
      </c>
      <c r="J31" s="34">
        <f>+SUM(J21:J30)</f>
        <v>52510</v>
      </c>
    </row>
    <row r="32" spans="1:10" ht="13.9" customHeight="1" x14ac:dyDescent="0.25"/>
    <row r="33" spans="1:10" ht="13.9" customHeight="1" x14ac:dyDescent="0.25">
      <c r="A33" s="1561" t="s">
        <v>267</v>
      </c>
      <c r="B33" s="1561"/>
      <c r="C33" s="1561"/>
      <c r="D33" s="1561"/>
      <c r="E33" s="1561"/>
      <c r="F33" s="1561"/>
      <c r="G33" s="1561"/>
      <c r="H33" s="1561"/>
      <c r="I33" s="27"/>
    </row>
    <row r="34" spans="1:10" ht="13.9" customHeight="1" x14ac:dyDescent="0.25">
      <c r="A34" s="1562" t="s">
        <v>268</v>
      </c>
      <c r="B34" s="1563"/>
      <c r="C34" s="1563"/>
      <c r="D34" s="1563"/>
      <c r="E34" s="1563"/>
      <c r="F34" s="1564"/>
      <c r="G34" s="38" t="s">
        <v>255</v>
      </c>
      <c r="H34" s="28" t="s">
        <v>269</v>
      </c>
      <c r="I34" s="28" t="s">
        <v>256</v>
      </c>
      <c r="J34" s="28" t="s">
        <v>257</v>
      </c>
    </row>
    <row r="35" spans="1:10" ht="13.9" customHeight="1" x14ac:dyDescent="0.25">
      <c r="A35" s="1558" t="str">
        <f>+'EQUIPOS '!B6</f>
        <v>CAMION INCLUYE CONDUCTOR</v>
      </c>
      <c r="B35" s="1559"/>
      <c r="C35" s="1559"/>
      <c r="D35" s="1559"/>
      <c r="E35" s="1559"/>
      <c r="F35" s="1560"/>
      <c r="G35" s="29">
        <f>12*+H11*8</f>
        <v>384</v>
      </c>
      <c r="H35" s="33">
        <f>+IFERROR(VLOOKUP(A35,'EQUIPOS '!$B$3:$M$78,12,FALSE),0)</f>
        <v>611492.5</v>
      </c>
      <c r="I35" s="33">
        <f>IFERROR(H35/G35,0)</f>
        <v>1592.4283854166667</v>
      </c>
      <c r="J35" s="33">
        <f>ROUND(I35,0)</f>
        <v>1592</v>
      </c>
    </row>
    <row r="36" spans="1:10" ht="13.9" customHeight="1" x14ac:dyDescent="0.25">
      <c r="A36" s="1558"/>
      <c r="B36" s="1559"/>
      <c r="C36" s="1559"/>
      <c r="D36" s="1559"/>
      <c r="E36" s="1559"/>
      <c r="F36" s="1560"/>
      <c r="G36" s="29"/>
      <c r="H36" s="33"/>
      <c r="I36" s="33"/>
      <c r="J36" s="33"/>
    </row>
    <row r="37" spans="1:10" ht="13.9" customHeight="1" x14ac:dyDescent="0.25">
      <c r="A37" s="1558"/>
      <c r="B37" s="1559"/>
      <c r="C37" s="1559"/>
      <c r="D37" s="1559"/>
      <c r="E37" s="1559"/>
      <c r="F37" s="1560"/>
      <c r="G37" s="29"/>
      <c r="H37" s="33"/>
      <c r="I37" s="33"/>
      <c r="J37" s="33"/>
    </row>
    <row r="38" spans="1:10" ht="13.9" customHeight="1" x14ac:dyDescent="0.25">
      <c r="G38" s="39"/>
      <c r="H38" s="39"/>
      <c r="I38" s="30" t="s">
        <v>257</v>
      </c>
      <c r="J38" s="33">
        <f>+SUM(J35:J37)</f>
        <v>1592</v>
      </c>
    </row>
    <row r="39" spans="1:10" ht="13.9" customHeight="1" x14ac:dyDescent="0.25"/>
    <row r="40" spans="1:10" ht="13.9" customHeight="1" x14ac:dyDescent="0.25">
      <c r="A40" s="1561" t="s">
        <v>270</v>
      </c>
      <c r="B40" s="1561"/>
      <c r="C40" s="1561"/>
      <c r="D40" s="1561"/>
      <c r="E40" s="1561"/>
      <c r="F40" s="1561"/>
      <c r="G40" s="1561"/>
      <c r="H40" s="1561"/>
      <c r="I40" s="27"/>
    </row>
    <row r="41" spans="1:10" ht="13.9" customHeight="1" x14ac:dyDescent="0.25">
      <c r="A41" s="1562" t="s">
        <v>271</v>
      </c>
      <c r="B41" s="1563"/>
      <c r="C41" s="1563"/>
      <c r="D41" s="1564"/>
      <c r="E41" s="28" t="s">
        <v>272</v>
      </c>
      <c r="F41" s="28" t="s">
        <v>264</v>
      </c>
      <c r="G41" s="28" t="s">
        <v>273</v>
      </c>
      <c r="H41" s="28" t="s">
        <v>255</v>
      </c>
      <c r="I41" s="28" t="s">
        <v>256</v>
      </c>
      <c r="J41" s="28" t="s">
        <v>257</v>
      </c>
    </row>
    <row r="42" spans="1:10" s="39" customFormat="1" ht="13.9" customHeight="1" x14ac:dyDescent="0.25">
      <c r="A42" s="1558" t="str">
        <f>+PERSONAL!B6</f>
        <v>AYUDANTE NOCTURNO</v>
      </c>
      <c r="B42" s="1559"/>
      <c r="C42" s="1559"/>
      <c r="D42" s="1560"/>
      <c r="E42" s="40">
        <f>+VLOOKUP(A42,PERSONAL!$B$3:$E$100,4,FALSE)</f>
        <v>83383</v>
      </c>
      <c r="F42" s="30">
        <v>3</v>
      </c>
      <c r="G42" s="40">
        <f>+E42*F42</f>
        <v>250149</v>
      </c>
      <c r="H42" s="35">
        <f>IFERROR(H11*8,0)</f>
        <v>32</v>
      </c>
      <c r="I42" s="33">
        <f>IFERROR(ROUND(G42/H42,0),0)</f>
        <v>7817</v>
      </c>
      <c r="J42" s="33">
        <f>+I42</f>
        <v>7817</v>
      </c>
    </row>
    <row r="43" spans="1:10" s="39" customFormat="1" ht="13.9" customHeight="1" x14ac:dyDescent="0.25">
      <c r="A43" s="1558" t="str">
        <f>+PERSONAL!B4</f>
        <v>AUXILIAR DE TRÁFICO NOCTURNO</v>
      </c>
      <c r="B43" s="1559"/>
      <c r="C43" s="1559"/>
      <c r="D43" s="1560"/>
      <c r="E43" s="40">
        <f>+VLOOKUP(A43,PERSONAL!$B$3:$E$100,4,FALSE)</f>
        <v>98122</v>
      </c>
      <c r="F43" s="30">
        <v>2</v>
      </c>
      <c r="G43" s="40">
        <f>+E43*F43</f>
        <v>196244</v>
      </c>
      <c r="H43" s="35">
        <f>IFERROR(H11*8,0)</f>
        <v>32</v>
      </c>
      <c r="I43" s="33">
        <f>IFERROR(ROUND(G43/H43,0),0)</f>
        <v>6133</v>
      </c>
      <c r="J43" s="33">
        <f>+I43</f>
        <v>6133</v>
      </c>
    </row>
    <row r="44" spans="1:10" s="39" customFormat="1" ht="13.9" customHeight="1" x14ac:dyDescent="0.25">
      <c r="A44" s="1558" t="str">
        <f>+PERSONAL!B19</f>
        <v>JEFE DE CUADRILLA NOCTURNO</v>
      </c>
      <c r="B44" s="1559"/>
      <c r="C44" s="1559"/>
      <c r="D44" s="1560"/>
      <c r="E44" s="40">
        <f>+VLOOKUP(A44,PERSONAL!$B$3:$E$100,4,FALSE)</f>
        <v>213741</v>
      </c>
      <c r="F44" s="30">
        <v>1</v>
      </c>
      <c r="G44" s="40">
        <f>+E44*F44</f>
        <v>213741</v>
      </c>
      <c r="H44" s="35">
        <f>+H43</f>
        <v>32</v>
      </c>
      <c r="I44" s="33">
        <f>IFERROR(ROUND(G44/H44,0),0)</f>
        <v>6679</v>
      </c>
      <c r="J44" s="33">
        <f>+I44</f>
        <v>6679</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20"/>
      <c r="B48" s="20"/>
      <c r="C48" s="20"/>
      <c r="D48" s="19"/>
      <c r="E48" s="20"/>
      <c r="F48" s="20"/>
      <c r="G48" s="20"/>
      <c r="H48" s="20"/>
      <c r="I48" s="30" t="s">
        <v>257</v>
      </c>
      <c r="J48" s="34">
        <f>+SUM(J42:J47)</f>
        <v>20629</v>
      </c>
    </row>
    <row r="49" spans="5:10" ht="13.9" customHeight="1" x14ac:dyDescent="0.25"/>
    <row r="50" spans="5:10" ht="13.9" customHeight="1" x14ac:dyDescent="0.25">
      <c r="E50" s="41" t="s">
        <v>276</v>
      </c>
      <c r="I50" s="42">
        <f>+J48+J38+J31+J17</f>
        <v>80567</v>
      </c>
      <c r="J50" s="43"/>
    </row>
    <row r="51" spans="5:10" ht="13.9" customHeight="1" x14ac:dyDescent="0.25"/>
    <row r="52" spans="5:10" ht="13.9" customHeight="1" x14ac:dyDescent="0.25"/>
    <row r="53" spans="5:10" ht="14.1" customHeight="1" x14ac:dyDescent="0.25"/>
    <row r="54" spans="5:10" ht="14.1" customHeight="1" x14ac:dyDescent="0.25"/>
  </sheetData>
  <mergeCells count="39">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9:H19"/>
    <mergeCell ref="A20:F20"/>
    <mergeCell ref="A21:F21"/>
    <mergeCell ref="A36:F36"/>
    <mergeCell ref="A23:F23"/>
    <mergeCell ref="A24:F24"/>
    <mergeCell ref="A25:F25"/>
    <mergeCell ref="A26:F26"/>
    <mergeCell ref="A27:F27"/>
    <mergeCell ref="A28:F28"/>
    <mergeCell ref="A29:F29"/>
    <mergeCell ref="A30:F30"/>
    <mergeCell ref="A33:H33"/>
    <mergeCell ref="A34:F34"/>
    <mergeCell ref="A35:F35"/>
    <mergeCell ref="A45:D45"/>
    <mergeCell ref="A46:D46"/>
    <mergeCell ref="A47:D47"/>
    <mergeCell ref="A37:F37"/>
    <mergeCell ref="A40:H40"/>
    <mergeCell ref="A41:D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499984740745262"/>
  </sheetPr>
  <dimension ref="A1:J55"/>
  <sheetViews>
    <sheetView topLeftCell="A29"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127</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Acrílica base solvente pigmentada (verde o naranja o rojo o azul) marcas viales con microesfera, espesor seco 9 mils y 51% de solidos por volumen,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31">
        <f>+VLOOKUP(A11,'EQUIPOS '!$B$3:$M$64,12,FALSE)</f>
        <v>7636.68</v>
      </c>
      <c r="H11" s="30">
        <v>17</v>
      </c>
      <c r="I11" s="33">
        <f>IFERROR((G11/H11),"")</f>
        <v>449.21647058823532</v>
      </c>
      <c r="J11" s="33">
        <f>ROUND(I11,0)</f>
        <v>449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17</v>
      </c>
      <c r="I12" s="33">
        <f>IFERROR((G12/H12),0)</f>
        <v>470.58470588235292</v>
      </c>
      <c r="J12" s="33">
        <f>ROUND(I12,0)</f>
        <v>471</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17</v>
      </c>
      <c r="I13" s="33">
        <f>IFERROR((G13/H13),0)</f>
        <v>777.76470588235293</v>
      </c>
      <c r="J13" s="33">
        <f>ROUND(I13,0)</f>
        <v>778</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17</v>
      </c>
      <c r="I14" s="33">
        <f>IFERROR((G14/H14),0)</f>
        <v>100.51470588235294</v>
      </c>
      <c r="J14" s="33">
        <f>ROUND(I14,0)</f>
        <v>101</v>
      </c>
    </row>
    <row r="15" spans="1:10" s="20" customFormat="1" ht="13.9" customHeight="1" x14ac:dyDescent="0.25">
      <c r="A15" s="1558" t="str">
        <f>+'EQUIPOS '!B49</f>
        <v>EQUIPO DE APLICACION ALUMINA ANTIDESLIZANTE</v>
      </c>
      <c r="B15" s="1559"/>
      <c r="C15" s="1559"/>
      <c r="D15" s="1560"/>
      <c r="E15" s="29" t="s">
        <v>266</v>
      </c>
      <c r="F15" s="30" t="s">
        <v>287</v>
      </c>
      <c r="G15" s="31">
        <f>+VLOOKUP(A15,'EQUIPOS '!$B$3:$M$64,12,FALSE)</f>
        <v>15883.05</v>
      </c>
      <c r="H15" s="30">
        <v>200</v>
      </c>
      <c r="I15" s="33">
        <f>IFERROR((G15/H15),0)</f>
        <v>79.41525</v>
      </c>
      <c r="J15" s="33">
        <f>ROUND(I15,0)</f>
        <v>79</v>
      </c>
    </row>
    <row r="16" spans="1:10" s="20" customFormat="1" ht="13.9" customHeight="1" x14ac:dyDescent="0.25">
      <c r="A16" s="1558"/>
      <c r="B16" s="1559"/>
      <c r="C16" s="1559"/>
      <c r="D16" s="1560"/>
      <c r="E16" s="29"/>
      <c r="F16" s="30"/>
      <c r="G16" s="31"/>
      <c r="H16" s="30"/>
      <c r="I16" s="33"/>
      <c r="J16" s="33"/>
    </row>
    <row r="17" spans="1:10" s="20" customFormat="1" ht="13.9" customHeight="1" x14ac:dyDescent="0.25">
      <c r="A17" s="1558"/>
      <c r="B17" s="1559"/>
      <c r="C17" s="1559"/>
      <c r="D17" s="1560"/>
      <c r="E17" s="29"/>
      <c r="F17" s="30"/>
      <c r="G17" s="31"/>
      <c r="H17" s="30"/>
      <c r="I17" s="33"/>
      <c r="J17" s="33"/>
    </row>
    <row r="18" spans="1:10" s="20" customFormat="1" ht="13.9" customHeight="1" x14ac:dyDescent="0.25">
      <c r="I18" s="30" t="s">
        <v>257</v>
      </c>
      <c r="J18" s="34">
        <f>+SUM(J11:J17)</f>
        <v>1878</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3.25" customHeight="1" x14ac:dyDescent="0.25">
      <c r="A22" s="1568" t="str">
        <f>+'INSUMOS '!B72</f>
        <v>PINTURA ACRÍLICA BASE SOLVENTE PIGMENTADA (VERDE, NARANJA, ROJO O AZUL)</v>
      </c>
      <c r="B22" s="1569"/>
      <c r="C22" s="1569"/>
      <c r="D22" s="1569"/>
      <c r="E22" s="1569"/>
      <c r="F22" s="1570"/>
      <c r="G22" s="29" t="s">
        <v>114</v>
      </c>
      <c r="H22" s="37">
        <v>0.16</v>
      </c>
      <c r="I22" s="33">
        <f>+IFERROR(VLOOKUP(A22,'INSUMOS '!$B$2:$AP$167,'INSUMOS '!$AO$2+1,FALSE),0)</f>
        <v>112929.5</v>
      </c>
      <c r="J22" s="33">
        <f>ROUND(I22*H22,0)</f>
        <v>18069</v>
      </c>
    </row>
    <row r="23" spans="1:10" ht="13.9" customHeight="1" x14ac:dyDescent="0.25">
      <c r="A23" s="1558" t="str">
        <f>+'INSUMOS '!B40</f>
        <v>DISOLVENTE AJUSTADOR LENTO XILOL</v>
      </c>
      <c r="B23" s="1559"/>
      <c r="C23" s="1559"/>
      <c r="D23" s="1559"/>
      <c r="E23" s="1559"/>
      <c r="F23" s="1560"/>
      <c r="G23" s="29" t="s">
        <v>114</v>
      </c>
      <c r="H23" s="47">
        <f>H22*0.03</f>
        <v>4.7999999999999996E-3</v>
      </c>
      <c r="I23" s="33">
        <f>+IFERROR(VLOOKUP(A23,'INSUMOS '!$B$2:$AP$167,'INSUMOS '!$AO$2+1,FALSE),0)</f>
        <v>73200</v>
      </c>
      <c r="J23" s="33">
        <f>ROUND(I23*H23,0)</f>
        <v>351</v>
      </c>
    </row>
    <row r="24" spans="1:10" ht="13.9" customHeight="1" x14ac:dyDescent="0.25">
      <c r="A24" s="1558" t="s">
        <v>91</v>
      </c>
      <c r="B24" s="1559"/>
      <c r="C24" s="1559"/>
      <c r="D24" s="1559"/>
      <c r="E24" s="1559"/>
      <c r="F24" s="1560"/>
      <c r="G24" s="29" t="s">
        <v>6</v>
      </c>
      <c r="H24" s="35">
        <v>0.37</v>
      </c>
      <c r="I24" s="33">
        <v>7449</v>
      </c>
      <c r="J24" s="33">
        <v>2756</v>
      </c>
    </row>
    <row r="25" spans="1:10" ht="13.9" customHeight="1" x14ac:dyDescent="0.25">
      <c r="A25" s="1568" t="str">
        <f>+'INSUMOS '!B9</f>
        <v>ANTIDESLIZANTE – SUPER GRIP</v>
      </c>
      <c r="B25" s="1569"/>
      <c r="C25" s="1569"/>
      <c r="D25" s="1569"/>
      <c r="E25" s="1569"/>
      <c r="F25" s="1570"/>
      <c r="G25" s="29" t="s">
        <v>6</v>
      </c>
      <c r="H25" s="37">
        <v>0.2</v>
      </c>
      <c r="I25" s="33">
        <f>+IFERROR(VLOOKUP(A25,'INSUMOS '!$B$2:$AP$167,'INSUMOS '!$AO$2+1,FALSE),0)</f>
        <v>39270</v>
      </c>
      <c r="J25" s="33">
        <f>ROUND(I25*H25,0)</f>
        <v>7854</v>
      </c>
    </row>
    <row r="26" spans="1:10" ht="13.9" customHeight="1" x14ac:dyDescent="0.25">
      <c r="A26" s="1558" t="s">
        <v>333</v>
      </c>
      <c r="B26" s="1559"/>
      <c r="C26" s="1559"/>
      <c r="D26" s="1559"/>
      <c r="E26" s="1559"/>
      <c r="F26" s="1560"/>
      <c r="G26" s="29"/>
      <c r="H26" s="74">
        <v>0.05</v>
      </c>
      <c r="I26" s="31">
        <f>+SUM(J22:J25)</f>
        <v>29030</v>
      </c>
      <c r="J26" s="33">
        <f>ROUND(I26*H26,0)</f>
        <v>1452</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30482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29">
        <f>12*+H11*8</f>
        <v>1632</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136</v>
      </c>
      <c r="I43" s="33">
        <f>IFERROR(ROUND(G43/H43,0),0)</f>
        <v>1052</v>
      </c>
      <c r="J43" s="33">
        <f>+I43</f>
        <v>1052</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136</v>
      </c>
      <c r="I44" s="33">
        <f>IFERROR(ROUND(G44/H44,0),0)</f>
        <v>1226</v>
      </c>
      <c r="J44" s="33">
        <f>+I44</f>
        <v>1226</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136</v>
      </c>
      <c r="I45" s="33">
        <f>IFERROR(ROUND(G45/H45,0),0)</f>
        <v>1443</v>
      </c>
      <c r="J45" s="33">
        <f>+I45</f>
        <v>1443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136</v>
      </c>
      <c r="I46" s="33">
        <f>IFERROR(ROUND(G46/H46,0),0)</f>
        <v>1572</v>
      </c>
      <c r="J46" s="33">
        <f>+I46</f>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38028</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499984740745262"/>
  </sheetPr>
  <dimension ref="A1:N52"/>
  <sheetViews>
    <sheetView topLeftCell="A31" zoomScaleNormal="100" workbookViewId="0">
      <selection activeCell="G36" sqref="G36"/>
    </sheetView>
  </sheetViews>
  <sheetFormatPr baseColWidth="10" defaultColWidth="11.42578125" defaultRowHeight="15.75" x14ac:dyDescent="0.25"/>
  <cols>
    <col min="1" max="1" width="3.7109375" style="629" customWidth="1"/>
    <col min="2" max="2" width="11.42578125" style="629"/>
    <col min="3" max="3" width="8.140625" style="629" customWidth="1"/>
    <col min="4" max="4" width="8.5703125" style="629" customWidth="1"/>
    <col min="5" max="5" width="12.28515625" style="629" customWidth="1"/>
    <col min="6" max="6" width="11.7109375" style="629" customWidth="1"/>
    <col min="7" max="8" width="11.140625" style="629" bestFit="1" customWidth="1"/>
    <col min="9" max="9" width="15.7109375" style="629" bestFit="1" customWidth="1"/>
    <col min="10" max="10" width="12" style="629" customWidth="1"/>
    <col min="11" max="12" width="11.42578125" style="629"/>
    <col min="13" max="14" width="11.5703125" style="629" bestFit="1" customWidth="1"/>
    <col min="15" max="16384" width="11.42578125" style="629"/>
  </cols>
  <sheetData>
    <row r="1" spans="1:13" ht="29.25" customHeight="1" x14ac:dyDescent="0.25">
      <c r="A1" s="1649" t="s">
        <v>244</v>
      </c>
      <c r="B1" s="1650"/>
      <c r="C1" s="1650"/>
      <c r="D1" s="1650"/>
      <c r="E1" s="1650"/>
      <c r="F1" s="1650"/>
      <c r="G1" s="1650"/>
      <c r="H1" s="1650"/>
      <c r="I1" s="1650"/>
      <c r="J1" s="1650"/>
    </row>
    <row r="2" spans="1:13" ht="15" customHeight="1" x14ac:dyDescent="0.25">
      <c r="A2" s="1651" t="s">
        <v>245</v>
      </c>
      <c r="B2" s="1651"/>
      <c r="C2" s="1651"/>
      <c r="D2" s="1651"/>
      <c r="E2" s="1651"/>
      <c r="F2" s="1651"/>
      <c r="G2" s="1651"/>
      <c r="H2" s="1651"/>
      <c r="I2" s="1651"/>
      <c r="J2" s="1651"/>
    </row>
    <row r="4" spans="1:13" s="630" customFormat="1" ht="9.9499999999999993" customHeight="1" x14ac:dyDescent="0.25">
      <c r="A4" s="1652" t="s">
        <v>246</v>
      </c>
      <c r="B4" s="1652"/>
      <c r="C4" s="1652"/>
      <c r="D4" s="1652"/>
      <c r="E4" s="1652"/>
      <c r="F4" s="1652"/>
      <c r="G4" s="1652"/>
      <c r="H4" s="1652"/>
      <c r="I4" s="1652"/>
      <c r="J4" s="1652"/>
    </row>
    <row r="5" spans="1:13" s="630" customFormat="1" ht="9.9499999999999993" customHeight="1" x14ac:dyDescent="0.25">
      <c r="B5" s="631"/>
      <c r="C5" s="631"/>
      <c r="D5" s="631"/>
      <c r="E5" s="631"/>
      <c r="F5" s="631"/>
      <c r="G5" s="631"/>
    </row>
    <row r="6" spans="1:13" x14ac:dyDescent="0.25">
      <c r="A6" s="1646" t="s">
        <v>247</v>
      </c>
      <c r="B6" s="1648"/>
      <c r="C6" s="632">
        <v>126</v>
      </c>
      <c r="D6" s="633"/>
      <c r="E6" s="633"/>
      <c r="F6" s="633"/>
      <c r="G6" s="633"/>
      <c r="H6" s="634"/>
      <c r="I6" s="635" t="s">
        <v>248</v>
      </c>
      <c r="J6" s="636" t="str">
        <f>+VLOOKUP(C6,'ANEXO PLIEGO_1'!$A$7:$C$133,3,FALSE)</f>
        <v>UN</v>
      </c>
    </row>
    <row r="7" spans="1:13" ht="51.75" customHeight="1" x14ac:dyDescent="0.25">
      <c r="A7" s="1653" t="s">
        <v>249</v>
      </c>
      <c r="B7" s="1654"/>
      <c r="C7" s="1655" t="str">
        <f>+VLOOKUP(C6,'ANEXO PLIEGO_1'!$A$7:$B$133,2,FALSE)</f>
        <v xml:space="preserve">Anclaje de bordillo no traspasable, en concreto de color amarillo con alta resistencia al impacto o concreto de 4000 PSI con varilla de refuerzo de 1/2"(Tipo piramidal con incrustación al pavimento con cuatro anclajes en varilla de 5/8" de diámetropor 4" de longitud, dimensiones: altura mínima de15 cm, ancho de 20 cm y largo 100 cm). Incluye transporte de elementos, accesorios y materiales para fijación </v>
      </c>
      <c r="D7" s="1656"/>
      <c r="E7" s="1656"/>
      <c r="F7" s="1656"/>
      <c r="G7" s="1656"/>
      <c r="H7" s="1656"/>
      <c r="I7" s="1656"/>
      <c r="J7" s="1657"/>
    </row>
    <row r="8" spans="1:13" x14ac:dyDescent="0.25">
      <c r="M8" s="629">
        <f>12/2.5</f>
        <v>4.8</v>
      </c>
    </row>
    <row r="9" spans="1:13" s="637" customFormat="1" ht="13.5" x14ac:dyDescent="0.25">
      <c r="A9" s="1658" t="s">
        <v>250</v>
      </c>
      <c r="B9" s="1658"/>
      <c r="C9" s="1658"/>
      <c r="D9" s="1658"/>
      <c r="E9" s="1658"/>
      <c r="F9" s="1658"/>
      <c r="G9" s="1658"/>
      <c r="H9" s="1658"/>
    </row>
    <row r="10" spans="1:13" s="630" customFormat="1" ht="13.9" customHeight="1" x14ac:dyDescent="0.25">
      <c r="A10" s="1659" t="s">
        <v>251</v>
      </c>
      <c r="B10" s="1660"/>
      <c r="C10" s="1660"/>
      <c r="D10" s="1661"/>
      <c r="E10" s="638" t="s">
        <v>252</v>
      </c>
      <c r="F10" s="638" t="s">
        <v>253</v>
      </c>
      <c r="G10" s="638" t="s">
        <v>254</v>
      </c>
      <c r="H10" s="638" t="s">
        <v>255</v>
      </c>
      <c r="I10" s="638" t="s">
        <v>256</v>
      </c>
      <c r="J10" s="638" t="s">
        <v>257</v>
      </c>
      <c r="M10" s="630">
        <f>0.15*0.2*1*500000</f>
        <v>15000</v>
      </c>
    </row>
    <row r="11" spans="1:13" s="630" customFormat="1" ht="13.9" customHeight="1" x14ac:dyDescent="0.25">
      <c r="A11" s="1646" t="str">
        <f>+'EQUIPOS '!B9</f>
        <v>COMPRESOR</v>
      </c>
      <c r="B11" s="1647"/>
      <c r="C11" s="1647"/>
      <c r="D11" s="1648"/>
      <c r="E11" s="639" t="s">
        <v>3171</v>
      </c>
      <c r="F11" s="640" t="str">
        <f>IFERROR(VLOOKUP(A11,'[10]EQUIPOS TRANSPOR SALARIO'!$A$3:$G$42,2,FALSE),"")</f>
        <v>Eléctrico</v>
      </c>
      <c r="G11" s="641">
        <f>+VLOOKUP(A11,'EQUIPOS '!$B$3:$M$64,12,FALSE)</f>
        <v>7999.94</v>
      </c>
      <c r="H11" s="640">
        <v>10</v>
      </c>
      <c r="I11" s="642">
        <f>IFERROR((G11/H11),"")</f>
        <v>799.99399999999991</v>
      </c>
      <c r="J11" s="642">
        <f>ROUND(I11,0)</f>
        <v>800</v>
      </c>
    </row>
    <row r="12" spans="1:13" s="630" customFormat="1" ht="13.9" customHeight="1" x14ac:dyDescent="0.25">
      <c r="A12" s="1646" t="str">
        <f>+'EQUIPOS '!B46</f>
        <v xml:space="preserve"> PMT (KIT )</v>
      </c>
      <c r="B12" s="1647"/>
      <c r="C12" s="1647"/>
      <c r="D12" s="1648"/>
      <c r="E12" s="639" t="s">
        <v>3171</v>
      </c>
      <c r="F12" s="640" t="str">
        <f>IFERROR(VLOOKUP(A12,'[10]EQUIPOS TRANSPOR SALARIO'!$A$3:$G$42,2,FALSE),"")</f>
        <v/>
      </c>
      <c r="G12" s="641">
        <f>+VLOOKUP(A12,'EQUIPOS '!$B$3:$M$64,12,FALSE)</f>
        <v>13222</v>
      </c>
      <c r="H12" s="640">
        <f>+$H$11</f>
        <v>10</v>
      </c>
      <c r="I12" s="642">
        <f>IFERROR((G12/H12),"")</f>
        <v>1322.2</v>
      </c>
      <c r="J12" s="642">
        <f t="shared" ref="J12:J15" si="0">ROUND(I12,0)</f>
        <v>1322</v>
      </c>
    </row>
    <row r="13" spans="1:13" s="630" customFormat="1" ht="13.9" customHeight="1" x14ac:dyDescent="0.25">
      <c r="A13" s="1646" t="str">
        <f>+'EQUIPOS '!B36</f>
        <v>PLANTA ELÉCTRICA</v>
      </c>
      <c r="B13" s="1647"/>
      <c r="C13" s="1647"/>
      <c r="D13" s="1648"/>
      <c r="E13" s="639" t="s">
        <v>3171</v>
      </c>
      <c r="F13" s="640" t="str">
        <f>IFERROR(VLOOKUP(A13,'[10]EQUIPOS TRANSPOR SALARIO'!$A$3:$G$42,2,FALSE),"")</f>
        <v>Eléctrico</v>
      </c>
      <c r="G13" s="641">
        <f>+VLOOKUP(A13,'EQUIPOS '!$B$3:$M$64,12,FALSE)</f>
        <v>12771</v>
      </c>
      <c r="H13" s="640">
        <f>+$H$11</f>
        <v>10</v>
      </c>
      <c r="I13" s="642">
        <f>IFERROR((G13/H13),0)</f>
        <v>1277.0999999999999</v>
      </c>
      <c r="J13" s="642">
        <f t="shared" si="0"/>
        <v>1277</v>
      </c>
    </row>
    <row r="14" spans="1:13" s="630" customFormat="1" ht="13.9" customHeight="1" x14ac:dyDescent="0.25">
      <c r="A14" s="1646" t="str">
        <f>+'EQUIPOS '!B44</f>
        <v xml:space="preserve">TALADRO PERCUTOR  </v>
      </c>
      <c r="B14" s="1647"/>
      <c r="C14" s="1647"/>
      <c r="D14" s="1648"/>
      <c r="E14" s="639" t="s">
        <v>3171</v>
      </c>
      <c r="F14" s="640" t="str">
        <f>IFERROR(VLOOKUP(A14,'[10]EQUIPOS TRANSPOR SALARIO'!$A$3:$G$42,2,FALSE),"")</f>
        <v/>
      </c>
      <c r="G14" s="641">
        <f>+VLOOKUP(A14,'EQUIPOS '!$B$3:$M$64,12,FALSE)</f>
        <v>3687.5</v>
      </c>
      <c r="H14" s="640">
        <f>+$H$11</f>
        <v>10</v>
      </c>
      <c r="I14" s="642">
        <f>IFERROR((G14/H14),0)</f>
        <v>368.75</v>
      </c>
      <c r="J14" s="642">
        <f t="shared" si="0"/>
        <v>369</v>
      </c>
    </row>
    <row r="15" spans="1:13" s="630" customFormat="1" ht="13.9" customHeight="1" x14ac:dyDescent="0.25">
      <c r="A15" s="1646" t="str">
        <f>+'EQUIPOS '!B33</f>
        <v>HERRAMIENTA MENOR</v>
      </c>
      <c r="B15" s="1647"/>
      <c r="C15" s="1647"/>
      <c r="D15" s="1648"/>
      <c r="E15" s="639" t="s">
        <v>3171</v>
      </c>
      <c r="F15" s="640" t="str">
        <f>IFERROR(VLOOKUP(A15,'[10]EQUIPOS TRANSPOR SALARIO'!$A$3:$G$42,2,FALSE),"")</f>
        <v>Global</v>
      </c>
      <c r="G15" s="643">
        <v>0.01</v>
      </c>
      <c r="H15" s="644">
        <f>+J49</f>
        <v>7210</v>
      </c>
      <c r="I15" s="642">
        <f>IFERROR((G15*H15),0)</f>
        <v>72.100000000000009</v>
      </c>
      <c r="J15" s="642">
        <f t="shared" si="0"/>
        <v>72</v>
      </c>
    </row>
    <row r="16" spans="1:13" s="630" customFormat="1" ht="13.9" customHeight="1" x14ac:dyDescent="0.25">
      <c r="A16" s="1646"/>
      <c r="B16" s="1647"/>
      <c r="C16" s="1647"/>
      <c r="D16" s="1648"/>
      <c r="E16" s="639"/>
      <c r="F16" s="640" t="str">
        <f>IFERROR(VLOOKUP(A16,'[10]EQUIPOS TRANSPOR SALARIO'!$A$3:$G$42,2,FALSE),"")</f>
        <v/>
      </c>
      <c r="G16" s="641" t="str">
        <f>IFERROR(VLOOKUP(A16,'[10]EQUIPOS TRANSPOR SALARIO'!$A$3:$G$42,6,FALSE),"")</f>
        <v/>
      </c>
      <c r="H16" s="640" t="str">
        <f>IFERROR(VLOOKUP(A16,'[10]EQUIPOS TRANSPOR SALARIO'!$A$3:$G$42,7,FALSE),"")</f>
        <v/>
      </c>
      <c r="I16" s="642"/>
      <c r="J16" s="642"/>
    </row>
    <row r="17" spans="1:10" s="630" customFormat="1" ht="13.9" customHeight="1" x14ac:dyDescent="0.25">
      <c r="A17" s="1646"/>
      <c r="B17" s="1647"/>
      <c r="C17" s="1647"/>
      <c r="D17" s="1648"/>
      <c r="E17" s="639"/>
      <c r="F17" s="640" t="str">
        <f>IFERROR(VLOOKUP(A17,'[10]EQUIPOS TRANSPOR SALARIO'!$A$3:$G$42,2,FALSE),"")</f>
        <v/>
      </c>
      <c r="G17" s="641" t="str">
        <f>IFERROR(VLOOKUP(A17,'[10]EQUIPOS TRANSPOR SALARIO'!$A$3:$G$42,6,FALSE),"")</f>
        <v/>
      </c>
      <c r="H17" s="640" t="str">
        <f>IFERROR(VLOOKUP(A17,'[10]EQUIPOS TRANSPOR SALARIO'!$A$3:$G$42,7,FALSE),"")</f>
        <v/>
      </c>
      <c r="I17" s="642"/>
      <c r="J17" s="642"/>
    </row>
    <row r="18" spans="1:10" s="630" customFormat="1" ht="13.9" customHeight="1" x14ac:dyDescent="0.25">
      <c r="I18" s="640" t="s">
        <v>257</v>
      </c>
      <c r="J18" s="645">
        <f>+SUM(J11:J17)</f>
        <v>3840</v>
      </c>
    </row>
    <row r="19" spans="1:10" s="630" customFormat="1" ht="13.9" customHeight="1" x14ac:dyDescent="0.25"/>
    <row r="20" spans="1:10" s="630" customFormat="1" ht="13.9" customHeight="1" x14ac:dyDescent="0.25">
      <c r="A20" s="1658" t="s">
        <v>263</v>
      </c>
      <c r="B20" s="1658"/>
      <c r="C20" s="1658"/>
      <c r="D20" s="1658"/>
      <c r="E20" s="1658"/>
      <c r="F20" s="1658"/>
      <c r="G20" s="1658"/>
      <c r="H20" s="1658"/>
      <c r="I20" s="637"/>
    </row>
    <row r="21" spans="1:10" ht="13.9" customHeight="1" x14ac:dyDescent="0.25">
      <c r="A21" s="1663" t="s">
        <v>251</v>
      </c>
      <c r="B21" s="1664"/>
      <c r="C21" s="1664"/>
      <c r="D21" s="1664"/>
      <c r="E21" s="1664"/>
      <c r="F21" s="1665"/>
      <c r="G21" s="638" t="s">
        <v>252</v>
      </c>
      <c r="H21" s="638" t="s">
        <v>264</v>
      </c>
      <c r="I21" s="638" t="s">
        <v>256</v>
      </c>
      <c r="J21" s="638" t="s">
        <v>257</v>
      </c>
    </row>
    <row r="22" spans="1:10" ht="13.9" customHeight="1" x14ac:dyDescent="0.3">
      <c r="A22" s="1666" t="str">
        <f>+'INSUMOS '!B65</f>
        <v>PEGANTE EPOXICO</v>
      </c>
      <c r="B22" s="1666"/>
      <c r="C22" s="1666"/>
      <c r="D22" s="1666"/>
      <c r="E22" s="1666"/>
      <c r="F22" s="1666"/>
      <c r="G22" s="639" t="s">
        <v>6</v>
      </c>
      <c r="H22" s="646">
        <f>0.35</f>
        <v>0.35</v>
      </c>
      <c r="I22" s="33">
        <f>+IFERROR(VLOOKUP(A22,'INSUMOS '!$B$2:$AP$167,'INSUMOS '!$AO$2+1,FALSE),0)</f>
        <v>146748</v>
      </c>
      <c r="J22" s="642">
        <f>ROUND(I22*H22,0)</f>
        <v>51362</v>
      </c>
    </row>
    <row r="23" spans="1:10" ht="13.9" customHeight="1" x14ac:dyDescent="0.3">
      <c r="A23" s="1666" t="str">
        <f>+'INSUMOS '!B114</f>
        <v>GASOLINA CORRIENTE</v>
      </c>
      <c r="B23" s="1666"/>
      <c r="C23" s="1666"/>
      <c r="D23" s="1666"/>
      <c r="E23" s="1666"/>
      <c r="F23" s="1666"/>
      <c r="G23" s="639" t="s">
        <v>114</v>
      </c>
      <c r="H23" s="646">
        <v>0.02</v>
      </c>
      <c r="I23" s="33">
        <f>+IFERROR(VLOOKUP(A23,'INSUMOS '!$B$2:$AP$167,'INSUMOS '!$AO$2+1,FALSE),0)</f>
        <v>15861</v>
      </c>
      <c r="J23" s="642">
        <f>ROUND(I23*H23,0)</f>
        <v>317</v>
      </c>
    </row>
    <row r="24" spans="1:10" ht="13.9" customHeight="1" x14ac:dyDescent="0.3">
      <c r="A24" s="1666" t="str">
        <f>+'INSUMOS '!B22</f>
        <v>BROCA TUNGSTENO DE 5/8"</v>
      </c>
      <c r="B24" s="1666"/>
      <c r="C24" s="1666"/>
      <c r="D24" s="1666"/>
      <c r="E24" s="1666"/>
      <c r="F24" s="1666"/>
      <c r="G24" s="639" t="s">
        <v>266</v>
      </c>
      <c r="H24" s="646">
        <v>0.04</v>
      </c>
      <c r="I24" s="33">
        <f>+IFERROR(VLOOKUP(A24,'INSUMOS '!$B$2:$AP$167,'INSUMOS '!$AO$2+1,FALSE),0)</f>
        <v>16445</v>
      </c>
      <c r="J24" s="642">
        <f>ROUND(I24*H24,0)</f>
        <v>658</v>
      </c>
    </row>
    <row r="25" spans="1:10" ht="13.9" customHeight="1" x14ac:dyDescent="0.3">
      <c r="A25" s="1666" t="str">
        <f>+'INSUMOS '!B25</f>
        <v>CHAZO ANCLA DE CUNA 1/2 X 4 1/2</v>
      </c>
      <c r="B25" s="1666"/>
      <c r="C25" s="1666"/>
      <c r="D25" s="1666"/>
      <c r="E25" s="1666"/>
      <c r="F25" s="1666"/>
      <c r="G25" s="639" t="s">
        <v>266</v>
      </c>
      <c r="H25" s="647">
        <v>2</v>
      </c>
      <c r="I25" s="33">
        <f>+IFERROR(VLOOKUP(A25,'INSUMOS '!$B$2:$AP$167,'INSUMOS '!$AO$2+1,FALSE),0)</f>
        <v>6900</v>
      </c>
      <c r="J25" s="642">
        <f>ROUND(I25*H25,0)</f>
        <v>13800</v>
      </c>
    </row>
    <row r="26" spans="1:10" ht="13.9" customHeight="1" x14ac:dyDescent="0.3">
      <c r="A26" s="1662"/>
      <c r="B26" s="1662"/>
      <c r="C26" s="1662"/>
      <c r="D26" s="1662"/>
      <c r="E26" s="1662"/>
      <c r="F26" s="1662"/>
      <c r="G26" s="639"/>
      <c r="H26" s="646"/>
      <c r="I26" s="642"/>
      <c r="J26" s="642"/>
    </row>
    <row r="27" spans="1:10" ht="13.9" customHeight="1" x14ac:dyDescent="0.3">
      <c r="A27" s="1662"/>
      <c r="B27" s="1662"/>
      <c r="C27" s="1662"/>
      <c r="D27" s="1662"/>
      <c r="E27" s="1662"/>
      <c r="F27" s="1662"/>
      <c r="G27" s="639"/>
      <c r="H27" s="646"/>
      <c r="I27" s="642"/>
      <c r="J27" s="642"/>
    </row>
    <row r="28" spans="1:10" ht="13.9" customHeight="1" x14ac:dyDescent="0.3">
      <c r="A28" s="1662"/>
      <c r="B28" s="1662"/>
      <c r="C28" s="1662"/>
      <c r="D28" s="1662"/>
      <c r="E28" s="1662"/>
      <c r="F28" s="1662"/>
      <c r="G28" s="639"/>
      <c r="H28" s="648"/>
      <c r="I28" s="642"/>
      <c r="J28" s="642"/>
    </row>
    <row r="29" spans="1:10" ht="13.9" customHeight="1" x14ac:dyDescent="0.3">
      <c r="A29" s="1662"/>
      <c r="B29" s="1662"/>
      <c r="C29" s="1662"/>
      <c r="D29" s="1662"/>
      <c r="E29" s="1662"/>
      <c r="F29" s="1662"/>
      <c r="G29" s="639"/>
      <c r="H29" s="646"/>
      <c r="I29" s="642"/>
      <c r="J29" s="642"/>
    </row>
    <row r="30" spans="1:10" ht="13.9" customHeight="1" x14ac:dyDescent="0.3">
      <c r="A30" s="1662"/>
      <c r="B30" s="1662"/>
      <c r="C30" s="1662"/>
      <c r="D30" s="1662"/>
      <c r="E30" s="1662"/>
      <c r="F30" s="1662"/>
      <c r="G30" s="639"/>
      <c r="H30" s="646"/>
      <c r="I30" s="642"/>
      <c r="J30" s="642"/>
    </row>
    <row r="31" spans="1:10" ht="13.9" customHeight="1" x14ac:dyDescent="0.25">
      <c r="A31" s="630"/>
      <c r="B31" s="630"/>
      <c r="C31" s="630"/>
      <c r="D31" s="630"/>
      <c r="E31" s="630"/>
      <c r="G31" s="630"/>
      <c r="H31" s="630"/>
      <c r="I31" s="640" t="s">
        <v>257</v>
      </c>
      <c r="J31" s="645">
        <f>+SUM(J22:J30)</f>
        <v>66137</v>
      </c>
    </row>
    <row r="32" spans="1:10" ht="13.9" customHeight="1" x14ac:dyDescent="0.25"/>
    <row r="33" spans="1:14" ht="13.9" customHeight="1" x14ac:dyDescent="0.25">
      <c r="A33" s="1658" t="s">
        <v>267</v>
      </c>
      <c r="B33" s="1658"/>
      <c r="C33" s="1658"/>
      <c r="D33" s="1658"/>
      <c r="E33" s="1658"/>
      <c r="F33" s="1658"/>
      <c r="G33" s="1658"/>
      <c r="H33" s="1658"/>
      <c r="I33" s="637"/>
    </row>
    <row r="34" spans="1:14" ht="13.9" customHeight="1" x14ac:dyDescent="0.25">
      <c r="A34" s="1659" t="s">
        <v>268</v>
      </c>
      <c r="B34" s="1660"/>
      <c r="C34" s="1660"/>
      <c r="D34" s="1660"/>
      <c r="E34" s="1660"/>
      <c r="F34" s="1661"/>
      <c r="G34" s="649" t="s">
        <v>255</v>
      </c>
      <c r="H34" s="638" t="s">
        <v>269</v>
      </c>
      <c r="I34" s="638" t="s">
        <v>256</v>
      </c>
      <c r="J34" s="638" t="s">
        <v>257</v>
      </c>
      <c r="M34" s="629">
        <f>0.15*0.2*1</f>
        <v>0.03</v>
      </c>
      <c r="N34" s="629">
        <f>2400*M34</f>
        <v>72</v>
      </c>
    </row>
    <row r="35" spans="1:14" ht="13.9" customHeight="1" x14ac:dyDescent="0.25">
      <c r="A35" s="1558" t="str">
        <f>+'EQUIPOS '!B6</f>
        <v>CAMION INCLUYE CONDUCTOR</v>
      </c>
      <c r="B35" s="1559"/>
      <c r="C35" s="1559"/>
      <c r="D35" s="1559"/>
      <c r="E35" s="1559"/>
      <c r="F35" s="1560"/>
      <c r="G35" s="639">
        <f>(72/1000)/12</f>
        <v>5.9999999999999993E-3</v>
      </c>
      <c r="H35" s="642">
        <f>+IFERROR(VLOOKUP(A35,'EQUIPOS '!$B$3:$M$78,12,FALSE),0)</f>
        <v>611492.5</v>
      </c>
      <c r="I35" s="642">
        <f>IFERROR(H35*G35,0)</f>
        <v>3668.9549999999995</v>
      </c>
      <c r="J35" s="642">
        <f>ROUND(I35,0)</f>
        <v>3669</v>
      </c>
    </row>
    <row r="36" spans="1:14" ht="13.9" customHeight="1" x14ac:dyDescent="0.25">
      <c r="A36" s="1646"/>
      <c r="B36" s="1647"/>
      <c r="C36" s="1647"/>
      <c r="D36" s="1647"/>
      <c r="E36" s="1647"/>
      <c r="F36" s="1648"/>
      <c r="G36" s="639"/>
      <c r="H36" s="642"/>
      <c r="I36" s="642"/>
      <c r="J36" s="642"/>
    </row>
    <row r="37" spans="1:14" ht="13.9" customHeight="1" x14ac:dyDescent="0.25">
      <c r="A37" s="1646"/>
      <c r="B37" s="1647"/>
      <c r="C37" s="1647"/>
      <c r="D37" s="1647"/>
      <c r="E37" s="1647"/>
      <c r="F37" s="1648"/>
      <c r="G37" s="639"/>
      <c r="H37" s="642"/>
      <c r="I37" s="642"/>
      <c r="J37" s="642"/>
    </row>
    <row r="38" spans="1:14" ht="13.9" customHeight="1" x14ac:dyDescent="0.25">
      <c r="G38" s="98"/>
      <c r="H38" s="98"/>
      <c r="I38" s="640" t="s">
        <v>257</v>
      </c>
      <c r="J38" s="642">
        <f>+SUM(J35:J37)</f>
        <v>3669</v>
      </c>
    </row>
    <row r="39" spans="1:14" ht="13.9" customHeight="1" x14ac:dyDescent="0.25"/>
    <row r="40" spans="1:14" ht="13.9" customHeight="1" x14ac:dyDescent="0.25">
      <c r="A40" s="1658" t="s">
        <v>270</v>
      </c>
      <c r="B40" s="1658"/>
      <c r="C40" s="1658"/>
      <c r="D40" s="1658"/>
      <c r="E40" s="1658"/>
      <c r="F40" s="1658"/>
      <c r="G40" s="1658"/>
      <c r="H40" s="1658"/>
      <c r="I40" s="637"/>
    </row>
    <row r="41" spans="1:14" s="98" customFormat="1" ht="13.9" customHeight="1" x14ac:dyDescent="0.25">
      <c r="A41" s="1659" t="s">
        <v>271</v>
      </c>
      <c r="B41" s="1660"/>
      <c r="C41" s="1660"/>
      <c r="D41" s="1661"/>
      <c r="E41" s="638" t="s">
        <v>272</v>
      </c>
      <c r="F41" s="638" t="s">
        <v>264</v>
      </c>
      <c r="G41" s="638" t="s">
        <v>273</v>
      </c>
      <c r="H41" s="638" t="s">
        <v>255</v>
      </c>
      <c r="I41" s="638" t="s">
        <v>256</v>
      </c>
      <c r="J41" s="638" t="s">
        <v>257</v>
      </c>
    </row>
    <row r="42" spans="1:14" s="98" customFormat="1" ht="13.9" customHeight="1" x14ac:dyDescent="0.25">
      <c r="A42" s="1646" t="str">
        <f>+PERSONAL!B19</f>
        <v>JEFE DE CUADRILLA NOCTURNO</v>
      </c>
      <c r="B42" s="1647"/>
      <c r="C42" s="1647"/>
      <c r="D42" s="1648"/>
      <c r="E42" s="650">
        <f>+VLOOKUP(A42,PERSONAL!$B$3:$E$100,4,FALSE)</f>
        <v>213741</v>
      </c>
      <c r="F42" s="640">
        <v>1</v>
      </c>
      <c r="G42" s="650">
        <f>+E42*F42</f>
        <v>213741</v>
      </c>
      <c r="H42" s="646">
        <f>IFERROR(H11*8,0)</f>
        <v>80</v>
      </c>
      <c r="I42" s="642">
        <f>IFERROR(ROUND(G42/H42,0),0)</f>
        <v>2672</v>
      </c>
      <c r="J42" s="642">
        <f>+I42</f>
        <v>2672</v>
      </c>
    </row>
    <row r="43" spans="1:14" s="98" customFormat="1" ht="13.9" customHeight="1" x14ac:dyDescent="0.25">
      <c r="A43" s="1646" t="str">
        <f>+PERSONAL!B6</f>
        <v>AYUDANTE NOCTURNO</v>
      </c>
      <c r="B43" s="1647"/>
      <c r="C43" s="1647"/>
      <c r="D43" s="1648"/>
      <c r="E43" s="650">
        <f>+VLOOKUP(A43,PERSONAL!$B$3:$E$100,4,FALSE)</f>
        <v>83383</v>
      </c>
      <c r="F43" s="640">
        <v>2</v>
      </c>
      <c r="G43" s="650">
        <f>+E43*F43</f>
        <v>166766</v>
      </c>
      <c r="H43" s="646">
        <f>+H42</f>
        <v>80</v>
      </c>
      <c r="I43" s="642">
        <f>IFERROR(ROUND(G43/H43,0),0)</f>
        <v>2085</v>
      </c>
      <c r="J43" s="642">
        <f>+I43</f>
        <v>2085</v>
      </c>
    </row>
    <row r="44" spans="1:14" s="98" customFormat="1" ht="13.9" customHeight="1" x14ac:dyDescent="0.25">
      <c r="A44" s="1646" t="str">
        <f>+PERSONAL!B4</f>
        <v>AUXILIAR DE TRÁFICO NOCTURNO</v>
      </c>
      <c r="B44" s="1647"/>
      <c r="C44" s="1647"/>
      <c r="D44" s="1648"/>
      <c r="E44" s="650">
        <f>+VLOOKUP(A44,PERSONAL!$B$3:$E$100,4,FALSE)</f>
        <v>98122</v>
      </c>
      <c r="F44" s="640">
        <v>2</v>
      </c>
      <c r="G44" s="650">
        <f>+E44*F44</f>
        <v>196244</v>
      </c>
      <c r="H44" s="646">
        <f>+H43</f>
        <v>80</v>
      </c>
      <c r="I44" s="642">
        <f>IFERROR(ROUND(G44/H44,0),0)</f>
        <v>2453</v>
      </c>
      <c r="J44" s="642">
        <f>+I44</f>
        <v>2453</v>
      </c>
    </row>
    <row r="45" spans="1:14" s="98" customFormat="1" ht="13.9" customHeight="1" x14ac:dyDescent="0.25">
      <c r="A45" s="1646"/>
      <c r="B45" s="1647"/>
      <c r="C45" s="1647"/>
      <c r="D45" s="1648"/>
      <c r="E45" s="650"/>
      <c r="F45" s="640"/>
      <c r="G45" s="650"/>
      <c r="H45" s="646"/>
      <c r="I45" s="642"/>
      <c r="J45" s="642"/>
    </row>
    <row r="46" spans="1:14" s="98" customFormat="1" ht="13.9" customHeight="1" x14ac:dyDescent="0.25">
      <c r="A46" s="1646"/>
      <c r="B46" s="1647"/>
      <c r="C46" s="1647"/>
      <c r="D46" s="1648"/>
      <c r="E46" s="650"/>
      <c r="F46" s="640"/>
      <c r="G46" s="650"/>
      <c r="H46" s="646"/>
      <c r="I46" s="642"/>
      <c r="J46" s="642"/>
    </row>
    <row r="47" spans="1:14" s="98" customFormat="1" ht="13.9" customHeight="1" x14ac:dyDescent="0.25">
      <c r="A47" s="1646"/>
      <c r="B47" s="1647"/>
      <c r="C47" s="1647"/>
      <c r="D47" s="1648"/>
      <c r="E47" s="650"/>
      <c r="F47" s="640"/>
      <c r="G47" s="650"/>
      <c r="H47" s="646"/>
      <c r="I47" s="642"/>
      <c r="J47" s="642"/>
    </row>
    <row r="48" spans="1:14" s="98" customFormat="1" ht="13.9" customHeight="1" x14ac:dyDescent="0.25">
      <c r="A48" s="1646"/>
      <c r="B48" s="1647"/>
      <c r="C48" s="1647"/>
      <c r="D48" s="1648"/>
      <c r="E48" s="650"/>
      <c r="F48" s="640"/>
      <c r="G48" s="650"/>
      <c r="H48" s="646"/>
      <c r="I48" s="642"/>
      <c r="J48" s="642"/>
    </row>
    <row r="49" spans="1:10" ht="13.9" customHeight="1" x14ac:dyDescent="0.25">
      <c r="A49" s="630"/>
      <c r="B49" s="630"/>
      <c r="C49" s="630"/>
      <c r="E49" s="630"/>
      <c r="F49" s="630"/>
      <c r="G49" s="630"/>
      <c r="H49" s="630"/>
      <c r="I49" s="640" t="s">
        <v>257</v>
      </c>
      <c r="J49" s="645">
        <f>+SUM(J42:J48)</f>
        <v>7210</v>
      </c>
    </row>
    <row r="50" spans="1:10" ht="13.9" customHeight="1" x14ac:dyDescent="0.25"/>
    <row r="51" spans="1:10" ht="13.9" customHeight="1" x14ac:dyDescent="0.25">
      <c r="E51" s="651" t="s">
        <v>276</v>
      </c>
      <c r="I51" s="652">
        <f>+J49+J38+J31+J18</f>
        <v>80856</v>
      </c>
      <c r="J51" s="653"/>
    </row>
    <row r="52" spans="1:10" ht="13.9" customHeight="1" x14ac:dyDescent="0.25"/>
  </sheetData>
  <mergeCells count="40">
    <mergeCell ref="A44:D44"/>
    <mergeCell ref="A45:D45"/>
    <mergeCell ref="A46:D46"/>
    <mergeCell ref="A47:D47"/>
    <mergeCell ref="A48:D48"/>
    <mergeCell ref="A43:D43"/>
    <mergeCell ref="A28:F28"/>
    <mergeCell ref="A29:F29"/>
    <mergeCell ref="A30:F30"/>
    <mergeCell ref="A33:H33"/>
    <mergeCell ref="A34:F34"/>
    <mergeCell ref="A35:F35"/>
    <mergeCell ref="A36:F36"/>
    <mergeCell ref="A37:F37"/>
    <mergeCell ref="A40:H40"/>
    <mergeCell ref="A41:D41"/>
    <mergeCell ref="A42:D42"/>
    <mergeCell ref="A27:F27"/>
    <mergeCell ref="A15:D15"/>
    <mergeCell ref="A16:D16"/>
    <mergeCell ref="A17:D17"/>
    <mergeCell ref="A20:H20"/>
    <mergeCell ref="A21:F21"/>
    <mergeCell ref="A22:F22"/>
    <mergeCell ref="A23:F23"/>
    <mergeCell ref="A24:F24"/>
    <mergeCell ref="A25:F25"/>
    <mergeCell ref="A26:F26"/>
    <mergeCell ref="A14:D14"/>
    <mergeCell ref="A1:J1"/>
    <mergeCell ref="A2:J2"/>
    <mergeCell ref="A4:J4"/>
    <mergeCell ref="A6:B6"/>
    <mergeCell ref="A7:B7"/>
    <mergeCell ref="C7:J7"/>
    <mergeCell ref="A9:H9"/>
    <mergeCell ref="A10:D10"/>
    <mergeCell ref="A11:D11"/>
    <mergeCell ref="A12:D12"/>
    <mergeCell ref="A13:D13"/>
  </mergeCells>
  <dataValidations count="1">
    <dataValidation type="list" allowBlank="1" showInputMessage="1" showErrorMessage="1" sqref="A26:A30 B27:F30 A22:A24" xr:uid="{00000000-0002-0000-2300-000000000000}">
      <formula1>$E$4:$E$119</formula1>
    </dataValidation>
  </dataValidation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154">
    <tabColor theme="5" tint="-0.499984740745262"/>
  </sheetPr>
  <dimension ref="A1:O54"/>
  <sheetViews>
    <sheetView topLeftCell="A34"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125</v>
      </c>
      <c r="D6" s="23"/>
      <c r="E6" s="23"/>
      <c r="F6" s="23"/>
      <c r="G6" s="23"/>
      <c r="H6" s="24"/>
      <c r="I6" s="25" t="s">
        <v>248</v>
      </c>
      <c r="J6" s="26" t="str">
        <f>+VLOOKUP(C6,'ANEXO PLIEGO_1'!$A$7:$C$133,3,FALSE)</f>
        <v>M2</v>
      </c>
    </row>
    <row r="7" spans="1:12" ht="35.1" customHeight="1" x14ac:dyDescent="0.25">
      <c r="A7" s="1568" t="s">
        <v>249</v>
      </c>
      <c r="B7" s="1570"/>
      <c r="C7" s="1578" t="str">
        <f>+VLOOKUP(C6,'ANEXO PLIEGO_1'!$A$7:$B$133,2,FALSE)</f>
        <v>Suministro e instalación de bandas  fotoluminiscentes para ciclorrutas; de 8 mm de altura, construida con gravilla de 3 mm y resina epóxica.</v>
      </c>
      <c r="D7" s="1579"/>
      <c r="E7" s="1579"/>
      <c r="F7" s="1579"/>
      <c r="G7" s="1579"/>
      <c r="H7" s="1579"/>
      <c r="I7" s="1579"/>
      <c r="J7" s="1580"/>
    </row>
    <row r="9" spans="1:12" s="27" customFormat="1" x14ac:dyDescent="0.25">
      <c r="A9" s="1561" t="s">
        <v>250</v>
      </c>
      <c r="B9" s="1561"/>
      <c r="C9" s="1561"/>
      <c r="D9" s="1561"/>
      <c r="E9" s="1561"/>
      <c r="F9" s="1561"/>
      <c r="G9" s="1561"/>
      <c r="H9" s="1561"/>
      <c r="L9" s="19"/>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2</v>
      </c>
      <c r="I11" s="33">
        <f>IFERROR((G11/H11),"")</f>
        <v>3999.97</v>
      </c>
      <c r="J11" s="33">
        <f>ROUND(I11,0)</f>
        <v>4000</v>
      </c>
      <c r="L11" s="20" t="s">
        <v>262</v>
      </c>
    </row>
    <row r="12" spans="1:12"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2</v>
      </c>
      <c r="I12" s="33">
        <f t="shared" ref="I12:I13" si="0">IFERROR((G12/H12),0)</f>
        <v>6611</v>
      </c>
      <c r="J12" s="33">
        <f t="shared" ref="J12:J15" si="1">ROUND(I12,0)</f>
        <v>6611</v>
      </c>
      <c r="L12" s="20" t="s">
        <v>278</v>
      </c>
    </row>
    <row r="13" spans="1:12"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+H12</f>
        <v>2</v>
      </c>
      <c r="I13" s="33">
        <f t="shared" si="0"/>
        <v>6385.5</v>
      </c>
      <c r="J13" s="33">
        <f t="shared" si="1"/>
        <v>6386</v>
      </c>
      <c r="L13" s="20" t="s">
        <v>95</v>
      </c>
    </row>
    <row r="14" spans="1:12" s="20" customFormat="1" ht="13.9" customHeight="1" x14ac:dyDescent="0.25">
      <c r="A14" s="1670"/>
      <c r="B14" s="1671"/>
      <c r="C14" s="1671"/>
      <c r="D14" s="1672"/>
      <c r="E14" s="29" t="s">
        <v>259</v>
      </c>
      <c r="F14" s="30" t="str">
        <f>IFERROR(VLOOKUP(A14,'[10]EQUIPOS TRANSPOR SALARIO'!$A$3:$G$42,2,FALSE),"")</f>
        <v/>
      </c>
      <c r="G14" s="31"/>
      <c r="H14" s="30"/>
      <c r="I14" s="33"/>
      <c r="J14" s="33"/>
      <c r="L14" s="20" t="s">
        <v>159</v>
      </c>
    </row>
    <row r="15" spans="1:12" s="20" customFormat="1" ht="13.9" customHeight="1" x14ac:dyDescent="0.25">
      <c r="A15" s="1558" t="str">
        <f>+'EQUIPOS '!B33</f>
        <v>HERRAMIENTA MENOR</v>
      </c>
      <c r="B15" s="1559"/>
      <c r="C15" s="1559"/>
      <c r="D15" s="1560"/>
      <c r="E15" s="29"/>
      <c r="F15" s="30" t="str">
        <f>IFERROR(VLOOKUP(A15,'[10]EQUIPOS TRANSPOR SALARIO'!$A$3:$G$42,2,FALSE),"")</f>
        <v>Global</v>
      </c>
      <c r="G15" s="74">
        <v>0.02</v>
      </c>
      <c r="H15" s="299">
        <f>+J49</f>
        <v>35126</v>
      </c>
      <c r="I15" s="33">
        <f>IFERROR((G15*H15),0)</f>
        <v>702.52</v>
      </c>
      <c r="J15" s="33">
        <f t="shared" si="1"/>
        <v>703</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4"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4" s="20" customFormat="1" ht="13.9" customHeight="1" x14ac:dyDescent="0.25">
      <c r="I18" s="30" t="s">
        <v>257</v>
      </c>
      <c r="J18" s="34">
        <f>+SUM(J11:J17)</f>
        <v>17700</v>
      </c>
    </row>
    <row r="19" spans="1:14" s="20" customFormat="1" ht="13.9" customHeight="1" x14ac:dyDescent="0.25"/>
    <row r="20" spans="1:14" s="20" customFormat="1" ht="13.9" customHeight="1" x14ac:dyDescent="0.25">
      <c r="A20" s="1561" t="s">
        <v>263</v>
      </c>
      <c r="B20" s="1561"/>
      <c r="C20" s="1561"/>
      <c r="D20" s="1561"/>
      <c r="E20" s="1561"/>
      <c r="F20" s="1561"/>
      <c r="G20" s="1561"/>
      <c r="H20" s="1561"/>
      <c r="I20" s="27"/>
    </row>
    <row r="21" spans="1:14" ht="13.9" customHeight="1" x14ac:dyDescent="0.25">
      <c r="A21" s="1565" t="s">
        <v>251</v>
      </c>
      <c r="B21" s="1566"/>
      <c r="C21" s="1566"/>
      <c r="D21" s="1566"/>
      <c r="E21" s="1566"/>
      <c r="F21" s="1567"/>
      <c r="G21" s="28" t="s">
        <v>252</v>
      </c>
      <c r="H21" s="28" t="s">
        <v>264</v>
      </c>
      <c r="I21" s="28" t="s">
        <v>256</v>
      </c>
      <c r="J21" s="28" t="s">
        <v>257</v>
      </c>
      <c r="M21" s="19" t="s">
        <v>3130</v>
      </c>
      <c r="N21" s="19" t="s">
        <v>3131</v>
      </c>
    </row>
    <row r="22" spans="1:14" ht="14.25" customHeight="1" x14ac:dyDescent="0.25">
      <c r="A22" s="1667" t="str">
        <f>+'INSUMOS '!B46</f>
        <v>GRAVILLA MONA # 2</v>
      </c>
      <c r="B22" s="1668"/>
      <c r="C22" s="1668"/>
      <c r="D22" s="1668"/>
      <c r="E22" s="1668"/>
      <c r="F22" s="1669"/>
      <c r="G22" s="29" t="str">
        <f>+VLOOKUP(A22,'INSUMOS '!$B$3:$C$128,2,FALSE)</f>
        <v>KG</v>
      </c>
      <c r="H22" s="35">
        <f>70/(4.5)</f>
        <v>15.555555555555555</v>
      </c>
      <c r="I22" s="33">
        <f>+IFERROR(VLOOKUP(A22,'INSUMOS '!$B$2:$AP$167,'INSUMOS '!$AO$2+1,FALSE),0)</f>
        <v>543.47826086956525</v>
      </c>
      <c r="J22" s="33">
        <f>ROUND(I22*H22,0)</f>
        <v>8454</v>
      </c>
      <c r="L22" s="19">
        <f>1/0.2 *0.2*0.02</f>
        <v>0.02</v>
      </c>
      <c r="M22" s="19" t="s">
        <v>3132</v>
      </c>
    </row>
    <row r="23" spans="1:14" ht="13.9" customHeight="1" x14ac:dyDescent="0.25">
      <c r="A23" s="1637" t="str">
        <f>+'INSUMOS '!B117</f>
        <v>ADHESIVO EPÓXICO PARA BANDAS ALERTADORAS</v>
      </c>
      <c r="B23" s="1638"/>
      <c r="C23" s="1638"/>
      <c r="D23" s="1638"/>
      <c r="E23" s="1638"/>
      <c r="F23" s="1639"/>
      <c r="G23" s="29" t="str">
        <f>+VLOOKUP(A23,'INSUMOS '!$B$3:$C$128,2,FALSE)</f>
        <v>KG</v>
      </c>
      <c r="H23" s="35">
        <f>5/(4.5)</f>
        <v>1.1111111111111112</v>
      </c>
      <c r="I23" s="33">
        <f>+IFERROR(VLOOKUP(A23,'INSUMOS '!$B$2:$AP$167,'INSUMOS '!$AO$2+1,FALSE),0)</f>
        <v>55000</v>
      </c>
      <c r="J23" s="33">
        <f>ROUND(I23*H23,0)</f>
        <v>61111</v>
      </c>
      <c r="L23" s="19">
        <f>1693*0.01</f>
        <v>16.93</v>
      </c>
    </row>
    <row r="24" spans="1:14" ht="29.25" customHeight="1" x14ac:dyDescent="0.25">
      <c r="A24" s="1568" t="s">
        <v>3320</v>
      </c>
      <c r="B24" s="1569"/>
      <c r="C24" s="1569"/>
      <c r="D24" s="1569"/>
      <c r="E24" s="1569"/>
      <c r="F24" s="1570"/>
      <c r="G24" s="29" t="str">
        <f>+VLOOKUP(A24,'INSUMOS '!$B$3:$C$154,2,FALSE)</f>
        <v>KG</v>
      </c>
      <c r="H24" s="35">
        <v>0.8</v>
      </c>
      <c r="I24" s="33">
        <f>+IFERROR(VLOOKUP(A24,'INSUMOS '!$B$2:$AP$167,'INSUMOS '!$AO$2+1,FALSE),0)</f>
        <v>525176.5</v>
      </c>
      <c r="J24" s="33">
        <f>ROUND(I24*H24,0)</f>
        <v>420141</v>
      </c>
    </row>
    <row r="25" spans="1:14" ht="13.9" customHeight="1" x14ac:dyDescent="0.25">
      <c r="A25" s="1568" t="str">
        <f>+'INSUMOS '!B114</f>
        <v>GASOLINA CORRIENTE</v>
      </c>
      <c r="B25" s="1569"/>
      <c r="C25" s="1569"/>
      <c r="D25" s="1569"/>
      <c r="E25" s="1569"/>
      <c r="F25" s="1570"/>
      <c r="G25" s="29" t="str">
        <f>+VLOOKUP(A25,'INSUMOS '!$B$3:$C$128,2,FALSE)</f>
        <v>GAL</v>
      </c>
      <c r="H25" s="35">
        <v>0.01</v>
      </c>
      <c r="I25" s="33">
        <f>+IFERROR(VLOOKUP(A25,'INSUMOS '!$B$2:$AP$167,'INSUMOS '!$AO$2+1,FALSE),0)</f>
        <v>15861</v>
      </c>
      <c r="J25" s="33">
        <f>ROUND(I25*H25,0)</f>
        <v>159</v>
      </c>
    </row>
    <row r="26" spans="1:14" ht="13.9" customHeight="1" x14ac:dyDescent="0.25">
      <c r="A26" s="1558"/>
      <c r="B26" s="1559"/>
      <c r="C26" s="1559"/>
      <c r="D26" s="1559"/>
      <c r="E26" s="1559"/>
      <c r="F26" s="1560"/>
      <c r="G26" s="29"/>
      <c r="H26" s="35"/>
      <c r="I26" s="33"/>
      <c r="J26" s="33"/>
    </row>
    <row r="27" spans="1:14" ht="13.9" customHeight="1" x14ac:dyDescent="0.25">
      <c r="A27" s="1558"/>
      <c r="B27" s="1559"/>
      <c r="C27" s="1559"/>
      <c r="D27" s="1559"/>
      <c r="E27" s="1559"/>
      <c r="F27" s="1560"/>
      <c r="G27" s="29"/>
      <c r="H27" s="35"/>
      <c r="I27" s="33"/>
      <c r="J27" s="33"/>
    </row>
    <row r="28" spans="1:14" ht="13.9" customHeight="1" x14ac:dyDescent="0.25">
      <c r="A28" s="1558" t="s">
        <v>333</v>
      </c>
      <c r="B28" s="1559"/>
      <c r="C28" s="1559"/>
      <c r="D28" s="1559"/>
      <c r="E28" s="1559"/>
      <c r="F28" s="1560"/>
      <c r="G28" s="29"/>
      <c r="H28" s="74">
        <v>0.01</v>
      </c>
      <c r="I28" s="33">
        <f>+SUM(J22:J27)</f>
        <v>489865</v>
      </c>
      <c r="J28" s="33">
        <f>+H28*I28</f>
        <v>4898.6500000000005</v>
      </c>
    </row>
    <row r="29" spans="1:14" ht="13.9" customHeight="1" x14ac:dyDescent="0.25">
      <c r="A29" s="1558"/>
      <c r="B29" s="1559"/>
      <c r="C29" s="1559"/>
      <c r="D29" s="1559"/>
      <c r="E29" s="1559"/>
      <c r="F29" s="1560"/>
      <c r="G29" s="29"/>
      <c r="H29" s="37"/>
      <c r="I29" s="33"/>
      <c r="J29" s="33"/>
    </row>
    <row r="30" spans="1:14" ht="13.9" customHeight="1" x14ac:dyDescent="0.25">
      <c r="A30" s="1558"/>
      <c r="B30" s="1559"/>
      <c r="C30" s="1559"/>
      <c r="D30" s="1559"/>
      <c r="E30" s="1559"/>
      <c r="F30" s="1560"/>
      <c r="G30" s="29"/>
      <c r="H30" s="35"/>
      <c r="I30" s="33"/>
      <c r="J30" s="33"/>
    </row>
    <row r="31" spans="1:14" ht="13.9" customHeight="1" x14ac:dyDescent="0.25">
      <c r="A31" s="1558"/>
      <c r="B31" s="1559"/>
      <c r="C31" s="1559"/>
      <c r="D31" s="1559"/>
      <c r="E31" s="1559"/>
      <c r="F31" s="1560"/>
      <c r="G31" s="29"/>
      <c r="H31" s="35"/>
      <c r="I31" s="33"/>
      <c r="J31" s="33"/>
    </row>
    <row r="32" spans="1:14" ht="13.9" customHeight="1" x14ac:dyDescent="0.25">
      <c r="A32" s="20"/>
      <c r="B32" s="20"/>
      <c r="C32" s="20"/>
      <c r="D32" s="20"/>
      <c r="E32" s="20"/>
      <c r="G32" s="20"/>
      <c r="H32" s="20"/>
      <c r="I32" s="30" t="s">
        <v>257</v>
      </c>
      <c r="J32" s="34">
        <f>+SUM(J22:J31)</f>
        <v>494763.65</v>
      </c>
    </row>
    <row r="33" spans="1:15" ht="13.9" customHeight="1" x14ac:dyDescent="0.25"/>
    <row r="34" spans="1:15" ht="13.9" customHeight="1" x14ac:dyDescent="0.25">
      <c r="A34" s="1561" t="s">
        <v>267</v>
      </c>
      <c r="B34" s="1561"/>
      <c r="C34" s="1561"/>
      <c r="D34" s="1561"/>
      <c r="E34" s="1561"/>
      <c r="F34" s="1561"/>
      <c r="G34" s="1561"/>
      <c r="H34" s="1561"/>
      <c r="I34" s="27"/>
    </row>
    <row r="35" spans="1:15" ht="13.9" customHeight="1" x14ac:dyDescent="0.25">
      <c r="A35" s="1562" t="s">
        <v>268</v>
      </c>
      <c r="B35" s="1563"/>
      <c r="C35" s="1563"/>
      <c r="D35" s="1563"/>
      <c r="E35" s="1563"/>
      <c r="F35" s="1564"/>
      <c r="G35" s="38" t="s">
        <v>255</v>
      </c>
      <c r="H35" s="28" t="s">
        <v>269</v>
      </c>
      <c r="I35" s="28" t="s">
        <v>256</v>
      </c>
      <c r="J35" s="28" t="s">
        <v>257</v>
      </c>
    </row>
    <row r="36" spans="1:15" ht="13.9" customHeight="1" x14ac:dyDescent="0.25">
      <c r="A36" s="1558" t="str">
        <f>+'EQUIPOS '!B6</f>
        <v>CAMION INCLUYE CONDUCTOR</v>
      </c>
      <c r="B36" s="1559"/>
      <c r="C36" s="1559"/>
      <c r="D36" s="1559"/>
      <c r="E36" s="1559"/>
      <c r="F36" s="1560"/>
      <c r="G36" s="29">
        <f>(12/1000)/12</f>
        <v>1E-3</v>
      </c>
      <c r="H36" s="33">
        <f>+IFERROR(VLOOKUP(A36,'EQUIPOS '!$B$3:$M$78,12,FALSE),0)</f>
        <v>611492.5</v>
      </c>
      <c r="I36" s="33">
        <f>IFERROR(H36*G36,0)</f>
        <v>611.49250000000006</v>
      </c>
      <c r="J36" s="33">
        <f>ROUND(I36,0)</f>
        <v>611</v>
      </c>
      <c r="L36" s="19">
        <f>2.4*0.01*0.2*1</f>
        <v>4.8000000000000004E-3</v>
      </c>
      <c r="M36" s="19">
        <f>1/0.2</f>
        <v>5</v>
      </c>
      <c r="N36" s="19">
        <f>0.2*0.02*5</f>
        <v>0.02</v>
      </c>
      <c r="O36" s="236">
        <f>1.6*N36</f>
        <v>3.2000000000000001E-2</v>
      </c>
    </row>
    <row r="37" spans="1:15" ht="13.9" customHeight="1" x14ac:dyDescent="0.25">
      <c r="A37" s="1558"/>
      <c r="B37" s="1559"/>
      <c r="C37" s="1559"/>
      <c r="D37" s="1559"/>
      <c r="E37" s="1559"/>
      <c r="F37" s="1560"/>
      <c r="G37" s="29"/>
      <c r="H37" s="33"/>
      <c r="I37" s="33"/>
      <c r="J37" s="33"/>
    </row>
    <row r="38" spans="1:15" ht="13.9" customHeight="1" x14ac:dyDescent="0.25">
      <c r="A38" s="1558"/>
      <c r="B38" s="1559"/>
      <c r="C38" s="1559"/>
      <c r="D38" s="1559"/>
      <c r="E38" s="1559"/>
      <c r="F38" s="1560"/>
      <c r="G38" s="29"/>
      <c r="H38" s="33"/>
      <c r="I38" s="33"/>
      <c r="J38" s="33"/>
    </row>
    <row r="39" spans="1:15" ht="13.9" customHeight="1" x14ac:dyDescent="0.25">
      <c r="G39" s="39"/>
      <c r="H39" s="39"/>
      <c r="I39" s="30" t="s">
        <v>257</v>
      </c>
      <c r="J39" s="33">
        <f>+SUM(J36:J38)</f>
        <v>611</v>
      </c>
    </row>
    <row r="40" spans="1:15" ht="13.9" customHeight="1" x14ac:dyDescent="0.25"/>
    <row r="41" spans="1:15" ht="13.9" customHeight="1" x14ac:dyDescent="0.25">
      <c r="A41" s="1561" t="s">
        <v>270</v>
      </c>
      <c r="B41" s="1561"/>
      <c r="C41" s="1561"/>
      <c r="D41" s="1561"/>
      <c r="E41" s="1561"/>
      <c r="F41" s="1561"/>
      <c r="G41" s="1561"/>
      <c r="H41" s="1561"/>
      <c r="I41" s="27"/>
    </row>
    <row r="42" spans="1:15" s="39" customFormat="1" ht="13.9" customHeight="1" x14ac:dyDescent="0.25">
      <c r="A42" s="1562" t="s">
        <v>271</v>
      </c>
      <c r="B42" s="1563"/>
      <c r="C42" s="1563"/>
      <c r="D42" s="1564"/>
      <c r="E42" s="28" t="s">
        <v>272</v>
      </c>
      <c r="F42" s="28" t="s">
        <v>264</v>
      </c>
      <c r="G42" s="28" t="s">
        <v>273</v>
      </c>
      <c r="H42" s="28" t="s">
        <v>255</v>
      </c>
      <c r="I42" s="28" t="s">
        <v>256</v>
      </c>
      <c r="J42" s="28" t="s">
        <v>257</v>
      </c>
    </row>
    <row r="43" spans="1:15"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16</v>
      </c>
      <c r="I43" s="33">
        <f>IFERROR(ROUND(G43/H43,0),0)</f>
        <v>13359</v>
      </c>
      <c r="J43" s="33">
        <f>+I43</f>
        <v>13359</v>
      </c>
    </row>
    <row r="44" spans="1:15" s="39" customFormat="1" ht="13.9" customHeight="1" x14ac:dyDescent="0.25">
      <c r="A44" s="1558" t="str">
        <f>+PERSONAL!B6</f>
        <v>AYUDANTE NOCTURNO</v>
      </c>
      <c r="B44" s="1559"/>
      <c r="C44" s="1559"/>
      <c r="D44" s="1560"/>
      <c r="E44" s="40">
        <f>+VLOOKUP(A44,PERSONAL!$B$3:$E$100,4,FALSE)</f>
        <v>83383</v>
      </c>
      <c r="F44" s="30">
        <v>3</v>
      </c>
      <c r="G44" s="40">
        <f>+E44*F44</f>
        <v>250149</v>
      </c>
      <c r="H44" s="35">
        <f>+H43</f>
        <v>16</v>
      </c>
      <c r="I44" s="33">
        <f>IFERROR(ROUND(G44/H44,0),0)</f>
        <v>15634</v>
      </c>
      <c r="J44" s="33">
        <f>+I44</f>
        <v>15634</v>
      </c>
    </row>
    <row r="45" spans="1:15" s="39" customFormat="1" ht="13.9" customHeight="1" x14ac:dyDescent="0.25">
      <c r="A45" s="1558" t="str">
        <f>+PERSONAL!B4</f>
        <v>AUXILIAR DE TRÁFICO NOCTURNO</v>
      </c>
      <c r="B45" s="1559"/>
      <c r="C45" s="1559"/>
      <c r="D45" s="1560"/>
      <c r="E45" s="40">
        <f>+VLOOKUP(A45,PERSONAL!$B$3:$E$100,4,FALSE)</f>
        <v>98122</v>
      </c>
      <c r="F45" s="30">
        <v>1</v>
      </c>
      <c r="G45" s="40">
        <f>+E45*F45</f>
        <v>98122</v>
      </c>
      <c r="H45" s="35">
        <f>+H44</f>
        <v>16</v>
      </c>
      <c r="I45" s="33">
        <f>IFERROR(ROUND(G45/H45,0),0)</f>
        <v>6133</v>
      </c>
      <c r="J45" s="33">
        <f>+I45</f>
        <v>6133</v>
      </c>
    </row>
    <row r="46" spans="1:15" s="39" customFormat="1" ht="13.9" customHeight="1" x14ac:dyDescent="0.25">
      <c r="A46" s="1558"/>
      <c r="B46" s="1559"/>
      <c r="C46" s="1559"/>
      <c r="D46" s="1560"/>
      <c r="E46" s="40"/>
      <c r="F46" s="30"/>
      <c r="G46" s="40"/>
      <c r="H46" s="35"/>
      <c r="I46" s="33"/>
      <c r="J46" s="33"/>
    </row>
    <row r="47" spans="1:15" s="39" customFormat="1" ht="13.9" customHeight="1" x14ac:dyDescent="0.25">
      <c r="A47" s="1558"/>
      <c r="B47" s="1559"/>
      <c r="C47" s="1559"/>
      <c r="D47" s="1560"/>
      <c r="E47" s="40"/>
      <c r="F47" s="30"/>
      <c r="G47" s="40"/>
      <c r="H47" s="35"/>
      <c r="I47" s="33"/>
      <c r="J47" s="33"/>
    </row>
    <row r="48" spans="1:15"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35126</v>
      </c>
    </row>
    <row r="50" spans="1:10" ht="13.9" customHeight="1" x14ac:dyDescent="0.25"/>
    <row r="51" spans="1:10" ht="13.9" customHeight="1" x14ac:dyDescent="0.25">
      <c r="E51" s="41" t="s">
        <v>276</v>
      </c>
      <c r="I51" s="42">
        <f>ROUND((+J49+J39+J32+J18),0)</f>
        <v>548201</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dataValidations count="1">
    <dataValidation type="list" allowBlank="1" showInputMessage="1" showErrorMessage="1" sqref="A11:D14" xr:uid="{00000000-0002-0000-2400-000000000000}">
      <formula1>$A$4:$A$35</formula1>
    </dataValidation>
  </dataValidations>
  <pageMargins left="0.70866141732283472" right="0.70866141732283472" top="0.78740157480314965" bottom="0.78740157480314965" header="0.31496062992125984" footer="0.31496062992125984"/>
  <pageSetup scale="85" orientation="portrait" r:id="rId1"/>
  <ignoredErrors>
    <ignoredError sqref="G24 I15" formula="1"/>
  </ignoredError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153">
    <tabColor theme="5" tint="-0.499984740745262"/>
  </sheetPr>
  <dimension ref="A1:O71"/>
  <sheetViews>
    <sheetView topLeftCell="A28"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124</v>
      </c>
      <c r="D6" s="23"/>
      <c r="E6" s="23"/>
      <c r="F6" s="23"/>
      <c r="G6" s="23"/>
      <c r="H6" s="24"/>
      <c r="I6" s="25" t="s">
        <v>248</v>
      </c>
      <c r="J6" s="26" t="str">
        <f>+VLOOKUP(C6,'ANEXO PLIEGO_1'!$A$7:$C$133,3,FALSE)</f>
        <v>M2</v>
      </c>
    </row>
    <row r="7" spans="1:12" ht="35.1" customHeight="1" x14ac:dyDescent="0.25">
      <c r="A7" s="1568" t="s">
        <v>249</v>
      </c>
      <c r="B7" s="1570"/>
      <c r="C7" s="1578" t="str">
        <f>+VLOOKUP(C6,'ANEXO PLIEGO_1'!$A$7:$B$133,2,FALSE)</f>
        <v>Suministro e instalación de bandas fotoluminiscentes para paso vehicular de 8 mm de altura, construida con gravilla de 3 mm y resina epóxica.</v>
      </c>
      <c r="D7" s="1579"/>
      <c r="E7" s="1579"/>
      <c r="F7" s="1579"/>
      <c r="G7" s="1579"/>
      <c r="H7" s="1579"/>
      <c r="I7" s="1579"/>
      <c r="J7" s="1580"/>
    </row>
    <row r="9" spans="1:12" s="27" customFormat="1" x14ac:dyDescent="0.25">
      <c r="A9" s="1561" t="s">
        <v>250</v>
      </c>
      <c r="B9" s="1561"/>
      <c r="C9" s="1561"/>
      <c r="D9" s="1561"/>
      <c r="E9" s="1561"/>
      <c r="F9" s="1561"/>
      <c r="G9" s="1561"/>
      <c r="H9" s="1561"/>
      <c r="L9" s="19"/>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1</v>
      </c>
      <c r="I11" s="33">
        <f>IFERROR((G11/H11),"")</f>
        <v>7999.94</v>
      </c>
      <c r="J11" s="33">
        <f>ROUND(I11,0)</f>
        <v>8000</v>
      </c>
      <c r="L11" s="20" t="s">
        <v>262</v>
      </c>
    </row>
    <row r="12" spans="1:12"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1</v>
      </c>
      <c r="I12" s="33">
        <f t="shared" ref="I12:I13" si="0">IFERROR((G12/H12),0)</f>
        <v>13222</v>
      </c>
      <c r="J12" s="33">
        <f t="shared" ref="J12:J15" si="1">ROUND(I12,0)</f>
        <v>13222</v>
      </c>
      <c r="L12" s="20" t="s">
        <v>278</v>
      </c>
    </row>
    <row r="13" spans="1:12"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+H12</f>
        <v>1</v>
      </c>
      <c r="I13" s="33">
        <f t="shared" si="0"/>
        <v>12771</v>
      </c>
      <c r="J13" s="33">
        <f t="shared" si="1"/>
        <v>12771</v>
      </c>
      <c r="L13" s="20" t="s">
        <v>95</v>
      </c>
    </row>
    <row r="14" spans="1:12" s="20" customFormat="1" ht="13.9" customHeight="1" x14ac:dyDescent="0.25">
      <c r="A14" s="1670"/>
      <c r="B14" s="1671"/>
      <c r="C14" s="1671"/>
      <c r="D14" s="1672"/>
      <c r="E14" s="29" t="s">
        <v>259</v>
      </c>
      <c r="F14" s="30" t="str">
        <f>IFERROR(VLOOKUP(A14,'[10]EQUIPOS TRANSPOR SALARIO'!$A$3:$G$42,2,FALSE),"")</f>
        <v/>
      </c>
      <c r="G14" s="31"/>
      <c r="H14" s="30"/>
      <c r="I14" s="33"/>
      <c r="J14" s="33"/>
      <c r="L14" s="20" t="s">
        <v>159</v>
      </c>
    </row>
    <row r="15" spans="1:12" s="20" customFormat="1" ht="13.9" customHeight="1" x14ac:dyDescent="0.25">
      <c r="A15" s="1558" t="str">
        <f>+'EQUIPOS '!B33</f>
        <v>HERRAMIENTA MENOR</v>
      </c>
      <c r="B15" s="1559"/>
      <c r="C15" s="1559"/>
      <c r="D15" s="1560"/>
      <c r="E15" s="29"/>
      <c r="F15" s="30" t="str">
        <f>IFERROR(VLOOKUP(A15,'[10]EQUIPOS TRANSPOR SALARIO'!$A$3:$G$42,2,FALSE),"")</f>
        <v>Global</v>
      </c>
      <c r="G15" s="74">
        <v>0.02</v>
      </c>
      <c r="H15" s="299">
        <f>+J49</f>
        <v>70252</v>
      </c>
      <c r="I15" s="33">
        <f>IFERROR((G15*H15),0)</f>
        <v>1405.04</v>
      </c>
      <c r="J15" s="33">
        <f t="shared" si="1"/>
        <v>1405</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4"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4" s="20" customFormat="1" ht="13.9" customHeight="1" x14ac:dyDescent="0.25">
      <c r="I18" s="30" t="s">
        <v>257</v>
      </c>
      <c r="J18" s="34">
        <f>+SUM(J11:J17)</f>
        <v>35398</v>
      </c>
    </row>
    <row r="19" spans="1:14" s="20" customFormat="1" ht="13.9" customHeight="1" x14ac:dyDescent="0.25"/>
    <row r="20" spans="1:14" s="20" customFormat="1" ht="13.9" customHeight="1" x14ac:dyDescent="0.25">
      <c r="A20" s="1561" t="s">
        <v>263</v>
      </c>
      <c r="B20" s="1561"/>
      <c r="C20" s="1561"/>
      <c r="D20" s="1561"/>
      <c r="E20" s="1561"/>
      <c r="F20" s="1561"/>
      <c r="G20" s="1561"/>
      <c r="H20" s="1561"/>
      <c r="I20" s="27"/>
    </row>
    <row r="21" spans="1:14" ht="13.9" customHeight="1" x14ac:dyDescent="0.25">
      <c r="A21" s="1565" t="s">
        <v>251</v>
      </c>
      <c r="B21" s="1566"/>
      <c r="C21" s="1566"/>
      <c r="D21" s="1566"/>
      <c r="E21" s="1566"/>
      <c r="F21" s="1567"/>
      <c r="G21" s="28" t="s">
        <v>252</v>
      </c>
      <c r="H21" s="28" t="s">
        <v>264</v>
      </c>
      <c r="I21" s="28" t="s">
        <v>256</v>
      </c>
      <c r="J21" s="28" t="s">
        <v>257</v>
      </c>
      <c r="M21" s="19" t="s">
        <v>3130</v>
      </c>
      <c r="N21" s="19" t="s">
        <v>3131</v>
      </c>
    </row>
    <row r="22" spans="1:14" ht="14.25" customHeight="1" x14ac:dyDescent="0.25">
      <c r="A22" s="1667" t="str">
        <f>+'INSUMOS '!B46</f>
        <v>GRAVILLA MONA # 2</v>
      </c>
      <c r="B22" s="1668"/>
      <c r="C22" s="1668"/>
      <c r="D22" s="1668"/>
      <c r="E22" s="1668"/>
      <c r="F22" s="1669"/>
      <c r="G22" s="29" t="str">
        <f>+VLOOKUP(A22,'INSUMOS '!$B$3:$C$128,2,FALSE)</f>
        <v>KG</v>
      </c>
      <c r="H22" s="35">
        <f>70/(4.5)</f>
        <v>15.555555555555555</v>
      </c>
      <c r="I22" s="33">
        <f>+IFERROR(VLOOKUP(A22,'INSUMOS '!$B$2:$AP$167,'INSUMOS '!$AO$2+1,FALSE),0)</f>
        <v>543.47826086956525</v>
      </c>
      <c r="J22" s="33">
        <f>ROUND(I22*H22,0)</f>
        <v>8454</v>
      </c>
      <c r="L22" s="19">
        <f>1/0.2 *0.2*0.02</f>
        <v>0.02</v>
      </c>
      <c r="M22" s="19" t="s">
        <v>3132</v>
      </c>
    </row>
    <row r="23" spans="1:14" ht="13.9" customHeight="1" x14ac:dyDescent="0.25">
      <c r="A23" s="1637" t="str">
        <f>+'INSUMOS '!B117</f>
        <v>ADHESIVO EPÓXICO PARA BANDAS ALERTADORAS</v>
      </c>
      <c r="B23" s="1638"/>
      <c r="C23" s="1638"/>
      <c r="D23" s="1638"/>
      <c r="E23" s="1638"/>
      <c r="F23" s="1639"/>
      <c r="G23" s="29" t="str">
        <f>+VLOOKUP(A23,'INSUMOS '!$B$3:$C$128,2,FALSE)</f>
        <v>KG</v>
      </c>
      <c r="H23" s="35">
        <f>5/(4.5)</f>
        <v>1.1111111111111112</v>
      </c>
      <c r="I23" s="33">
        <f>+IFERROR(VLOOKUP(A23,'INSUMOS '!$B$2:$AP$167,'INSUMOS '!$AO$2+1,FALSE),0)</f>
        <v>55000</v>
      </c>
      <c r="J23" s="33">
        <f>ROUND(I23*H23,0)</f>
        <v>61111</v>
      </c>
      <c r="L23" s="19">
        <f>1693*0.01</f>
        <v>16.93</v>
      </c>
    </row>
    <row r="24" spans="1:14" ht="29.25" customHeight="1" x14ac:dyDescent="0.25">
      <c r="A24" s="1568" t="s">
        <v>3320</v>
      </c>
      <c r="B24" s="1569"/>
      <c r="C24" s="1569"/>
      <c r="D24" s="1569"/>
      <c r="E24" s="1569"/>
      <c r="F24" s="1570"/>
      <c r="G24" s="29" t="str">
        <f>+VLOOKUP(A24,'INSUMOS '!$B$3:$C$154,2,FALSE)</f>
        <v>KG</v>
      </c>
      <c r="H24" s="35">
        <v>0.8</v>
      </c>
      <c r="I24" s="33">
        <f>+IFERROR(VLOOKUP(A24,'INSUMOS '!$B$2:$AP$167,'INSUMOS '!$AO$2+1,FALSE),0)</f>
        <v>525176.5</v>
      </c>
      <c r="J24" s="33">
        <f>ROUND(I24*H24,0)</f>
        <v>420141</v>
      </c>
    </row>
    <row r="25" spans="1:14" ht="13.9" customHeight="1" x14ac:dyDescent="0.25">
      <c r="A25" s="1568" t="str">
        <f>+'INSUMOS '!B114</f>
        <v>GASOLINA CORRIENTE</v>
      </c>
      <c r="B25" s="1569"/>
      <c r="C25" s="1569"/>
      <c r="D25" s="1569"/>
      <c r="E25" s="1569"/>
      <c r="F25" s="1570"/>
      <c r="G25" s="29" t="str">
        <f>+VLOOKUP(A25,'INSUMOS '!$B$3:$C$128,2,FALSE)</f>
        <v>GAL</v>
      </c>
      <c r="H25" s="35">
        <v>0.01</v>
      </c>
      <c r="I25" s="33">
        <f>+IFERROR(VLOOKUP(A25,'INSUMOS '!$B$2:$AP$167,'INSUMOS '!$AO$2+1,FALSE),0)</f>
        <v>15861</v>
      </c>
      <c r="J25" s="33">
        <f>ROUND(I25*H25,0)</f>
        <v>159</v>
      </c>
    </row>
    <row r="26" spans="1:14" ht="13.9" customHeight="1" x14ac:dyDescent="0.25">
      <c r="A26" s="1558" t="s">
        <v>3322</v>
      </c>
      <c r="B26" s="1559"/>
      <c r="C26" s="1559"/>
      <c r="D26" s="1559"/>
      <c r="E26" s="1559"/>
      <c r="F26" s="1560"/>
      <c r="G26" s="29" t="s">
        <v>115</v>
      </c>
      <c r="H26" s="35">
        <v>3</v>
      </c>
      <c r="I26" s="33">
        <f>+IFERROR(VLOOKUP(A26,'INSUMOS '!$B$2:$AP$167,'INSUMOS '!$AO$2+1,FALSE),0)</f>
        <v>2496.6666666666665</v>
      </c>
      <c r="J26" s="33">
        <f>ROUND(I26*H26,0)</f>
        <v>7490</v>
      </c>
    </row>
    <row r="27" spans="1:14" ht="13.9" customHeight="1" x14ac:dyDescent="0.25">
      <c r="A27" s="1558"/>
      <c r="B27" s="1559"/>
      <c r="C27" s="1559"/>
      <c r="D27" s="1559"/>
      <c r="E27" s="1559"/>
      <c r="F27" s="1560"/>
      <c r="G27" s="29"/>
      <c r="H27" s="35"/>
      <c r="I27" s="33"/>
      <c r="J27" s="33"/>
    </row>
    <row r="28" spans="1:14" ht="13.9" customHeight="1" x14ac:dyDescent="0.25">
      <c r="A28" s="1558" t="s">
        <v>333</v>
      </c>
      <c r="B28" s="1559"/>
      <c r="C28" s="1559"/>
      <c r="D28" s="1559"/>
      <c r="E28" s="1559"/>
      <c r="F28" s="1560"/>
      <c r="G28" s="29"/>
      <c r="H28" s="74">
        <v>0.01</v>
      </c>
      <c r="I28" s="33">
        <f>+SUM(J22:J27)</f>
        <v>497355</v>
      </c>
      <c r="J28" s="33">
        <f>+H28*I28</f>
        <v>4973.55</v>
      </c>
    </row>
    <row r="29" spans="1:14" ht="13.9" customHeight="1" x14ac:dyDescent="0.25">
      <c r="A29" s="1558"/>
      <c r="B29" s="1559"/>
      <c r="C29" s="1559"/>
      <c r="D29" s="1559"/>
      <c r="E29" s="1559"/>
      <c r="F29" s="1560"/>
      <c r="G29" s="29"/>
      <c r="H29" s="37"/>
      <c r="I29" s="33"/>
      <c r="J29" s="33"/>
    </row>
    <row r="30" spans="1:14" ht="13.9" customHeight="1" x14ac:dyDescent="0.25">
      <c r="A30" s="1558"/>
      <c r="B30" s="1559"/>
      <c r="C30" s="1559"/>
      <c r="D30" s="1559"/>
      <c r="E30" s="1559"/>
      <c r="F30" s="1560"/>
      <c r="G30" s="29"/>
      <c r="H30" s="35"/>
      <c r="I30" s="33"/>
      <c r="J30" s="33"/>
    </row>
    <row r="31" spans="1:14" ht="13.9" customHeight="1" x14ac:dyDescent="0.25">
      <c r="A31" s="1558"/>
      <c r="B31" s="1559"/>
      <c r="C31" s="1559"/>
      <c r="D31" s="1559"/>
      <c r="E31" s="1559"/>
      <c r="F31" s="1560"/>
      <c r="G31" s="29"/>
      <c r="H31" s="35"/>
      <c r="I31" s="33"/>
      <c r="J31" s="33"/>
    </row>
    <row r="32" spans="1:14" ht="13.9" customHeight="1" x14ac:dyDescent="0.25">
      <c r="A32" s="20"/>
      <c r="B32" s="20"/>
      <c r="C32" s="20"/>
      <c r="D32" s="20"/>
      <c r="E32" s="20"/>
      <c r="G32" s="20"/>
      <c r="H32" s="20"/>
      <c r="I32" s="30" t="s">
        <v>257</v>
      </c>
      <c r="J32" s="34">
        <f>+SUM(J22:J31)</f>
        <v>502328.55</v>
      </c>
    </row>
    <row r="33" spans="1:15" ht="13.9" customHeight="1" x14ac:dyDescent="0.25"/>
    <row r="34" spans="1:15" ht="13.9" customHeight="1" x14ac:dyDescent="0.25">
      <c r="A34" s="1561" t="s">
        <v>267</v>
      </c>
      <c r="B34" s="1561"/>
      <c r="C34" s="1561"/>
      <c r="D34" s="1561"/>
      <c r="E34" s="1561"/>
      <c r="F34" s="1561"/>
      <c r="G34" s="1561"/>
      <c r="H34" s="1561"/>
      <c r="I34" s="27"/>
    </row>
    <row r="35" spans="1:15" ht="13.9" customHeight="1" x14ac:dyDescent="0.25">
      <c r="A35" s="1562" t="s">
        <v>268</v>
      </c>
      <c r="B35" s="1563"/>
      <c r="C35" s="1563"/>
      <c r="D35" s="1563"/>
      <c r="E35" s="1563"/>
      <c r="F35" s="1564"/>
      <c r="G35" s="38" t="s">
        <v>255</v>
      </c>
      <c r="H35" s="28" t="s">
        <v>269</v>
      </c>
      <c r="I35" s="28" t="s">
        <v>256</v>
      </c>
      <c r="J35" s="28" t="s">
        <v>257</v>
      </c>
    </row>
    <row r="36" spans="1:15" ht="13.9" customHeight="1" x14ac:dyDescent="0.25">
      <c r="A36" s="1558" t="str">
        <f>+'EQUIPOS '!B6</f>
        <v>CAMION INCLUYE CONDUCTOR</v>
      </c>
      <c r="B36" s="1559"/>
      <c r="C36" s="1559"/>
      <c r="D36" s="1559"/>
      <c r="E36" s="1559"/>
      <c r="F36" s="1560"/>
      <c r="G36" s="29">
        <f>(12/1000)/12</f>
        <v>1E-3</v>
      </c>
      <c r="H36" s="33">
        <f>+IFERROR(VLOOKUP(A36,'EQUIPOS '!$B$3:$M$78,12,FALSE),0)</f>
        <v>611492.5</v>
      </c>
      <c r="I36" s="33">
        <f>IFERROR(H36*G36,0)</f>
        <v>611.49250000000006</v>
      </c>
      <c r="J36" s="33">
        <f>ROUND(I36,0)</f>
        <v>611</v>
      </c>
      <c r="L36" s="19">
        <f>2.4*0.01*0.2*1</f>
        <v>4.8000000000000004E-3</v>
      </c>
      <c r="M36" s="19">
        <f>1/0.2</f>
        <v>5</v>
      </c>
      <c r="N36" s="19">
        <f>0.2*0.02*5</f>
        <v>0.02</v>
      </c>
      <c r="O36" s="236">
        <f>1.6*N36</f>
        <v>3.2000000000000001E-2</v>
      </c>
    </row>
    <row r="37" spans="1:15" ht="13.9" customHeight="1" x14ac:dyDescent="0.25">
      <c r="A37" s="1558"/>
      <c r="B37" s="1559"/>
      <c r="C37" s="1559"/>
      <c r="D37" s="1559"/>
      <c r="E37" s="1559"/>
      <c r="F37" s="1560"/>
      <c r="G37" s="29"/>
      <c r="H37" s="33"/>
      <c r="I37" s="33"/>
      <c r="J37" s="33"/>
    </row>
    <row r="38" spans="1:15" ht="13.9" customHeight="1" x14ac:dyDescent="0.25">
      <c r="A38" s="1558"/>
      <c r="B38" s="1559"/>
      <c r="C38" s="1559"/>
      <c r="D38" s="1559"/>
      <c r="E38" s="1559"/>
      <c r="F38" s="1560"/>
      <c r="G38" s="29"/>
      <c r="H38" s="33"/>
      <c r="I38" s="33"/>
      <c r="J38" s="33"/>
    </row>
    <row r="39" spans="1:15" ht="13.9" customHeight="1" x14ac:dyDescent="0.25">
      <c r="G39" s="39"/>
      <c r="H39" s="39"/>
      <c r="I39" s="30" t="s">
        <v>257</v>
      </c>
      <c r="J39" s="33">
        <f>+SUM(J36:J38)</f>
        <v>611</v>
      </c>
    </row>
    <row r="40" spans="1:15" ht="13.9" customHeight="1" x14ac:dyDescent="0.25"/>
    <row r="41" spans="1:15" ht="13.9" customHeight="1" x14ac:dyDescent="0.25">
      <c r="A41" s="1561" t="s">
        <v>270</v>
      </c>
      <c r="B41" s="1561"/>
      <c r="C41" s="1561"/>
      <c r="D41" s="1561"/>
      <c r="E41" s="1561"/>
      <c r="F41" s="1561"/>
      <c r="G41" s="1561"/>
      <c r="H41" s="1561"/>
      <c r="I41" s="27"/>
    </row>
    <row r="42" spans="1:15" s="39" customFormat="1" ht="13.9" customHeight="1" x14ac:dyDescent="0.25">
      <c r="A42" s="1562" t="s">
        <v>271</v>
      </c>
      <c r="B42" s="1563"/>
      <c r="C42" s="1563"/>
      <c r="D42" s="1564"/>
      <c r="E42" s="28" t="s">
        <v>272</v>
      </c>
      <c r="F42" s="28" t="s">
        <v>264</v>
      </c>
      <c r="G42" s="28" t="s">
        <v>273</v>
      </c>
      <c r="H42" s="28" t="s">
        <v>255</v>
      </c>
      <c r="I42" s="28" t="s">
        <v>256</v>
      </c>
      <c r="J42" s="28" t="s">
        <v>257</v>
      </c>
    </row>
    <row r="43" spans="1:15"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8</v>
      </c>
      <c r="I43" s="33">
        <f>IFERROR(ROUND(G43/H43,0),0)</f>
        <v>26718</v>
      </c>
      <c r="J43" s="33">
        <f>+I43</f>
        <v>26718</v>
      </c>
    </row>
    <row r="44" spans="1:15" s="39" customFormat="1" ht="13.9" customHeight="1" x14ac:dyDescent="0.25">
      <c r="A44" s="1558" t="str">
        <f>+PERSONAL!B6</f>
        <v>AYUDANTE NOCTURNO</v>
      </c>
      <c r="B44" s="1559"/>
      <c r="C44" s="1559"/>
      <c r="D44" s="1560"/>
      <c r="E44" s="40">
        <f>+VLOOKUP(A44,PERSONAL!$B$3:$E$100,4,FALSE)</f>
        <v>83383</v>
      </c>
      <c r="F44" s="30">
        <v>3</v>
      </c>
      <c r="G44" s="40">
        <f>+E44*F44</f>
        <v>250149</v>
      </c>
      <c r="H44" s="35">
        <f>+H43</f>
        <v>8</v>
      </c>
      <c r="I44" s="33">
        <f>IFERROR(ROUND(G44/H44,0),0)</f>
        <v>31269</v>
      </c>
      <c r="J44" s="33">
        <f>+I44</f>
        <v>31269</v>
      </c>
    </row>
    <row r="45" spans="1:15" s="39" customFormat="1" ht="13.9" customHeight="1" x14ac:dyDescent="0.25">
      <c r="A45" s="1558" t="str">
        <f>+PERSONAL!B4</f>
        <v>AUXILIAR DE TRÁFICO NOCTURNO</v>
      </c>
      <c r="B45" s="1559"/>
      <c r="C45" s="1559"/>
      <c r="D45" s="1560"/>
      <c r="E45" s="40">
        <f>+VLOOKUP(A45,PERSONAL!$B$3:$E$100,4,FALSE)</f>
        <v>98122</v>
      </c>
      <c r="F45" s="30">
        <v>1</v>
      </c>
      <c r="G45" s="40">
        <f>+E45*F45</f>
        <v>98122</v>
      </c>
      <c r="H45" s="35">
        <f>+H44</f>
        <v>8</v>
      </c>
      <c r="I45" s="33">
        <f>IFERROR(ROUND(G45/H45,0),0)</f>
        <v>12265</v>
      </c>
      <c r="J45" s="33">
        <f>+I45</f>
        <v>12265</v>
      </c>
    </row>
    <row r="46" spans="1:15" s="39" customFormat="1" ht="13.9" customHeight="1" x14ac:dyDescent="0.25">
      <c r="A46" s="1558"/>
      <c r="B46" s="1559"/>
      <c r="C46" s="1559"/>
      <c r="D46" s="1560"/>
      <c r="E46" s="40"/>
      <c r="F46" s="30"/>
      <c r="G46" s="40"/>
      <c r="H46" s="35"/>
      <c r="I46" s="33"/>
      <c r="J46" s="33"/>
    </row>
    <row r="47" spans="1:15" s="39" customFormat="1" ht="13.9" customHeight="1" x14ac:dyDescent="0.25">
      <c r="A47" s="1558"/>
      <c r="B47" s="1559"/>
      <c r="C47" s="1559"/>
      <c r="D47" s="1560"/>
      <c r="E47" s="40"/>
      <c r="F47" s="30"/>
      <c r="G47" s="40"/>
      <c r="H47" s="35"/>
      <c r="I47" s="33"/>
      <c r="J47" s="33"/>
    </row>
    <row r="48" spans="1:15"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70252</v>
      </c>
    </row>
    <row r="50" spans="1:10" ht="13.9" customHeight="1" x14ac:dyDescent="0.25"/>
    <row r="51" spans="1:10" ht="13.9" customHeight="1" x14ac:dyDescent="0.25">
      <c r="E51" s="41" t="s">
        <v>276</v>
      </c>
      <c r="I51" s="42">
        <f>ROUND((+J49+J39+J32+J18),0)</f>
        <v>608590</v>
      </c>
      <c r="J51" s="43"/>
    </row>
    <row r="52" spans="1:10" ht="13.9" customHeight="1" x14ac:dyDescent="0.25"/>
    <row r="53" spans="1:10" ht="14.1" customHeight="1" x14ac:dyDescent="0.25"/>
    <row r="54" spans="1:10" ht="14.1" customHeight="1" x14ac:dyDescent="0.25"/>
    <row r="71" spans="2:2" ht="330" x14ac:dyDescent="0.25">
      <c r="B71" s="521" t="s">
        <v>3321</v>
      </c>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dataValidations count="1">
    <dataValidation type="list" allowBlank="1" showInputMessage="1" showErrorMessage="1" sqref="A11:D14" xr:uid="{00000000-0002-0000-2500-000000000000}">
      <formula1>$A$4:$A$35</formula1>
    </dataValidation>
  </dataValidations>
  <pageMargins left="0.70866141732283472" right="0.70866141732283472" top="0.78740157480314965" bottom="0.78740157480314965" header="0.31496062992125984" footer="0.31496062992125984"/>
  <pageSetup scale="85" orientation="portrait" r:id="rId1"/>
  <ignoredErrors>
    <ignoredError sqref="I15 G24" formula="1"/>
  </ignoredError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155">
    <tabColor theme="1"/>
  </sheetPr>
  <dimension ref="A1:L54"/>
  <sheetViews>
    <sheetView topLeftCell="A38"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123</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azul e= 125 mils</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500</v>
      </c>
      <c r="I11" s="55">
        <f t="shared" ref="I11:I13" si="0">IFERROR((G11/H11),0)</f>
        <v>15.999879999999999</v>
      </c>
      <c r="J11" s="55">
        <f>ROUND(I11,0)</f>
        <v>16</v>
      </c>
      <c r="L11" s="593" t="s">
        <v>278</v>
      </c>
    </row>
    <row r="12" spans="1:12"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500</v>
      </c>
      <c r="I12" s="55">
        <f t="shared" si="0"/>
        <v>26.443999999999999</v>
      </c>
      <c r="J12" s="55">
        <f t="shared" ref="J12:J13" si="1">ROUND(I12,0)</f>
        <v>26</v>
      </c>
      <c r="L12" s="593" t="s">
        <v>95</v>
      </c>
    </row>
    <row r="13" spans="1:12"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500</v>
      </c>
      <c r="I13" s="55">
        <f t="shared" si="0"/>
        <v>39.366399999999999</v>
      </c>
      <c r="J13" s="55">
        <f t="shared" si="1"/>
        <v>39</v>
      </c>
      <c r="L13" s="593" t="s">
        <v>159</v>
      </c>
    </row>
    <row r="14" spans="1:12" s="593" customFormat="1" ht="13.9" customHeight="1" x14ac:dyDescent="0.25">
      <c r="A14" s="1571"/>
      <c r="B14" s="1572"/>
      <c r="C14" s="1572"/>
      <c r="D14" s="1573"/>
      <c r="E14" s="53"/>
      <c r="F14" s="601" t="str">
        <f>IFERROR(VLOOKUP(A14,'[10]EQUIPOS TRANSPOR SALARIO'!$A$3:$G$42,2,FALSE),"")</f>
        <v/>
      </c>
      <c r="G14" s="602"/>
      <c r="H14" s="601"/>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81</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'!B151</f>
        <v>CINTA TERMOPLATICO PREFORMADA DE COLOR AZUL   E=125 mill</v>
      </c>
      <c r="B22" s="1638"/>
      <c r="C22" s="1638"/>
      <c r="D22" s="1638"/>
      <c r="E22" s="1638"/>
      <c r="F22" s="1639"/>
      <c r="G22" s="53" t="s">
        <v>12</v>
      </c>
      <c r="H22" s="54">
        <v>1</v>
      </c>
      <c r="I22" s="33">
        <f>+IFERROR(VLOOKUP(A22,'INSUMOS '!$B$2:$AP$167,'INSUMOS '!$AO$2+1,FALSE),0)</f>
        <v>423000</v>
      </c>
      <c r="J22" s="55">
        <f>ROUND(I22*H22,0)</f>
        <v>423000</v>
      </c>
    </row>
    <row r="23" spans="1:10"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0" ht="13.9" customHeight="1" x14ac:dyDescent="0.25">
      <c r="A24" s="1637"/>
      <c r="B24" s="1638"/>
      <c r="C24" s="1638"/>
      <c r="D24" s="1638"/>
      <c r="E24" s="1638"/>
      <c r="F24" s="1639"/>
      <c r="G24" s="53"/>
      <c r="H24" s="54"/>
      <c r="I24" s="55"/>
      <c r="J24" s="55"/>
    </row>
    <row r="25" spans="1:10" ht="13.9" customHeight="1" x14ac:dyDescent="0.25">
      <c r="A25" s="1637"/>
      <c r="B25" s="1638"/>
      <c r="C25" s="1638"/>
      <c r="D25" s="1638"/>
      <c r="E25" s="1638"/>
      <c r="F25" s="1639"/>
      <c r="G25" s="53"/>
      <c r="H25" s="54"/>
      <c r="I25" s="55"/>
      <c r="J25" s="55"/>
    </row>
    <row r="26" spans="1:10" ht="13.9" customHeight="1" x14ac:dyDescent="0.25">
      <c r="A26" s="1637"/>
      <c r="B26" s="1638"/>
      <c r="C26" s="1638"/>
      <c r="D26" s="1638"/>
      <c r="E26" s="1638"/>
      <c r="F26" s="1639"/>
      <c r="G26" s="53"/>
      <c r="H26" s="54"/>
      <c r="I26" s="55"/>
      <c r="J26" s="55"/>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423002</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2">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4000</v>
      </c>
      <c r="I43" s="55">
        <f t="shared" ref="I43:I45" si="3">IFERROR(ROUND(G43/H43,0),0)</f>
        <v>53</v>
      </c>
      <c r="J43" s="55">
        <f t="shared" ref="J43:J45" si="4">+I43</f>
        <v>53</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4000</v>
      </c>
      <c r="I44" s="55">
        <f t="shared" si="3"/>
        <v>42</v>
      </c>
      <c r="J44" s="55">
        <f t="shared" si="4"/>
        <v>42</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4000</v>
      </c>
      <c r="I45" s="55">
        <f t="shared" si="3"/>
        <v>25</v>
      </c>
      <c r="J45" s="55">
        <f t="shared" si="4"/>
        <v>25</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120</v>
      </c>
    </row>
    <row r="50" spans="1:10" ht="13.9" customHeight="1" x14ac:dyDescent="0.25"/>
    <row r="51" spans="1:10" ht="13.9" customHeight="1" x14ac:dyDescent="0.25">
      <c r="E51" s="610" t="s">
        <v>276</v>
      </c>
      <c r="I51" s="611">
        <f>+J49+J39+J32+J18</f>
        <v>423713</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156">
    <tabColor theme="1"/>
  </sheetPr>
  <dimension ref="A1:N54"/>
  <sheetViews>
    <sheetView topLeftCell="A28"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4" ht="29.25" customHeight="1" x14ac:dyDescent="0.25">
      <c r="A1" s="1680" t="s">
        <v>244</v>
      </c>
      <c r="B1" s="1681"/>
      <c r="C1" s="1681"/>
      <c r="D1" s="1681"/>
      <c r="E1" s="1681"/>
      <c r="F1" s="1681"/>
      <c r="G1" s="1681"/>
      <c r="H1" s="1681"/>
      <c r="I1" s="1681"/>
      <c r="J1" s="1681"/>
    </row>
    <row r="2" spans="1:14" ht="15" customHeight="1" x14ac:dyDescent="0.25">
      <c r="A2" s="1682" t="s">
        <v>245</v>
      </c>
      <c r="B2" s="1682"/>
      <c r="C2" s="1682"/>
      <c r="D2" s="1682"/>
      <c r="E2" s="1682"/>
      <c r="F2" s="1682"/>
      <c r="G2" s="1682"/>
      <c r="H2" s="1682"/>
      <c r="I2" s="1682"/>
      <c r="J2" s="1682"/>
    </row>
    <row r="4" spans="1:14" s="593" customFormat="1" ht="9.9499999999999993" customHeight="1" x14ac:dyDescent="0.25">
      <c r="A4" s="1683" t="s">
        <v>246</v>
      </c>
      <c r="B4" s="1683"/>
      <c r="C4" s="1683"/>
      <c r="D4" s="1683"/>
      <c r="E4" s="1683"/>
      <c r="F4" s="1683"/>
      <c r="G4" s="1683"/>
      <c r="H4" s="1683"/>
      <c r="I4" s="1683"/>
      <c r="J4" s="1683"/>
    </row>
    <row r="5" spans="1:14" s="593" customFormat="1" ht="9.9499999999999993" customHeight="1" x14ac:dyDescent="0.25">
      <c r="B5" s="594"/>
      <c r="C5" s="594"/>
      <c r="D5" s="594"/>
      <c r="E5" s="594"/>
      <c r="F5" s="594"/>
      <c r="G5" s="594"/>
    </row>
    <row r="6" spans="1:14" x14ac:dyDescent="0.25">
      <c r="A6" s="1571" t="s">
        <v>247</v>
      </c>
      <c r="B6" s="1573"/>
      <c r="C6" s="595">
        <v>122</v>
      </c>
      <c r="D6" s="596"/>
      <c r="E6" s="596"/>
      <c r="F6" s="596"/>
      <c r="G6" s="596"/>
      <c r="H6" s="597"/>
      <c r="I6" s="598" t="s">
        <v>248</v>
      </c>
      <c r="J6" s="599" t="str">
        <f>+VLOOKUP(C6,'ANEXO PLIEGO_1'!$A$7:$C$133,3,FALSE)</f>
        <v>M2</v>
      </c>
    </row>
    <row r="7" spans="1:14" ht="35.1" customHeight="1" x14ac:dyDescent="0.25">
      <c r="A7" s="1637" t="s">
        <v>249</v>
      </c>
      <c r="B7" s="1639"/>
      <c r="C7" s="1684" t="str">
        <f>+VLOOKUP(C6,'ANEXO PLIEGO_1'!$A$7:$B$133,2,FALSE)</f>
        <v>Suministro e instalación de cinta en termoplástico preformada de color azul e= 90 mils</v>
      </c>
      <c r="D7" s="1685"/>
      <c r="E7" s="1685"/>
      <c r="F7" s="1685"/>
      <c r="G7" s="1685"/>
      <c r="H7" s="1685"/>
      <c r="I7" s="1685"/>
      <c r="J7" s="1686"/>
    </row>
    <row r="9" spans="1:14" s="390" customFormat="1" ht="12.75" x14ac:dyDescent="0.25">
      <c r="A9" s="1673" t="s">
        <v>250</v>
      </c>
      <c r="B9" s="1673"/>
      <c r="C9" s="1673"/>
      <c r="D9" s="1673"/>
      <c r="E9" s="1673"/>
      <c r="F9" s="1673"/>
      <c r="G9" s="1673"/>
      <c r="H9" s="1673"/>
    </row>
    <row r="10" spans="1:14"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4"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65</v>
      </c>
      <c r="I11" s="55">
        <f t="shared" ref="I11:I13" si="0">IFERROR((G11/H11),0)</f>
        <v>123.07599999999999</v>
      </c>
      <c r="J11" s="55">
        <f>ROUND(I11,0)</f>
        <v>123</v>
      </c>
      <c r="L11" s="593" t="s">
        <v>278</v>
      </c>
    </row>
    <row r="12" spans="1:14"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65</v>
      </c>
      <c r="I12" s="55">
        <f t="shared" si="0"/>
        <v>203.41538461538462</v>
      </c>
      <c r="J12" s="55">
        <f t="shared" ref="J12:J13" si="1">ROUND(I12,0)</f>
        <v>203</v>
      </c>
      <c r="L12" s="593" t="s">
        <v>95</v>
      </c>
    </row>
    <row r="13" spans="1:14"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65</v>
      </c>
      <c r="I13" s="55">
        <f t="shared" si="0"/>
        <v>302.81846153846158</v>
      </c>
      <c r="J13" s="55">
        <f t="shared" si="1"/>
        <v>303</v>
      </c>
      <c r="L13" s="593" t="s">
        <v>159</v>
      </c>
    </row>
    <row r="14" spans="1:14" s="593" customFormat="1" ht="13.9" customHeight="1" x14ac:dyDescent="0.25">
      <c r="A14" s="1571"/>
      <c r="B14" s="1572"/>
      <c r="C14" s="1572"/>
      <c r="D14" s="1573"/>
      <c r="E14" s="53"/>
      <c r="F14" s="601"/>
      <c r="G14" s="602"/>
      <c r="H14" s="601"/>
      <c r="I14" s="55"/>
      <c r="J14" s="55"/>
      <c r="L14" s="593" t="s">
        <v>262</v>
      </c>
    </row>
    <row r="15" spans="1:14" s="593" customFormat="1" ht="13.9" customHeight="1" x14ac:dyDescent="0.25">
      <c r="A15" s="1571"/>
      <c r="B15" s="1572"/>
      <c r="C15" s="1572"/>
      <c r="D15" s="1573"/>
      <c r="E15" s="53"/>
      <c r="F15" s="601"/>
      <c r="G15" s="602"/>
      <c r="H15" s="601"/>
      <c r="I15" s="55"/>
      <c r="J15" s="55"/>
    </row>
    <row r="16" spans="1:14" s="593" customFormat="1" ht="13.9" customHeight="1" x14ac:dyDescent="0.25">
      <c r="A16" s="1571"/>
      <c r="B16" s="1572"/>
      <c r="C16" s="1572"/>
      <c r="D16" s="1573"/>
      <c r="E16" s="53"/>
      <c r="F16" s="601"/>
      <c r="G16" s="602"/>
      <c r="H16" s="601"/>
      <c r="I16" s="55"/>
      <c r="J16" s="55"/>
      <c r="N16" s="593">
        <f>500/8</f>
        <v>62.5</v>
      </c>
    </row>
    <row r="17" spans="1:10" s="593" customFormat="1" ht="13.9" customHeight="1" x14ac:dyDescent="0.25">
      <c r="A17" s="1571"/>
      <c r="B17" s="1572"/>
      <c r="C17" s="1572"/>
      <c r="D17" s="1573"/>
      <c r="E17" s="53"/>
      <c r="F17" s="601"/>
      <c r="G17" s="602"/>
      <c r="H17" s="601"/>
      <c r="I17" s="55"/>
      <c r="J17" s="55"/>
    </row>
    <row r="18" spans="1:10" s="593" customFormat="1" ht="13.9" customHeight="1" x14ac:dyDescent="0.25">
      <c r="I18" s="601" t="s">
        <v>257</v>
      </c>
      <c r="J18" s="605">
        <f>+SUM(J11:J17)</f>
        <v>629</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'!B150</f>
        <v>CINTA TERMOPLATICO  PREFORMADA DE COLOR AZUL  E= 90 mill</v>
      </c>
      <c r="B22" s="1638"/>
      <c r="C22" s="1638"/>
      <c r="D22" s="1638"/>
      <c r="E22" s="1638"/>
      <c r="F22" s="1639"/>
      <c r="G22" s="53" t="s">
        <v>12</v>
      </c>
      <c r="H22" s="54">
        <v>1</v>
      </c>
      <c r="I22" s="33">
        <f>+IFERROR(VLOOKUP(A22,'INSUMOS '!$B$2:$AP$167,'INSUMOS '!$AO$2+1,FALSE),0)</f>
        <v>372000</v>
      </c>
      <c r="J22" s="55">
        <f>ROUND(I22*H22,0)</f>
        <v>372000</v>
      </c>
    </row>
    <row r="23" spans="1:10"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0" ht="13.9" customHeight="1" x14ac:dyDescent="0.25">
      <c r="A24" s="1637"/>
      <c r="B24" s="1638"/>
      <c r="C24" s="1638"/>
      <c r="D24" s="1638"/>
      <c r="E24" s="1638"/>
      <c r="F24" s="1639"/>
      <c r="G24" s="53"/>
      <c r="H24" s="54"/>
      <c r="I24" s="55"/>
      <c r="J24" s="55"/>
    </row>
    <row r="25" spans="1:10" ht="13.9" customHeight="1" x14ac:dyDescent="0.25">
      <c r="A25" s="1637"/>
      <c r="B25" s="1638"/>
      <c r="C25" s="1638"/>
      <c r="D25" s="1638"/>
      <c r="E25" s="1638"/>
      <c r="F25" s="1639"/>
      <c r="G25" s="53"/>
      <c r="H25" s="54"/>
      <c r="I25" s="55"/>
      <c r="J25" s="55"/>
    </row>
    <row r="26" spans="1:10" ht="13.9" customHeight="1" x14ac:dyDescent="0.25">
      <c r="A26" s="1637"/>
      <c r="B26" s="1638"/>
      <c r="C26" s="1638"/>
      <c r="D26" s="1638"/>
      <c r="E26" s="1638"/>
      <c r="F26" s="1639"/>
      <c r="G26" s="53"/>
      <c r="H26" s="54"/>
      <c r="I26" s="55"/>
      <c r="J26" s="55"/>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372002</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2">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520</v>
      </c>
      <c r="I43" s="55">
        <f t="shared" ref="I43:I45" si="3">IFERROR(ROUND(G43/H43,0),0)</f>
        <v>411</v>
      </c>
      <c r="J43" s="55">
        <f t="shared" ref="J43:J45" si="4">+I43</f>
        <v>411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H43</f>
        <v>520</v>
      </c>
      <c r="I44" s="55">
        <f t="shared" si="3"/>
        <v>321</v>
      </c>
      <c r="J44" s="55">
        <f t="shared" si="4"/>
        <v>321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H44</f>
        <v>520</v>
      </c>
      <c r="I45" s="55">
        <f t="shared" si="3"/>
        <v>189</v>
      </c>
      <c r="J45" s="55">
        <f t="shared" si="4"/>
        <v>189</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921</v>
      </c>
    </row>
    <row r="50" spans="1:10" ht="13.9" customHeight="1" x14ac:dyDescent="0.25"/>
    <row r="51" spans="1:10" ht="13.9" customHeight="1" x14ac:dyDescent="0.25">
      <c r="E51" s="610" t="s">
        <v>276</v>
      </c>
      <c r="I51" s="611">
        <f>+J49+J39+J32+J18</f>
        <v>374062</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157">
    <tabColor theme="1"/>
  </sheetPr>
  <dimension ref="A1:L54"/>
  <sheetViews>
    <sheetView topLeftCell="A22"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121</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rojo e= 125 mils</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65</v>
      </c>
      <c r="I11" s="55">
        <f t="shared" ref="I11:I13" si="0">IFERROR((G11/H11),0)</f>
        <v>123.07599999999999</v>
      </c>
      <c r="J11" s="55">
        <f>ROUND(I11,0)</f>
        <v>123</v>
      </c>
      <c r="L11" s="593" t="s">
        <v>278</v>
      </c>
    </row>
    <row r="12" spans="1:12"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65</v>
      </c>
      <c r="I12" s="55">
        <f t="shared" si="0"/>
        <v>203.41538461538462</v>
      </c>
      <c r="J12" s="55">
        <f t="shared" ref="J12:J13" si="1">ROUND(I12,0)</f>
        <v>203</v>
      </c>
      <c r="L12" s="593" t="s">
        <v>95</v>
      </c>
    </row>
    <row r="13" spans="1:12"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65</v>
      </c>
      <c r="I13" s="55">
        <f t="shared" si="0"/>
        <v>302.81846153846158</v>
      </c>
      <c r="J13" s="55">
        <f t="shared" si="1"/>
        <v>303</v>
      </c>
      <c r="L13" s="593" t="s">
        <v>159</v>
      </c>
    </row>
    <row r="14" spans="1:12" s="593" customFormat="1" ht="13.9" customHeight="1" x14ac:dyDescent="0.25">
      <c r="A14" s="1571"/>
      <c r="B14" s="1572"/>
      <c r="C14" s="1572"/>
      <c r="D14" s="1573"/>
      <c r="E14" s="53"/>
      <c r="F14" s="601"/>
      <c r="G14" s="602"/>
      <c r="H14" s="601"/>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c r="G16" s="602"/>
      <c r="H16" s="601"/>
      <c r="I16" s="55"/>
      <c r="J16" s="55"/>
    </row>
    <row r="17" spans="1:10" s="593" customFormat="1" ht="13.9" customHeight="1" x14ac:dyDescent="0.25">
      <c r="A17" s="1571"/>
      <c r="B17" s="1572"/>
      <c r="C17" s="1572"/>
      <c r="D17" s="1573"/>
      <c r="E17" s="53"/>
      <c r="F17" s="601"/>
      <c r="G17" s="602"/>
      <c r="H17" s="601"/>
      <c r="I17" s="55"/>
      <c r="J17" s="55"/>
    </row>
    <row r="18" spans="1:10" s="593" customFormat="1" ht="13.9" customHeight="1" x14ac:dyDescent="0.25">
      <c r="I18" s="601" t="s">
        <v>257</v>
      </c>
      <c r="J18" s="605">
        <f>+SUM(J11:J17)</f>
        <v>629</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'!B149</f>
        <v>CINTA TERMOPLATICO PREFORMADA DE COLOR ROJO  E=125 mill</v>
      </c>
      <c r="B22" s="1638"/>
      <c r="C22" s="1638"/>
      <c r="D22" s="1638"/>
      <c r="E22" s="1638"/>
      <c r="F22" s="1639"/>
      <c r="G22" s="53" t="s">
        <v>12</v>
      </c>
      <c r="H22" s="54">
        <v>1</v>
      </c>
      <c r="I22" s="33">
        <f>+IFERROR(VLOOKUP(A22,'INSUMOS '!$B$2:$AP$167,'INSUMOS '!$AO$2+1,FALSE),0)</f>
        <v>445000</v>
      </c>
      <c r="J22" s="55">
        <f>ROUND(I22*H22,0)</f>
        <v>445000</v>
      </c>
    </row>
    <row r="23" spans="1:10"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0" ht="13.9" customHeight="1" x14ac:dyDescent="0.25">
      <c r="A24" s="1637"/>
      <c r="B24" s="1638"/>
      <c r="C24" s="1638"/>
      <c r="D24" s="1638"/>
      <c r="E24" s="1638"/>
      <c r="F24" s="1639"/>
      <c r="G24" s="53"/>
      <c r="H24" s="54"/>
      <c r="I24" s="55"/>
      <c r="J24" s="55"/>
    </row>
    <row r="25" spans="1:10" ht="13.9" customHeight="1" x14ac:dyDescent="0.25">
      <c r="A25" s="1637"/>
      <c r="B25" s="1638"/>
      <c r="C25" s="1638"/>
      <c r="D25" s="1638"/>
      <c r="E25" s="1638"/>
      <c r="F25" s="1639"/>
      <c r="G25" s="53"/>
      <c r="H25" s="54"/>
      <c r="I25" s="55"/>
      <c r="J25" s="55"/>
    </row>
    <row r="26" spans="1:10" ht="13.9" customHeight="1" x14ac:dyDescent="0.25">
      <c r="A26" s="1637"/>
      <c r="B26" s="1638"/>
      <c r="C26" s="1638"/>
      <c r="D26" s="1638"/>
      <c r="E26" s="1638"/>
      <c r="F26" s="1639"/>
      <c r="G26" s="53"/>
      <c r="H26" s="54"/>
      <c r="I26" s="55"/>
      <c r="J26" s="55"/>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445002</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659">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520</v>
      </c>
      <c r="I43" s="55">
        <f t="shared" ref="I43:I45" si="3">IFERROR(ROUND(G43/H43,0),0)</f>
        <v>411</v>
      </c>
      <c r="J43" s="55">
        <f t="shared" ref="J43:J45" si="4">+I43</f>
        <v>411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520</v>
      </c>
      <c r="I44" s="55">
        <f t="shared" si="3"/>
        <v>321</v>
      </c>
      <c r="J44" s="55">
        <f t="shared" si="4"/>
        <v>321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IFERROR(H13*8,0)</f>
        <v>520</v>
      </c>
      <c r="I45" s="55">
        <f t="shared" si="3"/>
        <v>189</v>
      </c>
      <c r="J45" s="55">
        <f t="shared" si="4"/>
        <v>189</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921</v>
      </c>
    </row>
    <row r="50" spans="1:10" ht="13.9" customHeight="1" x14ac:dyDescent="0.25"/>
    <row r="51" spans="1:10" ht="13.9" customHeight="1" x14ac:dyDescent="0.25">
      <c r="E51" s="610" t="s">
        <v>276</v>
      </c>
      <c r="I51" s="611">
        <f>+J49+J39+J32+J18</f>
        <v>447062</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158">
    <tabColor theme="1"/>
  </sheetPr>
  <dimension ref="A1:L54"/>
  <sheetViews>
    <sheetView topLeftCell="A35"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1" width="17.85546875" style="592" bestFit="1" customWidth="1"/>
    <col min="12"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120</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rojo e= 90 mils</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65</v>
      </c>
      <c r="I11" s="55">
        <f t="shared" ref="I11:I13" si="0">IFERROR((G11/H11),0)</f>
        <v>123.07599999999999</v>
      </c>
      <c r="J11" s="55">
        <f>ROUND(I11,0)</f>
        <v>123</v>
      </c>
      <c r="L11" s="593" t="s">
        <v>278</v>
      </c>
    </row>
    <row r="12" spans="1:12"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65</v>
      </c>
      <c r="I12" s="55">
        <f t="shared" si="0"/>
        <v>203.41538461538462</v>
      </c>
      <c r="J12" s="55">
        <f t="shared" ref="J12:J13" si="1">ROUND(I12,0)</f>
        <v>203</v>
      </c>
      <c r="L12" s="593" t="s">
        <v>95</v>
      </c>
    </row>
    <row r="13" spans="1:12"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65</v>
      </c>
      <c r="I13" s="55">
        <f t="shared" si="0"/>
        <v>302.81846153846158</v>
      </c>
      <c r="J13" s="55">
        <f t="shared" si="1"/>
        <v>303</v>
      </c>
      <c r="L13" s="593" t="s">
        <v>159</v>
      </c>
    </row>
    <row r="14" spans="1:12" s="593" customFormat="1" ht="13.9" customHeight="1" x14ac:dyDescent="0.25">
      <c r="A14" s="1571"/>
      <c r="B14" s="1572"/>
      <c r="C14" s="1572"/>
      <c r="D14" s="1573"/>
      <c r="E14" s="53"/>
      <c r="F14" s="601"/>
      <c r="G14" s="602"/>
      <c r="H14" s="601"/>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c r="G16" s="602"/>
      <c r="H16" s="601"/>
      <c r="I16" s="55"/>
      <c r="J16" s="55"/>
    </row>
    <row r="17" spans="1:12" s="593" customFormat="1" ht="13.9" customHeight="1" x14ac:dyDescent="0.25">
      <c r="A17" s="1571"/>
      <c r="B17" s="1572"/>
      <c r="C17" s="1572"/>
      <c r="D17" s="1573"/>
      <c r="E17" s="53"/>
      <c r="F17" s="601"/>
      <c r="G17" s="602"/>
      <c r="H17" s="601"/>
      <c r="I17" s="55"/>
      <c r="J17" s="55"/>
    </row>
    <row r="18" spans="1:12" s="593" customFormat="1" ht="13.9" customHeight="1" x14ac:dyDescent="0.25">
      <c r="I18" s="601" t="s">
        <v>257</v>
      </c>
      <c r="J18" s="605">
        <f>+SUM(J11:J17)</f>
        <v>629</v>
      </c>
    </row>
    <row r="19" spans="1:12" s="593" customFormat="1" ht="13.9" customHeight="1" x14ac:dyDescent="0.25"/>
    <row r="20" spans="1:12" s="593" customFormat="1" ht="13.9" customHeight="1" x14ac:dyDescent="0.25">
      <c r="A20" s="1673" t="s">
        <v>263</v>
      </c>
      <c r="B20" s="1673"/>
      <c r="C20" s="1673"/>
      <c r="D20" s="1673"/>
      <c r="E20" s="1673"/>
      <c r="F20" s="1673"/>
      <c r="G20" s="1673"/>
      <c r="H20" s="1673"/>
      <c r="I20" s="390"/>
    </row>
    <row r="21" spans="1:12" ht="13.9" customHeight="1" x14ac:dyDescent="0.25">
      <c r="A21" s="1677" t="s">
        <v>251</v>
      </c>
      <c r="B21" s="1678"/>
      <c r="C21" s="1678"/>
      <c r="D21" s="1678"/>
      <c r="E21" s="1678"/>
      <c r="F21" s="1679"/>
      <c r="G21" s="600" t="s">
        <v>252</v>
      </c>
      <c r="H21" s="600" t="s">
        <v>264</v>
      </c>
      <c r="I21" s="600" t="s">
        <v>256</v>
      </c>
      <c r="J21" s="600" t="s">
        <v>257</v>
      </c>
    </row>
    <row r="22" spans="1:12" ht="45" customHeight="1" x14ac:dyDescent="0.25">
      <c r="A22" s="1637" t="str">
        <f>+'INSUMOS '!B148</f>
        <v>CINTA TERMOPLATICO  PREFORMADA DE COLOR ROJO  E= 90 mill</v>
      </c>
      <c r="B22" s="1638"/>
      <c r="C22" s="1638"/>
      <c r="D22" s="1638"/>
      <c r="E22" s="1638"/>
      <c r="F22" s="1639"/>
      <c r="G22" s="53" t="s">
        <v>12</v>
      </c>
      <c r="H22" s="54">
        <v>1</v>
      </c>
      <c r="I22" s="33">
        <f>+IFERROR(VLOOKUP(A22,'INSUMOS '!$B$2:$AP$167,'INSUMOS '!$AO$2+1,FALSE),0)</f>
        <v>380347</v>
      </c>
      <c r="J22" s="55">
        <f>ROUND(I22*H22,0)</f>
        <v>380347</v>
      </c>
    </row>
    <row r="23" spans="1:12"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2" ht="13.9" customHeight="1" x14ac:dyDescent="0.25">
      <c r="A24" s="1637"/>
      <c r="B24" s="1638"/>
      <c r="C24" s="1638"/>
      <c r="D24" s="1638"/>
      <c r="E24" s="1638"/>
      <c r="F24" s="1639"/>
      <c r="G24" s="53"/>
      <c r="H24" s="54"/>
      <c r="I24" s="55"/>
      <c r="J24" s="55"/>
    </row>
    <row r="25" spans="1:12" ht="13.9" customHeight="1" x14ac:dyDescent="0.25">
      <c r="A25" s="1637"/>
      <c r="B25" s="1638"/>
      <c r="C25" s="1638"/>
      <c r="D25" s="1638"/>
      <c r="E25" s="1638"/>
      <c r="F25" s="1639"/>
      <c r="G25" s="53"/>
      <c r="H25" s="54"/>
      <c r="I25" s="55"/>
      <c r="J25" s="55"/>
    </row>
    <row r="26" spans="1:12" ht="13.9" customHeight="1" x14ac:dyDescent="0.25">
      <c r="A26" s="1637"/>
      <c r="B26" s="1638"/>
      <c r="C26" s="1638"/>
      <c r="D26" s="1638"/>
      <c r="E26" s="1638"/>
      <c r="F26" s="1639"/>
      <c r="G26" s="53"/>
      <c r="H26" s="54"/>
      <c r="I26" s="55"/>
      <c r="J26" s="55"/>
    </row>
    <row r="27" spans="1:12" ht="13.9" customHeight="1" x14ac:dyDescent="0.25">
      <c r="A27" s="1571"/>
      <c r="B27" s="1572"/>
      <c r="C27" s="1572"/>
      <c r="D27" s="1572"/>
      <c r="E27" s="1572"/>
      <c r="F27" s="1573"/>
      <c r="G27" s="53"/>
      <c r="H27" s="54"/>
      <c r="I27" s="55"/>
      <c r="J27" s="55"/>
    </row>
    <row r="28" spans="1:12" ht="13.9" customHeight="1" x14ac:dyDescent="0.25">
      <c r="A28" s="1571"/>
      <c r="B28" s="1572"/>
      <c r="C28" s="1572"/>
      <c r="D28" s="1572"/>
      <c r="E28" s="1572"/>
      <c r="F28" s="1573"/>
      <c r="G28" s="53"/>
      <c r="H28" s="54"/>
      <c r="I28" s="55"/>
      <c r="J28" s="55"/>
    </row>
    <row r="29" spans="1:12" ht="13.9" customHeight="1" x14ac:dyDescent="0.25">
      <c r="A29" s="1571"/>
      <c r="B29" s="1572"/>
      <c r="C29" s="1572"/>
      <c r="D29" s="1572"/>
      <c r="E29" s="1572"/>
      <c r="F29" s="1573"/>
      <c r="G29" s="53"/>
      <c r="H29" s="606"/>
      <c r="I29" s="55"/>
      <c r="J29" s="55"/>
    </row>
    <row r="30" spans="1:12" ht="13.9" customHeight="1" x14ac:dyDescent="0.25">
      <c r="A30" s="1571"/>
      <c r="B30" s="1572"/>
      <c r="C30" s="1572"/>
      <c r="D30" s="1572"/>
      <c r="E30" s="1572"/>
      <c r="F30" s="1573"/>
      <c r="G30" s="53"/>
      <c r="H30" s="54"/>
      <c r="I30" s="55"/>
      <c r="J30" s="55"/>
    </row>
    <row r="31" spans="1:12" ht="13.9" customHeight="1" x14ac:dyDescent="0.25">
      <c r="A31" s="1571"/>
      <c r="B31" s="1572"/>
      <c r="C31" s="1572"/>
      <c r="D31" s="1572"/>
      <c r="E31" s="1572"/>
      <c r="F31" s="1573"/>
      <c r="G31" s="53"/>
      <c r="H31" s="54"/>
      <c r="I31" s="55"/>
      <c r="J31" s="55"/>
    </row>
    <row r="32" spans="1:12" ht="13.9" customHeight="1" x14ac:dyDescent="0.25">
      <c r="A32" s="593"/>
      <c r="B32" s="593"/>
      <c r="C32" s="593"/>
      <c r="D32" s="593"/>
      <c r="E32" s="593"/>
      <c r="G32" s="593"/>
      <c r="H32" s="593"/>
      <c r="I32" s="601" t="s">
        <v>257</v>
      </c>
      <c r="J32" s="605">
        <f>+SUM(J22:J31)</f>
        <v>380349</v>
      </c>
      <c r="K32" s="760">
        <f>133605.32/J32</f>
        <v>0.35127033329915419</v>
      </c>
      <c r="L32" s="764">
        <f>100%-K32</f>
        <v>0.64872966670084575</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2">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520</v>
      </c>
      <c r="I43" s="55">
        <f t="shared" ref="I43:I45" si="3">IFERROR(ROUND(G43/H43,0),0)</f>
        <v>411</v>
      </c>
      <c r="J43" s="55">
        <f t="shared" ref="J43:J45" si="4">+I43</f>
        <v>411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H43</f>
        <v>520</v>
      </c>
      <c r="I44" s="55">
        <f t="shared" si="3"/>
        <v>321</v>
      </c>
      <c r="J44" s="55">
        <f t="shared" si="4"/>
        <v>321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H44</f>
        <v>520</v>
      </c>
      <c r="I45" s="55">
        <f t="shared" si="3"/>
        <v>189</v>
      </c>
      <c r="J45" s="55">
        <f t="shared" si="4"/>
        <v>189</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1" ht="13.9" customHeight="1" x14ac:dyDescent="0.25">
      <c r="A49" s="593"/>
      <c r="B49" s="593"/>
      <c r="C49" s="593"/>
      <c r="E49" s="593"/>
      <c r="F49" s="593"/>
      <c r="G49" s="593"/>
      <c r="H49" s="593"/>
      <c r="I49" s="601" t="s">
        <v>257</v>
      </c>
      <c r="J49" s="605">
        <f>+SUM(J43:J48)</f>
        <v>921</v>
      </c>
    </row>
    <row r="50" spans="1:11" ht="13.9" customHeight="1" x14ac:dyDescent="0.25"/>
    <row r="51" spans="1:11" ht="13.9" customHeight="1" x14ac:dyDescent="0.25">
      <c r="E51" s="610" t="s">
        <v>276</v>
      </c>
      <c r="I51" s="611">
        <f>+J49+J39+J32+J18</f>
        <v>382409</v>
      </c>
      <c r="J51" s="612"/>
      <c r="K51" s="656">
        <f>170672.73-I51%</f>
        <v>166848.64000000001</v>
      </c>
    </row>
    <row r="52" spans="1:11" ht="13.9" customHeight="1" x14ac:dyDescent="0.25"/>
    <row r="53" spans="1:11" ht="14.1" customHeight="1" x14ac:dyDescent="0.25">
      <c r="I53" s="760">
        <f>170672.73/I51</f>
        <v>0.44630939648386941</v>
      </c>
      <c r="J53" s="764">
        <f>100%-I53</f>
        <v>0.55369060351613064</v>
      </c>
    </row>
    <row r="54" spans="1:11"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159">
    <tabColor theme="1"/>
  </sheetPr>
  <dimension ref="A1:L54"/>
  <sheetViews>
    <sheetView topLeftCell="A34"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119</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amarillo e= 125 mils</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65</v>
      </c>
      <c r="I11" s="55">
        <f t="shared" ref="I11:I13" si="0">IFERROR((G11/H11),0)</f>
        <v>123.07599999999999</v>
      </c>
      <c r="J11" s="55">
        <f>ROUND(I11,0)</f>
        <v>123</v>
      </c>
      <c r="L11" s="593" t="s">
        <v>278</v>
      </c>
    </row>
    <row r="12" spans="1:12"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65</v>
      </c>
      <c r="I12" s="55">
        <f t="shared" si="0"/>
        <v>203.41538461538462</v>
      </c>
      <c r="J12" s="55">
        <f t="shared" ref="J12:J13" si="1">ROUND(I12,0)</f>
        <v>203</v>
      </c>
      <c r="L12" s="593" t="s">
        <v>95</v>
      </c>
    </row>
    <row r="13" spans="1:12"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65</v>
      </c>
      <c r="I13" s="55">
        <f t="shared" si="0"/>
        <v>302.81846153846158</v>
      </c>
      <c r="J13" s="55">
        <f t="shared" si="1"/>
        <v>303</v>
      </c>
      <c r="L13" s="593" t="s">
        <v>159</v>
      </c>
    </row>
    <row r="14" spans="1:12" s="593" customFormat="1" ht="13.9" customHeight="1" x14ac:dyDescent="0.25">
      <c r="A14" s="1571"/>
      <c r="B14" s="1572"/>
      <c r="C14" s="1572"/>
      <c r="D14" s="1573"/>
      <c r="E14" s="53" t="s">
        <v>259</v>
      </c>
      <c r="F14" s="601" t="str">
        <f>IFERROR(VLOOKUP(A14,'[10]EQUIPOS TRANSPOR SALARIO'!$A$3:$G$42,2,FALSE),"")</f>
        <v/>
      </c>
      <c r="G14" s="602"/>
      <c r="H14" s="601">
        <f>+H13</f>
        <v>65</v>
      </c>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629</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'!B147</f>
        <v>CINTA TERMOPLATICO PREFORMADA DE COLOR AMARILLO E=125 mill</v>
      </c>
      <c r="B22" s="1638"/>
      <c r="C22" s="1638"/>
      <c r="D22" s="1638"/>
      <c r="E22" s="1638"/>
      <c r="F22" s="1639"/>
      <c r="G22" s="53" t="s">
        <v>12</v>
      </c>
      <c r="H22" s="54">
        <v>1</v>
      </c>
      <c r="I22" s="33">
        <f>+IFERROR(VLOOKUP(A22,'INSUMOS '!$B$2:$AP$167,'INSUMOS '!$AO$2+1,FALSE),0)</f>
        <v>400000</v>
      </c>
      <c r="J22" s="55">
        <f>ROUND(I22*H22,0)</f>
        <v>400000</v>
      </c>
    </row>
    <row r="23" spans="1:10"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0" ht="13.9" customHeight="1" x14ac:dyDescent="0.25">
      <c r="A24" s="1637"/>
      <c r="B24" s="1638"/>
      <c r="C24" s="1638"/>
      <c r="D24" s="1638"/>
      <c r="E24" s="1638"/>
      <c r="F24" s="1639"/>
      <c r="G24" s="53"/>
      <c r="H24" s="54"/>
      <c r="I24" s="55"/>
      <c r="J24" s="55"/>
    </row>
    <row r="25" spans="1:10" ht="13.9" customHeight="1" x14ac:dyDescent="0.25">
      <c r="A25" s="1637"/>
      <c r="B25" s="1638"/>
      <c r="C25" s="1638"/>
      <c r="D25" s="1638"/>
      <c r="E25" s="1638"/>
      <c r="F25" s="1639"/>
      <c r="G25" s="53"/>
      <c r="H25" s="54"/>
      <c r="I25" s="55"/>
      <c r="J25" s="55"/>
    </row>
    <row r="26" spans="1:10" ht="13.9" customHeight="1" x14ac:dyDescent="0.25">
      <c r="A26" s="1637"/>
      <c r="B26" s="1638"/>
      <c r="C26" s="1638"/>
      <c r="D26" s="1638"/>
      <c r="E26" s="1638"/>
      <c r="F26" s="1639"/>
      <c r="G26" s="53"/>
      <c r="H26" s="54"/>
      <c r="I26" s="55"/>
      <c r="J26" s="55"/>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400002</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2">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520</v>
      </c>
      <c r="I43" s="55">
        <f t="shared" ref="I43:I45" si="3">IFERROR(ROUND(G43/H43,0),0)</f>
        <v>411</v>
      </c>
      <c r="J43" s="55">
        <f t="shared" ref="J43:J45" si="4">+I43</f>
        <v>411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520</v>
      </c>
      <c r="I44" s="55">
        <f t="shared" si="3"/>
        <v>321</v>
      </c>
      <c r="J44" s="55">
        <f t="shared" si="4"/>
        <v>321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IF(A45="","",IFERROR(H14*8,0))</f>
        <v>520</v>
      </c>
      <c r="I45" s="55">
        <f t="shared" si="3"/>
        <v>189</v>
      </c>
      <c r="J45" s="55">
        <f t="shared" si="4"/>
        <v>189</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921</v>
      </c>
    </row>
    <row r="50" spans="1:10" ht="13.9" customHeight="1" x14ac:dyDescent="0.25"/>
    <row r="51" spans="1:10" ht="13.9" customHeight="1" x14ac:dyDescent="0.25">
      <c r="E51" s="610" t="s">
        <v>276</v>
      </c>
      <c r="I51" s="611">
        <f>+J49+J39+J32+J18</f>
        <v>402062</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Hoja160">
    <tabColor theme="1"/>
  </sheetPr>
  <dimension ref="A1:L54"/>
  <sheetViews>
    <sheetView topLeftCell="A34"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1" width="11.42578125" style="592"/>
    <col min="12" max="12" width="15.5703125" style="592" bestFit="1" customWidth="1"/>
    <col min="13"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118</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amarillo e= 90 mils</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65</v>
      </c>
      <c r="I11" s="55">
        <f t="shared" ref="I11:I13" si="0">IFERROR((G11/H11),0)</f>
        <v>123.07599999999999</v>
      </c>
      <c r="J11" s="55">
        <f>ROUND(I11,0)</f>
        <v>123</v>
      </c>
      <c r="L11" s="593" t="s">
        <v>278</v>
      </c>
    </row>
    <row r="12" spans="1:12"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65</v>
      </c>
      <c r="I12" s="55">
        <f t="shared" si="0"/>
        <v>203.41538461538462</v>
      </c>
      <c r="J12" s="55">
        <f t="shared" ref="J12:J13" si="1">ROUND(I12,0)</f>
        <v>203</v>
      </c>
      <c r="L12" s="593" t="s">
        <v>95</v>
      </c>
    </row>
    <row r="13" spans="1:12"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65</v>
      </c>
      <c r="I13" s="55">
        <f t="shared" si="0"/>
        <v>302.81846153846158</v>
      </c>
      <c r="J13" s="55">
        <f t="shared" si="1"/>
        <v>303</v>
      </c>
      <c r="L13" s="593" t="s">
        <v>159</v>
      </c>
    </row>
    <row r="14" spans="1:12" s="593" customFormat="1" ht="13.9" customHeight="1" x14ac:dyDescent="0.25">
      <c r="A14" s="1571"/>
      <c r="B14" s="1572"/>
      <c r="C14" s="1572"/>
      <c r="D14" s="1573"/>
      <c r="E14" s="53"/>
      <c r="F14" s="601"/>
      <c r="G14" s="602"/>
      <c r="H14" s="601"/>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c r="G16" s="602"/>
      <c r="H16" s="601"/>
      <c r="I16" s="55"/>
      <c r="J16" s="55"/>
    </row>
    <row r="17" spans="1:11" s="593" customFormat="1" ht="13.9" customHeight="1" x14ac:dyDescent="0.25">
      <c r="A17" s="1571"/>
      <c r="B17" s="1572"/>
      <c r="C17" s="1572"/>
      <c r="D17" s="1573"/>
      <c r="E17" s="53"/>
      <c r="F17" s="601"/>
      <c r="G17" s="602"/>
      <c r="H17" s="601"/>
      <c r="I17" s="55"/>
      <c r="J17" s="55"/>
    </row>
    <row r="18" spans="1:11" s="593" customFormat="1" ht="13.9" customHeight="1" x14ac:dyDescent="0.25">
      <c r="I18" s="601" t="s">
        <v>257</v>
      </c>
      <c r="J18" s="605">
        <f>+SUM(J11:J17)</f>
        <v>629</v>
      </c>
    </row>
    <row r="19" spans="1:11" s="593" customFormat="1" ht="13.9" customHeight="1" x14ac:dyDescent="0.25"/>
    <row r="20" spans="1:11" s="593" customFormat="1" ht="13.9" customHeight="1" x14ac:dyDescent="0.25">
      <c r="A20" s="1673" t="s">
        <v>263</v>
      </c>
      <c r="B20" s="1673"/>
      <c r="C20" s="1673"/>
      <c r="D20" s="1673"/>
      <c r="E20" s="1673"/>
      <c r="F20" s="1673"/>
      <c r="G20" s="1673"/>
      <c r="H20" s="1673"/>
      <c r="I20" s="390"/>
    </row>
    <row r="21" spans="1:11" ht="13.9" customHeight="1" x14ac:dyDescent="0.25">
      <c r="A21" s="1677" t="s">
        <v>251</v>
      </c>
      <c r="B21" s="1678"/>
      <c r="C21" s="1678"/>
      <c r="D21" s="1678"/>
      <c r="E21" s="1678"/>
      <c r="F21" s="1679"/>
      <c r="G21" s="600" t="s">
        <v>252</v>
      </c>
      <c r="H21" s="600" t="s">
        <v>264</v>
      </c>
      <c r="I21" s="600" t="s">
        <v>256</v>
      </c>
      <c r="J21" s="600" t="s">
        <v>257</v>
      </c>
    </row>
    <row r="22" spans="1:11" ht="45" customHeight="1" x14ac:dyDescent="0.25">
      <c r="A22" s="1637" t="str">
        <f>+'INSUMOS '!B146</f>
        <v>CINTA TERMOPLATICO  PREFORMADA DE COLOR AMARILLO E= 90 mill</v>
      </c>
      <c r="B22" s="1638"/>
      <c r="C22" s="1638"/>
      <c r="D22" s="1638"/>
      <c r="E22" s="1638"/>
      <c r="F22" s="1639"/>
      <c r="G22" s="53" t="s">
        <v>12</v>
      </c>
      <c r="H22" s="54">
        <v>1</v>
      </c>
      <c r="I22" s="33">
        <f>+IFERROR(VLOOKUP(A22,'INSUMOS '!$B$2:$AP$167,'INSUMOS '!$AO$2+1,FALSE),0)</f>
        <v>332000</v>
      </c>
      <c r="J22" s="55">
        <f>ROUND(I22*H22,0)</f>
        <v>332000</v>
      </c>
    </row>
    <row r="23" spans="1:11"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1" ht="13.9" customHeight="1" x14ac:dyDescent="0.25">
      <c r="A24" s="1637"/>
      <c r="B24" s="1638"/>
      <c r="C24" s="1638"/>
      <c r="D24" s="1638"/>
      <c r="E24" s="1638"/>
      <c r="F24" s="1639"/>
      <c r="G24" s="53"/>
      <c r="H24" s="54"/>
      <c r="I24" s="55"/>
      <c r="J24" s="55"/>
    </row>
    <row r="25" spans="1:11" ht="13.9" customHeight="1" x14ac:dyDescent="0.25">
      <c r="A25" s="1637"/>
      <c r="B25" s="1638"/>
      <c r="C25" s="1638"/>
      <c r="D25" s="1638"/>
      <c r="E25" s="1638"/>
      <c r="F25" s="1639"/>
      <c r="G25" s="53"/>
      <c r="H25" s="54"/>
      <c r="I25" s="55"/>
      <c r="J25" s="55"/>
    </row>
    <row r="26" spans="1:11" ht="13.9" customHeight="1" x14ac:dyDescent="0.25">
      <c r="A26" s="1637"/>
      <c r="B26" s="1638"/>
      <c r="C26" s="1638"/>
      <c r="D26" s="1638"/>
      <c r="E26" s="1638"/>
      <c r="F26" s="1639"/>
      <c r="G26" s="53"/>
      <c r="H26" s="54"/>
      <c r="I26" s="55"/>
      <c r="J26" s="55"/>
    </row>
    <row r="27" spans="1:11" ht="13.9" customHeight="1" x14ac:dyDescent="0.25">
      <c r="A27" s="1571"/>
      <c r="B27" s="1572"/>
      <c r="C27" s="1572"/>
      <c r="D27" s="1572"/>
      <c r="E27" s="1572"/>
      <c r="F27" s="1573"/>
      <c r="G27" s="53"/>
      <c r="H27" s="54"/>
      <c r="I27" s="55"/>
      <c r="J27" s="55"/>
    </row>
    <row r="28" spans="1:11" ht="13.9" customHeight="1" x14ac:dyDescent="0.25">
      <c r="A28" s="1571"/>
      <c r="B28" s="1572"/>
      <c r="C28" s="1572"/>
      <c r="D28" s="1572"/>
      <c r="E28" s="1572"/>
      <c r="F28" s="1573"/>
      <c r="G28" s="53"/>
      <c r="H28" s="54"/>
      <c r="I28" s="55"/>
      <c r="J28" s="55"/>
    </row>
    <row r="29" spans="1:11" ht="13.9" customHeight="1" x14ac:dyDescent="0.25">
      <c r="A29" s="1571"/>
      <c r="B29" s="1572"/>
      <c r="C29" s="1572"/>
      <c r="D29" s="1572"/>
      <c r="E29" s="1572"/>
      <c r="F29" s="1573"/>
      <c r="G29" s="53"/>
      <c r="H29" s="606"/>
      <c r="I29" s="55"/>
      <c r="J29" s="55"/>
    </row>
    <row r="30" spans="1:11" ht="13.9" customHeight="1" x14ac:dyDescent="0.25">
      <c r="A30" s="1571"/>
      <c r="B30" s="1572"/>
      <c r="C30" s="1572"/>
      <c r="D30" s="1572"/>
      <c r="E30" s="1572"/>
      <c r="F30" s="1573"/>
      <c r="G30" s="53"/>
      <c r="H30" s="54"/>
      <c r="I30" s="55"/>
      <c r="J30" s="55"/>
    </row>
    <row r="31" spans="1:11" ht="13.9" customHeight="1" x14ac:dyDescent="0.25">
      <c r="A31" s="1571"/>
      <c r="B31" s="1572"/>
      <c r="C31" s="1572"/>
      <c r="D31" s="1572"/>
      <c r="E31" s="1572"/>
      <c r="F31" s="1573"/>
      <c r="G31" s="53"/>
      <c r="H31" s="54"/>
      <c r="I31" s="55"/>
      <c r="J31" s="55"/>
    </row>
    <row r="32" spans="1:11" ht="13.9" customHeight="1" x14ac:dyDescent="0.25">
      <c r="A32" s="593"/>
      <c r="B32" s="593"/>
      <c r="C32" s="593"/>
      <c r="D32" s="593"/>
      <c r="E32" s="593"/>
      <c r="G32" s="593"/>
      <c r="H32" s="593"/>
      <c r="I32" s="601" t="s">
        <v>257</v>
      </c>
      <c r="J32" s="605">
        <f>+SUM(J22:J31)</f>
        <v>332002</v>
      </c>
      <c r="K32" s="760">
        <f>133605.32/J32</f>
        <v>0.40242323841422645</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2">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520</v>
      </c>
      <c r="I43" s="55">
        <f t="shared" ref="I43:I45" si="3">IFERROR(ROUND(G43/H43,0),0)</f>
        <v>411</v>
      </c>
      <c r="J43" s="55">
        <f t="shared" ref="J43:J45" si="4">+I43</f>
        <v>411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520</v>
      </c>
      <c r="I44" s="55">
        <f t="shared" si="3"/>
        <v>321</v>
      </c>
      <c r="J44" s="55">
        <f t="shared" si="4"/>
        <v>321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520</v>
      </c>
      <c r="I45" s="55">
        <f t="shared" si="3"/>
        <v>189</v>
      </c>
      <c r="J45" s="55">
        <f t="shared" si="4"/>
        <v>189</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921</v>
      </c>
    </row>
    <row r="50" spans="1:10" ht="13.9" customHeight="1" x14ac:dyDescent="0.25"/>
    <row r="51" spans="1:10" ht="13.9" customHeight="1" x14ac:dyDescent="0.25">
      <c r="E51" s="610" t="s">
        <v>276</v>
      </c>
      <c r="I51" s="611">
        <f>+J49+J39+J32+J18</f>
        <v>334062</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152">
    <tabColor theme="1"/>
  </sheetPr>
  <dimension ref="A1:M56"/>
  <sheetViews>
    <sheetView topLeftCell="A32" workbookViewId="0">
      <selection activeCell="L40" sqref="L40"/>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3" ht="29.25" customHeight="1" x14ac:dyDescent="0.25">
      <c r="A1" s="1574" t="s">
        <v>244</v>
      </c>
      <c r="B1" s="1575"/>
      <c r="C1" s="1575"/>
      <c r="D1" s="1575"/>
      <c r="E1" s="1575"/>
      <c r="F1" s="1575"/>
      <c r="G1" s="1575"/>
      <c r="H1" s="1575"/>
      <c r="I1" s="1575"/>
      <c r="J1" s="1575"/>
    </row>
    <row r="2" spans="1:13" ht="15" customHeight="1" x14ac:dyDescent="0.25">
      <c r="A2" s="1576" t="s">
        <v>245</v>
      </c>
      <c r="B2" s="1576"/>
      <c r="C2" s="1576"/>
      <c r="D2" s="1576"/>
      <c r="E2" s="1576"/>
      <c r="F2" s="1576"/>
      <c r="G2" s="1576"/>
      <c r="H2" s="1576"/>
      <c r="I2" s="1576"/>
      <c r="J2" s="1576"/>
    </row>
    <row r="4" spans="1:13" s="20" customFormat="1" ht="9.9499999999999993" customHeight="1" x14ac:dyDescent="0.25">
      <c r="A4" s="1577" t="s">
        <v>246</v>
      </c>
      <c r="B4" s="1577"/>
      <c r="C4" s="1577"/>
      <c r="D4" s="1577"/>
      <c r="E4" s="1577"/>
      <c r="F4" s="1577"/>
      <c r="G4" s="1577"/>
      <c r="H4" s="1577"/>
      <c r="I4" s="1577"/>
      <c r="J4" s="1577"/>
    </row>
    <row r="5" spans="1:13" s="20" customFormat="1" ht="9.9499999999999993" customHeight="1" x14ac:dyDescent="0.25">
      <c r="B5" s="21"/>
      <c r="C5" s="21"/>
      <c r="D5" s="21"/>
      <c r="E5" s="21"/>
      <c r="F5" s="21"/>
      <c r="G5" s="21"/>
    </row>
    <row r="6" spans="1:13" x14ac:dyDescent="0.25">
      <c r="A6" s="1558" t="s">
        <v>247</v>
      </c>
      <c r="B6" s="1560"/>
      <c r="C6" s="22">
        <v>117</v>
      </c>
      <c r="D6" s="23"/>
      <c r="E6" s="23"/>
      <c r="F6" s="23"/>
      <c r="G6" s="23"/>
      <c r="H6" s="24"/>
      <c r="I6" s="25" t="s">
        <v>248</v>
      </c>
      <c r="J6" s="305" t="str">
        <f>+VLOOKUP(C6,'ANEXO PLIEGO_1'!$A$7:$C$133,3,FALSE)</f>
        <v>UN</v>
      </c>
    </row>
    <row r="7" spans="1:13" ht="35.1" customHeight="1" x14ac:dyDescent="0.25">
      <c r="A7" s="1568" t="s">
        <v>249</v>
      </c>
      <c r="B7" s="1570"/>
      <c r="C7" s="1578" t="str">
        <f>+VLOOKUP(C6,'ANEXO PLIEGO_1'!$A$7:$B$133,2,FALSE)</f>
        <v>Suministro e instalación tachas iluminadas bidireccionales internamente (luz continua o intermitente) con superficie retrorreflectiva de área mínima de 600 mm2,cumpliendo con los coeficientes de intensidad luminosa establecidos en la NTC 4745.</v>
      </c>
      <c r="D7" s="1579"/>
      <c r="E7" s="1579"/>
      <c r="F7" s="1579"/>
      <c r="G7" s="1579"/>
      <c r="H7" s="1579"/>
      <c r="I7" s="1579"/>
      <c r="J7" s="1580"/>
    </row>
    <row r="9" spans="1:13" s="27" customFormat="1" ht="12.75" x14ac:dyDescent="0.25">
      <c r="A9" s="1561" t="s">
        <v>250</v>
      </c>
      <c r="B9" s="1561"/>
      <c r="C9" s="1561"/>
      <c r="D9" s="1561"/>
      <c r="E9" s="1561"/>
      <c r="F9" s="1561"/>
      <c r="G9" s="1561"/>
      <c r="H9" s="1561"/>
    </row>
    <row r="10" spans="1:13" s="20" customFormat="1" ht="13.9" customHeight="1" x14ac:dyDescent="0.25">
      <c r="A10" s="1562" t="s">
        <v>251</v>
      </c>
      <c r="B10" s="1563"/>
      <c r="C10" s="1563"/>
      <c r="D10" s="1564"/>
      <c r="E10" s="28" t="s">
        <v>252</v>
      </c>
      <c r="F10" s="28" t="s">
        <v>253</v>
      </c>
      <c r="G10" s="28" t="s">
        <v>254</v>
      </c>
      <c r="H10" s="28" t="s">
        <v>255</v>
      </c>
      <c r="I10" s="28" t="s">
        <v>256</v>
      </c>
      <c r="J10" s="28" t="s">
        <v>257</v>
      </c>
    </row>
    <row r="11" spans="1:13"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100</v>
      </c>
      <c r="I11" s="33">
        <f>IFERROR((G11/H11),"")</f>
        <v>79.999399999999994</v>
      </c>
      <c r="J11" s="33">
        <f>ROUND(I11,0)</f>
        <v>80</v>
      </c>
      <c r="M11" s="20">
        <f>1200/8</f>
        <v>150</v>
      </c>
    </row>
    <row r="12" spans="1:13"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100</v>
      </c>
      <c r="I12" s="33">
        <f>IFERROR((G12/H12),"")</f>
        <v>132.22</v>
      </c>
      <c r="J12" s="33">
        <f t="shared" ref="J12:J14" si="0">ROUND(I12,0)</f>
        <v>132</v>
      </c>
    </row>
    <row r="13" spans="1:13"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100</v>
      </c>
      <c r="I13" s="33">
        <f>IFERROR((G13/H13),0)</f>
        <v>127.71</v>
      </c>
      <c r="J13" s="33">
        <f t="shared" si="0"/>
        <v>128</v>
      </c>
    </row>
    <row r="14" spans="1:13"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100</v>
      </c>
      <c r="I14" s="33">
        <f>IFERROR((G14/H14),0)</f>
        <v>36.875</v>
      </c>
      <c r="J14" s="33">
        <f t="shared" si="0"/>
        <v>37</v>
      </c>
    </row>
    <row r="15" spans="1:13" s="20" customFormat="1" ht="13.9" customHeight="1" x14ac:dyDescent="0.25">
      <c r="A15" s="1558" t="str">
        <f>+'EQUIPOS '!B33</f>
        <v>HERRAMIENTA MENOR</v>
      </c>
      <c r="B15" s="1559"/>
      <c r="C15" s="1559"/>
      <c r="D15" s="1560"/>
      <c r="E15" s="29" t="s">
        <v>202</v>
      </c>
      <c r="F15" s="30" t="str">
        <f>IFERROR(VLOOKUP(A15,'[10]EQUIPOS TRANSPOR SALARIO'!$A$3:$G$42,2,FALSE),"")</f>
        <v>Global</v>
      </c>
      <c r="G15" s="74">
        <v>0.01</v>
      </c>
      <c r="H15" s="299">
        <f>+J50</f>
        <v>720</v>
      </c>
      <c r="I15" s="33">
        <f>IFERROR((G15*H15),0)</f>
        <v>7.2</v>
      </c>
      <c r="J15" s="33">
        <f>ROUND(I15,0)</f>
        <v>7</v>
      </c>
    </row>
    <row r="16" spans="1:13" s="20" customFormat="1" ht="13.9" customHeight="1" x14ac:dyDescent="0.25">
      <c r="A16" s="5"/>
      <c r="B16" s="6"/>
      <c r="C16" s="6"/>
      <c r="D16" s="7"/>
      <c r="E16" s="29"/>
      <c r="F16" s="30"/>
      <c r="G16" s="31"/>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384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s="20" customFormat="1" ht="13.9" customHeight="1" x14ac:dyDescent="0.25">
      <c r="A21" s="1565" t="s">
        <v>251</v>
      </c>
      <c r="B21" s="1566"/>
      <c r="C21" s="1566"/>
      <c r="D21" s="1566"/>
      <c r="E21" s="1566"/>
      <c r="F21" s="1567"/>
      <c r="G21" s="28" t="s">
        <v>252</v>
      </c>
      <c r="H21" s="28" t="s">
        <v>264</v>
      </c>
      <c r="I21" s="28" t="s">
        <v>256</v>
      </c>
      <c r="J21" s="28" t="s">
        <v>257</v>
      </c>
    </row>
    <row r="22" spans="1:10" ht="51" customHeight="1" x14ac:dyDescent="0.25">
      <c r="A22" s="1568" t="str">
        <f>+'INSUMOS '!B127</f>
        <v>TACHAS ILUMINADAS BIDIRECCIONALES INTERNAMENTE (LUZ CONTINUA)</v>
      </c>
      <c r="B22" s="1569"/>
      <c r="C22" s="1569"/>
      <c r="D22" s="1569"/>
      <c r="E22" s="1569"/>
      <c r="F22" s="1570"/>
      <c r="G22" s="29" t="s">
        <v>266</v>
      </c>
      <c r="H22" s="35">
        <v>1</v>
      </c>
      <c r="I22" s="33">
        <f>+IFERROR(VLOOKUP(A22,'INSUMOS '!$B$2:$AP$167,'INSUMOS '!$AO$2+1,FALSE),0)</f>
        <v>266841.89486304001</v>
      </c>
      <c r="J22" s="1005">
        <f>ROUND(I22*H22,0)</f>
        <v>266842</v>
      </c>
    </row>
    <row r="23" spans="1:10" x14ac:dyDescent="0.25">
      <c r="A23" s="1558" t="str">
        <f>+'INSUMOS '!B65</f>
        <v>PEGANTE EPOXICO</v>
      </c>
      <c r="B23" s="1559"/>
      <c r="C23" s="1559"/>
      <c r="D23" s="1559"/>
      <c r="E23" s="1559"/>
      <c r="F23" s="1560"/>
      <c r="G23" s="29" t="s">
        <v>6</v>
      </c>
      <c r="H23" s="35">
        <v>0.2</v>
      </c>
      <c r="I23" s="33">
        <f>+IFERROR(VLOOKUP(A23,'INSUMOS '!$B$2:$AP$167,'INSUMOS '!$AO$2+1,FALSE),0)</f>
        <v>146748</v>
      </c>
      <c r="J23" s="33">
        <f t="shared" ref="J23:J25" si="1">ROUND(I23*H23,0)</f>
        <v>29350</v>
      </c>
    </row>
    <row r="24" spans="1:10"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 t="shared" si="1"/>
        <v>159</v>
      </c>
    </row>
    <row r="25" spans="1:10" ht="13.9" customHeight="1" x14ac:dyDescent="0.25">
      <c r="A25" s="1571" t="str">
        <f>+'INSUMOS '!B22</f>
        <v>BROCA TUNGSTENO DE 5/8"</v>
      </c>
      <c r="B25" s="1572"/>
      <c r="C25" s="1572"/>
      <c r="D25" s="1572"/>
      <c r="E25" s="1572"/>
      <c r="F25" s="1573"/>
      <c r="G25" s="29" t="s">
        <v>266</v>
      </c>
      <c r="H25" s="35">
        <v>0.01</v>
      </c>
      <c r="I25" s="33">
        <f>+IFERROR(VLOOKUP(A25,'INSUMOS '!$B$2:$AP$167,'INSUMOS '!$AO$2+1,FALSE),0)</f>
        <v>16445</v>
      </c>
      <c r="J25" s="33">
        <f t="shared" si="1"/>
        <v>164</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296515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(0.4/1000)/12</f>
        <v>3.3333333333333335E-5</v>
      </c>
      <c r="H36" s="33">
        <f>+IFERROR(VLOOKUP(A36,'EQUIPOS '!$B$3:$M$78,12,FALSE),0)</f>
        <v>611492.5</v>
      </c>
      <c r="I36" s="33">
        <f>IFERROR(H36*G36,0)</f>
        <v>20.383083333333335</v>
      </c>
      <c r="J36" s="33">
        <f>ROUND(I36,0)</f>
        <v>20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20</v>
      </c>
    </row>
    <row r="40" spans="1:10" ht="13.9" customHeight="1" x14ac:dyDescent="0.25"/>
    <row r="41" spans="1:10" ht="13.9" customHeight="1" x14ac:dyDescent="0.25">
      <c r="A41" s="1561" t="s">
        <v>270</v>
      </c>
      <c r="B41" s="1561"/>
      <c r="C41" s="1561"/>
      <c r="D41" s="1561"/>
      <c r="E41" s="1561"/>
      <c r="F41" s="1561"/>
      <c r="G41" s="1561"/>
      <c r="H41" s="1561"/>
      <c r="I41" s="27"/>
    </row>
    <row r="42" spans="1:10"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+H11*8</f>
        <v>800</v>
      </c>
      <c r="I43" s="33">
        <f>IFERROR(ROUND(G43/H43,0),0)</f>
        <v>267</v>
      </c>
      <c r="J43" s="33">
        <f>+I43</f>
        <v>267</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800</v>
      </c>
      <c r="I44" s="33">
        <f>IFERROR(ROUND(G44/H44,0),0)</f>
        <v>208</v>
      </c>
      <c r="J44" s="33">
        <f>+I44</f>
        <v>208</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800</v>
      </c>
      <c r="I45" s="33">
        <f>IFERROR(ROUND(G45/H45,0),0)</f>
        <v>245</v>
      </c>
      <c r="J45" s="33">
        <f>+I45</f>
        <v>245</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20"/>
      <c r="B50" s="20"/>
      <c r="C50" s="20"/>
      <c r="D50" s="19"/>
      <c r="E50" s="20"/>
      <c r="F50" s="20"/>
      <c r="G50" s="20"/>
      <c r="H50" s="20"/>
      <c r="I50" s="30" t="s">
        <v>257</v>
      </c>
      <c r="J50" s="34">
        <f>+SUM(J43:J49)</f>
        <v>720</v>
      </c>
    </row>
    <row r="51" spans="1:10" ht="13.9" customHeight="1" x14ac:dyDescent="0.25"/>
    <row r="52" spans="1:10" ht="13.9" customHeight="1" x14ac:dyDescent="0.25">
      <c r="E52" s="41" t="s">
        <v>276</v>
      </c>
      <c r="I52" s="42">
        <f>J50+J39+J32+J18</f>
        <v>297639</v>
      </c>
      <c r="J52" s="43"/>
    </row>
    <row r="53" spans="1:10" ht="13.9" customHeight="1" x14ac:dyDescent="0.25"/>
    <row r="54" spans="1:10" ht="13.9" customHeight="1" x14ac:dyDescent="0.25"/>
    <row r="55" spans="1:10" ht="14.1" customHeight="1" x14ac:dyDescent="0.25"/>
    <row r="56" spans="1:10" ht="14.1" customHeight="1" x14ac:dyDescent="0.25"/>
  </sheetData>
  <mergeCells count="40">
    <mergeCell ref="A46:D46"/>
    <mergeCell ref="A47:D47"/>
    <mergeCell ref="A48:D48"/>
    <mergeCell ref="A49:D49"/>
    <mergeCell ref="A38:F38"/>
    <mergeCell ref="A41:H41"/>
    <mergeCell ref="A42:D42"/>
    <mergeCell ref="A43:D43"/>
    <mergeCell ref="A44:D44"/>
    <mergeCell ref="A45:D45"/>
    <mergeCell ref="A37:F37"/>
    <mergeCell ref="A24:F24"/>
    <mergeCell ref="A25:F25"/>
    <mergeCell ref="A26:F26"/>
    <mergeCell ref="A27:F27"/>
    <mergeCell ref="A28:F28"/>
    <mergeCell ref="A29:F29"/>
    <mergeCell ref="A30:F30"/>
    <mergeCell ref="A31:F31"/>
    <mergeCell ref="A34:H34"/>
    <mergeCell ref="A35:F35"/>
    <mergeCell ref="A36:F36"/>
    <mergeCell ref="A23:F23"/>
    <mergeCell ref="A9:H9"/>
    <mergeCell ref="A10:D10"/>
    <mergeCell ref="A11:D11"/>
    <mergeCell ref="A12:D12"/>
    <mergeCell ref="A13:D13"/>
    <mergeCell ref="A14:D14"/>
    <mergeCell ref="A15:D15"/>
    <mergeCell ref="A17:D17"/>
    <mergeCell ref="A20:H20"/>
    <mergeCell ref="A21:F21"/>
    <mergeCell ref="A22:F22"/>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138">
    <tabColor theme="1"/>
  </sheetPr>
  <dimension ref="A1:L54"/>
  <sheetViews>
    <sheetView topLeftCell="A33"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4.28515625" style="592" bestFit="1" customWidth="1"/>
    <col min="10" max="10" width="14.5703125"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116</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Hito luminoso, con sistema de iluminación interno, luz continua, blanco o amarillo, altura de 70 cm, ancho mín. 30 cm (figura 5-27 Resolución 20243040045005 de 17 de septiembre de 2024) provisto de un sistema de energización</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v>5</v>
      </c>
      <c r="I11" s="55">
        <f t="shared" ref="I11:I14" si="0">IFERROR((G11/H11),0)</f>
        <v>1599.9879999999998</v>
      </c>
      <c r="J11" s="55">
        <f>ROUND(I11,0)</f>
        <v>1600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5</v>
      </c>
      <c r="I12" s="55">
        <f t="shared" si="0"/>
        <v>2644.4</v>
      </c>
      <c r="J12" s="55">
        <f t="shared" ref="J12:J14" si="1">ROUND(I12,0)</f>
        <v>2644</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5</v>
      </c>
      <c r="I13" s="55">
        <f t="shared" si="0"/>
        <v>2554.1999999999998</v>
      </c>
      <c r="J13" s="55">
        <f t="shared" si="1"/>
        <v>2554</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5</v>
      </c>
      <c r="I14" s="55">
        <f t="shared" si="0"/>
        <v>737.5</v>
      </c>
      <c r="J14" s="55">
        <f t="shared" si="1"/>
        <v>738</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7536</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67" t="str">
        <f>+'INSUMOS '!B136</f>
        <v xml:space="preserve">HITO LUMINOSO, CON SISTEMA DE ILUMINACIÓN INTERNO, LUZ CONTINUA, BLANCO O AMARILLO, ALTURA DE 70 CM, ANCHO MÍN 30 CM </v>
      </c>
      <c r="B22" s="1668"/>
      <c r="C22" s="1668"/>
      <c r="D22" s="1668"/>
      <c r="E22" s="1668"/>
      <c r="F22" s="1669"/>
      <c r="G22" s="53" t="str">
        <f>+VLOOKUP(A22,'INSUMOS '!$B$3:$C$144,2,FALSE)</f>
        <v>UN</v>
      </c>
      <c r="H22" s="54">
        <v>1</v>
      </c>
      <c r="I22" s="33">
        <f>+IFERROR(VLOOKUP(A22,'INSUMOS '!$B$2:$AP$167,'INSUMOS '!$AO$2+1,FALSE),0)</f>
        <v>1150480.6666666667</v>
      </c>
      <c r="J22" s="55">
        <f>ROUND(I22*H22,0)</f>
        <v>1150481</v>
      </c>
    </row>
    <row r="23" spans="1:10" ht="13.9" customHeight="1" x14ac:dyDescent="0.25">
      <c r="A23" s="1637" t="str">
        <f>+'INSUMOS '!B65</f>
        <v>PEGANTE EPOXICO</v>
      </c>
      <c r="B23" s="1638"/>
      <c r="C23" s="1638"/>
      <c r="D23" s="1638"/>
      <c r="E23" s="1638"/>
      <c r="F23" s="1639"/>
      <c r="G23" s="53" t="str">
        <f>+VLOOKUP(A23,'INSUMOS '!$B$3:$C$128,2,FALSE)</f>
        <v>KG</v>
      </c>
      <c r="H23" s="54">
        <v>0.6</v>
      </c>
      <c r="I23" s="33">
        <f>+IFERROR(VLOOKUP(A23,'INSUMOS '!$B$2:$AP$167,'INSUMOS '!$AO$2+1,FALSE),0)</f>
        <v>146748</v>
      </c>
      <c r="J23" s="55">
        <f>ROUND(I23*H23,0)</f>
        <v>88049</v>
      </c>
    </row>
    <row r="24" spans="1:10" ht="13.9" customHeight="1" x14ac:dyDescent="0.25">
      <c r="A24" s="1637" t="str">
        <f>+'INSUMOS '!B115</f>
        <v>CHAZO DE EXPANSION 5/16 *4</v>
      </c>
      <c r="B24" s="1638"/>
      <c r="C24" s="1638"/>
      <c r="D24" s="1638"/>
      <c r="E24" s="1638"/>
      <c r="F24" s="1639"/>
      <c r="G24" s="53" t="str">
        <f>+VLOOKUP(A24,'INSUMOS '!$B$3:$C$128,2,FALSE)</f>
        <v>UN</v>
      </c>
      <c r="H24" s="54">
        <v>8</v>
      </c>
      <c r="I24" s="33">
        <f>+IFERROR(VLOOKUP(A24,'INSUMOS '!$B$2:$AP$167,'INSUMOS '!$AO$2+1,FALSE),0)</f>
        <v>700</v>
      </c>
      <c r="J24" s="55">
        <f>ROUND(I24*H24,0)</f>
        <v>5600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1244418</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25</v>
      </c>
      <c r="I43" s="55">
        <f t="shared" ref="I43:I45" si="3">IFERROR(ROUND(G43/H43,0),0)</f>
        <v>8550</v>
      </c>
      <c r="J43" s="55">
        <f t="shared" ref="J43:J45" si="4">+I43</f>
        <v>8550</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v>25</v>
      </c>
      <c r="I44" s="55">
        <f t="shared" si="3"/>
        <v>6671</v>
      </c>
      <c r="J44" s="55">
        <f t="shared" si="4"/>
        <v>6671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25</v>
      </c>
      <c r="I45" s="55">
        <f t="shared" si="3"/>
        <v>3925</v>
      </c>
      <c r="J45" s="55">
        <f t="shared" si="4"/>
        <v>3925</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19146</v>
      </c>
    </row>
    <row r="50" spans="1:10" ht="13.9" customHeight="1" x14ac:dyDescent="0.25"/>
    <row r="51" spans="1:10" ht="13.9" customHeight="1" x14ac:dyDescent="0.25">
      <c r="E51" s="610" t="s">
        <v>276</v>
      </c>
      <c r="I51" s="611">
        <f>J49+J39+J18+J32</f>
        <v>1271610</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161">
    <tabColor theme="1"/>
  </sheetPr>
  <dimension ref="A1:L54"/>
  <sheetViews>
    <sheetView topLeftCell="A31" workbookViewId="0">
      <selection activeCell="G36" sqref="G36"/>
    </sheetView>
  </sheetViews>
  <sheetFormatPr baseColWidth="10" defaultColWidth="11.42578125" defaultRowHeight="14.25" x14ac:dyDescent="0.25"/>
  <cols>
    <col min="1" max="1" width="3.7109375" style="124" customWidth="1"/>
    <col min="2" max="2" width="11.42578125" style="124"/>
    <col min="3" max="3" width="8.140625" style="124" customWidth="1"/>
    <col min="4" max="4" width="8.5703125" style="124" customWidth="1"/>
    <col min="5" max="5" width="12.28515625" style="124" customWidth="1"/>
    <col min="6" max="6" width="11.7109375" style="124" customWidth="1"/>
    <col min="7" max="8" width="11" style="124" bestFit="1" customWidth="1"/>
    <col min="9" max="9" width="12.85546875" style="124" bestFit="1" customWidth="1"/>
    <col min="10" max="10" width="12" style="124" customWidth="1"/>
    <col min="11" max="16384" width="11.42578125" style="124"/>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3" spans="1:12" x14ac:dyDescent="0.25">
      <c r="A3" s="592"/>
      <c r="B3" s="592"/>
      <c r="C3" s="592"/>
      <c r="D3" s="592"/>
      <c r="E3" s="592"/>
      <c r="F3" s="592"/>
      <c r="G3" s="592"/>
      <c r="H3" s="592"/>
      <c r="I3" s="592"/>
      <c r="J3" s="592"/>
    </row>
    <row r="4" spans="1:12" s="366" customFormat="1" ht="9.9499999999999993" customHeight="1" x14ac:dyDescent="0.25">
      <c r="A4" s="1683" t="s">
        <v>246</v>
      </c>
      <c r="B4" s="1683"/>
      <c r="C4" s="1683"/>
      <c r="D4" s="1683"/>
      <c r="E4" s="1683"/>
      <c r="F4" s="1683"/>
      <c r="G4" s="1683"/>
      <c r="H4" s="1683"/>
      <c r="I4" s="1683"/>
      <c r="J4" s="1683"/>
    </row>
    <row r="5" spans="1:12" s="366" customFormat="1" ht="9.9499999999999993" customHeight="1" x14ac:dyDescent="0.25">
      <c r="A5" s="593"/>
      <c r="B5" s="594"/>
      <c r="C5" s="594"/>
      <c r="D5" s="594"/>
      <c r="E5" s="594"/>
      <c r="F5" s="594"/>
      <c r="G5" s="594"/>
      <c r="H5" s="593"/>
      <c r="I5" s="593"/>
      <c r="J5" s="593"/>
    </row>
    <row r="6" spans="1:12" x14ac:dyDescent="0.25">
      <c r="A6" s="1571" t="s">
        <v>247</v>
      </c>
      <c r="B6" s="1573"/>
      <c r="C6" s="595">
        <v>115</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blanco e= 125 mils. Cumpliendo con las especificaciones técnicas de la NTC 5868 Y NTC 4744</v>
      </c>
      <c r="D7" s="1685"/>
      <c r="E7" s="1685"/>
      <c r="F7" s="1685"/>
      <c r="G7" s="1685"/>
      <c r="H7" s="1685"/>
      <c r="I7" s="1685"/>
      <c r="J7" s="1686"/>
    </row>
    <row r="8" spans="1:12" x14ac:dyDescent="0.25">
      <c r="A8" s="592"/>
      <c r="B8" s="592"/>
      <c r="C8" s="592"/>
      <c r="D8" s="592"/>
      <c r="E8" s="592"/>
      <c r="F8" s="592"/>
      <c r="G8" s="592"/>
      <c r="H8" s="592"/>
      <c r="I8" s="592"/>
      <c r="J8" s="592"/>
    </row>
    <row r="9" spans="1:12" s="367" customFormat="1" ht="12.75" x14ac:dyDescent="0.25">
      <c r="A9" s="1673" t="s">
        <v>250</v>
      </c>
      <c r="B9" s="1673"/>
      <c r="C9" s="1673"/>
      <c r="D9" s="1673"/>
      <c r="E9" s="1673"/>
      <c r="F9" s="1673"/>
      <c r="G9" s="1673"/>
      <c r="H9" s="1673"/>
      <c r="I9" s="390"/>
      <c r="J9" s="390"/>
    </row>
    <row r="10" spans="1:12" s="366" customFormat="1" ht="13.9" customHeight="1" x14ac:dyDescent="0.25">
      <c r="A10" s="1674" t="s">
        <v>251</v>
      </c>
      <c r="B10" s="1675"/>
      <c r="C10" s="1675"/>
      <c r="D10" s="1676"/>
      <c r="E10" s="600" t="s">
        <v>252</v>
      </c>
      <c r="F10" s="600" t="s">
        <v>253</v>
      </c>
      <c r="G10" s="600" t="s">
        <v>254</v>
      </c>
      <c r="H10" s="600" t="s">
        <v>255</v>
      </c>
      <c r="I10" s="600" t="s">
        <v>256</v>
      </c>
      <c r="J10" s="600" t="s">
        <v>257</v>
      </c>
      <c r="L10" s="366" t="s">
        <v>158</v>
      </c>
    </row>
    <row r="11" spans="1:12" s="366"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60</v>
      </c>
      <c r="I11" s="55">
        <f t="shared" ref="I11:I13" si="0">IFERROR((G11/H11),0)</f>
        <v>133.33233333333334</v>
      </c>
      <c r="J11" s="55">
        <f>ROUND(I11,0)</f>
        <v>133</v>
      </c>
      <c r="L11" s="366" t="s">
        <v>278</v>
      </c>
    </row>
    <row r="12" spans="1:12" s="366"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60</v>
      </c>
      <c r="I12" s="55">
        <f t="shared" si="0"/>
        <v>220.36666666666667</v>
      </c>
      <c r="J12" s="55">
        <f t="shared" ref="J12:J13" si="1">ROUND(I12,0)</f>
        <v>220</v>
      </c>
      <c r="L12" s="366" t="s">
        <v>95</v>
      </c>
    </row>
    <row r="13" spans="1:12" s="366"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60</v>
      </c>
      <c r="I13" s="55">
        <f t="shared" si="0"/>
        <v>328.05333333333334</v>
      </c>
      <c r="J13" s="55">
        <f t="shared" si="1"/>
        <v>328</v>
      </c>
      <c r="L13" s="366" t="s">
        <v>159</v>
      </c>
    </row>
    <row r="14" spans="1:12" s="366" customFormat="1" ht="13.9" customHeight="1" x14ac:dyDescent="0.25">
      <c r="A14" s="1571"/>
      <c r="B14" s="1572"/>
      <c r="C14" s="1572"/>
      <c r="D14" s="1573"/>
      <c r="E14" s="53"/>
      <c r="F14" s="601"/>
      <c r="G14" s="602"/>
      <c r="H14" s="601"/>
      <c r="I14" s="55"/>
      <c r="J14" s="55"/>
      <c r="L14" s="366" t="s">
        <v>262</v>
      </c>
    </row>
    <row r="15" spans="1:12" s="366" customFormat="1" ht="13.9" customHeight="1" x14ac:dyDescent="0.25">
      <c r="A15" s="1571"/>
      <c r="B15" s="1572"/>
      <c r="C15" s="1572"/>
      <c r="D15" s="1573"/>
      <c r="E15" s="53"/>
      <c r="F15" s="601"/>
      <c r="G15" s="602"/>
      <c r="H15" s="601"/>
      <c r="I15" s="55"/>
      <c r="J15" s="55"/>
    </row>
    <row r="16" spans="1:12" s="366" customFormat="1" ht="13.9" customHeight="1" x14ac:dyDescent="0.25">
      <c r="A16" s="1571"/>
      <c r="B16" s="1572"/>
      <c r="C16" s="1572"/>
      <c r="D16" s="1573"/>
      <c r="E16" s="53"/>
      <c r="F16" s="601"/>
      <c r="G16" s="602"/>
      <c r="H16" s="601"/>
      <c r="I16" s="55"/>
      <c r="J16" s="55"/>
    </row>
    <row r="17" spans="1:10" s="366" customFormat="1" ht="13.9" customHeight="1" x14ac:dyDescent="0.25">
      <c r="A17" s="1571"/>
      <c r="B17" s="1572"/>
      <c r="C17" s="1572"/>
      <c r="D17" s="1573"/>
      <c r="E17" s="53"/>
      <c r="F17" s="601"/>
      <c r="G17" s="602"/>
      <c r="H17" s="601"/>
      <c r="I17" s="55"/>
      <c r="J17" s="55"/>
    </row>
    <row r="18" spans="1:10" s="366" customFormat="1" ht="13.9" customHeight="1" x14ac:dyDescent="0.25">
      <c r="A18" s="593"/>
      <c r="B18" s="593"/>
      <c r="C18" s="593"/>
      <c r="D18" s="593"/>
      <c r="E18" s="593"/>
      <c r="F18" s="593"/>
      <c r="G18" s="593"/>
      <c r="H18" s="593"/>
      <c r="I18" s="601" t="s">
        <v>257</v>
      </c>
      <c r="J18" s="605">
        <f>+SUM(J11:J17)</f>
        <v>681</v>
      </c>
    </row>
    <row r="19" spans="1:10" s="366" customFormat="1" ht="13.9" customHeight="1" x14ac:dyDescent="0.25">
      <c r="A19" s="593"/>
      <c r="B19" s="593"/>
      <c r="C19" s="593"/>
      <c r="D19" s="593"/>
      <c r="E19" s="593"/>
      <c r="F19" s="593"/>
      <c r="G19" s="593"/>
      <c r="H19" s="593"/>
      <c r="I19" s="593"/>
      <c r="J19" s="593"/>
    </row>
    <row r="20" spans="1:10" s="366" customFormat="1" ht="13.9" customHeight="1" x14ac:dyDescent="0.25">
      <c r="A20" s="1673" t="s">
        <v>263</v>
      </c>
      <c r="B20" s="1673"/>
      <c r="C20" s="1673"/>
      <c r="D20" s="1673"/>
      <c r="E20" s="1673"/>
      <c r="F20" s="1673"/>
      <c r="G20" s="1673"/>
      <c r="H20" s="1673"/>
      <c r="I20" s="390"/>
      <c r="J20" s="593"/>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'!B145</f>
        <v>CINTA TERMOPLATICO  PREFORMADA DE COLOR BLANCO E=125 mill</v>
      </c>
      <c r="B22" s="1638"/>
      <c r="C22" s="1638"/>
      <c r="D22" s="1638"/>
      <c r="E22" s="1638"/>
      <c r="F22" s="1639"/>
      <c r="G22" s="53" t="s">
        <v>12</v>
      </c>
      <c r="H22" s="54">
        <v>1</v>
      </c>
      <c r="I22" s="55">
        <f>+IFERROR(VLOOKUP(A22,'INSUMOS '!$B$2:$AP$167,'INSUMOS '!$AO$2+1,FALSE),0)</f>
        <v>400000</v>
      </c>
      <c r="J22" s="55">
        <f>ROUND(I22*H22,0)</f>
        <v>400000</v>
      </c>
    </row>
    <row r="23" spans="1:10" ht="13.9" customHeight="1" x14ac:dyDescent="0.25">
      <c r="A23" s="1637" t="str">
        <f>+'INSUMOS '!B44</f>
        <v>GAS PROPANO</v>
      </c>
      <c r="B23" s="1638"/>
      <c r="C23" s="1638"/>
      <c r="D23" s="1638"/>
      <c r="E23" s="1638"/>
      <c r="F23" s="1639"/>
      <c r="G23" s="53" t="s">
        <v>157</v>
      </c>
      <c r="H23" s="616">
        <v>1E-3</v>
      </c>
      <c r="I23" s="55">
        <f>+IFERROR(VLOOKUP(A23,'INSUMOS '!$B$2:$AP$167,'INSUMOS '!$AO$2+1,FALSE),0)</f>
        <v>1980</v>
      </c>
      <c r="J23" s="55">
        <f>ROUND(I23*H23,0)</f>
        <v>2</v>
      </c>
    </row>
    <row r="24" spans="1:10" ht="13.9" customHeight="1" x14ac:dyDescent="0.25">
      <c r="A24" s="1637"/>
      <c r="B24" s="1638"/>
      <c r="C24" s="1638"/>
      <c r="D24" s="1638"/>
      <c r="E24" s="1638"/>
      <c r="F24" s="1639"/>
      <c r="G24" s="53"/>
      <c r="H24" s="54"/>
      <c r="I24" s="55"/>
      <c r="J24" s="55"/>
    </row>
    <row r="25" spans="1:10" ht="13.9" customHeight="1" x14ac:dyDescent="0.25">
      <c r="A25" s="1637"/>
      <c r="B25" s="1638"/>
      <c r="C25" s="1638"/>
      <c r="D25" s="1638"/>
      <c r="E25" s="1638"/>
      <c r="F25" s="1639"/>
      <c r="G25" s="53"/>
      <c r="H25" s="54"/>
      <c r="I25" s="55"/>
      <c r="J25" s="55"/>
    </row>
    <row r="26" spans="1:10" ht="13.9" customHeight="1" x14ac:dyDescent="0.25">
      <c r="A26" s="1637"/>
      <c r="B26" s="1638"/>
      <c r="C26" s="1638"/>
      <c r="D26" s="1638"/>
      <c r="E26" s="1638"/>
      <c r="F26" s="1639"/>
      <c r="G26" s="53"/>
      <c r="H26" s="54"/>
      <c r="I26" s="55"/>
      <c r="J26" s="55"/>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F32" s="592"/>
      <c r="G32" s="593"/>
      <c r="H32" s="593"/>
      <c r="I32" s="601" t="s">
        <v>257</v>
      </c>
      <c r="J32" s="605">
        <f>+SUM(J22:J31)</f>
        <v>400002</v>
      </c>
    </row>
    <row r="33" spans="1:10" ht="13.9" customHeight="1" x14ac:dyDescent="0.25">
      <c r="A33" s="592"/>
      <c r="B33" s="592"/>
      <c r="C33" s="592"/>
      <c r="D33" s="592"/>
      <c r="E33" s="592"/>
      <c r="F33" s="592"/>
      <c r="G33" s="592"/>
      <c r="H33" s="592"/>
      <c r="I33" s="592"/>
      <c r="J33" s="592"/>
    </row>
    <row r="34" spans="1:10" ht="13.9" customHeight="1" x14ac:dyDescent="0.25">
      <c r="A34" s="1673" t="s">
        <v>267</v>
      </c>
      <c r="B34" s="1673"/>
      <c r="C34" s="1673"/>
      <c r="D34" s="1673"/>
      <c r="E34" s="1673"/>
      <c r="F34" s="1673"/>
      <c r="G34" s="1673"/>
      <c r="H34" s="1673"/>
      <c r="I34" s="390"/>
      <c r="J34" s="592"/>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A39" s="592"/>
      <c r="B39" s="592"/>
      <c r="C39" s="592"/>
      <c r="D39" s="592"/>
      <c r="E39" s="592"/>
      <c r="F39" s="592"/>
      <c r="G39" s="608"/>
      <c r="H39" s="608"/>
      <c r="I39" s="601" t="s">
        <v>257</v>
      </c>
      <c r="J39" s="55">
        <f>+SUM(J36:J38)</f>
        <v>510</v>
      </c>
    </row>
    <row r="40" spans="1:10" ht="13.9" customHeight="1" x14ac:dyDescent="0.25">
      <c r="A40" s="592"/>
      <c r="B40" s="592"/>
      <c r="C40" s="592"/>
      <c r="D40" s="592"/>
      <c r="E40" s="592"/>
      <c r="F40" s="592"/>
      <c r="G40" s="592"/>
      <c r="H40" s="592"/>
      <c r="I40" s="592"/>
      <c r="J40" s="592"/>
    </row>
    <row r="41" spans="1:10" ht="13.9" customHeight="1" x14ac:dyDescent="0.25">
      <c r="A41" s="1673" t="s">
        <v>270</v>
      </c>
      <c r="B41" s="1673"/>
      <c r="C41" s="1673"/>
      <c r="D41" s="1673"/>
      <c r="E41" s="1673"/>
      <c r="F41" s="1673"/>
      <c r="G41" s="1673"/>
      <c r="H41" s="1673"/>
      <c r="I41" s="390"/>
      <c r="J41" s="592"/>
    </row>
    <row r="42" spans="1:10" s="368" customFormat="1" ht="13.9" customHeight="1" x14ac:dyDescent="0.25">
      <c r="A42" s="1674" t="s">
        <v>271</v>
      </c>
      <c r="B42" s="1675"/>
      <c r="C42" s="1675"/>
      <c r="D42" s="1676"/>
      <c r="E42" s="600" t="s">
        <v>272</v>
      </c>
      <c r="F42" s="600" t="s">
        <v>264</v>
      </c>
      <c r="G42" s="600" t="s">
        <v>273</v>
      </c>
      <c r="H42" s="600" t="s">
        <v>255</v>
      </c>
      <c r="I42" s="600" t="s">
        <v>256</v>
      </c>
      <c r="J42" s="600" t="s">
        <v>257</v>
      </c>
    </row>
    <row r="43" spans="1:10" s="36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480</v>
      </c>
      <c r="I43" s="55">
        <f t="shared" ref="I43:I45" si="3">IFERROR(ROUND(G43/H43,0),0)</f>
        <v>445</v>
      </c>
      <c r="J43" s="55">
        <f t="shared" ref="J43:J45" si="4">+I43</f>
        <v>445</v>
      </c>
    </row>
    <row r="44" spans="1:10" s="36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480</v>
      </c>
      <c r="I44" s="55">
        <f t="shared" si="3"/>
        <v>347</v>
      </c>
      <c r="J44" s="55">
        <f t="shared" si="4"/>
        <v>347</v>
      </c>
    </row>
    <row r="45" spans="1:10" s="368" customFormat="1" ht="13.9" customHeight="1" x14ac:dyDescent="0.25">
      <c r="A45" s="1571" t="str">
        <f>+PERSONAL!B4</f>
        <v>AUXILIAR DE TRÁFICO NOCTURNO</v>
      </c>
      <c r="B45" s="1572"/>
      <c r="C45" s="1572"/>
      <c r="D45" s="1573"/>
      <c r="E45" s="609">
        <f>+VLOOKUP(A45,PERSONAL!$B$3:$E$100,4,FALSE)</f>
        <v>98122</v>
      </c>
      <c r="F45" s="601">
        <v>1</v>
      </c>
      <c r="G45" s="609">
        <f t="shared" si="2"/>
        <v>98122</v>
      </c>
      <c r="H45" s="54">
        <f>IF(A45="","",IFERROR(H14*8,0))</f>
        <v>0</v>
      </c>
      <c r="I45" s="55">
        <f t="shared" si="3"/>
        <v>0</v>
      </c>
      <c r="J45" s="55">
        <f t="shared" si="4"/>
        <v>0</v>
      </c>
    </row>
    <row r="46" spans="1:10" s="368" customFormat="1" ht="13.9" customHeight="1" x14ac:dyDescent="0.25">
      <c r="A46" s="1571"/>
      <c r="B46" s="1572"/>
      <c r="C46" s="1572"/>
      <c r="D46" s="1573"/>
      <c r="E46" s="609"/>
      <c r="F46" s="601"/>
      <c r="G46" s="609"/>
      <c r="H46" s="54"/>
      <c r="I46" s="55"/>
      <c r="J46" s="55"/>
    </row>
    <row r="47" spans="1:10" s="368" customFormat="1" ht="13.9" customHeight="1" x14ac:dyDescent="0.25">
      <c r="A47" s="1571"/>
      <c r="B47" s="1572"/>
      <c r="C47" s="1572"/>
      <c r="D47" s="1573"/>
      <c r="E47" s="609"/>
      <c r="F47" s="601"/>
      <c r="G47" s="609"/>
      <c r="H47" s="54"/>
      <c r="I47" s="55"/>
      <c r="J47" s="55"/>
    </row>
    <row r="48" spans="1:10" s="368" customFormat="1" ht="13.9" customHeight="1" x14ac:dyDescent="0.25">
      <c r="A48" s="1571"/>
      <c r="B48" s="1572"/>
      <c r="C48" s="1572"/>
      <c r="D48" s="1573"/>
      <c r="E48" s="609"/>
      <c r="F48" s="601"/>
      <c r="G48" s="609"/>
      <c r="H48" s="54"/>
      <c r="I48" s="55"/>
      <c r="J48" s="55"/>
    </row>
    <row r="49" spans="1:10" ht="13.9" customHeight="1" x14ac:dyDescent="0.25">
      <c r="A49" s="593"/>
      <c r="B49" s="593"/>
      <c r="C49" s="593"/>
      <c r="D49" s="592"/>
      <c r="E49" s="593"/>
      <c r="F49" s="593"/>
      <c r="G49" s="593"/>
      <c r="H49" s="593"/>
      <c r="I49" s="601" t="s">
        <v>257</v>
      </c>
      <c r="J49" s="605">
        <f>+SUM(J43:J48)</f>
        <v>792</v>
      </c>
    </row>
    <row r="50" spans="1:10" ht="13.9" customHeight="1" x14ac:dyDescent="0.25">
      <c r="A50" s="592"/>
      <c r="B50" s="592"/>
      <c r="C50" s="592"/>
      <c r="D50" s="592"/>
      <c r="E50" s="592"/>
      <c r="F50" s="592"/>
      <c r="G50" s="592"/>
      <c r="H50" s="592"/>
      <c r="I50" s="592"/>
      <c r="J50" s="592"/>
    </row>
    <row r="51" spans="1:10" ht="13.9" customHeight="1" x14ac:dyDescent="0.25">
      <c r="A51" s="592"/>
      <c r="B51" s="592"/>
      <c r="C51" s="592"/>
      <c r="D51" s="592"/>
      <c r="E51" s="610" t="s">
        <v>276</v>
      </c>
      <c r="F51" s="592"/>
      <c r="G51" s="592"/>
      <c r="H51" s="592"/>
      <c r="I51" s="611">
        <f>+J49+J39+J32+J18</f>
        <v>401985</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140">
    <tabColor theme="1"/>
  </sheetPr>
  <dimension ref="A1:L54"/>
  <sheetViews>
    <sheetView topLeftCell="A34"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114</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de cinta en termoplástico preformada de color blanco e= 90 mils. Cumpliendo con las especificaciones técnicas de la NTC 5868 Y NTC 4744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202</v>
      </c>
      <c r="F11" s="601" t="str">
        <f>IFERROR(VLOOKUP(A11,'[10]EQUIPOS TRANSPOR SALARIO'!$A$3:$G$42,2,FALSE),"")</f>
        <v>Eléctrico</v>
      </c>
      <c r="G11" s="602">
        <f>+VLOOKUP(A11,'EQUIPOS '!$B$3:$M$64,12,FALSE)</f>
        <v>7999.94</v>
      </c>
      <c r="H11" s="601">
        <v>65</v>
      </c>
      <c r="I11" s="55">
        <f t="shared" ref="I11:I13" si="0">IFERROR((G11/H11),0)</f>
        <v>123.07599999999999</v>
      </c>
      <c r="J11" s="55">
        <f>ROUND(I11,0)</f>
        <v>123</v>
      </c>
      <c r="L11" s="593" t="s">
        <v>278</v>
      </c>
    </row>
    <row r="12" spans="1:12" s="593" customFormat="1" ht="13.9" customHeight="1" x14ac:dyDescent="0.25">
      <c r="A12" s="1571" t="str">
        <f>+'EQUIPOS '!B46</f>
        <v xml:space="preserve"> PMT (KIT )</v>
      </c>
      <c r="B12" s="1572"/>
      <c r="C12" s="1572"/>
      <c r="D12" s="1573"/>
      <c r="E12" s="53" t="s">
        <v>202</v>
      </c>
      <c r="F12" s="601" t="str">
        <f>IFERROR(VLOOKUP(A12,'[10]EQUIPOS TRANSPOR SALARIO'!$A$3:$G$42,2,FALSE),"")</f>
        <v/>
      </c>
      <c r="G12" s="602">
        <f>+VLOOKUP(A12,'EQUIPOS '!$B$3:$M$64,12,FALSE)</f>
        <v>13222</v>
      </c>
      <c r="H12" s="601">
        <f>+H11</f>
        <v>65</v>
      </c>
      <c r="I12" s="55">
        <f t="shared" si="0"/>
        <v>203.41538461538462</v>
      </c>
      <c r="J12" s="55">
        <f t="shared" ref="J12:J13" si="1">ROUND(I12,0)</f>
        <v>203</v>
      </c>
      <c r="L12" s="593" t="s">
        <v>95</v>
      </c>
    </row>
    <row r="13" spans="1:12" s="593" customFormat="1" ht="13.9" customHeight="1" x14ac:dyDescent="0.25">
      <c r="A13" s="1571" t="str">
        <f>+'EQUIPOS '!B60</f>
        <v xml:space="preserve">ANTORCHA </v>
      </c>
      <c r="B13" s="1572"/>
      <c r="C13" s="1572"/>
      <c r="D13" s="1573"/>
      <c r="E13" s="53" t="s">
        <v>202</v>
      </c>
      <c r="F13" s="601" t="str">
        <f>IFERROR(VLOOKUP(A13,'[10]EQUIPOS TRANSPOR SALARIO'!$A$3:$G$42,2,FALSE),"")</f>
        <v/>
      </c>
      <c r="G13" s="602">
        <f>+VLOOKUP(A13,'EQUIPOS '!$B$3:$M$64,12,FALSE)</f>
        <v>19683.2</v>
      </c>
      <c r="H13" s="601">
        <f>+H12</f>
        <v>65</v>
      </c>
      <c r="I13" s="55">
        <f t="shared" si="0"/>
        <v>302.81846153846158</v>
      </c>
      <c r="J13" s="55">
        <f t="shared" si="1"/>
        <v>303</v>
      </c>
      <c r="L13" s="593" t="s">
        <v>159</v>
      </c>
    </row>
    <row r="14" spans="1:12" s="593" customFormat="1" ht="13.9" customHeight="1" x14ac:dyDescent="0.25">
      <c r="A14" s="1571"/>
      <c r="B14" s="1572"/>
      <c r="C14" s="1572"/>
      <c r="D14" s="1573"/>
      <c r="E14" s="53"/>
      <c r="F14" s="601"/>
      <c r="G14" s="602"/>
      <c r="H14" s="601"/>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c r="G16" s="602"/>
      <c r="H16" s="601"/>
      <c r="I16" s="55"/>
      <c r="J16" s="55"/>
    </row>
    <row r="17" spans="1:10" s="593" customFormat="1" ht="13.9" customHeight="1" x14ac:dyDescent="0.25">
      <c r="A17" s="1571"/>
      <c r="B17" s="1572"/>
      <c r="C17" s="1572"/>
      <c r="D17" s="1573"/>
      <c r="E17" s="53"/>
      <c r="F17" s="601"/>
      <c r="G17" s="602"/>
      <c r="H17" s="601"/>
      <c r="I17" s="55"/>
      <c r="J17" s="55"/>
    </row>
    <row r="18" spans="1:10" s="593" customFormat="1" ht="13.9" customHeight="1" x14ac:dyDescent="0.25">
      <c r="I18" s="601" t="s">
        <v>257</v>
      </c>
      <c r="J18" s="605">
        <f>+SUM(J11:J17)</f>
        <v>629</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'!B144</f>
        <v>CINTA TERMOPLASTICO  PREFORMADA DE COLOR BLANCO E= 90 mill</v>
      </c>
      <c r="B22" s="1638"/>
      <c r="C22" s="1638"/>
      <c r="D22" s="1638"/>
      <c r="E22" s="1638"/>
      <c r="F22" s="1639"/>
      <c r="G22" s="53" t="s">
        <v>12</v>
      </c>
      <c r="H22" s="54">
        <v>1</v>
      </c>
      <c r="I22" s="33">
        <f>+IFERROR(VLOOKUP(A22,'INSUMOS '!$B$2:$AP$167,'INSUMOS '!$AO$2+1,FALSE),0)</f>
        <v>332000</v>
      </c>
      <c r="J22" s="55">
        <f>ROUND(I22*H22,0)</f>
        <v>332000</v>
      </c>
    </row>
    <row r="23" spans="1:10" ht="13.9" customHeight="1" x14ac:dyDescent="0.25">
      <c r="A23" s="1637" t="str">
        <f>+'INSUMOS '!B44</f>
        <v>GAS PROPANO</v>
      </c>
      <c r="B23" s="1638"/>
      <c r="C23" s="1638"/>
      <c r="D23" s="1638"/>
      <c r="E23" s="1638"/>
      <c r="F23" s="1639"/>
      <c r="G23" s="53" t="s">
        <v>157</v>
      </c>
      <c r="H23" s="616">
        <v>1E-3</v>
      </c>
      <c r="I23" s="33">
        <f>+IFERROR(VLOOKUP(A23,'INSUMOS '!$B$2:$AP$167,'INSUMOS '!$AO$2+1,FALSE),0)</f>
        <v>1980</v>
      </c>
      <c r="J23" s="55">
        <f>ROUND(I23*H23,0)</f>
        <v>2</v>
      </c>
    </row>
    <row r="24" spans="1:10" ht="13.9" customHeight="1" x14ac:dyDescent="0.25">
      <c r="A24" s="1637"/>
      <c r="B24" s="1638"/>
      <c r="C24" s="1638"/>
      <c r="D24" s="1638"/>
      <c r="E24" s="1638"/>
      <c r="F24" s="1639"/>
      <c r="G24" s="53"/>
      <c r="H24" s="54"/>
      <c r="I24" s="55"/>
      <c r="J24" s="55"/>
    </row>
    <row r="25" spans="1:10" ht="13.9" customHeight="1" x14ac:dyDescent="0.25">
      <c r="A25" s="1637"/>
      <c r="B25" s="1638"/>
      <c r="C25" s="1638"/>
      <c r="D25" s="1638"/>
      <c r="E25" s="1638"/>
      <c r="F25" s="1639"/>
      <c r="G25" s="53"/>
      <c r="H25" s="54"/>
      <c r="I25" s="55"/>
      <c r="J25" s="55"/>
    </row>
    <row r="26" spans="1:10" ht="13.9" customHeight="1" x14ac:dyDescent="0.25">
      <c r="A26" s="1637"/>
      <c r="B26" s="1638"/>
      <c r="C26" s="1638"/>
      <c r="D26" s="1638"/>
      <c r="E26" s="1638"/>
      <c r="F26" s="1639"/>
      <c r="G26" s="53"/>
      <c r="H26" s="54"/>
      <c r="I26" s="55"/>
      <c r="J26" s="55"/>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332002</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520</v>
      </c>
      <c r="I43" s="55">
        <f t="shared" ref="I43:I45" si="3">IFERROR(ROUND(G43/H43,0),0)</f>
        <v>411</v>
      </c>
      <c r="J43" s="55">
        <f t="shared" ref="J43:J45" si="4">+I43</f>
        <v>411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520</v>
      </c>
      <c r="I44" s="55">
        <f t="shared" si="3"/>
        <v>321</v>
      </c>
      <c r="J44" s="55">
        <f t="shared" si="4"/>
        <v>321</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520</v>
      </c>
      <c r="I45" s="55">
        <f t="shared" si="3"/>
        <v>189</v>
      </c>
      <c r="J45" s="55">
        <f t="shared" si="4"/>
        <v>189</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921</v>
      </c>
    </row>
    <row r="50" spans="1:10" ht="13.9" customHeight="1" x14ac:dyDescent="0.25"/>
    <row r="51" spans="1:10" ht="13.9" customHeight="1" x14ac:dyDescent="0.25">
      <c r="E51" s="610" t="s">
        <v>276</v>
      </c>
      <c r="I51" s="611">
        <f>+J49+J39+J32+J18</f>
        <v>334062</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141">
    <tabColor theme="1"/>
  </sheetPr>
  <dimension ref="A1:L54"/>
  <sheetViews>
    <sheetView topLeftCell="A31"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5.42578125" style="592" bestFit="1" customWidth="1"/>
    <col min="10" max="10" width="13.28515625" style="592" bestFit="1"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113</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Islas peatonales ancho min 1,8 m, altura entre 10 y 15 cm, material con alta resistencia al impacto, incluye elementos de sujeción (figura 6.8 Resolución 20243040045005 de 17 de septiembre de 2024)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v>1</v>
      </c>
      <c r="I11" s="55">
        <f t="shared" ref="I11:I14" si="0">IFERROR((G11/H11),0)</f>
        <v>7999.94</v>
      </c>
      <c r="J11" s="55">
        <f>ROUND(I11,0)</f>
        <v>8000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1</v>
      </c>
      <c r="I12" s="55">
        <f t="shared" si="0"/>
        <v>13222</v>
      </c>
      <c r="J12" s="55">
        <f t="shared" ref="J12:J14" si="1">ROUND(I12,0)</f>
        <v>13222</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1</v>
      </c>
      <c r="I13" s="55">
        <f t="shared" si="0"/>
        <v>12771</v>
      </c>
      <c r="J13" s="55">
        <f t="shared" si="1"/>
        <v>12771</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1</v>
      </c>
      <c r="I14" s="55">
        <f t="shared" si="0"/>
        <v>3687.5</v>
      </c>
      <c r="J14" s="55">
        <f t="shared" si="1"/>
        <v>3688</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37681</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'!B138</f>
        <v>ISLAS PEATONALES ANCHO MIN 1,8 M, ALTURA ENTRE 10 Y 15 CM, MATERIAL CON ALTA RESISTENCIA AL IMPACTO, INCLUYE ELEMENTOS DE SUJECIÓN</v>
      </c>
      <c r="B22" s="1638"/>
      <c r="C22" s="1638"/>
      <c r="D22" s="1638"/>
      <c r="E22" s="1638"/>
      <c r="F22" s="1639"/>
      <c r="G22" s="53" t="str">
        <f>+VLOOKUP(A22,'INSUMOS '!$B$3:$C$144,2,FALSE)</f>
        <v>UN</v>
      </c>
      <c r="H22" s="54">
        <v>1</v>
      </c>
      <c r="I22" s="33">
        <f>+IFERROR(VLOOKUP(A22,'INSUMOS '!$B$2:$AP$167,'INSUMOS '!$AO$2+1,FALSE),0)</f>
        <v>24807319.889408</v>
      </c>
      <c r="J22" s="55">
        <f>ROUND(I22*H22,0)</f>
        <v>24807320</v>
      </c>
    </row>
    <row r="23" spans="1:10" ht="13.9" customHeight="1" x14ac:dyDescent="0.25">
      <c r="A23" s="1637" t="str">
        <f>+'INSUMOS '!B65</f>
        <v>PEGANTE EPOXICO</v>
      </c>
      <c r="B23" s="1638"/>
      <c r="C23" s="1638"/>
      <c r="D23" s="1638"/>
      <c r="E23" s="1638"/>
      <c r="F23" s="1639"/>
      <c r="G23" s="53" t="str">
        <f>+VLOOKUP(A23,'INSUMOS '!$B$3:$C$128,2,FALSE)</f>
        <v>KG</v>
      </c>
      <c r="H23" s="54">
        <v>0.6</v>
      </c>
      <c r="I23" s="33">
        <f>+IFERROR(VLOOKUP(A23,'INSUMOS '!$B$2:$AP$167,'INSUMOS '!$AO$2+1,FALSE),0)</f>
        <v>146748</v>
      </c>
      <c r="J23" s="55">
        <f>ROUND(I23*H23,0)</f>
        <v>88049</v>
      </c>
    </row>
    <row r="24" spans="1:10" ht="13.9" customHeight="1" x14ac:dyDescent="0.25">
      <c r="A24" s="1637" t="str">
        <f>+'INSUMOS '!B115</f>
        <v>CHAZO DE EXPANSION 5/16 *4</v>
      </c>
      <c r="B24" s="1638"/>
      <c r="C24" s="1638"/>
      <c r="D24" s="1638"/>
      <c r="E24" s="1638"/>
      <c r="F24" s="1639"/>
      <c r="G24" s="53" t="str">
        <f>+VLOOKUP(A24,'INSUMOS '!$B$3:$C$128,2,FALSE)</f>
        <v>UN</v>
      </c>
      <c r="H24" s="54">
        <v>8</v>
      </c>
      <c r="I24" s="33">
        <f>+IFERROR(VLOOKUP(A24,'INSUMOS '!$B$2:$AP$167,'INSUMOS '!$AO$2+1,FALSE),0)</f>
        <v>700</v>
      </c>
      <c r="J24" s="55">
        <f>ROUND(I24*H24,0)</f>
        <v>5600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24901257</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8</v>
      </c>
      <c r="I43" s="55">
        <f t="shared" ref="I43:I45" si="3">IFERROR(ROUND(G43/H43,0),0)</f>
        <v>26718</v>
      </c>
      <c r="J43" s="55">
        <f t="shared" ref="J43:J45" si="4">+I43</f>
        <v>26718</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8</v>
      </c>
      <c r="I44" s="55">
        <f t="shared" si="3"/>
        <v>20846</v>
      </c>
      <c r="J44" s="55">
        <f t="shared" si="4"/>
        <v>20846</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IF(A45="","",IFERROR(H14*8,0))</f>
        <v>8</v>
      </c>
      <c r="I45" s="55">
        <f t="shared" si="3"/>
        <v>12265</v>
      </c>
      <c r="J45" s="55">
        <f t="shared" si="4"/>
        <v>12265</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59829</v>
      </c>
    </row>
    <row r="50" spans="1:10" ht="13.9" customHeight="1" x14ac:dyDescent="0.25"/>
    <row r="51" spans="1:10" ht="13.9" customHeight="1" x14ac:dyDescent="0.25">
      <c r="E51" s="610" t="s">
        <v>276</v>
      </c>
      <c r="I51" s="611">
        <f>J49+J39+J32+J18</f>
        <v>24999277</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142">
    <tabColor theme="1"/>
  </sheetPr>
  <dimension ref="A1:L54"/>
  <sheetViews>
    <sheetView topLeftCell="A29"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112</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Tope vehicular vertical, material con alta resistencia al impacto, altura min 60 cm con una banda de 15 cm en papel reflectivo blanco tipo IV o superior, diámetro min 60 mm (figura 5-20 Resolución 20243040045005 de 17 de septiembre de 2024), incluye elementos de sujeción</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v>10</v>
      </c>
      <c r="I11" s="55">
        <f t="shared" ref="I11:I14" si="0">IFERROR((G11/H11),0)</f>
        <v>799.99399999999991</v>
      </c>
      <c r="J11" s="55">
        <f>ROUND(I11,0)</f>
        <v>800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10</v>
      </c>
      <c r="I12" s="55">
        <f t="shared" si="0"/>
        <v>1322.2</v>
      </c>
      <c r="J12" s="55">
        <f t="shared" ref="J12:J14" si="1">ROUND(I12,0)</f>
        <v>1322</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10</v>
      </c>
      <c r="I13" s="55">
        <f t="shared" si="0"/>
        <v>1277.0999999999999</v>
      </c>
      <c r="J13" s="55">
        <f t="shared" si="1"/>
        <v>1277</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10</v>
      </c>
      <c r="I14" s="55">
        <f t="shared" si="0"/>
        <v>368.75</v>
      </c>
      <c r="J14" s="55">
        <f t="shared" si="1"/>
        <v>369</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3768</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'!B132</f>
        <v>TOPE VEHICULAR VERTICAL, MATERIAL CON ALTA RESISTENCIA AL IMPACTO, ALTURA MIN 60 CM CON UNA BANDA DE 15 CM EN PAPEL REFLECTIVA BLANCO TIPO IV O SUPERIOR</v>
      </c>
      <c r="B22" s="1638"/>
      <c r="C22" s="1638"/>
      <c r="D22" s="1638"/>
      <c r="E22" s="1638"/>
      <c r="F22" s="1639"/>
      <c r="G22" s="53" t="str">
        <f>+VLOOKUP(A22,'INSUMOS '!$B$3:$C$144,2,FALSE)</f>
        <v>UN</v>
      </c>
      <c r="H22" s="54">
        <v>1</v>
      </c>
      <c r="I22" s="33">
        <f>+IFERROR(VLOOKUP(A22,'INSUMOS '!$B$2:$AP$167,'INSUMOS '!$AO$2+1,FALSE),0)</f>
        <v>84000</v>
      </c>
      <c r="J22" s="55">
        <f>ROUND(I22*H22,0)</f>
        <v>84000</v>
      </c>
    </row>
    <row r="23" spans="1:10" ht="13.9" customHeight="1" x14ac:dyDescent="0.25">
      <c r="A23" s="1637" t="str">
        <f>+'INSUMOS '!B65</f>
        <v>PEGANTE EPOXICO</v>
      </c>
      <c r="B23" s="1638"/>
      <c r="C23" s="1638"/>
      <c r="D23" s="1638"/>
      <c r="E23" s="1638"/>
      <c r="F23" s="1639"/>
      <c r="G23" s="53" t="str">
        <f>+VLOOKUP(A23,'INSUMOS '!$B$3:$C$128,2,FALSE)</f>
        <v>KG</v>
      </c>
      <c r="H23" s="54">
        <v>0.1</v>
      </c>
      <c r="I23" s="33">
        <f>+IFERROR(VLOOKUP(A23,'INSUMOS '!$B$2:$AP$167,'INSUMOS '!$AO$2+1,FALSE),0)</f>
        <v>146748</v>
      </c>
      <c r="J23" s="55">
        <f>ROUND(I23*H23,0)</f>
        <v>14675</v>
      </c>
    </row>
    <row r="24" spans="1:10" ht="13.9" customHeight="1" x14ac:dyDescent="0.25">
      <c r="A24" s="1637" t="str">
        <f>+'INSUMOS '!B115</f>
        <v>CHAZO DE EXPANSION 5/16 *4</v>
      </c>
      <c r="B24" s="1638"/>
      <c r="C24" s="1638"/>
      <c r="D24" s="1638"/>
      <c r="E24" s="1638"/>
      <c r="F24" s="1639"/>
      <c r="G24" s="53" t="str">
        <f>+VLOOKUP(A24,'INSUMOS '!$B$3:$C$128,2,FALSE)</f>
        <v>UN</v>
      </c>
      <c r="H24" s="54">
        <v>3</v>
      </c>
      <c r="I24" s="33">
        <f>+IFERROR(VLOOKUP(A24,'INSUMOS '!$B$2:$AP$167,'INSUMOS '!$AO$2+1,FALSE),0)</f>
        <v>700</v>
      </c>
      <c r="J24" s="55">
        <f>ROUND(I24*H24,0)</f>
        <v>2100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101063</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70</v>
      </c>
      <c r="I43" s="55">
        <f t="shared" ref="I43:I45" si="3">IFERROR(ROUND(G43/H43,0),0)</f>
        <v>3053</v>
      </c>
      <c r="J43" s="55">
        <f t="shared" ref="J43:J45" si="4">+I43</f>
        <v>3053</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v>70</v>
      </c>
      <c r="I44" s="55">
        <f t="shared" si="3"/>
        <v>2382</v>
      </c>
      <c r="J44" s="55">
        <f t="shared" si="4"/>
        <v>2382</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70</v>
      </c>
      <c r="I45" s="55">
        <f t="shared" si="3"/>
        <v>1402</v>
      </c>
      <c r="J45" s="55">
        <f t="shared" si="4"/>
        <v>1402</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6837</v>
      </c>
    </row>
    <row r="50" spans="1:10" ht="13.9" customHeight="1" x14ac:dyDescent="0.25"/>
    <row r="51" spans="1:10" ht="13.9" customHeight="1" x14ac:dyDescent="0.25">
      <c r="E51" s="610" t="s">
        <v>276</v>
      </c>
      <c r="I51" s="611">
        <f>J49+J39+J32+J18</f>
        <v>112178</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143">
    <tabColor theme="1"/>
  </sheetPr>
  <dimension ref="A1:L54"/>
  <sheetViews>
    <sheetView topLeftCell="A29"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111</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 xml:space="preserve">Baliza destellante de color amarillo, de acuerdo con el numeral 3.18.5 Resolución 20243040045005 de 17 de septiembre de 2024  </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v>10</v>
      </c>
      <c r="I11" s="55">
        <f t="shared" ref="I11:I14" si="0">IFERROR((G11/H11),0)</f>
        <v>799.99399999999991</v>
      </c>
      <c r="J11" s="55">
        <f>ROUND(I11,0)</f>
        <v>800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10</v>
      </c>
      <c r="I12" s="55">
        <f t="shared" si="0"/>
        <v>1322.2</v>
      </c>
      <c r="J12" s="55">
        <f t="shared" ref="J12:J14" si="1">ROUND(I12,0)</f>
        <v>1322</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10</v>
      </c>
      <c r="I13" s="55">
        <f t="shared" si="0"/>
        <v>1277.0999999999999</v>
      </c>
      <c r="J13" s="55">
        <f t="shared" si="1"/>
        <v>1277</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10</v>
      </c>
      <c r="I14" s="55">
        <f t="shared" si="0"/>
        <v>368.75</v>
      </c>
      <c r="J14" s="55">
        <f t="shared" si="1"/>
        <v>369</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3768</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'!B142</f>
        <v>BALIZA DESTELLANTE</v>
      </c>
      <c r="B22" s="1638"/>
      <c r="C22" s="1638"/>
      <c r="D22" s="1638"/>
      <c r="E22" s="1638"/>
      <c r="F22" s="1639"/>
      <c r="G22" s="53" t="str">
        <f>+VLOOKUP(A22,'INSUMOS '!$B$3:$C$144,2,FALSE)</f>
        <v>UN</v>
      </c>
      <c r="H22" s="54">
        <v>1</v>
      </c>
      <c r="I22" s="33">
        <f>+IFERROR(VLOOKUP(A22,'INSUMOS '!$B$2:$AP$167,'INSUMOS '!$AO$2+1,FALSE),0)</f>
        <v>187080.37005</v>
      </c>
      <c r="J22" s="55">
        <f>ROUND(I22*H22,0)</f>
        <v>187080</v>
      </c>
    </row>
    <row r="23" spans="1:10" ht="13.9" customHeight="1" x14ac:dyDescent="0.25">
      <c r="A23" s="1637" t="str">
        <f>+'INSUMOS '!B65</f>
        <v>PEGANTE EPOXICO</v>
      </c>
      <c r="B23" s="1638"/>
      <c r="C23" s="1638"/>
      <c r="D23" s="1638"/>
      <c r="E23" s="1638"/>
      <c r="F23" s="1639"/>
      <c r="G23" s="53" t="str">
        <f>+VLOOKUP(A23,'INSUMOS '!$B$3:$C$128,2,FALSE)</f>
        <v>KG</v>
      </c>
      <c r="H23" s="54">
        <v>0.1</v>
      </c>
      <c r="I23" s="33">
        <f>+IFERROR(VLOOKUP(A23,'INSUMOS '!$B$2:$AP$167,'INSUMOS '!$AO$2+1,FALSE),0)</f>
        <v>146748</v>
      </c>
      <c r="J23" s="55">
        <f>ROUND(I23*H23,0)</f>
        <v>14675</v>
      </c>
    </row>
    <row r="24" spans="1:10" ht="13.9" customHeight="1" x14ac:dyDescent="0.25">
      <c r="A24" s="1637" t="str">
        <f>+'INSUMOS '!B115</f>
        <v>CHAZO DE EXPANSION 5/16 *4</v>
      </c>
      <c r="B24" s="1638"/>
      <c r="C24" s="1638"/>
      <c r="D24" s="1638"/>
      <c r="E24" s="1638"/>
      <c r="F24" s="1639"/>
      <c r="G24" s="53" t="str">
        <f>+VLOOKUP(A24,'INSUMOS '!$B$3:$C$128,2,FALSE)</f>
        <v>UN</v>
      </c>
      <c r="H24" s="54">
        <v>3</v>
      </c>
      <c r="I24" s="33">
        <f>+IFERROR(VLOOKUP(A24,'INSUMOS '!$B$2:$AP$167,'INSUMOS '!$AO$2+1,FALSE),0)</f>
        <v>700</v>
      </c>
      <c r="J24" s="55">
        <f>ROUND(I24*H24,0)</f>
        <v>2100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204143</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(50/1000)/12</f>
        <v>4.1666666666666666E-3</v>
      </c>
      <c r="H36" s="55">
        <f>+IFERROR(VLOOKUP(A36,'EQUIPOS '!$B$3:$M$78,12,FALSE),0)</f>
        <v>611492.5</v>
      </c>
      <c r="I36" s="55">
        <f>IFERROR(H36*G36,0)</f>
        <v>2547.8854166666665</v>
      </c>
      <c r="J36" s="55">
        <f>ROUND(I36,0)</f>
        <v>2548</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2548</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+E43*F43</f>
        <v>213741</v>
      </c>
      <c r="H43" s="54">
        <v>70</v>
      </c>
      <c r="I43" s="55">
        <f>IFERROR(ROUND(G43/H43,0),0)</f>
        <v>3053</v>
      </c>
      <c r="J43" s="55">
        <f>+I43</f>
        <v>3053</v>
      </c>
    </row>
    <row r="44" spans="1:10" s="608" customFormat="1" ht="13.9" customHeight="1" x14ac:dyDescent="0.25">
      <c r="A44" s="1571" t="str">
        <f>+PERSONAL!B6</f>
        <v>AYUDANTE NOCTURNO</v>
      </c>
      <c r="B44" s="1572"/>
      <c r="C44" s="1572"/>
      <c r="D44" s="1573"/>
      <c r="E44" s="609">
        <f>+VLOOKUP(A44,PERSONAL!$B$3:$E$100,4,FALSE)</f>
        <v>83383</v>
      </c>
      <c r="F44" s="601">
        <v>2</v>
      </c>
      <c r="G44" s="609">
        <f>+E44*F44</f>
        <v>166766</v>
      </c>
      <c r="H44" s="54">
        <v>70</v>
      </c>
      <c r="I44" s="55">
        <f>IFERROR(ROUND(G44/H44,0),0)</f>
        <v>2382</v>
      </c>
      <c r="J44" s="55">
        <f>+I44</f>
        <v>2382</v>
      </c>
    </row>
    <row r="45" spans="1:10" s="608" customFormat="1" ht="13.9" customHeight="1" x14ac:dyDescent="0.25">
      <c r="A45" s="1571" t="str">
        <f>+PERSONAL!B4</f>
        <v>AUXILIAR DE TRÁFICO NOCTURNO</v>
      </c>
      <c r="B45" s="1572"/>
      <c r="C45" s="1572"/>
      <c r="D45" s="1573"/>
      <c r="E45" s="609">
        <f>+VLOOKUP(A45,PERSONAL!$B$3:$E$100,4,FALSE)</f>
        <v>98122</v>
      </c>
      <c r="F45" s="601">
        <v>1</v>
      </c>
      <c r="G45" s="609">
        <f>+E45*F45</f>
        <v>98122</v>
      </c>
      <c r="H45" s="54">
        <v>70</v>
      </c>
      <c r="I45" s="55">
        <f>IFERROR(ROUND(G45/H45,0),0)</f>
        <v>1402</v>
      </c>
      <c r="J45" s="55">
        <f>+I45</f>
        <v>1402</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6837</v>
      </c>
    </row>
    <row r="50" spans="1:10" ht="13.9" customHeight="1" x14ac:dyDescent="0.25"/>
    <row r="51" spans="1:10" ht="13.9" customHeight="1" x14ac:dyDescent="0.25">
      <c r="E51" s="610" t="s">
        <v>276</v>
      </c>
      <c r="I51" s="611">
        <f>J18+J32+J39+J49</f>
        <v>217296</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Hoja145">
    <tabColor theme="1"/>
  </sheetPr>
  <dimension ref="A1:L54"/>
  <sheetViews>
    <sheetView topLeftCell="A35"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110</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Suministro e instalación caneca vial de señalización en PVC o similar, color  naranja, cuatro franjas horizontales (2 blancas, 2 naranja de material reflectivo tipo IV o superior), altura 140 cm, figura 7-16 Resolución 20243040045005 de 17 de septiembre de 2024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c r="I11" s="55"/>
      <c r="J11" s="55"/>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v>50</v>
      </c>
      <c r="I12" s="55">
        <f t="shared" ref="I12" si="0">IFERROR((G12/H12),0)</f>
        <v>264.44</v>
      </c>
      <c r="J12" s="55">
        <f t="shared" ref="J12" si="1">ROUND(I12,0)</f>
        <v>264</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c r="I13" s="55"/>
      <c r="J13" s="55"/>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c r="I14" s="55"/>
      <c r="J14" s="55"/>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264</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'!B23</f>
        <v xml:space="preserve">CANECA VIAL DE SEÑALIZACION </v>
      </c>
      <c r="B22" s="1638"/>
      <c r="C22" s="1638"/>
      <c r="D22" s="1638"/>
      <c r="E22" s="1638"/>
      <c r="F22" s="1639"/>
      <c r="G22" s="53" t="str">
        <f>+VLOOKUP(A22,'INSUMOS '!$B$3:$C$144,2,FALSE)</f>
        <v>UN</v>
      </c>
      <c r="H22" s="54">
        <v>1</v>
      </c>
      <c r="I22" s="33">
        <f>+IFERROR(VLOOKUP(A22,'INSUMOS '!$B$2:$AP$167,'INSUMOS '!$AO$2+1,FALSE),0)</f>
        <v>245140</v>
      </c>
      <c r="J22" s="55">
        <f>ROUND(I22*H22,0)</f>
        <v>245140</v>
      </c>
    </row>
    <row r="23" spans="1:10" ht="13.9" customHeight="1" x14ac:dyDescent="0.25">
      <c r="A23" s="1637" t="str">
        <f>+'INSUMOS '!B65</f>
        <v>PEGANTE EPOXICO</v>
      </c>
      <c r="B23" s="1638"/>
      <c r="C23" s="1638"/>
      <c r="D23" s="1638"/>
      <c r="E23" s="1638"/>
      <c r="F23" s="1639"/>
      <c r="G23" s="53" t="str">
        <f>+VLOOKUP(A23,'INSUMOS '!$B$3:$C$128,2,FALSE)</f>
        <v>KG</v>
      </c>
      <c r="H23" s="54">
        <v>0.1</v>
      </c>
      <c r="I23" s="33">
        <f>+IFERROR(VLOOKUP(A23,'INSUMOS '!$B$2:$AP$167,'INSUMOS '!$AO$2+1,FALSE),0)</f>
        <v>146748</v>
      </c>
      <c r="J23" s="55">
        <f>ROUND(I23*H23,0)</f>
        <v>14675</v>
      </c>
    </row>
    <row r="24" spans="1:10" ht="13.9" customHeight="1" x14ac:dyDescent="0.25">
      <c r="A24" s="1637" t="str">
        <f>+'INSUMOS '!B115</f>
        <v>CHAZO DE EXPANSION 5/16 *4</v>
      </c>
      <c r="B24" s="1638"/>
      <c r="C24" s="1638"/>
      <c r="D24" s="1638"/>
      <c r="E24" s="1638"/>
      <c r="F24" s="1639"/>
      <c r="G24" s="53" t="str">
        <f>+VLOOKUP(A24,'INSUMOS '!$B$3:$C$128,2,FALSE)</f>
        <v>UN</v>
      </c>
      <c r="H24" s="54">
        <v>10</v>
      </c>
      <c r="I24" s="33">
        <f>+IFERROR(VLOOKUP(A24,'INSUMOS '!$B$2:$AP$167,'INSUMOS '!$AO$2+1,FALSE),0)</f>
        <v>700</v>
      </c>
      <c r="J24" s="55">
        <f>ROUND(I24*H24,0)</f>
        <v>7000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267103</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(10/1000)/12</f>
        <v>8.3333333333333339E-4</v>
      </c>
      <c r="H36" s="55">
        <f>+IFERROR(VLOOKUP(A36,'EQUIPOS '!$B$3:$M$78,12,FALSE),0)</f>
        <v>611492.5</v>
      </c>
      <c r="I36" s="55">
        <f>IFERROR(H36*G36,0)</f>
        <v>509.57708333333335</v>
      </c>
      <c r="J36" s="55">
        <f>ROUND(I36,0)</f>
        <v>510</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510</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300</v>
      </c>
      <c r="I43" s="55">
        <f t="shared" ref="I43:I45" si="3">IFERROR(ROUND(G43/H43,0),0)</f>
        <v>712</v>
      </c>
      <c r="J43" s="55">
        <f t="shared" ref="J43:J45" si="4">+I43</f>
        <v>712</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+$H$43</f>
        <v>300</v>
      </c>
      <c r="I44" s="55">
        <f t="shared" si="3"/>
        <v>556</v>
      </c>
      <c r="J44" s="55">
        <f t="shared" si="4"/>
        <v>556</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+$H$43</f>
        <v>300</v>
      </c>
      <c r="I45" s="55">
        <f t="shared" si="3"/>
        <v>327</v>
      </c>
      <c r="J45" s="55">
        <f t="shared" si="4"/>
        <v>327</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1595</v>
      </c>
    </row>
    <row r="50" spans="1:10" ht="13.9" customHeight="1" x14ac:dyDescent="0.25"/>
    <row r="51" spans="1:10" ht="13.9" customHeight="1" x14ac:dyDescent="0.25">
      <c r="E51" s="610" t="s">
        <v>276</v>
      </c>
      <c r="I51" s="611">
        <f>+J49+J39+J32+J18</f>
        <v>269472</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Hoja146">
    <tabColor theme="1"/>
  </sheetPr>
  <dimension ref="A1:L54"/>
  <sheetViews>
    <sheetView topLeftCell="A35"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5.42578125" style="592" bestFit="1" customWidth="1"/>
    <col min="10" max="10" width="14"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109</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Suministro e instalación islas peatonales ancho min 1,5 m, altura entre 10 y 15 cm, material con alta resistencia al impacto, incluye elementos de sujeción (figura 6.8 Resolución 20243040045005 de 17 de septiembre de 2024)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f>2/8</f>
        <v>0.25</v>
      </c>
      <c r="I11" s="55">
        <f t="shared" ref="I11:I17" si="0">IFERROR((G11/H11),0)</f>
        <v>31999.759999999998</v>
      </c>
      <c r="J11" s="55">
        <f>ROUND(I11,0)</f>
        <v>32000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0.25</v>
      </c>
      <c r="I12" s="55">
        <f t="shared" si="0"/>
        <v>52888</v>
      </c>
      <c r="J12" s="55">
        <f t="shared" ref="J12:J17" si="1">ROUND(I12,0)</f>
        <v>52888</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0.25</v>
      </c>
      <c r="I13" s="55">
        <f t="shared" si="0"/>
        <v>51084</v>
      </c>
      <c r="J13" s="55">
        <f t="shared" si="1"/>
        <v>51084</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0.25</v>
      </c>
      <c r="I14" s="55">
        <f t="shared" si="0"/>
        <v>14750</v>
      </c>
      <c r="J14" s="55">
        <f t="shared" si="1"/>
        <v>14750</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f t="shared" si="0"/>
        <v>0</v>
      </c>
      <c r="J16" s="55">
        <f t="shared" si="1"/>
        <v>0</v>
      </c>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f t="shared" si="0"/>
        <v>0</v>
      </c>
      <c r="J17" s="55">
        <f t="shared" si="1"/>
        <v>0</v>
      </c>
    </row>
    <row r="18" spans="1:10" s="593" customFormat="1" ht="13.9" customHeight="1" x14ac:dyDescent="0.25">
      <c r="I18" s="601" t="s">
        <v>257</v>
      </c>
      <c r="J18" s="605">
        <f>+SUM(J11:J17)</f>
        <v>150722</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'!B137</f>
        <v>ISLAS PEATONALES ANCHO MIN 1,5 M, ALTURA ENTRE 10 Y 15 CM, MATERIAL CON ALTA RESISTENCIA AL IMPACTO, INCLUYE ELEMENTOS DE SUJECIÓN</v>
      </c>
      <c r="B22" s="1638"/>
      <c r="C22" s="1638"/>
      <c r="D22" s="1638"/>
      <c r="E22" s="1638"/>
      <c r="F22" s="1639"/>
      <c r="G22" s="53" t="str">
        <f>+VLOOKUP(A22,'INSUMOS '!$B$3:$C$144,2,FALSE)</f>
        <v>UN</v>
      </c>
      <c r="H22" s="54">
        <v>1</v>
      </c>
      <c r="I22" s="33">
        <f>+IFERROR(VLOOKUP(A22,'INSUMOS '!$B$2:$AP$167,'INSUMOS '!$AO$2+1,FALSE),0)</f>
        <v>23501671.474175997</v>
      </c>
      <c r="J22" s="55">
        <f>ROUND(I22*H22,0)</f>
        <v>23501671</v>
      </c>
    </row>
    <row r="23" spans="1:10" ht="13.9" customHeight="1" x14ac:dyDescent="0.25">
      <c r="A23" s="1637" t="str">
        <f>+'INSUMOS '!B65</f>
        <v>PEGANTE EPOXICO</v>
      </c>
      <c r="B23" s="1638"/>
      <c r="C23" s="1638"/>
      <c r="D23" s="1638"/>
      <c r="E23" s="1638"/>
      <c r="F23" s="1639"/>
      <c r="G23" s="53" t="str">
        <f>+VLOOKUP(A23,'INSUMOS '!$B$3:$C$128,2,FALSE)</f>
        <v>KG</v>
      </c>
      <c r="H23" s="54">
        <v>0.1</v>
      </c>
      <c r="I23" s="33">
        <f>+IFERROR(VLOOKUP(A23,'INSUMOS '!$B$2:$AP$167,'INSUMOS '!$AO$2+1,FALSE),0)</f>
        <v>146748</v>
      </c>
      <c r="J23" s="55">
        <f>ROUND(I23*H23,0)</f>
        <v>14675</v>
      </c>
    </row>
    <row r="24" spans="1:10" ht="13.9" customHeight="1" x14ac:dyDescent="0.25">
      <c r="A24" s="1637" t="str">
        <f>+'INSUMOS '!B115</f>
        <v>CHAZO DE EXPANSION 5/16 *4</v>
      </c>
      <c r="B24" s="1638"/>
      <c r="C24" s="1638"/>
      <c r="D24" s="1638"/>
      <c r="E24" s="1638"/>
      <c r="F24" s="1639"/>
      <c r="G24" s="53" t="str">
        <f>+VLOOKUP(A24,'INSUMOS '!$B$3:$C$128,2,FALSE)</f>
        <v>UN</v>
      </c>
      <c r="H24" s="54">
        <v>10</v>
      </c>
      <c r="I24" s="33">
        <f>+IFERROR(VLOOKUP(A24,'INSUMOS '!$B$2:$AP$167,'INSUMOS '!$AO$2+1,FALSE),0)</f>
        <v>700</v>
      </c>
      <c r="J24" s="55">
        <f>ROUND(I24*H24,0)</f>
        <v>7000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23523634</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(1/10)/12</f>
        <v>8.3333333333333332E-3</v>
      </c>
      <c r="H36" s="55">
        <f>+IFERROR(VLOOKUP(A36,'EQUIPOS '!$B$3:$M$78,12,FALSE),0)</f>
        <v>611492.5</v>
      </c>
      <c r="I36" s="55">
        <f>IFERROR(H36*G36,0)</f>
        <v>5095.770833333333</v>
      </c>
      <c r="J36" s="55">
        <f>ROUND(I36,0)</f>
        <v>5096</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5096</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2</v>
      </c>
      <c r="I43" s="55">
        <f t="shared" ref="I43:I45" si="3">IFERROR(ROUND(G43/H43,0),0)</f>
        <v>106871</v>
      </c>
      <c r="J43" s="55">
        <f t="shared" ref="J43:J45" si="4">+I43</f>
        <v>106871</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2</v>
      </c>
      <c r="I44" s="55">
        <f t="shared" si="3"/>
        <v>83383</v>
      </c>
      <c r="J44" s="55">
        <f t="shared" si="4"/>
        <v>83383</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IF(A45="","",IFERROR(H14*8,0))</f>
        <v>2</v>
      </c>
      <c r="I45" s="55">
        <f t="shared" si="3"/>
        <v>49061</v>
      </c>
      <c r="J45" s="55">
        <f t="shared" si="4"/>
        <v>49061</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239315</v>
      </c>
    </row>
    <row r="50" spans="1:10" ht="13.9" customHeight="1" x14ac:dyDescent="0.25"/>
    <row r="51" spans="1:10" ht="13.9" customHeight="1" x14ac:dyDescent="0.25">
      <c r="E51" s="610" t="s">
        <v>276</v>
      </c>
      <c r="I51" s="611">
        <f>J18+J32+J39+J49</f>
        <v>23918767</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Hoja147">
    <tabColor theme="1"/>
  </sheetPr>
  <dimension ref="A1:L54"/>
  <sheetViews>
    <sheetView topLeftCell="A35"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140625" style="592" bestFit="1" customWidth="1"/>
    <col min="9" max="9" width="15.5703125" style="592" bestFit="1" customWidth="1"/>
    <col min="10" max="10" width="13.28515625" style="592" bestFit="1"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108</v>
      </c>
      <c r="D6" s="596"/>
      <c r="E6" s="596"/>
      <c r="F6" s="596"/>
      <c r="G6" s="596"/>
      <c r="H6" s="597"/>
      <c r="I6" s="598" t="s">
        <v>248</v>
      </c>
      <c r="J6" s="599" t="str">
        <f>+VLOOKUP(C6,'ANEXO PLIEGO_1'!$A$7:$C$133,3,FALSE)</f>
        <v>UN</v>
      </c>
    </row>
    <row r="7" spans="1:12" ht="35.1" customHeight="1" x14ac:dyDescent="0.25">
      <c r="A7" s="1637" t="s">
        <v>249</v>
      </c>
      <c r="B7" s="1639"/>
      <c r="C7" s="1684" t="str">
        <f>+VLOOKUP(C6,'ANEXO PLIEGO_1'!$A$7:$B$133,2,FALSE)</f>
        <v>Suministro e instalación islas peatonales ancho min 1,2 m, altura entre 10 y 15 cm, material con alta resistencia al impacto, incluye elementos de sujeción (figura 6.8 Resolución 20243040045005 de 17 de septiembre de 2024)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54">
        <v>0.375</v>
      </c>
      <c r="I11" s="55">
        <f t="shared" ref="I11:I14" si="0">IFERROR((G11/H11),0)</f>
        <v>21333.173333333332</v>
      </c>
      <c r="J11" s="55">
        <f>ROUND(I11,0)</f>
        <v>21333</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54">
        <f>+$H$11</f>
        <v>0.375</v>
      </c>
      <c r="I12" s="55">
        <f t="shared" si="0"/>
        <v>35258.666666666664</v>
      </c>
      <c r="J12" s="55">
        <f t="shared" ref="J12:J14" si="1">ROUND(I12,0)</f>
        <v>35259</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54">
        <f>+$H$11</f>
        <v>0.375</v>
      </c>
      <c r="I13" s="55">
        <f t="shared" si="0"/>
        <v>34056</v>
      </c>
      <c r="J13" s="55">
        <f t="shared" si="1"/>
        <v>34056</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54">
        <f>+$H$11</f>
        <v>0.375</v>
      </c>
      <c r="I14" s="55">
        <f t="shared" si="0"/>
        <v>9833.3333333333339</v>
      </c>
      <c r="J14" s="55">
        <f t="shared" si="1"/>
        <v>9833</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100481</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5" customHeight="1" x14ac:dyDescent="0.25">
      <c r="A22" s="1637" t="str">
        <f>+'INSUMOS '!B135</f>
        <v xml:space="preserve">ISLAS PEATONALES ANCHO MIN 1,2 M, ALTURA ENTRE 10 Y 15 CM, MATERIAL CON ALTA RESISTENCIA AL IMPACTO, INCLUYE ELEMENTOS DE SUJECIÓN </v>
      </c>
      <c r="B22" s="1638"/>
      <c r="C22" s="1638"/>
      <c r="D22" s="1638"/>
      <c r="E22" s="1638"/>
      <c r="F22" s="1639"/>
      <c r="G22" s="53" t="str">
        <f>+VLOOKUP(A22,'INSUMOS '!$B$3:$C$144,2,FALSE)</f>
        <v>UN</v>
      </c>
      <c r="H22" s="54">
        <v>1</v>
      </c>
      <c r="I22" s="33">
        <f>+IFERROR(VLOOKUP(A22,'INSUMOS '!$B$2:$AP$167,'INSUMOS '!$AO$2+1,FALSE),0)</f>
        <v>11228576.370995201</v>
      </c>
      <c r="J22" s="615">
        <f>ROUND(I22*H22,0)</f>
        <v>11228576</v>
      </c>
    </row>
    <row r="23" spans="1:10" ht="13.9" customHeight="1" x14ac:dyDescent="0.25">
      <c r="A23" s="1637" t="str">
        <f>+'INSUMOS '!B65</f>
        <v>PEGANTE EPOXICO</v>
      </c>
      <c r="B23" s="1638"/>
      <c r="C23" s="1638"/>
      <c r="D23" s="1638"/>
      <c r="E23" s="1638"/>
      <c r="F23" s="1639"/>
      <c r="G23" s="53" t="str">
        <f>+VLOOKUP(A23,'INSUMOS '!$B$3:$C$128,2,FALSE)</f>
        <v>KG</v>
      </c>
      <c r="H23" s="54">
        <v>0.1</v>
      </c>
      <c r="I23" s="33">
        <f>+IFERROR(VLOOKUP(A23,'INSUMOS '!$B$2:$AP$167,'INSUMOS '!$AO$2+1,FALSE),0)</f>
        <v>146748</v>
      </c>
      <c r="J23" s="615">
        <f>ROUND(I23*H23,0)</f>
        <v>14675</v>
      </c>
    </row>
    <row r="24" spans="1:10" ht="13.9" customHeight="1" x14ac:dyDescent="0.25">
      <c r="A24" s="1637" t="str">
        <f>+'INSUMOS '!B115</f>
        <v>CHAZO DE EXPANSION 5/16 *4</v>
      </c>
      <c r="B24" s="1638"/>
      <c r="C24" s="1638"/>
      <c r="D24" s="1638"/>
      <c r="E24" s="1638"/>
      <c r="F24" s="1639"/>
      <c r="G24" s="53" t="str">
        <f>+VLOOKUP(A24,'INSUMOS '!$B$3:$C$128,2,FALSE)</f>
        <v>UN</v>
      </c>
      <c r="H24" s="54">
        <v>10</v>
      </c>
      <c r="I24" s="33">
        <f>+IFERROR(VLOOKUP(A24,'INSUMOS '!$B$2:$AP$167,'INSUMOS '!$AO$2+1,FALSE),0)</f>
        <v>700</v>
      </c>
      <c r="J24" s="615">
        <f>ROUND(I24*H24,0)</f>
        <v>7000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61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61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11250539</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(100/1000)/12</f>
        <v>8.3333333333333332E-3</v>
      </c>
      <c r="H36" s="55">
        <f>+IFERROR(VLOOKUP(A36,'EQUIPOS '!$B$3:$M$78,12,FALSE),0)</f>
        <v>611492.5</v>
      </c>
      <c r="I36" s="55">
        <f>IFERROR(H36*G36,0)</f>
        <v>5095.770833333333</v>
      </c>
      <c r="J36" s="55">
        <f>ROUND(I36,0)</f>
        <v>5096</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5096</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f>IFERROR(H11*8,0)</f>
        <v>3</v>
      </c>
      <c r="I43" s="55">
        <f t="shared" ref="I43:I45" si="3">IFERROR(ROUND(G43/H43,0),0)</f>
        <v>71247</v>
      </c>
      <c r="J43" s="55">
        <f t="shared" ref="J43:J45" si="4">+I43</f>
        <v>71247</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f>IFERROR(H12*8,0)</f>
        <v>3</v>
      </c>
      <c r="I44" s="55">
        <f t="shared" si="3"/>
        <v>55589</v>
      </c>
      <c r="J44" s="55">
        <f t="shared" si="4"/>
        <v>55589</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f>IF(A45="","",IFERROR(H14*8,0))</f>
        <v>3</v>
      </c>
      <c r="I45" s="55">
        <f t="shared" si="3"/>
        <v>32707</v>
      </c>
      <c r="J45" s="55">
        <f t="shared" si="4"/>
        <v>32707</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159543</v>
      </c>
    </row>
    <row r="50" spans="1:10" ht="13.9" customHeight="1" x14ac:dyDescent="0.25"/>
    <row r="51" spans="1:10" ht="13.9" customHeight="1" x14ac:dyDescent="0.25">
      <c r="E51" s="610" t="s">
        <v>276</v>
      </c>
      <c r="I51" s="611">
        <f>J18+J32+J39+J49</f>
        <v>11515659</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Hoja148">
    <tabColor theme="1"/>
  </sheetPr>
  <dimension ref="A1:N54"/>
  <sheetViews>
    <sheetView topLeftCell="A31"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4.42578125" style="592" bestFit="1" customWidth="1"/>
    <col min="10" max="10" width="16.5703125" style="592"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107</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resalto tipo cojín en plástico con alta resistencia al impacto con largo entre 2 y 3 m, ancho entre 1,6 y 1,8 m y altura entre 6 y 7,5 cm (incluye elementos de sujeción). Figura 5-33 Resolución 20243040045005 de 17 de septiembre de 2024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v>1</v>
      </c>
      <c r="I11" s="55">
        <f t="shared" ref="I11:I14" si="0">IFERROR((G11/H11),0)</f>
        <v>7999.94</v>
      </c>
      <c r="J11" s="55">
        <f>ROUND(I11,0)</f>
        <v>8000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1</v>
      </c>
      <c r="I12" s="55">
        <f t="shared" si="0"/>
        <v>13222</v>
      </c>
      <c r="J12" s="55">
        <f t="shared" ref="J12:J14" si="1">ROUND(I12,0)</f>
        <v>13222</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v>1</v>
      </c>
      <c r="I13" s="55">
        <f t="shared" si="0"/>
        <v>12771</v>
      </c>
      <c r="J13" s="55">
        <f t="shared" si="1"/>
        <v>12771</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v>1</v>
      </c>
      <c r="I14" s="55">
        <f t="shared" si="0"/>
        <v>3687.5</v>
      </c>
      <c r="J14" s="55">
        <f t="shared" si="1"/>
        <v>3688</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4"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4" s="593" customFormat="1" ht="13.9" customHeight="1" x14ac:dyDescent="0.25">
      <c r="I18" s="601" t="s">
        <v>257</v>
      </c>
      <c r="J18" s="605">
        <f>+SUM(J11:J17)</f>
        <v>37681</v>
      </c>
    </row>
    <row r="19" spans="1:14" s="593" customFormat="1" ht="13.9" customHeight="1" x14ac:dyDescent="0.25"/>
    <row r="20" spans="1:14" s="593" customFormat="1" ht="13.9" customHeight="1" x14ac:dyDescent="0.25">
      <c r="A20" s="1673" t="s">
        <v>263</v>
      </c>
      <c r="B20" s="1673"/>
      <c r="C20" s="1673"/>
      <c r="D20" s="1673"/>
      <c r="E20" s="1673"/>
      <c r="F20" s="1673"/>
      <c r="G20" s="1673"/>
      <c r="H20" s="1673"/>
      <c r="I20" s="390"/>
    </row>
    <row r="21" spans="1:14" ht="13.9" customHeight="1" x14ac:dyDescent="0.25">
      <c r="A21" s="1677" t="s">
        <v>251</v>
      </c>
      <c r="B21" s="1678"/>
      <c r="C21" s="1678"/>
      <c r="D21" s="1678"/>
      <c r="E21" s="1678"/>
      <c r="F21" s="1679"/>
      <c r="G21" s="600" t="s">
        <v>252</v>
      </c>
      <c r="H21" s="600" t="s">
        <v>264</v>
      </c>
      <c r="I21" s="600" t="s">
        <v>256</v>
      </c>
      <c r="J21" s="600" t="s">
        <v>257</v>
      </c>
    </row>
    <row r="22" spans="1:14" ht="45" customHeight="1" x14ac:dyDescent="0.25">
      <c r="A22" s="1637" t="str">
        <f>+'INSUMOS '!B134</f>
        <v>RESALTO TIPO COJIN EN PLASTICO CON ALTA RESISTENCIA AL IMPACTO CON LARGO ENTRE 2 Y 3 M, ANCHO ENTRE 1,6 Y 1,8 M Y ALTURA ENTRE 6 Y 7,5 CM (INCLUYE ELEMENTOS DE SUJECIÓN)</v>
      </c>
      <c r="B22" s="1638"/>
      <c r="C22" s="1638"/>
      <c r="D22" s="1638"/>
      <c r="E22" s="1638"/>
      <c r="F22" s="1639"/>
      <c r="G22" s="53" t="str">
        <f>+VLOOKUP(A22,'INSUMOS '!$B$3:$C$144,2,FALSE)</f>
        <v>M2</v>
      </c>
      <c r="H22" s="54">
        <v>1</v>
      </c>
      <c r="I22" s="33">
        <f>+IFERROR(VLOOKUP(A22,'INSUMOS '!$B$2:$AP$167,'INSUMOS '!$AO$2+1,FALSE),0)</f>
        <v>2466870</v>
      </c>
      <c r="J22" s="1004">
        <f>ROUND(I22*H22,0)</f>
        <v>2466870</v>
      </c>
    </row>
    <row r="23" spans="1:14" ht="13.9" customHeight="1" x14ac:dyDescent="0.25">
      <c r="A23" s="1637" t="str">
        <f>+'INSUMOS '!B65</f>
        <v>PEGANTE EPOXICO</v>
      </c>
      <c r="B23" s="1638"/>
      <c r="C23" s="1638"/>
      <c r="D23" s="1638"/>
      <c r="E23" s="1638"/>
      <c r="F23" s="1639"/>
      <c r="G23" s="53" t="str">
        <f>+VLOOKUP(A23,'INSUMOS '!$B$3:$C$128,2,FALSE)</f>
        <v>KG</v>
      </c>
      <c r="H23" s="54">
        <v>0.1</v>
      </c>
      <c r="I23" s="33">
        <f>+IFERROR(VLOOKUP(A23,'INSUMOS '!$B$2:$AP$167,'INSUMOS '!$AO$2+1,FALSE),0)</f>
        <v>146748</v>
      </c>
      <c r="J23" s="55">
        <f>ROUND(I23*H23,0)</f>
        <v>14675</v>
      </c>
    </row>
    <row r="24" spans="1:14" ht="13.9" customHeight="1" x14ac:dyDescent="0.25">
      <c r="A24" s="1637" t="str">
        <f>+'INSUMOS '!B115</f>
        <v>CHAZO DE EXPANSION 5/16 *4</v>
      </c>
      <c r="B24" s="1638"/>
      <c r="C24" s="1638"/>
      <c r="D24" s="1638"/>
      <c r="E24" s="1638"/>
      <c r="F24" s="1639"/>
      <c r="G24" s="53" t="str">
        <f>+VLOOKUP(A24,'INSUMOS '!$B$3:$C$128,2,FALSE)</f>
        <v>UN</v>
      </c>
      <c r="H24" s="54">
        <v>3</v>
      </c>
      <c r="I24" s="33">
        <f>+IFERROR(VLOOKUP(A24,'INSUMOS '!$B$2:$AP$167,'INSUMOS '!$AO$2+1,FALSE),0)</f>
        <v>700</v>
      </c>
      <c r="J24" s="55">
        <f>ROUND(I24*H24,0)</f>
        <v>2100</v>
      </c>
      <c r="M24" s="592">
        <v>16</v>
      </c>
      <c r="N24" s="592">
        <f>1.8*3</f>
        <v>5.4</v>
      </c>
    </row>
    <row r="25" spans="1:14"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c r="N25" s="592">
        <f>+M24/N24</f>
        <v>2.9629629629629628</v>
      </c>
    </row>
    <row r="26" spans="1:14"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4" ht="13.9" customHeight="1" x14ac:dyDescent="0.25">
      <c r="A27" s="1571"/>
      <c r="B27" s="1572"/>
      <c r="C27" s="1572"/>
      <c r="D27" s="1572"/>
      <c r="E27" s="1572"/>
      <c r="F27" s="1573"/>
      <c r="G27" s="53"/>
      <c r="H27" s="54"/>
      <c r="I27" s="55"/>
      <c r="J27" s="55"/>
    </row>
    <row r="28" spans="1:14" ht="13.9" customHeight="1" x14ac:dyDescent="0.25">
      <c r="A28" s="1571"/>
      <c r="B28" s="1572"/>
      <c r="C28" s="1572"/>
      <c r="D28" s="1572"/>
      <c r="E28" s="1572"/>
      <c r="F28" s="1573"/>
      <c r="G28" s="53"/>
      <c r="H28" s="54"/>
      <c r="I28" s="55"/>
      <c r="J28" s="55"/>
    </row>
    <row r="29" spans="1:14" ht="13.9" customHeight="1" x14ac:dyDescent="0.25">
      <c r="A29" s="1571"/>
      <c r="B29" s="1572"/>
      <c r="C29" s="1572"/>
      <c r="D29" s="1572"/>
      <c r="E29" s="1572"/>
      <c r="F29" s="1573"/>
      <c r="G29" s="53"/>
      <c r="H29" s="606"/>
      <c r="I29" s="55"/>
      <c r="J29" s="55"/>
    </row>
    <row r="30" spans="1:14" ht="13.9" customHeight="1" x14ac:dyDescent="0.25">
      <c r="A30" s="1571"/>
      <c r="B30" s="1572"/>
      <c r="C30" s="1572"/>
      <c r="D30" s="1572"/>
      <c r="E30" s="1572"/>
      <c r="F30" s="1573"/>
      <c r="G30" s="53"/>
      <c r="H30" s="54"/>
      <c r="I30" s="55"/>
      <c r="J30" s="55"/>
    </row>
    <row r="31" spans="1:14" ht="13.9" customHeight="1" x14ac:dyDescent="0.25">
      <c r="A31" s="1571"/>
      <c r="B31" s="1572"/>
      <c r="C31" s="1572"/>
      <c r="D31" s="1572"/>
      <c r="E31" s="1572"/>
      <c r="F31" s="1573"/>
      <c r="G31" s="53"/>
      <c r="H31" s="54"/>
      <c r="I31" s="55"/>
      <c r="J31" s="55"/>
    </row>
    <row r="32" spans="1:14" ht="13.9" customHeight="1" x14ac:dyDescent="0.25">
      <c r="A32" s="593"/>
      <c r="B32" s="593"/>
      <c r="C32" s="593"/>
      <c r="D32" s="593"/>
      <c r="E32" s="593"/>
      <c r="G32" s="593"/>
      <c r="H32" s="593"/>
      <c r="I32" s="601" t="s">
        <v>257</v>
      </c>
      <c r="J32" s="605">
        <f>+SUM(J22:J31)</f>
        <v>2483933</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(1/10)/12</f>
        <v>8.3333333333333332E-3</v>
      </c>
      <c r="H36" s="55">
        <f>+IFERROR(VLOOKUP(A36,'EQUIPOS '!$B$3:$M$78,12,FALSE),0)</f>
        <v>611492.5</v>
      </c>
      <c r="I36" s="55">
        <f>IFERROR(H36*G36,0)</f>
        <v>5095.770833333333</v>
      </c>
      <c r="J36" s="55">
        <f>ROUND(I36,0)</f>
        <v>5096</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5096</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10</v>
      </c>
      <c r="I43" s="55">
        <f t="shared" ref="I43:I45" si="3">IFERROR(ROUND(G43/H43,0),0)</f>
        <v>21374</v>
      </c>
      <c r="J43" s="55">
        <f t="shared" ref="J43:J45" si="4">+I43</f>
        <v>21374</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v>10</v>
      </c>
      <c r="I44" s="55">
        <f t="shared" si="3"/>
        <v>16677</v>
      </c>
      <c r="J44" s="55">
        <f t="shared" si="4"/>
        <v>16677</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10</v>
      </c>
      <c r="I45" s="55">
        <f t="shared" si="3"/>
        <v>9812</v>
      </c>
      <c r="J45" s="55">
        <f t="shared" si="4"/>
        <v>9812</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47863</v>
      </c>
    </row>
    <row r="50" spans="1:10" ht="13.9" customHeight="1" x14ac:dyDescent="0.25"/>
    <row r="51" spans="1:10" ht="13.9" customHeight="1" x14ac:dyDescent="0.25">
      <c r="E51" s="610" t="s">
        <v>276</v>
      </c>
      <c r="I51" s="611">
        <f>J18+J32+J39+J49</f>
        <v>2574573</v>
      </c>
      <c r="J51" s="612"/>
    </row>
    <row r="52" spans="1:10" ht="13.9" customHeight="1" x14ac:dyDescent="0.25"/>
    <row r="53" spans="1:10" ht="14.1" customHeight="1" x14ac:dyDescent="0.25"/>
    <row r="54" spans="1:10" ht="14.1" customHeight="1" x14ac:dyDescent="0.25"/>
  </sheetData>
  <mergeCells count="40">
    <mergeCell ref="A45:D45"/>
    <mergeCell ref="A46:D46"/>
    <mergeCell ref="A47:D47"/>
    <mergeCell ref="A48:D48"/>
    <mergeCell ref="A37:F37"/>
    <mergeCell ref="A38:F38"/>
    <mergeCell ref="A41:H41"/>
    <mergeCell ref="A42:D42"/>
    <mergeCell ref="A43:D43"/>
    <mergeCell ref="A44:D44"/>
    <mergeCell ref="A36:F36"/>
    <mergeCell ref="A23:F23"/>
    <mergeCell ref="A24:F24"/>
    <mergeCell ref="A25:F25"/>
    <mergeCell ref="A26:F26"/>
    <mergeCell ref="A27:F27"/>
    <mergeCell ref="A28:F28"/>
    <mergeCell ref="A29:F29"/>
    <mergeCell ref="A30:F30"/>
    <mergeCell ref="A31:F31"/>
    <mergeCell ref="A34:H34"/>
    <mergeCell ref="A35:F35"/>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Hoja149">
    <tabColor theme="1"/>
  </sheetPr>
  <dimension ref="A1:L54"/>
  <sheetViews>
    <sheetView topLeftCell="A32"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4.42578125" style="592" bestFit="1" customWidth="1"/>
    <col min="10" max="10" width="12.42578125" style="592" bestFit="1" customWidth="1"/>
    <col min="11"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106</v>
      </c>
      <c r="D6" s="596"/>
      <c r="E6" s="596"/>
      <c r="F6" s="596"/>
      <c r="G6" s="596"/>
      <c r="H6" s="597"/>
      <c r="I6" s="598" t="s">
        <v>248</v>
      </c>
      <c r="J6" s="599" t="str">
        <f>+VLOOKUP(C6,'ANEXO PLIEGO_1'!$A$7:$C$133,3,FALSE)</f>
        <v>M2</v>
      </c>
    </row>
    <row r="7" spans="1:12" ht="35.1" customHeight="1" x14ac:dyDescent="0.25">
      <c r="A7" s="1637" t="s">
        <v>249</v>
      </c>
      <c r="B7" s="1639"/>
      <c r="C7" s="1684" t="str">
        <f>+VLOOKUP(C6,'ANEXO PLIEGO_1'!$A$7:$B$133,2,FALSE)</f>
        <v>Suministro e instalación resalto tipo cojín en caucho con alta resistencia al impacto con largo entre 2 y 3 m, ancho entre 1,6 y 1,8 m y altura entre 6 y 7,5 cm (incluye elementos de sujeción). Figura 5-33 Resolución 20243040045005 de 17 de septiembre de 2024</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c r="L10" s="593" t="s">
        <v>158</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f>10/8</f>
        <v>1.25</v>
      </c>
      <c r="I11" s="55">
        <f t="shared" ref="I11:I14" si="0">IFERROR((G11/H11),0)</f>
        <v>6399.9519999999993</v>
      </c>
      <c r="J11" s="55">
        <f>ROUND(I11,0)</f>
        <v>6400</v>
      </c>
      <c r="L11" s="593" t="s">
        <v>278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1.25</v>
      </c>
      <c r="I12" s="55">
        <f t="shared" si="0"/>
        <v>10577.6</v>
      </c>
      <c r="J12" s="55">
        <f t="shared" ref="J12:J14" si="1">ROUND(I12,0)</f>
        <v>10578</v>
      </c>
      <c r="L12" s="593" t="s">
        <v>95</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1.25</v>
      </c>
      <c r="I13" s="55">
        <f t="shared" si="0"/>
        <v>10216.799999999999</v>
      </c>
      <c r="J13" s="55">
        <f t="shared" si="1"/>
        <v>10217</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1.25</v>
      </c>
      <c r="I14" s="55">
        <f t="shared" si="0"/>
        <v>2950</v>
      </c>
      <c r="J14" s="55">
        <f t="shared" si="1"/>
        <v>2950</v>
      </c>
      <c r="L14" s="593" t="s">
        <v>262</v>
      </c>
    </row>
    <row r="15" spans="1:12" s="593" customFormat="1" ht="13.9" customHeight="1" x14ac:dyDescent="0.25">
      <c r="A15" s="1571"/>
      <c r="B15" s="1572"/>
      <c r="C15" s="1572"/>
      <c r="D15" s="1573"/>
      <c r="E15" s="53"/>
      <c r="F15" s="601"/>
      <c r="G15" s="602"/>
      <c r="H15" s="601"/>
      <c r="I15" s="55"/>
      <c r="J15" s="55"/>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30145</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42.75" customHeight="1" x14ac:dyDescent="0.25">
      <c r="A22" s="1637" t="str">
        <f>+'INSUMOS '!B119</f>
        <v>RESALTO TIPO COJIN EN CAUCHO CON ALTA RESISTENCIA AL IMPACTO CON LARGO ENTRE 2 Y 3 M, ANCHO ENTRE 1,6 Y 1,8 M Y ALTURA ENTRE 6 Y 7,5 CM (INCLUYE ELEMENTOS DE SUJECIÓN)</v>
      </c>
      <c r="B22" s="1638"/>
      <c r="C22" s="1638"/>
      <c r="D22" s="1638"/>
      <c r="E22" s="1638"/>
      <c r="F22" s="1639"/>
      <c r="G22" s="53" t="str">
        <f>+VLOOKUP(A22,'INSUMOS '!$B$3:$C$144,2,FALSE)</f>
        <v>M2</v>
      </c>
      <c r="H22" s="54">
        <v>1</v>
      </c>
      <c r="I22" s="33">
        <f>+IFERROR(VLOOKUP(A22,'INSUMOS '!$B$2:$AP$167,'INSUMOS '!$AO$2+1,FALSE),0)</f>
        <v>978000</v>
      </c>
      <c r="J22" s="55">
        <f>ROUND(I22*H22,0)</f>
        <v>978000</v>
      </c>
    </row>
    <row r="23" spans="1:10" ht="13.9" customHeight="1" x14ac:dyDescent="0.25">
      <c r="A23" s="1637" t="str">
        <f>+'INSUMOS '!B65</f>
        <v>PEGANTE EPOXICO</v>
      </c>
      <c r="B23" s="1638"/>
      <c r="C23" s="1638"/>
      <c r="D23" s="1638"/>
      <c r="E23" s="1638"/>
      <c r="F23" s="1639"/>
      <c r="G23" s="53" t="str">
        <f>+VLOOKUP(A23,'INSUMOS '!$B$3:$C$128,2,FALSE)</f>
        <v>KG</v>
      </c>
      <c r="H23" s="54">
        <v>0.06</v>
      </c>
      <c r="I23" s="33">
        <f>+IFERROR(VLOOKUP(A23,'INSUMOS '!$B$2:$AP$167,'INSUMOS '!$AO$2+1,FALSE),0)</f>
        <v>146748</v>
      </c>
      <c r="J23" s="55">
        <f>ROUND(I23*H23,0)</f>
        <v>8805</v>
      </c>
    </row>
    <row r="24" spans="1:10" ht="13.9" customHeight="1" x14ac:dyDescent="0.25">
      <c r="A24" s="1637" t="str">
        <f>+'INSUMOS '!B115</f>
        <v>CHAZO DE EXPANSION 5/16 *4</v>
      </c>
      <c r="B24" s="1638"/>
      <c r="C24" s="1638"/>
      <c r="D24" s="1638"/>
      <c r="E24" s="1638"/>
      <c r="F24" s="1639"/>
      <c r="G24" s="53" t="str">
        <f>+VLOOKUP(A24,'INSUMOS '!$B$3:$C$128,2,FALSE)</f>
        <v>UN</v>
      </c>
      <c r="H24" s="54">
        <v>16</v>
      </c>
      <c r="I24" s="33">
        <f>+IFERROR(VLOOKUP(A24,'INSUMOS '!$B$2:$AP$167,'INSUMOS '!$AO$2+1,FALSE),0)</f>
        <v>700</v>
      </c>
      <c r="J24" s="55">
        <f>ROUND(I24*H24,0)</f>
        <v>11200</v>
      </c>
    </row>
    <row r="25" spans="1:10" ht="13.9" customHeight="1" x14ac:dyDescent="0.25">
      <c r="A25" s="1637" t="str">
        <f>+'INSUMOS '!B20</f>
        <v>BROCA  PUNTA DE TUNGSTENO DE 1/2"</v>
      </c>
      <c r="B25" s="1638"/>
      <c r="C25" s="1638"/>
      <c r="D25" s="1638"/>
      <c r="E25" s="1638"/>
      <c r="F25" s="1639"/>
      <c r="G25" s="53" t="str">
        <f>+VLOOKUP(A25,'INSUMOS '!$B$3:$C$128,2,FALSE)</f>
        <v>UN</v>
      </c>
      <c r="H25" s="54">
        <v>0.01</v>
      </c>
      <c r="I25" s="33">
        <f>+IFERROR(VLOOKUP(A25,'INSUMOS '!$B$2:$AP$167,'INSUMOS '!$AO$2+1,FALSE),0)</f>
        <v>12945</v>
      </c>
      <c r="J25" s="55">
        <f>ROUND(I25*H25,0)</f>
        <v>129</v>
      </c>
    </row>
    <row r="26" spans="1:10" ht="13.9" customHeight="1" x14ac:dyDescent="0.25">
      <c r="A26" s="1637" t="str">
        <f>+'INSUMOS '!B114</f>
        <v>GASOLINA CORRIENTE</v>
      </c>
      <c r="B26" s="1638"/>
      <c r="C26" s="1638"/>
      <c r="D26" s="1638"/>
      <c r="E26" s="1638"/>
      <c r="F26" s="1639"/>
      <c r="G26" s="53" t="str">
        <f>+VLOOKUP(A26,'INSUMOS '!$B$3:$C$128,2,FALSE)</f>
        <v>GAL</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55"/>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998293</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1481">
        <f>(20/1000)/12</f>
        <v>1.6666666666666668E-3</v>
      </c>
      <c r="H36" s="55">
        <f>+IFERROR(VLOOKUP(A36,'EQUIPOS '!$B$3:$M$78,12,FALSE),0)</f>
        <v>611492.5</v>
      </c>
      <c r="I36" s="55">
        <f>IFERROR(H36*G36,0)</f>
        <v>1019.1541666666667</v>
      </c>
      <c r="J36" s="55">
        <f>ROUND(I36,0)</f>
        <v>1019</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1019</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 t="shared" ref="G43:G45" si="2">+E43*F43</f>
        <v>213741</v>
      </c>
      <c r="H43" s="54">
        <v>15</v>
      </c>
      <c r="I43" s="55">
        <f t="shared" ref="I43:I45" si="3">IFERROR(ROUND(G43/H43,0),0)</f>
        <v>14249</v>
      </c>
      <c r="J43" s="55">
        <f t="shared" ref="J43:J45" si="4">+I43</f>
        <v>14249</v>
      </c>
    </row>
    <row r="44" spans="1:10" s="608" customFormat="1" ht="13.9" customHeight="1" x14ac:dyDescent="0.25">
      <c r="A44" s="1571" t="str">
        <f>+PERSONAL!B6</f>
        <v>AYUDANTE NOCTURNO</v>
      </c>
      <c r="B44" s="1572"/>
      <c r="C44" s="1572"/>
      <c r="D44" s="1573"/>
      <c r="E44" s="609">
        <f>+VLOOKUP(A44,PERSONAL!$B$3:$E$100,4,FALSE)</f>
        <v>83383</v>
      </c>
      <c r="F44" s="601">
        <v>2</v>
      </c>
      <c r="G44" s="609">
        <f t="shared" si="2"/>
        <v>166766</v>
      </c>
      <c r="H44" s="54">
        <v>15</v>
      </c>
      <c r="I44" s="55">
        <f t="shared" si="3"/>
        <v>11118</v>
      </c>
      <c r="J44" s="55">
        <f t="shared" si="4"/>
        <v>11118</v>
      </c>
    </row>
    <row r="45" spans="1:10" s="608" customFormat="1" ht="13.9" customHeight="1" x14ac:dyDescent="0.25">
      <c r="A45" s="1571" t="str">
        <f>+PERSONAL!B4</f>
        <v>AUXILIAR DE TRÁFICO NOCTURNO</v>
      </c>
      <c r="B45" s="1572"/>
      <c r="C45" s="1572"/>
      <c r="D45" s="1573"/>
      <c r="E45" s="609">
        <f>+VLOOKUP(A45,PERSONAL!$B$3:$E$100,4,FALSE)</f>
        <v>98122</v>
      </c>
      <c r="F45" s="601">
        <v>1</v>
      </c>
      <c r="G45" s="609">
        <f t="shared" si="2"/>
        <v>98122</v>
      </c>
      <c r="H45" s="54">
        <v>15</v>
      </c>
      <c r="I45" s="55">
        <f t="shared" si="3"/>
        <v>6541</v>
      </c>
      <c r="J45" s="55">
        <f t="shared" si="4"/>
        <v>6541</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31908</v>
      </c>
    </row>
    <row r="50" spans="1:10" ht="13.9" customHeight="1" x14ac:dyDescent="0.25"/>
    <row r="51" spans="1:10" ht="13.9" customHeight="1" x14ac:dyDescent="0.25">
      <c r="E51" s="610" t="s">
        <v>276</v>
      </c>
      <c r="I51" s="611">
        <f>J18+J32+J39+J49</f>
        <v>1061365</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Hoja150">
    <tabColor theme="1"/>
  </sheetPr>
  <dimension ref="A1:M54"/>
  <sheetViews>
    <sheetView topLeftCell="A28"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5.42578125" style="592" bestFit="1" customWidth="1"/>
    <col min="10" max="10" width="12.42578125" style="592" bestFit="1" customWidth="1"/>
    <col min="11" max="12" width="11.42578125" style="592"/>
    <col min="13" max="13" width="14.7109375" style="592" bestFit="1" customWidth="1"/>
    <col min="14"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105</v>
      </c>
      <c r="D6" s="596"/>
      <c r="E6" s="596"/>
      <c r="F6" s="596"/>
      <c r="G6" s="596"/>
      <c r="H6" s="597"/>
      <c r="I6" s="598" t="s">
        <v>248</v>
      </c>
      <c r="J6" s="599" t="str">
        <f>+VLOOKUP(C6,'ANEXO PLIEGO_1'!$A$7:$C$133,3,FALSE)</f>
        <v>M2</v>
      </c>
    </row>
    <row r="7" spans="1:12" ht="54" customHeight="1" x14ac:dyDescent="0.25">
      <c r="A7" s="1637" t="s">
        <v>249</v>
      </c>
      <c r="B7" s="1639"/>
      <c r="C7" s="1684" t="str">
        <f>+VLOOKUP(C6,'ANEXO PLIEGO_1'!$A$7:$B$133,2,FALSE)</f>
        <v>Suministro e instalación resalto parabólico y circular, material con alta resistencia al impacto, largo entre 3,7 y 6,7 m y altura máx. 10 cm, incluye elementos de sujeción (figura 5-31 Resolución 20243040045005 de 17 de septiembre de 2024) (por metro de ancho vial)</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f>1.2/8</f>
        <v>0.15</v>
      </c>
      <c r="I11" s="55">
        <f>IFERROR((G11/H11),"")</f>
        <v>53332.933333333334</v>
      </c>
      <c r="J11" s="55">
        <f>ROUND(I11,0)</f>
        <v>53333</v>
      </c>
      <c r="L11" s="593" t="s">
        <v>158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0.15</v>
      </c>
      <c r="I12" s="55">
        <f t="shared" ref="I12:I14" si="0">IFERROR((G12/H12),0)</f>
        <v>88146.666666666672</v>
      </c>
      <c r="J12" s="55">
        <f t="shared" ref="J12:J15" si="1">ROUND(I12,0)</f>
        <v>88147</v>
      </c>
      <c r="L12" s="593" t="s">
        <v>262</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0.15</v>
      </c>
      <c r="I13" s="55">
        <f t="shared" si="0"/>
        <v>85140</v>
      </c>
      <c r="J13" s="55">
        <f t="shared" si="1"/>
        <v>85140</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0.15</v>
      </c>
      <c r="I14" s="55">
        <f t="shared" si="0"/>
        <v>24583.333333333336</v>
      </c>
      <c r="J14" s="55">
        <f t="shared" si="1"/>
        <v>24583</v>
      </c>
      <c r="L14" s="593" t="s">
        <v>95</v>
      </c>
    </row>
    <row r="15" spans="1:12" s="593" customFormat="1" ht="13.9" customHeight="1" x14ac:dyDescent="0.25">
      <c r="A15" s="1571" t="str">
        <f>+'EQUIPOS '!B33</f>
        <v>HERRAMIENTA MENOR</v>
      </c>
      <c r="B15" s="1572"/>
      <c r="C15" s="1572"/>
      <c r="D15" s="1573"/>
      <c r="E15" s="53"/>
      <c r="F15" s="601" t="str">
        <f>IFERROR(VLOOKUP(A15,'[10]EQUIPOS TRANSPOR SALARIO'!$A$3:$G$42,2,FALSE),"")</f>
        <v>Global</v>
      </c>
      <c r="G15" s="603">
        <v>0.01</v>
      </c>
      <c r="H15" s="604">
        <f>+J50</f>
        <v>619598</v>
      </c>
      <c r="I15" s="55">
        <f>IFERROR((G15*H15),0)</f>
        <v>6195.9800000000005</v>
      </c>
      <c r="J15" s="55">
        <f t="shared" si="1"/>
        <v>6196</v>
      </c>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2"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2" s="593" customFormat="1" ht="13.9" customHeight="1" x14ac:dyDescent="0.25">
      <c r="I18" s="601" t="s">
        <v>257</v>
      </c>
      <c r="J18" s="605">
        <f>+SUM(J11:J17)</f>
        <v>257399</v>
      </c>
    </row>
    <row r="19" spans="1:12" s="593" customFormat="1" ht="13.9" customHeight="1" x14ac:dyDescent="0.25"/>
    <row r="20" spans="1:12" s="593" customFormat="1" ht="13.9" customHeight="1" x14ac:dyDescent="0.25">
      <c r="A20" s="1673" t="s">
        <v>263</v>
      </c>
      <c r="B20" s="1673"/>
      <c r="C20" s="1673"/>
      <c r="D20" s="1673"/>
      <c r="E20" s="1673"/>
      <c r="F20" s="1673"/>
      <c r="G20" s="1673"/>
      <c r="H20" s="1673"/>
      <c r="I20" s="390"/>
    </row>
    <row r="21" spans="1:12" ht="13.9" customHeight="1" x14ac:dyDescent="0.25">
      <c r="A21" s="1677" t="s">
        <v>251</v>
      </c>
      <c r="B21" s="1678"/>
      <c r="C21" s="1678"/>
      <c r="D21" s="1678"/>
      <c r="E21" s="1678"/>
      <c r="F21" s="1679"/>
      <c r="G21" s="600" t="s">
        <v>252</v>
      </c>
      <c r="H21" s="600" t="s">
        <v>264</v>
      </c>
      <c r="I21" s="600" t="s">
        <v>256</v>
      </c>
      <c r="J21" s="600" t="s">
        <v>257</v>
      </c>
    </row>
    <row r="22" spans="1:12" ht="62.25" customHeight="1" x14ac:dyDescent="0.25">
      <c r="A22" s="1637" t="str">
        <f>+'INSUMOS '!B133</f>
        <v>RESALTO PARABÓLICO Y CIRCULAR, MATERIAL CON ALTA RESISTENCIA AL IMPACTO, LARGO ENTRE 3,7 Y 6,7 M Y ALTURA MAX 10 CM, INCLUYE ELEMENTOS DE SUJECIÓN (POR METRO DE ANCHO VIAL)</v>
      </c>
      <c r="B22" s="1638"/>
      <c r="C22" s="1638"/>
      <c r="D22" s="1638"/>
      <c r="E22" s="1638"/>
      <c r="F22" s="1639"/>
      <c r="G22" s="53" t="s">
        <v>12</v>
      </c>
      <c r="H22" s="54">
        <v>1</v>
      </c>
      <c r="I22" s="33">
        <f>+IFERROR(VLOOKUP(A22,'INSUMOS '!$B$2:$AP$167,'INSUMOS '!$AO$2+1,FALSE),0)</f>
        <v>2522800</v>
      </c>
      <c r="J22" s="55">
        <f>ROUND(I22*H22,0)</f>
        <v>2522800</v>
      </c>
    </row>
    <row r="23" spans="1:12" ht="13.9" customHeight="1" x14ac:dyDescent="0.25">
      <c r="A23" s="1571" t="str">
        <f>+'INSUMOS '!B65</f>
        <v>PEGANTE EPOXICO</v>
      </c>
      <c r="B23" s="1572"/>
      <c r="C23" s="1572"/>
      <c r="D23" s="1572"/>
      <c r="E23" s="1572"/>
      <c r="F23" s="1573"/>
      <c r="G23" s="53" t="s">
        <v>6</v>
      </c>
      <c r="H23" s="54">
        <v>0.6</v>
      </c>
      <c r="I23" s="33">
        <f>+IFERROR(VLOOKUP(A23,'INSUMOS '!$B$2:$AP$167,'INSUMOS '!$AO$2+1,FALSE),0)</f>
        <v>146748</v>
      </c>
      <c r="J23" s="55">
        <f>ROUND(I23*H23,0)</f>
        <v>88049</v>
      </c>
      <c r="L23" s="592" t="s">
        <v>288</v>
      </c>
    </row>
    <row r="24" spans="1:12" ht="13.9" customHeight="1" x14ac:dyDescent="0.25">
      <c r="A24" s="1571" t="str">
        <f>+'INSUMOS '!B115</f>
        <v>CHAZO DE EXPANSION 5/16 *4</v>
      </c>
      <c r="B24" s="1572"/>
      <c r="C24" s="1572"/>
      <c r="D24" s="1572"/>
      <c r="E24" s="1572"/>
      <c r="F24" s="1573"/>
      <c r="G24" s="53" t="s">
        <v>266</v>
      </c>
      <c r="H24" s="54">
        <v>16</v>
      </c>
      <c r="I24" s="33">
        <f>+IFERROR(VLOOKUP(A24,'INSUMOS '!$B$2:$AP$167,'INSUMOS '!$AO$2+1,FALSE),0)</f>
        <v>700</v>
      </c>
      <c r="J24" s="55">
        <f>ROUND(I24*H24,0)</f>
        <v>11200</v>
      </c>
      <c r="L24" s="592" t="s">
        <v>291</v>
      </c>
    </row>
    <row r="25" spans="1:12" ht="13.9" customHeight="1" x14ac:dyDescent="0.25">
      <c r="A25" s="1571" t="str">
        <f>+'INSUMOS '!B20</f>
        <v>BROCA  PUNTA DE TUNGSTENO DE 1/2"</v>
      </c>
      <c r="B25" s="1572"/>
      <c r="C25" s="1572"/>
      <c r="D25" s="1572"/>
      <c r="E25" s="1572"/>
      <c r="F25" s="1573"/>
      <c r="G25" s="53" t="s">
        <v>266</v>
      </c>
      <c r="H25" s="54">
        <v>0.13</v>
      </c>
      <c r="I25" s="33">
        <f>+IFERROR(VLOOKUP(A25,'INSUMOS '!$B$2:$AP$167,'INSUMOS '!$AO$2+1,FALSE),0)</f>
        <v>12945</v>
      </c>
      <c r="J25" s="55">
        <f>ROUND(I25*H25,0)</f>
        <v>1683</v>
      </c>
      <c r="L25" s="592" t="s">
        <v>289</v>
      </c>
    </row>
    <row r="26" spans="1:12" ht="13.9" customHeight="1" x14ac:dyDescent="0.25">
      <c r="A26" s="1571" t="str">
        <f>+'INSUMOS '!B114</f>
        <v>GASOLINA CORRIENTE</v>
      </c>
      <c r="B26" s="1572"/>
      <c r="C26" s="1572"/>
      <c r="D26" s="1572"/>
      <c r="E26" s="1572"/>
      <c r="F26" s="1573"/>
      <c r="G26" s="53" t="s">
        <v>114</v>
      </c>
      <c r="H26" s="54">
        <v>0.04</v>
      </c>
      <c r="I26" s="33">
        <f>+IFERROR(VLOOKUP(A26,'INSUMOS '!$B$2:$AP$167,'INSUMOS '!$AO$2+1,FALSE),0)</f>
        <v>15861</v>
      </c>
      <c r="J26" s="55">
        <f>ROUND(I26*H26,0)</f>
        <v>634</v>
      </c>
      <c r="L26" s="592" t="s">
        <v>277</v>
      </c>
    </row>
    <row r="27" spans="1:12" ht="13.9" customHeight="1" x14ac:dyDescent="0.25">
      <c r="A27" s="1687"/>
      <c r="B27" s="1572"/>
      <c r="C27" s="1572"/>
      <c r="D27" s="1572"/>
      <c r="E27" s="1572"/>
      <c r="F27" s="1573"/>
      <c r="G27" s="53"/>
      <c r="H27" s="54"/>
      <c r="I27" s="55"/>
      <c r="J27" s="55"/>
    </row>
    <row r="28" spans="1:12" ht="13.9" customHeight="1" x14ac:dyDescent="0.25">
      <c r="A28" s="1571"/>
      <c r="B28" s="1572"/>
      <c r="C28" s="1572"/>
      <c r="D28" s="1572"/>
      <c r="E28" s="1572"/>
      <c r="F28" s="1573"/>
      <c r="G28" s="53"/>
      <c r="H28" s="54"/>
      <c r="I28" s="55"/>
      <c r="J28" s="55"/>
    </row>
    <row r="29" spans="1:12" ht="13.9" customHeight="1" x14ac:dyDescent="0.25">
      <c r="A29" s="1571"/>
      <c r="B29" s="1572"/>
      <c r="C29" s="1572"/>
      <c r="D29" s="1572"/>
      <c r="E29" s="1572"/>
      <c r="F29" s="1573"/>
      <c r="G29" s="53"/>
      <c r="H29" s="606"/>
      <c r="I29" s="55"/>
      <c r="J29" s="55"/>
    </row>
    <row r="30" spans="1:12" ht="13.9" customHeight="1" x14ac:dyDescent="0.25">
      <c r="A30" s="1571"/>
      <c r="B30" s="1572"/>
      <c r="C30" s="1572"/>
      <c r="D30" s="1572"/>
      <c r="E30" s="1572"/>
      <c r="F30" s="1573"/>
      <c r="G30" s="53"/>
      <c r="H30" s="54"/>
      <c r="I30" s="55"/>
      <c r="J30" s="55"/>
    </row>
    <row r="31" spans="1:12" ht="13.9" customHeight="1" x14ac:dyDescent="0.25">
      <c r="A31" s="1571"/>
      <c r="B31" s="1572"/>
      <c r="C31" s="1572"/>
      <c r="D31" s="1572"/>
      <c r="E31" s="1572"/>
      <c r="F31" s="1573"/>
      <c r="G31" s="53"/>
      <c r="H31" s="54"/>
      <c r="I31" s="55"/>
      <c r="J31" s="55"/>
    </row>
    <row r="32" spans="1:12" ht="13.9" customHeight="1" x14ac:dyDescent="0.25">
      <c r="A32" s="593"/>
      <c r="B32" s="593"/>
      <c r="C32" s="593"/>
      <c r="D32" s="593"/>
      <c r="E32" s="593"/>
      <c r="G32" s="593"/>
      <c r="H32" s="593"/>
      <c r="I32" s="601" t="s">
        <v>257</v>
      </c>
      <c r="J32" s="605">
        <f>+SUM(J22:J31)</f>
        <v>2624366</v>
      </c>
    </row>
    <row r="33" spans="1:13" ht="13.9" customHeight="1" x14ac:dyDescent="0.25"/>
    <row r="34" spans="1:13" ht="13.9" customHeight="1" x14ac:dyDescent="0.25">
      <c r="A34" s="1673" t="s">
        <v>267</v>
      </c>
      <c r="B34" s="1673"/>
      <c r="C34" s="1673"/>
      <c r="D34" s="1673"/>
      <c r="E34" s="1673"/>
      <c r="F34" s="1673"/>
      <c r="G34" s="1673"/>
      <c r="H34" s="1673"/>
      <c r="I34" s="390"/>
    </row>
    <row r="35" spans="1:13" ht="13.9" customHeight="1" x14ac:dyDescent="0.25">
      <c r="A35" s="1674" t="s">
        <v>268</v>
      </c>
      <c r="B35" s="1675"/>
      <c r="C35" s="1675"/>
      <c r="D35" s="1675"/>
      <c r="E35" s="1675"/>
      <c r="F35" s="1676"/>
      <c r="G35" s="607" t="s">
        <v>255</v>
      </c>
      <c r="H35" s="600" t="s">
        <v>269</v>
      </c>
      <c r="I35" s="600" t="s">
        <v>256</v>
      </c>
      <c r="J35" s="600" t="s">
        <v>257</v>
      </c>
    </row>
    <row r="36" spans="1:13" ht="13.9" customHeight="1" x14ac:dyDescent="0.25">
      <c r="A36" s="1571" t="str">
        <f>+'EQUIPOS '!B6</f>
        <v>CAMION INCLUYE CONDUCTOR</v>
      </c>
      <c r="B36" s="1572"/>
      <c r="C36" s="1572"/>
      <c r="D36" s="1572"/>
      <c r="E36" s="1572"/>
      <c r="F36" s="1573"/>
      <c r="G36" s="54">
        <f>0.5/12</f>
        <v>4.1666666666666664E-2</v>
      </c>
      <c r="H36" s="55">
        <f>+IFERROR(VLOOKUP(A36,'EQUIPOS '!$B$3:$M$78,12,FALSE),0)</f>
        <v>611492.5</v>
      </c>
      <c r="I36" s="55">
        <f>IFERROR(H36*G36,0)</f>
        <v>25478.854166666664</v>
      </c>
      <c r="J36" s="55">
        <f>ROUND(I36,0)</f>
        <v>25479</v>
      </c>
      <c r="M36" s="592">
        <f>0.03*2.4</f>
        <v>7.1999999999999995E-2</v>
      </c>
    </row>
    <row r="37" spans="1:13" ht="13.9" customHeight="1" x14ac:dyDescent="0.25">
      <c r="A37" s="1571"/>
      <c r="B37" s="1572"/>
      <c r="C37" s="1572"/>
      <c r="D37" s="1572"/>
      <c r="E37" s="1572"/>
      <c r="F37" s="1573"/>
      <c r="G37" s="53"/>
      <c r="H37" s="55"/>
      <c r="I37" s="55"/>
      <c r="J37" s="55"/>
    </row>
    <row r="38" spans="1:13" ht="13.9" customHeight="1" x14ac:dyDescent="0.25">
      <c r="A38" s="1571"/>
      <c r="B38" s="1572"/>
      <c r="C38" s="1572"/>
      <c r="D38" s="1572"/>
      <c r="E38" s="1572"/>
      <c r="F38" s="1573"/>
      <c r="G38" s="53"/>
      <c r="H38" s="55"/>
      <c r="I38" s="55"/>
      <c r="J38" s="55"/>
    </row>
    <row r="39" spans="1:13" ht="13.9" customHeight="1" x14ac:dyDescent="0.25">
      <c r="G39" s="608"/>
      <c r="H39" s="608"/>
      <c r="I39" s="601" t="s">
        <v>257</v>
      </c>
      <c r="J39" s="55">
        <f>+SUM(J36:J38)</f>
        <v>25479</v>
      </c>
    </row>
    <row r="40" spans="1:13" ht="13.9" customHeight="1" x14ac:dyDescent="0.25"/>
    <row r="41" spans="1:13" ht="13.9" customHeight="1" x14ac:dyDescent="0.25">
      <c r="A41" s="1673" t="s">
        <v>270</v>
      </c>
      <c r="B41" s="1673"/>
      <c r="C41" s="1673"/>
      <c r="D41" s="1673"/>
      <c r="E41" s="1673"/>
      <c r="F41" s="1673"/>
      <c r="G41" s="1673"/>
      <c r="H41" s="1673"/>
      <c r="I41" s="390"/>
    </row>
    <row r="42" spans="1:13" s="608" customFormat="1" ht="13.9" customHeight="1" x14ac:dyDescent="0.25">
      <c r="A42" s="1674" t="s">
        <v>271</v>
      </c>
      <c r="B42" s="1675"/>
      <c r="C42" s="1675"/>
      <c r="D42" s="1676"/>
      <c r="E42" s="600" t="s">
        <v>272</v>
      </c>
      <c r="F42" s="600" t="s">
        <v>264</v>
      </c>
      <c r="G42" s="600" t="s">
        <v>273</v>
      </c>
      <c r="H42" s="600" t="s">
        <v>255</v>
      </c>
      <c r="I42" s="600" t="s">
        <v>256</v>
      </c>
      <c r="J42" s="600" t="s">
        <v>257</v>
      </c>
    </row>
    <row r="43" spans="1:13" s="608" customFormat="1" ht="13.9" customHeight="1" x14ac:dyDescent="0.25">
      <c r="A43" s="1571" t="str">
        <f>+PERSONAL!B19</f>
        <v>JEFE DE CUADRILLA NOCTURNO</v>
      </c>
      <c r="B43" s="1572"/>
      <c r="C43" s="1572"/>
      <c r="D43" s="1573"/>
      <c r="E43" s="609">
        <f>+VLOOKUP(A43,PERSONAL!$B$3:$E$100,4,FALSE)</f>
        <v>213741</v>
      </c>
      <c r="F43" s="601">
        <v>1</v>
      </c>
      <c r="G43" s="609">
        <f>+E43*F43</f>
        <v>213741</v>
      </c>
      <c r="H43" s="54">
        <v>1.2</v>
      </c>
      <c r="I43" s="55">
        <f>IFERROR(ROUND(G43/H43,0),0)</f>
        <v>178118</v>
      </c>
      <c r="J43" s="55">
        <f>+I43</f>
        <v>178118</v>
      </c>
    </row>
    <row r="44" spans="1:13" s="608" customFormat="1" ht="13.9" customHeight="1" x14ac:dyDescent="0.25">
      <c r="A44" s="1571" t="str">
        <f>+PERSONAL!B6</f>
        <v>AYUDANTE NOCTURNO</v>
      </c>
      <c r="B44" s="1572"/>
      <c r="C44" s="1572"/>
      <c r="D44" s="1573"/>
      <c r="E44" s="609">
        <f>+VLOOKUP(A44,PERSONAL!$B$3:$E$100,4,FALSE)</f>
        <v>83383</v>
      </c>
      <c r="F44" s="601">
        <v>4</v>
      </c>
      <c r="G44" s="609">
        <f t="shared" ref="G44:G45" si="2">+E44*F44</f>
        <v>333532</v>
      </c>
      <c r="H44" s="54">
        <f>+H43</f>
        <v>1.2</v>
      </c>
      <c r="I44" s="55">
        <f t="shared" ref="I44:I45" si="3">IFERROR(ROUND(G44/H44,0),0)</f>
        <v>277943</v>
      </c>
      <c r="J44" s="55">
        <f t="shared" ref="J44:J45" si="4">+I44</f>
        <v>277943</v>
      </c>
    </row>
    <row r="45" spans="1:13" s="608" customFormat="1" ht="13.9" customHeight="1" x14ac:dyDescent="0.25">
      <c r="A45" s="1571" t="str">
        <f>+PERSONAL!B4</f>
        <v>AUXILIAR DE TRÁFICO NOCTURNO</v>
      </c>
      <c r="B45" s="1572"/>
      <c r="C45" s="1572"/>
      <c r="D45" s="1573"/>
      <c r="E45" s="609">
        <f>+VLOOKUP(A45,PERSONAL!$B$3:$E$100,4,FALSE)</f>
        <v>98122</v>
      </c>
      <c r="F45" s="601">
        <v>2</v>
      </c>
      <c r="G45" s="609">
        <f t="shared" si="2"/>
        <v>196244</v>
      </c>
      <c r="H45" s="54">
        <f>+H44</f>
        <v>1.2</v>
      </c>
      <c r="I45" s="55">
        <f t="shared" si="3"/>
        <v>163537</v>
      </c>
      <c r="J45" s="55">
        <f t="shared" si="4"/>
        <v>163537</v>
      </c>
    </row>
    <row r="46" spans="1:13" s="608" customFormat="1" ht="13.9" customHeight="1" x14ac:dyDescent="0.25">
      <c r="A46" s="1571"/>
      <c r="B46" s="1572"/>
      <c r="C46" s="1572"/>
      <c r="D46" s="1573"/>
      <c r="E46" s="609"/>
      <c r="F46" s="601"/>
      <c r="G46" s="609"/>
      <c r="H46" s="54"/>
      <c r="I46" s="55"/>
      <c r="J46" s="55"/>
    </row>
    <row r="47" spans="1:13" s="608" customFormat="1" ht="13.9" customHeight="1" x14ac:dyDescent="0.25">
      <c r="A47" s="1571"/>
      <c r="B47" s="1572"/>
      <c r="C47" s="1572"/>
      <c r="D47" s="1573"/>
      <c r="E47" s="609"/>
      <c r="F47" s="601"/>
      <c r="G47" s="609"/>
      <c r="H47" s="54"/>
      <c r="I47" s="55"/>
      <c r="J47" s="55"/>
    </row>
    <row r="48" spans="1:13" s="608" customFormat="1" ht="13.9" customHeight="1" x14ac:dyDescent="0.25">
      <c r="A48" s="1571"/>
      <c r="B48" s="1572"/>
      <c r="C48" s="1572"/>
      <c r="D48" s="1573"/>
      <c r="E48" s="609"/>
      <c r="F48" s="601"/>
      <c r="G48" s="609"/>
      <c r="H48" s="54"/>
      <c r="I48" s="55"/>
      <c r="J48" s="55"/>
    </row>
    <row r="49" spans="1:13" s="608" customFormat="1" ht="13.9" customHeight="1" x14ac:dyDescent="0.25">
      <c r="A49" s="1571"/>
      <c r="B49" s="1572"/>
      <c r="C49" s="1572"/>
      <c r="D49" s="1573"/>
      <c r="E49" s="609"/>
      <c r="F49" s="601"/>
      <c r="G49" s="609"/>
      <c r="H49" s="54"/>
      <c r="I49" s="55"/>
      <c r="J49" s="55"/>
    </row>
    <row r="50" spans="1:13" ht="13.9" customHeight="1" x14ac:dyDescent="0.25">
      <c r="A50" s="593"/>
      <c r="B50" s="593"/>
      <c r="C50" s="593"/>
      <c r="E50" s="593"/>
      <c r="F50" s="593"/>
      <c r="G50" s="593"/>
      <c r="H50" s="593"/>
      <c r="I50" s="601" t="s">
        <v>257</v>
      </c>
      <c r="J50" s="605">
        <f>+SUM(J43:J49)</f>
        <v>619598</v>
      </c>
    </row>
    <row r="51" spans="1:13" ht="13.9" customHeight="1" x14ac:dyDescent="0.25"/>
    <row r="52" spans="1:13" ht="13.9" customHeight="1" x14ac:dyDescent="0.25">
      <c r="E52" s="610" t="s">
        <v>276</v>
      </c>
      <c r="I52" s="611">
        <f>J18+J32+J39+J50</f>
        <v>3526842</v>
      </c>
      <c r="J52" s="612"/>
      <c r="M52" s="613">
        <v>6128571.4285714282</v>
      </c>
    </row>
    <row r="53" spans="1:13" ht="13.9" customHeight="1" x14ac:dyDescent="0.25"/>
    <row r="54" spans="1:13"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Hoja151">
    <tabColor theme="1"/>
  </sheetPr>
  <dimension ref="A1:J53"/>
  <sheetViews>
    <sheetView topLeftCell="A32" workbookViewId="0">
      <selection activeCell="N28" sqref="N28"/>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0" ht="29.25" customHeight="1" x14ac:dyDescent="0.25">
      <c r="A1" s="1680" t="s">
        <v>244</v>
      </c>
      <c r="B1" s="1681"/>
      <c r="C1" s="1681"/>
      <c r="D1" s="1681"/>
      <c r="E1" s="1681"/>
      <c r="F1" s="1681"/>
      <c r="G1" s="1681"/>
      <c r="H1" s="1681"/>
      <c r="I1" s="1681"/>
      <c r="J1" s="1681"/>
    </row>
    <row r="2" spans="1:10" ht="15" customHeight="1" x14ac:dyDescent="0.25">
      <c r="A2" s="1682" t="s">
        <v>245</v>
      </c>
      <c r="B2" s="1682"/>
      <c r="C2" s="1682"/>
      <c r="D2" s="1682"/>
      <c r="E2" s="1682"/>
      <c r="F2" s="1682"/>
      <c r="G2" s="1682"/>
      <c r="H2" s="1682"/>
      <c r="I2" s="1682"/>
      <c r="J2" s="1682"/>
    </row>
    <row r="4" spans="1:10" s="593" customFormat="1" ht="9.9499999999999993" customHeight="1" x14ac:dyDescent="0.25">
      <c r="A4" s="1683" t="s">
        <v>246</v>
      </c>
      <c r="B4" s="1683"/>
      <c r="C4" s="1683"/>
      <c r="D4" s="1683"/>
      <c r="E4" s="1683"/>
      <c r="F4" s="1683"/>
      <c r="G4" s="1683"/>
      <c r="H4" s="1683"/>
      <c r="I4" s="1683"/>
      <c r="J4" s="1683"/>
    </row>
    <row r="5" spans="1:10" s="593" customFormat="1" ht="9.9499999999999993" customHeight="1" x14ac:dyDescent="0.25">
      <c r="B5" s="594"/>
      <c r="C5" s="594"/>
      <c r="D5" s="594"/>
      <c r="E5" s="594"/>
      <c r="F5" s="594"/>
      <c r="G5" s="594"/>
    </row>
    <row r="6" spans="1:10" x14ac:dyDescent="0.25">
      <c r="A6" s="1571" t="s">
        <v>247</v>
      </c>
      <c r="B6" s="1573"/>
      <c r="C6" s="595">
        <v>104</v>
      </c>
      <c r="D6" s="596"/>
      <c r="E6" s="596"/>
      <c r="F6" s="596"/>
      <c r="G6" s="596"/>
      <c r="H6" s="597"/>
      <c r="I6" s="598" t="s">
        <v>248</v>
      </c>
      <c r="J6" s="599" t="str">
        <f>+VLOOKUP(C6,'ANEXO PLIEGO_1'!$A$7:$C$133,3,FALSE)</f>
        <v>UN</v>
      </c>
    </row>
    <row r="7" spans="1:10" ht="35.1" customHeight="1" x14ac:dyDescent="0.25">
      <c r="A7" s="1637" t="s">
        <v>249</v>
      </c>
      <c r="B7" s="1639"/>
      <c r="C7" s="1684" t="str">
        <f>+VLOOKUP(C6,'ANEXO PLIEGO_1'!$A$7:$B$133,2,FALSE)</f>
        <v>Suministro e instalación de marcador cilíndrico o hito tubular, color amarillo, material sintético flexible, dos bandas de min 10 cm en material reflectivo blanco tipo IV o superior, altura entre 45 y 80 cm, diámetro entre 9,5 y 21,5 cm (figura 5-23 Resolución 20243040045005 de 17 de septiembre de 2024), incluye elementos de sujeción</v>
      </c>
      <c r="D7" s="1685"/>
      <c r="E7" s="1685"/>
      <c r="F7" s="1685"/>
      <c r="G7" s="1685"/>
      <c r="H7" s="1685"/>
      <c r="I7" s="1685"/>
      <c r="J7" s="1686"/>
    </row>
    <row r="9" spans="1:10" s="390" customFormat="1" ht="12.75" x14ac:dyDescent="0.25">
      <c r="A9" s="1673" t="s">
        <v>250</v>
      </c>
      <c r="B9" s="1673"/>
      <c r="C9" s="1673"/>
      <c r="D9" s="1673"/>
      <c r="E9" s="1673"/>
      <c r="F9" s="1673"/>
      <c r="G9" s="1673"/>
      <c r="H9" s="1673"/>
    </row>
    <row r="10" spans="1:10" s="593" customFormat="1" ht="13.9" customHeight="1" x14ac:dyDescent="0.25">
      <c r="A10" s="1674" t="s">
        <v>251</v>
      </c>
      <c r="B10" s="1675"/>
      <c r="C10" s="1675"/>
      <c r="D10" s="1676"/>
      <c r="E10" s="600" t="s">
        <v>252</v>
      </c>
      <c r="F10" s="600" t="s">
        <v>253</v>
      </c>
      <c r="G10" s="600" t="s">
        <v>254</v>
      </c>
      <c r="H10" s="600" t="s">
        <v>255</v>
      </c>
      <c r="I10" s="600" t="s">
        <v>256</v>
      </c>
      <c r="J10" s="600" t="s">
        <v>257</v>
      </c>
    </row>
    <row r="11" spans="1:10" s="593" customFormat="1" ht="13.9" customHeight="1" x14ac:dyDescent="0.25">
      <c r="A11" s="1571" t="str">
        <f>+'EQUIPOS '!B9</f>
        <v>COMPRESOR</v>
      </c>
      <c r="B11" s="1572"/>
      <c r="C11" s="1572"/>
      <c r="D11" s="1573"/>
      <c r="E11" s="53" t="s">
        <v>259</v>
      </c>
      <c r="F11" s="601"/>
      <c r="G11" s="602">
        <f>+VLOOKUP(A11,'EQUIPOS '!$B$3:$M$64,12,FALSE)</f>
        <v>7999.94</v>
      </c>
      <c r="H11" s="601">
        <v>12</v>
      </c>
      <c r="I11" s="55">
        <f>IFERROR((G11/H11),"")</f>
        <v>666.66166666666663</v>
      </c>
      <c r="J11" s="55">
        <f>ROUND(I11,0)</f>
        <v>667</v>
      </c>
    </row>
    <row r="12" spans="1:10"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v>12</v>
      </c>
      <c r="I12" s="55">
        <f t="shared" ref="I12:I14" si="0">IFERROR((G12/H12),0)</f>
        <v>1101.8333333333333</v>
      </c>
      <c r="J12" s="55">
        <f t="shared" ref="J12:J15" si="1">ROUND(I12,0)</f>
        <v>1102</v>
      </c>
    </row>
    <row r="13" spans="1:10"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v>12</v>
      </c>
      <c r="I13" s="55">
        <f t="shared" si="0"/>
        <v>1064.25</v>
      </c>
      <c r="J13" s="55">
        <f t="shared" si="1"/>
        <v>1064</v>
      </c>
    </row>
    <row r="14" spans="1:10"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v>12</v>
      </c>
      <c r="I14" s="55">
        <f t="shared" si="0"/>
        <v>307.29166666666669</v>
      </c>
      <c r="J14" s="55">
        <f t="shared" si="1"/>
        <v>307</v>
      </c>
    </row>
    <row r="15" spans="1:10" s="593" customFormat="1" ht="13.9" customHeight="1" x14ac:dyDescent="0.25">
      <c r="A15" s="1571" t="str">
        <f>+'EQUIPOS '!B33</f>
        <v>HERRAMIENTA MENOR</v>
      </c>
      <c r="B15" s="1572"/>
      <c r="C15" s="1572"/>
      <c r="D15" s="1573"/>
      <c r="E15" s="53" t="s">
        <v>259</v>
      </c>
      <c r="F15" s="601" t="str">
        <f>IFERROR(VLOOKUP(A15,'[10]EQUIPOS TRANSPOR SALARIO'!$A$3:$G$42,2,FALSE),"")</f>
        <v>Global</v>
      </c>
      <c r="G15" s="603">
        <v>0.01</v>
      </c>
      <c r="H15" s="604">
        <f>+J48</f>
        <v>4117</v>
      </c>
      <c r="I15" s="55">
        <f>IFERROR((G15*H15),0)</f>
        <v>41.17</v>
      </c>
      <c r="J15" s="55">
        <f t="shared" si="1"/>
        <v>41</v>
      </c>
    </row>
    <row r="16" spans="1:10"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0"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0" s="593" customFormat="1" ht="13.9" customHeight="1" x14ac:dyDescent="0.25">
      <c r="I18" s="601" t="s">
        <v>257</v>
      </c>
      <c r="J18" s="605">
        <f>+SUM(J11:J17)</f>
        <v>3181</v>
      </c>
    </row>
    <row r="19" spans="1:10" s="593" customFormat="1" ht="13.9" customHeight="1" x14ac:dyDescent="0.25"/>
    <row r="20" spans="1:10" s="593" customFormat="1" ht="13.9" customHeight="1" x14ac:dyDescent="0.25">
      <c r="A20" s="1673" t="s">
        <v>263</v>
      </c>
      <c r="B20" s="1673"/>
      <c r="C20" s="1673"/>
      <c r="D20" s="1673"/>
      <c r="E20" s="1673"/>
      <c r="F20" s="1673"/>
      <c r="G20" s="1673"/>
      <c r="H20" s="1673"/>
      <c r="I20" s="390"/>
    </row>
    <row r="21" spans="1:10" ht="13.9" customHeight="1" x14ac:dyDescent="0.25">
      <c r="A21" s="1677" t="s">
        <v>251</v>
      </c>
      <c r="B21" s="1678"/>
      <c r="C21" s="1678"/>
      <c r="D21" s="1678"/>
      <c r="E21" s="1678"/>
      <c r="F21" s="1679"/>
      <c r="G21" s="600" t="s">
        <v>252</v>
      </c>
      <c r="H21" s="600" t="s">
        <v>264</v>
      </c>
      <c r="I21" s="600" t="s">
        <v>256</v>
      </c>
      <c r="J21" s="600" t="s">
        <v>257</v>
      </c>
    </row>
    <row r="22" spans="1:10" ht="54.75" customHeight="1" x14ac:dyDescent="0.25">
      <c r="A22" s="1637" t="str">
        <f>+'INSUMOS '!B128</f>
        <v>MARCADOR CILÍNDRICO O HITO TUBULAR, COLOR AMARILLO, MATERIAL SINTÉTICO FLEXIBLE, DOS BANDAS DE MIN 10 CM EN PAPEL REFLECTIVO BLANCO TIPO IV O SUPERIOR, ALTURA ENTRE 70 Y 80 CM, DIÁMETRO 20 CM. INCLUYE ELEMENTOS DE SUJECIÓN</v>
      </c>
      <c r="B22" s="1638"/>
      <c r="C22" s="1638"/>
      <c r="D22" s="1638"/>
      <c r="E22" s="1638"/>
      <c r="F22" s="1639"/>
      <c r="G22" s="53" t="s">
        <v>266</v>
      </c>
      <c r="H22" s="54">
        <v>1</v>
      </c>
      <c r="I22" s="614">
        <f>+'INSUMOS '!AO128</f>
        <v>108888</v>
      </c>
      <c r="J22" s="55">
        <f>ROUND(I22*H22,0)</f>
        <v>108888</v>
      </c>
    </row>
    <row r="23" spans="1:10" ht="13.9" customHeight="1" x14ac:dyDescent="0.25">
      <c r="A23" s="1571" t="str">
        <f>+'INSUMOS '!B65</f>
        <v>PEGANTE EPOXICO</v>
      </c>
      <c r="B23" s="1572"/>
      <c r="C23" s="1572"/>
      <c r="D23" s="1572"/>
      <c r="E23" s="1572"/>
      <c r="F23" s="1573"/>
      <c r="G23" s="53" t="s">
        <v>6</v>
      </c>
      <c r="H23" s="54">
        <v>0.08</v>
      </c>
      <c r="I23" s="33">
        <f>+IFERROR(VLOOKUP(A23,'INSUMOS '!$B$2:$AP$167,'INSUMOS '!$AO$2+1,FALSE),0)</f>
        <v>146748</v>
      </c>
      <c r="J23" s="55">
        <f>ROUND(I23*H23,0)</f>
        <v>11740</v>
      </c>
    </row>
    <row r="24" spans="1:10" ht="13.9" customHeight="1" x14ac:dyDescent="0.25">
      <c r="A24" s="1571" t="str">
        <f>+'INSUMOS '!B115</f>
        <v>CHAZO DE EXPANSION 5/16 *4</v>
      </c>
      <c r="B24" s="1572"/>
      <c r="C24" s="1572"/>
      <c r="D24" s="1572"/>
      <c r="E24" s="1572"/>
      <c r="F24" s="1573"/>
      <c r="G24" s="53" t="s">
        <v>266</v>
      </c>
      <c r="H24" s="54">
        <v>3</v>
      </c>
      <c r="I24" s="33">
        <f>+IFERROR(VLOOKUP(A24,'INSUMOS '!$B$2:$AP$167,'INSUMOS '!$AO$2+1,FALSE),0)</f>
        <v>700</v>
      </c>
      <c r="J24" s="55">
        <f>ROUND(I24*H24,0)</f>
        <v>2100</v>
      </c>
    </row>
    <row r="25" spans="1:10" ht="13.9" customHeight="1" x14ac:dyDescent="0.25">
      <c r="A25" s="1571" t="str">
        <f>+'INSUMOS '!B20</f>
        <v>BROCA  PUNTA DE TUNGSTENO DE 1/2"</v>
      </c>
      <c r="B25" s="1572"/>
      <c r="C25" s="1572"/>
      <c r="D25" s="1572"/>
      <c r="E25" s="1572"/>
      <c r="F25" s="1573"/>
      <c r="G25" s="53" t="s">
        <v>266</v>
      </c>
      <c r="H25" s="54">
        <v>0.01</v>
      </c>
      <c r="I25" s="33">
        <f>+IFERROR(VLOOKUP(A25,'INSUMOS '!$B$2:$AP$167,'INSUMOS '!$AO$2+1,FALSE),0)</f>
        <v>12945</v>
      </c>
      <c r="J25" s="55">
        <f>ROUND(I25*H25,0)</f>
        <v>129</v>
      </c>
    </row>
    <row r="26" spans="1:10" ht="13.9" customHeight="1" x14ac:dyDescent="0.25">
      <c r="A26" s="1571" t="str">
        <f>+'INSUMOS '!B114</f>
        <v>GASOLINA CORRIENTE</v>
      </c>
      <c r="B26" s="1572"/>
      <c r="C26" s="1572"/>
      <c r="D26" s="1572"/>
      <c r="E26" s="1572"/>
      <c r="F26" s="1573"/>
      <c r="G26" s="53" t="s">
        <v>114</v>
      </c>
      <c r="H26" s="54">
        <v>0.01</v>
      </c>
      <c r="I26" s="33">
        <f>+IFERROR(VLOOKUP(A26,'INSUMOS '!$B$2:$AP$167,'INSUMOS '!$AO$2+1,FALSE),0)</f>
        <v>15861</v>
      </c>
      <c r="J26" s="55">
        <f>ROUND(I26*H26,0)</f>
        <v>159</v>
      </c>
    </row>
    <row r="27" spans="1:10" ht="13.9" customHeight="1" x14ac:dyDescent="0.25">
      <c r="A27" s="1571"/>
      <c r="B27" s="1572"/>
      <c r="C27" s="1572"/>
      <c r="D27" s="1572"/>
      <c r="E27" s="1572"/>
      <c r="F27" s="1573"/>
      <c r="G27" s="53"/>
      <c r="H27" s="54"/>
      <c r="I27" s="614"/>
      <c r="J27" s="55"/>
    </row>
    <row r="28" spans="1:10" ht="13.9" customHeight="1" x14ac:dyDescent="0.25">
      <c r="A28" s="1571"/>
      <c r="B28" s="1572"/>
      <c r="C28" s="1572"/>
      <c r="D28" s="1572"/>
      <c r="E28" s="1572"/>
      <c r="F28" s="1573"/>
      <c r="G28" s="53"/>
      <c r="H28" s="54"/>
      <c r="I28" s="55"/>
      <c r="J28" s="55"/>
    </row>
    <row r="29" spans="1:10" ht="13.9" customHeight="1" x14ac:dyDescent="0.25">
      <c r="A29" s="1571"/>
      <c r="B29" s="1572"/>
      <c r="C29" s="1572"/>
      <c r="D29" s="1572"/>
      <c r="E29" s="1572"/>
      <c r="F29" s="1573"/>
      <c r="G29" s="53"/>
      <c r="H29" s="606"/>
      <c r="I29" s="55"/>
      <c r="J29" s="55"/>
    </row>
    <row r="30" spans="1:10" ht="13.9" customHeight="1" x14ac:dyDescent="0.25">
      <c r="A30" s="1571"/>
      <c r="B30" s="1572"/>
      <c r="C30" s="1572"/>
      <c r="D30" s="1572"/>
      <c r="E30" s="1572"/>
      <c r="F30" s="1573"/>
      <c r="G30" s="53"/>
      <c r="H30" s="54"/>
      <c r="I30" s="55"/>
      <c r="J30" s="55"/>
    </row>
    <row r="31" spans="1:10" ht="13.9" customHeight="1" x14ac:dyDescent="0.25">
      <c r="A31" s="1571"/>
      <c r="B31" s="1572"/>
      <c r="C31" s="1572"/>
      <c r="D31" s="1572"/>
      <c r="E31" s="1572"/>
      <c r="F31" s="1573"/>
      <c r="G31" s="53"/>
      <c r="H31" s="54"/>
      <c r="I31" s="55"/>
      <c r="J31" s="55"/>
    </row>
    <row r="32" spans="1:10" ht="13.9" customHeight="1" x14ac:dyDescent="0.25">
      <c r="A32" s="593"/>
      <c r="B32" s="593"/>
      <c r="C32" s="593"/>
      <c r="D32" s="593"/>
      <c r="E32" s="593"/>
      <c r="G32" s="593"/>
      <c r="H32" s="593"/>
      <c r="I32" s="601" t="s">
        <v>257</v>
      </c>
      <c r="J32" s="605">
        <f>+SUM(J22:J31)</f>
        <v>123016</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616">
        <f>(1/1000)/12</f>
        <v>8.3333333333333331E-5</v>
      </c>
      <c r="H36" s="55">
        <f>+IFERROR(VLOOKUP(A36,'EQUIPOS '!$B$3:$M$78,12,FALSE),0)</f>
        <v>611492.5</v>
      </c>
      <c r="I36" s="55">
        <f>IFERROR(H36*G36,0)</f>
        <v>50.957708333333329</v>
      </c>
      <c r="J36" s="55">
        <f>ROUND(I36,0)</f>
        <v>51</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51</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+E43*F43</f>
        <v>213741</v>
      </c>
      <c r="H43" s="54">
        <f>+H11*8</f>
        <v>96</v>
      </c>
      <c r="I43" s="55">
        <f>IFERROR(ROUND(G43/H43,0),0)</f>
        <v>2226</v>
      </c>
      <c r="J43" s="55">
        <f>+I43</f>
        <v>2226</v>
      </c>
    </row>
    <row r="44" spans="1:10" s="608" customFormat="1" ht="13.9" customHeight="1" x14ac:dyDescent="0.25">
      <c r="A44" s="1571" t="str">
        <f>+PERSONAL!B6</f>
        <v>AYUDANTE NOCTURNO</v>
      </c>
      <c r="B44" s="1572"/>
      <c r="C44" s="1572"/>
      <c r="D44" s="1573"/>
      <c r="E44" s="609">
        <f>+VLOOKUP(A44,PERSONAL!$B$3:$E$100,4,FALSE)</f>
        <v>83383</v>
      </c>
      <c r="F44" s="601">
        <v>1</v>
      </c>
      <c r="G44" s="609">
        <f>+E44*F44</f>
        <v>83383</v>
      </c>
      <c r="H44" s="54">
        <f>+H12*8</f>
        <v>96</v>
      </c>
      <c r="I44" s="55">
        <f>IFERROR(ROUND(G44/H44,0),0)</f>
        <v>869</v>
      </c>
      <c r="J44" s="55">
        <f>+I44</f>
        <v>869</v>
      </c>
    </row>
    <row r="45" spans="1:10" s="608" customFormat="1" ht="13.9" customHeight="1" x14ac:dyDescent="0.25">
      <c r="A45" s="1571" t="str">
        <f>+PERSONAL!B4</f>
        <v>AUXILIAR DE TRÁFICO NOCTURNO</v>
      </c>
      <c r="B45" s="1572"/>
      <c r="C45" s="1572"/>
      <c r="D45" s="1573"/>
      <c r="E45" s="609">
        <f>+VLOOKUP(A45,PERSONAL!$B$3:$E$100,4,FALSE)</f>
        <v>98122</v>
      </c>
      <c r="F45" s="601">
        <v>1</v>
      </c>
      <c r="G45" s="609">
        <f>+E45*F45</f>
        <v>98122</v>
      </c>
      <c r="H45" s="54">
        <f>+H13*8</f>
        <v>96</v>
      </c>
      <c r="I45" s="55">
        <f>IFERROR(ROUND(G45/H45,0),0)</f>
        <v>1022</v>
      </c>
      <c r="J45" s="55">
        <f>+I45</f>
        <v>1022</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ht="13.9" customHeight="1" x14ac:dyDescent="0.25">
      <c r="A48" s="593"/>
      <c r="B48" s="593"/>
      <c r="C48" s="593"/>
      <c r="E48" s="593"/>
      <c r="F48" s="593"/>
      <c r="G48" s="593"/>
      <c r="H48" s="593"/>
      <c r="I48" s="601" t="s">
        <v>257</v>
      </c>
      <c r="J48" s="605">
        <f>+SUM(J43:J47)</f>
        <v>4117</v>
      </c>
    </row>
    <row r="49" spans="5:10" ht="13.9" customHeight="1" x14ac:dyDescent="0.25"/>
    <row r="50" spans="5:10" ht="13.9" customHeight="1" x14ac:dyDescent="0.25">
      <c r="E50" s="610" t="s">
        <v>276</v>
      </c>
      <c r="I50" s="611">
        <f>+J48+J39+J32+J18</f>
        <v>130365</v>
      </c>
      <c r="J50" s="612"/>
    </row>
    <row r="51" spans="5:10" ht="13.9" customHeight="1" x14ac:dyDescent="0.25"/>
    <row r="52" spans="5:10" ht="14.1" customHeight="1" x14ac:dyDescent="0.25"/>
    <row r="53" spans="5:10" ht="14.1" customHeight="1" x14ac:dyDescent="0.25"/>
  </sheetData>
  <mergeCells count="39">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Hoja136">
    <tabColor theme="1"/>
  </sheetPr>
  <dimension ref="A1:M54"/>
  <sheetViews>
    <sheetView topLeftCell="A37" workbookViewId="0">
      <selection activeCell="N46" sqref="N4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5.42578125" style="592" bestFit="1" customWidth="1"/>
    <col min="10" max="10" width="12.42578125" style="592" bestFit="1" customWidth="1"/>
    <col min="11" max="12" width="11.42578125" style="592"/>
    <col min="13" max="13" width="14.7109375" style="592" bestFit="1" customWidth="1"/>
    <col min="14" max="16384" width="11.42578125" style="592"/>
  </cols>
  <sheetData>
    <row r="1" spans="1:12" ht="29.25" customHeight="1" x14ac:dyDescent="0.25">
      <c r="A1" s="1680" t="s">
        <v>244</v>
      </c>
      <c r="B1" s="1681"/>
      <c r="C1" s="1681"/>
      <c r="D1" s="1681"/>
      <c r="E1" s="1681"/>
      <c r="F1" s="1681"/>
      <c r="G1" s="1681"/>
      <c r="H1" s="1681"/>
      <c r="I1" s="1681"/>
      <c r="J1" s="1681"/>
    </row>
    <row r="2" spans="1:12" ht="15" customHeight="1" x14ac:dyDescent="0.25">
      <c r="A2" s="1682" t="s">
        <v>245</v>
      </c>
      <c r="B2" s="1682"/>
      <c r="C2" s="1682"/>
      <c r="D2" s="1682"/>
      <c r="E2" s="1682"/>
      <c r="F2" s="1682"/>
      <c r="G2" s="1682"/>
      <c r="H2" s="1682"/>
      <c r="I2" s="1682"/>
      <c r="J2" s="1682"/>
    </row>
    <row r="3" spans="1:12" x14ac:dyDescent="0.25">
      <c r="A3" s="592" t="s">
        <v>209</v>
      </c>
    </row>
    <row r="4" spans="1:12" s="593" customFormat="1" ht="9.9499999999999993" customHeight="1" x14ac:dyDescent="0.25">
      <c r="A4" s="1683" t="s">
        <v>246</v>
      </c>
      <c r="B4" s="1683"/>
      <c r="C4" s="1683"/>
      <c r="D4" s="1683"/>
      <c r="E4" s="1683"/>
      <c r="F4" s="1683"/>
      <c r="G4" s="1683"/>
      <c r="H4" s="1683"/>
      <c r="I4" s="1683"/>
      <c r="J4" s="1683"/>
    </row>
    <row r="5" spans="1:12" s="593" customFormat="1" ht="9.9499999999999993" customHeight="1" x14ac:dyDescent="0.25">
      <c r="B5" s="594"/>
      <c r="C5" s="594"/>
      <c r="D5" s="594"/>
      <c r="E5" s="594"/>
      <c r="F5" s="594"/>
      <c r="G5" s="594"/>
    </row>
    <row r="6" spans="1:12" x14ac:dyDescent="0.25">
      <c r="A6" s="1571" t="s">
        <v>247</v>
      </c>
      <c r="B6" s="1573"/>
      <c r="C6" s="595">
        <v>103</v>
      </c>
      <c r="D6" s="596"/>
      <c r="E6" s="596"/>
      <c r="F6" s="596"/>
      <c r="G6" s="596"/>
      <c r="H6" s="597"/>
      <c r="I6" s="598" t="s">
        <v>248</v>
      </c>
      <c r="J6" s="599" t="str">
        <f>+VLOOKUP(C6,'ANEXO PLIEGO_1'!$A$7:$C$133,3,FALSE)</f>
        <v>M2</v>
      </c>
    </row>
    <row r="7" spans="1:12" ht="54" customHeight="1" x14ac:dyDescent="0.25">
      <c r="A7" s="1637" t="s">
        <v>249</v>
      </c>
      <c r="B7" s="1639"/>
      <c r="C7" s="1684" t="str">
        <f>+VLOOKUP(C6,'ANEXO PLIEGO_1'!$A$7:$B$133,2,FALSE)</f>
        <v>Suministro e instalación de resalto trapezoidal o pompeyano, material con alta resistencia al impacto, largo min 2,5 m, 2 rampas de acceso largo 1 m pendiente 15%  máx.  y altura 10 cm, incluye elementos de sujeción (figura 5-30 Resolución 20243040045005 de 17 de septiembre de 2024 ). (Por metro de ancho vial)</v>
      </c>
      <c r="D7" s="1685"/>
      <c r="E7" s="1685"/>
      <c r="F7" s="1685"/>
      <c r="G7" s="1685"/>
      <c r="H7" s="1685"/>
      <c r="I7" s="1685"/>
      <c r="J7" s="1686"/>
    </row>
    <row r="9" spans="1:12" s="390" customFormat="1" ht="12.75" x14ac:dyDescent="0.25">
      <c r="A9" s="1673" t="s">
        <v>250</v>
      </c>
      <c r="B9" s="1673"/>
      <c r="C9" s="1673"/>
      <c r="D9" s="1673"/>
      <c r="E9" s="1673"/>
      <c r="F9" s="1673"/>
      <c r="G9" s="1673"/>
      <c r="H9" s="1673"/>
    </row>
    <row r="10" spans="1:12" s="593" customFormat="1" ht="13.9" customHeight="1" x14ac:dyDescent="0.25">
      <c r="A10" s="1674" t="s">
        <v>251</v>
      </c>
      <c r="B10" s="1675"/>
      <c r="C10" s="1675"/>
      <c r="D10" s="1676"/>
      <c r="E10" s="600" t="s">
        <v>252</v>
      </c>
      <c r="F10" s="600" t="s">
        <v>253</v>
      </c>
      <c r="G10" s="600" t="s">
        <v>254</v>
      </c>
      <c r="H10" s="600" t="s">
        <v>255</v>
      </c>
      <c r="I10" s="600" t="s">
        <v>256</v>
      </c>
      <c r="J10" s="600" t="s">
        <v>257</v>
      </c>
    </row>
    <row r="11" spans="1:12" s="593" customFormat="1" ht="13.9" customHeight="1" x14ac:dyDescent="0.25">
      <c r="A11" s="1571" t="str">
        <f>+'EQUIPOS '!B9</f>
        <v>COMPRESOR</v>
      </c>
      <c r="B11" s="1572"/>
      <c r="C11" s="1572"/>
      <c r="D11" s="1573"/>
      <c r="E11" s="53" t="s">
        <v>259</v>
      </c>
      <c r="F11" s="601" t="str">
        <f>IFERROR(VLOOKUP(A11,'[10]EQUIPOS TRANSPOR SALARIO'!$A$3:$G$42,2,FALSE),"")</f>
        <v>Eléctrico</v>
      </c>
      <c r="G11" s="602">
        <f>+VLOOKUP(A11,'EQUIPOS '!$B$3:$M$64,12,FALSE)</f>
        <v>7999.94</v>
      </c>
      <c r="H11" s="601">
        <f>1/8</f>
        <v>0.125</v>
      </c>
      <c r="I11" s="55">
        <f>IFERROR((G11/H11),"")</f>
        <v>63999.519999999997</v>
      </c>
      <c r="J11" s="55">
        <f>ROUND(I11,0)</f>
        <v>64000</v>
      </c>
      <c r="L11" s="593" t="s">
        <v>158</v>
      </c>
    </row>
    <row r="12" spans="1:12" s="593" customFormat="1" ht="13.9" customHeight="1" x14ac:dyDescent="0.25">
      <c r="A12" s="1571" t="str">
        <f>+'EQUIPOS '!B46</f>
        <v xml:space="preserve"> PMT (KIT )</v>
      </c>
      <c r="B12" s="1572"/>
      <c r="C12" s="1572"/>
      <c r="D12" s="1573"/>
      <c r="E12" s="53" t="s">
        <v>259</v>
      </c>
      <c r="F12" s="601" t="str">
        <f>IFERROR(VLOOKUP(A12,'[10]EQUIPOS TRANSPOR SALARIO'!$A$3:$G$42,2,FALSE),"")</f>
        <v/>
      </c>
      <c r="G12" s="602">
        <f>+VLOOKUP(A12,'EQUIPOS '!$B$3:$M$64,12,FALSE)</f>
        <v>13222</v>
      </c>
      <c r="H12" s="601">
        <f>+H11</f>
        <v>0.125</v>
      </c>
      <c r="I12" s="55">
        <f t="shared" ref="I12:I14" si="0">IFERROR((G12/H12),0)</f>
        <v>105776</v>
      </c>
      <c r="J12" s="55">
        <f t="shared" ref="J12:J15" si="1">ROUND(I12,0)</f>
        <v>105776</v>
      </c>
      <c r="L12" s="593" t="s">
        <v>262</v>
      </c>
    </row>
    <row r="13" spans="1:12" s="593" customFormat="1" ht="13.9" customHeight="1" x14ac:dyDescent="0.25">
      <c r="A13" s="1571" t="str">
        <f>+'EQUIPOS '!B36</f>
        <v>PLANTA ELÉCTRICA</v>
      </c>
      <c r="B13" s="1572"/>
      <c r="C13" s="1572"/>
      <c r="D13" s="1573"/>
      <c r="E13" s="53" t="s">
        <v>259</v>
      </c>
      <c r="F13" s="601" t="str">
        <f>IFERROR(VLOOKUP(A13,'[10]EQUIPOS TRANSPOR SALARIO'!$A$3:$G$42,2,FALSE),"")</f>
        <v>Eléctrico</v>
      </c>
      <c r="G13" s="602">
        <f>+VLOOKUP(A13,'EQUIPOS '!$B$3:$M$64,12,FALSE)</f>
        <v>12771</v>
      </c>
      <c r="H13" s="601">
        <f>+H12</f>
        <v>0.125</v>
      </c>
      <c r="I13" s="55">
        <f t="shared" si="0"/>
        <v>102168</v>
      </c>
      <c r="J13" s="55">
        <f t="shared" si="1"/>
        <v>102168</v>
      </c>
      <c r="L13" s="593" t="s">
        <v>159</v>
      </c>
    </row>
    <row r="14" spans="1:12" s="593" customFormat="1" ht="13.9" customHeight="1" x14ac:dyDescent="0.25">
      <c r="A14" s="1571" t="str">
        <f>+'EQUIPOS '!B44</f>
        <v xml:space="preserve">TALADRO PERCUTOR  </v>
      </c>
      <c r="B14" s="1572"/>
      <c r="C14" s="1572"/>
      <c r="D14" s="1573"/>
      <c r="E14" s="53" t="s">
        <v>259</v>
      </c>
      <c r="F14" s="601" t="str">
        <f>IFERROR(VLOOKUP(A14,'[10]EQUIPOS TRANSPOR SALARIO'!$A$3:$G$42,2,FALSE),"")</f>
        <v/>
      </c>
      <c r="G14" s="602">
        <f>+VLOOKUP(A14,'EQUIPOS '!$B$3:$M$64,12,FALSE)</f>
        <v>3687.5</v>
      </c>
      <c r="H14" s="601">
        <f>+H13</f>
        <v>0.125</v>
      </c>
      <c r="I14" s="55">
        <f t="shared" si="0"/>
        <v>29500</v>
      </c>
      <c r="J14" s="55">
        <f t="shared" si="1"/>
        <v>29500</v>
      </c>
      <c r="L14" s="593" t="s">
        <v>95</v>
      </c>
    </row>
    <row r="15" spans="1:12" s="593" customFormat="1" ht="13.9" customHeight="1" x14ac:dyDescent="0.25">
      <c r="A15" s="1571" t="str">
        <f>+'EQUIPOS '!B33</f>
        <v>HERRAMIENTA MENOR</v>
      </c>
      <c r="B15" s="1572"/>
      <c r="C15" s="1572"/>
      <c r="D15" s="1573"/>
      <c r="E15" s="53"/>
      <c r="F15" s="601" t="str">
        <f>IFERROR(VLOOKUP(A15,'[10]EQUIPOS TRANSPOR SALARIO'!$A$3:$G$42,2,FALSE),"")</f>
        <v>Global</v>
      </c>
      <c r="G15" s="603">
        <v>0.01</v>
      </c>
      <c r="H15" s="604">
        <f>+J50</f>
        <v>743517</v>
      </c>
      <c r="I15" s="55">
        <f>IFERROR((G15*H15),0)</f>
        <v>7435.17</v>
      </c>
      <c r="J15" s="55">
        <f t="shared" si="1"/>
        <v>7435</v>
      </c>
    </row>
    <row r="16" spans="1:12"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2"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2" s="593" customFormat="1" ht="13.9" customHeight="1" x14ac:dyDescent="0.25">
      <c r="I18" s="601" t="s">
        <v>257</v>
      </c>
      <c r="J18" s="605">
        <f>+SUM(J11:J17)</f>
        <v>308879</v>
      </c>
    </row>
    <row r="19" spans="1:12" s="593" customFormat="1" ht="13.9" customHeight="1" x14ac:dyDescent="0.25"/>
    <row r="20" spans="1:12" s="593" customFormat="1" ht="13.9" customHeight="1" x14ac:dyDescent="0.25">
      <c r="A20" s="1673" t="s">
        <v>263</v>
      </c>
      <c r="B20" s="1673"/>
      <c r="C20" s="1673"/>
      <c r="D20" s="1673"/>
      <c r="E20" s="1673"/>
      <c r="F20" s="1673"/>
      <c r="G20" s="1673"/>
      <c r="H20" s="1673"/>
      <c r="I20" s="390"/>
    </row>
    <row r="21" spans="1:12" ht="13.9" customHeight="1" x14ac:dyDescent="0.25">
      <c r="A21" s="1677" t="s">
        <v>251</v>
      </c>
      <c r="B21" s="1678"/>
      <c r="C21" s="1678"/>
      <c r="D21" s="1678"/>
      <c r="E21" s="1678"/>
      <c r="F21" s="1679"/>
      <c r="G21" s="600" t="s">
        <v>252</v>
      </c>
      <c r="H21" s="600" t="s">
        <v>264</v>
      </c>
      <c r="I21" s="600" t="s">
        <v>256</v>
      </c>
      <c r="J21" s="600" t="s">
        <v>257</v>
      </c>
    </row>
    <row r="22" spans="1:12" ht="62.25" customHeight="1" x14ac:dyDescent="0.25">
      <c r="A22" s="1637" t="str">
        <f>+'INSUMOS '!B129</f>
        <v>RESALTO TRAPEZOIDAL O POMPEYANO, MATERIAL CON ALTA RESISTENCIA AL IMPACTO, LARGO MIN 2,5 M, 2 RAMPAS DE ACCESO LARGO 1 M PENDIENTE 15% MÁX  Y ALTURA 10 CM, INCLUYE ELEMENTOS DE SUJECIÓN  (POR METRO DE ANCHO VIAL)</v>
      </c>
      <c r="B22" s="1638"/>
      <c r="C22" s="1638"/>
      <c r="D22" s="1638"/>
      <c r="E22" s="1638"/>
      <c r="F22" s="1639"/>
      <c r="G22" s="53" t="s">
        <v>12</v>
      </c>
      <c r="H22" s="54">
        <v>1</v>
      </c>
      <c r="I22" s="33">
        <f>+IFERROR(VLOOKUP(A22,'INSUMOS '!$B$2:$AP$167,'INSUMOS '!$AO$2+1,FALSE),0)</f>
        <v>2808400</v>
      </c>
      <c r="J22" s="55">
        <f>ROUND(I22*H22,0)</f>
        <v>2808400</v>
      </c>
    </row>
    <row r="23" spans="1:12" ht="13.9" customHeight="1" x14ac:dyDescent="0.25">
      <c r="A23" s="1571" t="str">
        <f>+'INSUMOS '!B65</f>
        <v>PEGANTE EPOXICO</v>
      </c>
      <c r="B23" s="1572"/>
      <c r="C23" s="1572"/>
      <c r="D23" s="1572"/>
      <c r="E23" s="1572"/>
      <c r="F23" s="1573"/>
      <c r="G23" s="53" t="s">
        <v>6</v>
      </c>
      <c r="H23" s="54">
        <v>0.6</v>
      </c>
      <c r="I23" s="33">
        <f>+IFERROR(VLOOKUP(A23,'INSUMOS '!$B$2:$AP$167,'INSUMOS '!$AO$2+1,FALSE),0)</f>
        <v>146748</v>
      </c>
      <c r="J23" s="55">
        <f>ROUND(I23*H23,0)</f>
        <v>88049</v>
      </c>
      <c r="L23" s="592" t="s">
        <v>288</v>
      </c>
    </row>
    <row r="24" spans="1:12" ht="13.9" customHeight="1" x14ac:dyDescent="0.25">
      <c r="A24" s="1571" t="str">
        <f>+'INSUMOS '!B115</f>
        <v>CHAZO DE EXPANSION 5/16 *4</v>
      </c>
      <c r="B24" s="1572"/>
      <c r="C24" s="1572"/>
      <c r="D24" s="1572"/>
      <c r="E24" s="1572"/>
      <c r="F24" s="1573"/>
      <c r="G24" s="53" t="s">
        <v>266</v>
      </c>
      <c r="H24" s="54">
        <v>12</v>
      </c>
      <c r="I24" s="33">
        <f>+IFERROR(VLOOKUP(A24,'INSUMOS '!$B$2:$AP$167,'INSUMOS '!$AO$2+1,FALSE),0)</f>
        <v>700</v>
      </c>
      <c r="J24" s="55">
        <f>ROUND(I24*H24,0)</f>
        <v>8400</v>
      </c>
      <c r="L24" s="592" t="s">
        <v>291</v>
      </c>
    </row>
    <row r="25" spans="1:12" ht="13.9" customHeight="1" x14ac:dyDescent="0.25">
      <c r="A25" s="1571" t="str">
        <f>+'INSUMOS '!B20</f>
        <v>BROCA  PUNTA DE TUNGSTENO DE 1/2"</v>
      </c>
      <c r="B25" s="1572"/>
      <c r="C25" s="1572"/>
      <c r="D25" s="1572"/>
      <c r="E25" s="1572"/>
      <c r="F25" s="1573"/>
      <c r="G25" s="53" t="s">
        <v>266</v>
      </c>
      <c r="H25" s="54">
        <v>0.13</v>
      </c>
      <c r="I25" s="33">
        <f>+IFERROR(VLOOKUP(A25,'INSUMOS '!$B$2:$AP$167,'INSUMOS '!$AO$2+1,FALSE),0)</f>
        <v>12945</v>
      </c>
      <c r="J25" s="55">
        <f>ROUND(I25*H25,0)</f>
        <v>1683</v>
      </c>
      <c r="L25" s="592" t="s">
        <v>289</v>
      </c>
    </row>
    <row r="26" spans="1:12" ht="13.9" customHeight="1" x14ac:dyDescent="0.25">
      <c r="A26" s="1571" t="str">
        <f>+'INSUMOS '!B114</f>
        <v>GASOLINA CORRIENTE</v>
      </c>
      <c r="B26" s="1572"/>
      <c r="C26" s="1572"/>
      <c r="D26" s="1572"/>
      <c r="E26" s="1572"/>
      <c r="F26" s="1573"/>
      <c r="G26" s="53" t="s">
        <v>114</v>
      </c>
      <c r="H26" s="54">
        <v>0.04</v>
      </c>
      <c r="I26" s="33">
        <f>+IFERROR(VLOOKUP(A26,'INSUMOS '!$B$2:$AP$167,'INSUMOS '!$AO$2+1,FALSE),0)</f>
        <v>15861</v>
      </c>
      <c r="J26" s="55">
        <f>ROUND(I26*H26,0)</f>
        <v>634</v>
      </c>
      <c r="L26" s="592" t="s">
        <v>277</v>
      </c>
    </row>
    <row r="27" spans="1:12" ht="13.9" customHeight="1" x14ac:dyDescent="0.25">
      <c r="A27" s="1687"/>
      <c r="B27" s="1572"/>
      <c r="C27" s="1572"/>
      <c r="D27" s="1572"/>
      <c r="E27" s="1572"/>
      <c r="F27" s="1573"/>
      <c r="G27" s="53"/>
      <c r="H27" s="54"/>
      <c r="I27" s="55"/>
      <c r="J27" s="55"/>
    </row>
    <row r="28" spans="1:12" ht="13.9" customHeight="1" x14ac:dyDescent="0.25">
      <c r="A28" s="1571"/>
      <c r="B28" s="1572"/>
      <c r="C28" s="1572"/>
      <c r="D28" s="1572"/>
      <c r="E28" s="1572"/>
      <c r="F28" s="1573"/>
      <c r="G28" s="53"/>
      <c r="H28" s="54"/>
      <c r="I28" s="55"/>
      <c r="J28" s="55"/>
    </row>
    <row r="29" spans="1:12" ht="13.9" customHeight="1" x14ac:dyDescent="0.25">
      <c r="A29" s="1571"/>
      <c r="B29" s="1572"/>
      <c r="C29" s="1572"/>
      <c r="D29" s="1572"/>
      <c r="E29" s="1572"/>
      <c r="F29" s="1573"/>
      <c r="G29" s="53"/>
      <c r="H29" s="606"/>
      <c r="I29" s="55"/>
      <c r="J29" s="55"/>
    </row>
    <row r="30" spans="1:12" ht="13.9" customHeight="1" x14ac:dyDescent="0.25">
      <c r="A30" s="1571"/>
      <c r="B30" s="1572"/>
      <c r="C30" s="1572"/>
      <c r="D30" s="1572"/>
      <c r="E30" s="1572"/>
      <c r="F30" s="1573"/>
      <c r="G30" s="53"/>
      <c r="H30" s="54"/>
      <c r="I30" s="55"/>
      <c r="J30" s="55"/>
    </row>
    <row r="31" spans="1:12" ht="13.9" customHeight="1" x14ac:dyDescent="0.25">
      <c r="A31" s="1571"/>
      <c r="B31" s="1572"/>
      <c r="C31" s="1572"/>
      <c r="D31" s="1572"/>
      <c r="E31" s="1572"/>
      <c r="F31" s="1573"/>
      <c r="G31" s="53"/>
      <c r="H31" s="54"/>
      <c r="I31" s="55"/>
      <c r="J31" s="55"/>
    </row>
    <row r="32" spans="1:12" ht="13.9" customHeight="1" x14ac:dyDescent="0.25">
      <c r="A32" s="593"/>
      <c r="B32" s="593"/>
      <c r="C32" s="593"/>
      <c r="D32" s="593"/>
      <c r="E32" s="593"/>
      <c r="G32" s="593"/>
      <c r="H32" s="593"/>
      <c r="I32" s="601" t="s">
        <v>257</v>
      </c>
      <c r="J32" s="605">
        <f>+SUM(J22:J31)</f>
        <v>2907166</v>
      </c>
    </row>
    <row r="33" spans="1:13" ht="13.9" customHeight="1" x14ac:dyDescent="0.25"/>
    <row r="34" spans="1:13" ht="13.9" customHeight="1" x14ac:dyDescent="0.25">
      <c r="A34" s="1673" t="s">
        <v>267</v>
      </c>
      <c r="B34" s="1673"/>
      <c r="C34" s="1673"/>
      <c r="D34" s="1673"/>
      <c r="E34" s="1673"/>
      <c r="F34" s="1673"/>
      <c r="G34" s="1673"/>
      <c r="H34" s="1673"/>
      <c r="I34" s="390"/>
    </row>
    <row r="35" spans="1:13" ht="13.9" customHeight="1" x14ac:dyDescent="0.25">
      <c r="A35" s="1674" t="s">
        <v>268</v>
      </c>
      <c r="B35" s="1675"/>
      <c r="C35" s="1675"/>
      <c r="D35" s="1675"/>
      <c r="E35" s="1675"/>
      <c r="F35" s="1676"/>
      <c r="G35" s="607" t="s">
        <v>255</v>
      </c>
      <c r="H35" s="600" t="s">
        <v>269</v>
      </c>
      <c r="I35" s="600" t="s">
        <v>256</v>
      </c>
      <c r="J35" s="600" t="s">
        <v>257</v>
      </c>
    </row>
    <row r="36" spans="1:13" ht="13.9" customHeight="1" x14ac:dyDescent="0.25">
      <c r="A36" s="1571" t="str">
        <f>+'EQUIPOS '!B6</f>
        <v>CAMION INCLUYE CONDUCTOR</v>
      </c>
      <c r="B36" s="1572"/>
      <c r="C36" s="1572"/>
      <c r="D36" s="1572"/>
      <c r="E36" s="1572"/>
      <c r="F36" s="1573"/>
      <c r="G36" s="54">
        <f>(1/2)/12</f>
        <v>4.1666666666666664E-2</v>
      </c>
      <c r="H36" s="55">
        <f>+IFERROR(VLOOKUP(A36,'EQUIPOS '!$B$3:$M$78,12,FALSE),0)</f>
        <v>611492.5</v>
      </c>
      <c r="I36" s="55">
        <f>IFERROR(H36*G36,0)</f>
        <v>25478.854166666664</v>
      </c>
      <c r="J36" s="55">
        <f>ROUND(I36,0)</f>
        <v>25479</v>
      </c>
      <c r="M36" s="592">
        <f>0.03*2.4</f>
        <v>7.1999999999999995E-2</v>
      </c>
    </row>
    <row r="37" spans="1:13" ht="13.9" customHeight="1" x14ac:dyDescent="0.25">
      <c r="A37" s="1571"/>
      <c r="B37" s="1572"/>
      <c r="C37" s="1572"/>
      <c r="D37" s="1572"/>
      <c r="E37" s="1572"/>
      <c r="F37" s="1573"/>
      <c r="G37" s="53"/>
      <c r="H37" s="55"/>
      <c r="I37" s="55"/>
      <c r="J37" s="55"/>
    </row>
    <row r="38" spans="1:13" ht="13.9" customHeight="1" x14ac:dyDescent="0.25">
      <c r="A38" s="1571"/>
      <c r="B38" s="1572"/>
      <c r="C38" s="1572"/>
      <c r="D38" s="1572"/>
      <c r="E38" s="1572"/>
      <c r="F38" s="1573"/>
      <c r="G38" s="53"/>
      <c r="H38" s="55"/>
      <c r="I38" s="55"/>
      <c r="J38" s="55"/>
    </row>
    <row r="39" spans="1:13" ht="13.9" customHeight="1" x14ac:dyDescent="0.25">
      <c r="G39" s="608"/>
      <c r="H39" s="608"/>
      <c r="I39" s="601" t="s">
        <v>257</v>
      </c>
      <c r="J39" s="55">
        <f>+SUM(J36:J38)</f>
        <v>25479</v>
      </c>
    </row>
    <row r="40" spans="1:13" ht="13.9" customHeight="1" x14ac:dyDescent="0.25"/>
    <row r="41" spans="1:13" ht="13.9" customHeight="1" x14ac:dyDescent="0.25">
      <c r="A41" s="1673" t="s">
        <v>270</v>
      </c>
      <c r="B41" s="1673"/>
      <c r="C41" s="1673"/>
      <c r="D41" s="1673"/>
      <c r="E41" s="1673"/>
      <c r="F41" s="1673"/>
      <c r="G41" s="1673"/>
      <c r="H41" s="1673"/>
      <c r="I41" s="390"/>
    </row>
    <row r="42" spans="1:13" s="608" customFormat="1" ht="13.9" customHeight="1" x14ac:dyDescent="0.25">
      <c r="A42" s="1674" t="s">
        <v>271</v>
      </c>
      <c r="B42" s="1675"/>
      <c r="C42" s="1675"/>
      <c r="D42" s="1676"/>
      <c r="E42" s="600" t="s">
        <v>272</v>
      </c>
      <c r="F42" s="600" t="s">
        <v>264</v>
      </c>
      <c r="G42" s="600" t="s">
        <v>273</v>
      </c>
      <c r="H42" s="600" t="s">
        <v>255</v>
      </c>
      <c r="I42" s="600" t="s">
        <v>256</v>
      </c>
      <c r="J42" s="600" t="s">
        <v>257</v>
      </c>
    </row>
    <row r="43" spans="1:13" s="608" customFormat="1" ht="13.9" customHeight="1" x14ac:dyDescent="0.25">
      <c r="A43" s="1571" t="str">
        <f>+PERSONAL!B19</f>
        <v>JEFE DE CUADRILLA NOCTURNO</v>
      </c>
      <c r="B43" s="1572"/>
      <c r="C43" s="1572"/>
      <c r="D43" s="1573"/>
      <c r="E43" s="609">
        <f>+VLOOKUP(A43,PERSONAL!$B$3:$E$100,4,FALSE)</f>
        <v>213741</v>
      </c>
      <c r="F43" s="601">
        <v>1</v>
      </c>
      <c r="G43" s="609">
        <f>+E43*F43</f>
        <v>213741</v>
      </c>
      <c r="H43" s="54">
        <f>IFERROR(H11*8,0)</f>
        <v>1</v>
      </c>
      <c r="I43" s="55">
        <f>IFERROR(ROUND(G43/H43,0),0)</f>
        <v>213741</v>
      </c>
      <c r="J43" s="55">
        <f>+I43</f>
        <v>213741</v>
      </c>
    </row>
    <row r="44" spans="1:13" s="608" customFormat="1" ht="13.9" customHeight="1" x14ac:dyDescent="0.25">
      <c r="A44" s="1571" t="str">
        <f>+PERSONAL!B6</f>
        <v>AYUDANTE NOCTURNO</v>
      </c>
      <c r="B44" s="1572"/>
      <c r="C44" s="1572"/>
      <c r="D44" s="1573"/>
      <c r="E44" s="609">
        <f>+VLOOKUP(A44,PERSONAL!$B$3:$E$100,4,FALSE)</f>
        <v>83383</v>
      </c>
      <c r="F44" s="601">
        <v>4</v>
      </c>
      <c r="G44" s="609">
        <f t="shared" ref="G44:G45" si="2">+E44*F44</f>
        <v>333532</v>
      </c>
      <c r="H44" s="54">
        <f>+H43</f>
        <v>1</v>
      </c>
      <c r="I44" s="55">
        <f t="shared" ref="I44:I45" si="3">IFERROR(ROUND(G44/H44,0),0)</f>
        <v>333532</v>
      </c>
      <c r="J44" s="55">
        <f t="shared" ref="J44:J45" si="4">+I44</f>
        <v>333532</v>
      </c>
    </row>
    <row r="45" spans="1:13" s="608" customFormat="1" ht="13.9" customHeight="1" x14ac:dyDescent="0.25">
      <c r="A45" s="1571" t="str">
        <f>+PERSONAL!B4</f>
        <v>AUXILIAR DE TRÁFICO NOCTURNO</v>
      </c>
      <c r="B45" s="1572"/>
      <c r="C45" s="1572"/>
      <c r="D45" s="1573"/>
      <c r="E45" s="609">
        <f>+VLOOKUP(A45,PERSONAL!$B$3:$E$100,4,FALSE)</f>
        <v>98122</v>
      </c>
      <c r="F45" s="601">
        <v>2</v>
      </c>
      <c r="G45" s="609">
        <f t="shared" si="2"/>
        <v>196244</v>
      </c>
      <c r="H45" s="54">
        <f>+H44</f>
        <v>1</v>
      </c>
      <c r="I45" s="55">
        <f t="shared" si="3"/>
        <v>196244</v>
      </c>
      <c r="J45" s="55">
        <f t="shared" si="4"/>
        <v>196244</v>
      </c>
    </row>
    <row r="46" spans="1:13" s="608" customFormat="1" ht="13.9" customHeight="1" x14ac:dyDescent="0.25">
      <c r="A46" s="1571"/>
      <c r="B46" s="1572"/>
      <c r="C46" s="1572"/>
      <c r="D46" s="1573"/>
      <c r="E46" s="609"/>
      <c r="F46" s="601"/>
      <c r="G46" s="609"/>
      <c r="H46" s="54"/>
      <c r="I46" s="55"/>
      <c r="J46" s="55"/>
    </row>
    <row r="47" spans="1:13" s="608" customFormat="1" ht="13.9" customHeight="1" x14ac:dyDescent="0.25">
      <c r="A47" s="1571"/>
      <c r="B47" s="1572"/>
      <c r="C47" s="1572"/>
      <c r="D47" s="1573"/>
      <c r="E47" s="609"/>
      <c r="F47" s="601"/>
      <c r="G47" s="609"/>
      <c r="H47" s="54"/>
      <c r="I47" s="55"/>
      <c r="J47" s="55"/>
    </row>
    <row r="48" spans="1:13" s="608" customFormat="1" ht="13.9" customHeight="1" x14ac:dyDescent="0.25">
      <c r="A48" s="1571"/>
      <c r="B48" s="1572"/>
      <c r="C48" s="1572"/>
      <c r="D48" s="1573"/>
      <c r="E48" s="609"/>
      <c r="F48" s="601"/>
      <c r="G48" s="609"/>
      <c r="H48" s="54"/>
      <c r="I48" s="55"/>
      <c r="J48" s="55"/>
    </row>
    <row r="49" spans="1:13" s="608" customFormat="1" ht="13.9" customHeight="1" x14ac:dyDescent="0.25">
      <c r="A49" s="1571"/>
      <c r="B49" s="1572"/>
      <c r="C49" s="1572"/>
      <c r="D49" s="1573"/>
      <c r="E49" s="609"/>
      <c r="F49" s="601"/>
      <c r="G49" s="609"/>
      <c r="H49" s="54"/>
      <c r="I49" s="55"/>
      <c r="J49" s="55"/>
    </row>
    <row r="50" spans="1:13" ht="13.9" customHeight="1" x14ac:dyDescent="0.25">
      <c r="A50" s="593"/>
      <c r="B50" s="593"/>
      <c r="C50" s="593"/>
      <c r="E50" s="593"/>
      <c r="F50" s="593"/>
      <c r="G50" s="593"/>
      <c r="H50" s="593"/>
      <c r="I50" s="601" t="s">
        <v>257</v>
      </c>
      <c r="J50" s="605">
        <f>+SUM(J43:J49)</f>
        <v>743517</v>
      </c>
    </row>
    <row r="51" spans="1:13" ht="13.9" customHeight="1" x14ac:dyDescent="0.25"/>
    <row r="52" spans="1:13" ht="13.9" customHeight="1" x14ac:dyDescent="0.25">
      <c r="E52" s="610" t="s">
        <v>276</v>
      </c>
      <c r="I52" s="611">
        <f>J18+J32+J39+J50</f>
        <v>3985041</v>
      </c>
      <c r="J52" s="612"/>
      <c r="M52" s="613">
        <v>6128571.4285714282</v>
      </c>
    </row>
    <row r="53" spans="1:13" ht="13.9" customHeight="1" x14ac:dyDescent="0.25"/>
    <row r="54" spans="1:13" ht="14.1" customHeight="1" x14ac:dyDescent="0.25"/>
  </sheetData>
  <mergeCells count="41">
    <mergeCell ref="A45:D45"/>
    <mergeCell ref="A46:D46"/>
    <mergeCell ref="A47:D47"/>
    <mergeCell ref="A48:D48"/>
    <mergeCell ref="A49:D49"/>
    <mergeCell ref="A44:D44"/>
    <mergeCell ref="A29:F29"/>
    <mergeCell ref="A30:F30"/>
    <mergeCell ref="A31:F31"/>
    <mergeCell ref="A34:H34"/>
    <mergeCell ref="A35:F35"/>
    <mergeCell ref="A36:F36"/>
    <mergeCell ref="A37:F37"/>
    <mergeCell ref="A38:F38"/>
    <mergeCell ref="A41:H41"/>
    <mergeCell ref="A42:D42"/>
    <mergeCell ref="A43:D43"/>
    <mergeCell ref="A28:F28"/>
    <mergeCell ref="A15:D15"/>
    <mergeCell ref="A16:D16"/>
    <mergeCell ref="A17:D17"/>
    <mergeCell ref="A20:H20"/>
    <mergeCell ref="A21:F21"/>
    <mergeCell ref="A22:F22"/>
    <mergeCell ref="A23:F23"/>
    <mergeCell ref="A24:F24"/>
    <mergeCell ref="A25:F25"/>
    <mergeCell ref="A26:F26"/>
    <mergeCell ref="A27:F27"/>
    <mergeCell ref="A14:D14"/>
    <mergeCell ref="A1:J1"/>
    <mergeCell ref="A2:J2"/>
    <mergeCell ref="A4:J4"/>
    <mergeCell ref="A6:B6"/>
    <mergeCell ref="A7:B7"/>
    <mergeCell ref="C7:J7"/>
    <mergeCell ref="A9:H9"/>
    <mergeCell ref="A10:D10"/>
    <mergeCell ref="A11:D11"/>
    <mergeCell ref="A12:D12"/>
    <mergeCell ref="A13:D13"/>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Hoja131">
    <tabColor theme="5" tint="0.39997558519241921"/>
  </sheetPr>
  <dimension ref="A1:M54"/>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20.7109375" style="19" customWidth="1"/>
    <col min="10" max="10" width="11.28515625"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102</v>
      </c>
      <c r="D6" s="23"/>
      <c r="E6" s="23"/>
      <c r="F6" s="23"/>
      <c r="G6" s="23"/>
      <c r="H6" s="24"/>
      <c r="I6" s="25" t="s">
        <v>248</v>
      </c>
      <c r="J6" s="26" t="str">
        <f>+VLOOKUP(C6,'ANEXO PLIEGO_1'!$A$7:$C$133,3,FALSE)</f>
        <v>M3</v>
      </c>
    </row>
    <row r="7" spans="1:10" ht="35.1" customHeight="1" x14ac:dyDescent="0.25">
      <c r="A7" s="1568" t="s">
        <v>249</v>
      </c>
      <c r="B7" s="1570"/>
      <c r="C7" s="1578" t="str">
        <f>+VLOOKUP(C6,'ANEXO PLIEGO_1'!$A$7:$B$133,2,FALSE)</f>
        <v>Suministro e instalacion de material granular (recebo)para lastrado de dispositivos de señalizacion (incluye transporte)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0.02</v>
      </c>
      <c r="H11" s="299">
        <f>+J49</f>
        <v>6341</v>
      </c>
      <c r="I11" s="33">
        <f>IFERROR((G11*H11),0)</f>
        <v>126.82000000000001</v>
      </c>
      <c r="J11" s="33">
        <f>ROUND(I11,0)</f>
        <v>127</v>
      </c>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127</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2.25" customHeight="1" x14ac:dyDescent="0.25">
      <c r="A22" s="1568"/>
      <c r="B22" s="1569"/>
      <c r="C22" s="1569"/>
      <c r="D22" s="1569"/>
      <c r="E22" s="1569"/>
      <c r="F22" s="1570"/>
      <c r="G22" s="29"/>
      <c r="H22" s="35"/>
      <c r="I22" s="33"/>
      <c r="J22" s="33"/>
    </row>
    <row r="23" spans="1:10" ht="13.9" customHeight="1" x14ac:dyDescent="0.25">
      <c r="A23" s="1558" t="str">
        <f>+'INSUMOS '!B87</f>
        <v>RECEBO COMÚN (SUMINISTRO Y TRANSPORTE, NO COMPACTO)</v>
      </c>
      <c r="B23" s="1559"/>
      <c r="C23" s="1559"/>
      <c r="D23" s="1559"/>
      <c r="E23" s="1559"/>
      <c r="F23" s="1560"/>
      <c r="G23" s="29" t="s">
        <v>4</v>
      </c>
      <c r="H23" s="35">
        <v>1.2</v>
      </c>
      <c r="I23" s="33">
        <f>+IFERROR(VLOOKUP(A23,'INSUMOS '!$B$2:$AP$167,'INSUMOS '!$AO$2+1,FALSE),0)</f>
        <v>93020</v>
      </c>
      <c r="J23" s="33">
        <f>ROUND(I23*H23,0)</f>
        <v>111624</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111624</v>
      </c>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row>
    <row r="36" spans="1:13" ht="13.9" customHeight="1" x14ac:dyDescent="0.25">
      <c r="A36" s="1558" t="str">
        <f>+'EQUIPOS '!B6</f>
        <v>CAMION INCLUYE CONDUCTOR</v>
      </c>
      <c r="B36" s="1559"/>
      <c r="C36" s="1559"/>
      <c r="D36" s="1559"/>
      <c r="E36" s="1559"/>
      <c r="F36" s="1560"/>
      <c r="G36" s="1485">
        <f>12*1.6</f>
        <v>19.200000000000003</v>
      </c>
      <c r="H36" s="33">
        <f>+IFERROR(VLOOKUP(A36,'EQUIPOS '!$B$3:$M$78,12,FALSE),0)</f>
        <v>611492.5</v>
      </c>
      <c r="I36" s="33">
        <f>IFERROR(H36/G36,0)</f>
        <v>31848.567708333328</v>
      </c>
      <c r="J36" s="33">
        <f>ROUND(I36,0)</f>
        <v>31849</v>
      </c>
      <c r="M36" s="19">
        <f>7000*30</f>
        <v>210000</v>
      </c>
    </row>
    <row r="37" spans="1:13" ht="13.9" customHeight="1" x14ac:dyDescent="0.25">
      <c r="A37" s="1558"/>
      <c r="B37" s="1559"/>
      <c r="C37" s="1559"/>
      <c r="D37" s="1559"/>
      <c r="E37" s="1559"/>
      <c r="F37" s="1560"/>
      <c r="G37" s="29"/>
      <c r="H37" s="33"/>
      <c r="I37" s="33"/>
      <c r="J37" s="33"/>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31849</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+PERSONAL!B19</f>
        <v>JEFE DE CUADRILLA NOCTURNO</v>
      </c>
      <c r="B43" s="1559"/>
      <c r="C43" s="1559"/>
      <c r="D43" s="1560"/>
      <c r="E43" s="40">
        <f>+VLOOKUP(A43,PERSONAL!$B$3:$E$100,4,FALSE)</f>
        <v>213741</v>
      </c>
      <c r="F43" s="30">
        <v>1</v>
      </c>
      <c r="G43" s="40">
        <f t="shared" ref="G43:G44" si="0">+E43*F43</f>
        <v>213741</v>
      </c>
      <c r="H43" s="35">
        <v>60</v>
      </c>
      <c r="I43" s="33">
        <f t="shared" ref="I43:I44" si="1">IFERROR(ROUND(G43/H43,0),0)</f>
        <v>3562</v>
      </c>
      <c r="J43" s="33">
        <f t="shared" ref="J43:J44" si="2">+I43</f>
        <v>3562</v>
      </c>
    </row>
    <row r="44" spans="1:13" s="39" customFormat="1" ht="13.9" customHeight="1" x14ac:dyDescent="0.25">
      <c r="A44" s="1558" t="str">
        <f>+PERSONAL!B6</f>
        <v>AYUDANTE NOCTURNO</v>
      </c>
      <c r="B44" s="1559"/>
      <c r="C44" s="1559"/>
      <c r="D44" s="1560"/>
      <c r="E44" s="40">
        <f>+VLOOKUP(A44,PERSONAL!$B$3:$E$100,4,FALSE)</f>
        <v>83383</v>
      </c>
      <c r="F44" s="30">
        <v>2</v>
      </c>
      <c r="G44" s="40">
        <f t="shared" si="0"/>
        <v>166766</v>
      </c>
      <c r="H44" s="35">
        <f>+H43</f>
        <v>60</v>
      </c>
      <c r="I44" s="33">
        <f t="shared" si="1"/>
        <v>2779</v>
      </c>
      <c r="J44" s="33">
        <f t="shared" si="2"/>
        <v>2779</v>
      </c>
    </row>
    <row r="45" spans="1:13" s="39" customFormat="1" ht="13.9" customHeight="1" x14ac:dyDescent="0.25">
      <c r="A45" s="1558"/>
      <c r="B45" s="1559"/>
      <c r="C45" s="1559"/>
      <c r="D45" s="1560"/>
      <c r="E45" s="40"/>
      <c r="F45" s="30"/>
      <c r="G45" s="40"/>
      <c r="H45" s="35"/>
      <c r="I45" s="33"/>
      <c r="J45" s="33"/>
    </row>
    <row r="46" spans="1:13" s="39" customFormat="1" ht="13.9" customHeight="1" x14ac:dyDescent="0.25">
      <c r="A46" s="1558"/>
      <c r="B46" s="1559"/>
      <c r="C46" s="1559"/>
      <c r="D46" s="1560"/>
      <c r="E46" s="40"/>
      <c r="F46" s="30"/>
      <c r="G46" s="40"/>
      <c r="H46" s="35"/>
      <c r="I46" s="33"/>
      <c r="J46" s="33"/>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6341</v>
      </c>
    </row>
    <row r="50" spans="1:10" ht="13.9" customHeight="1" x14ac:dyDescent="0.25"/>
    <row r="51" spans="1:10" ht="13.9" customHeight="1" x14ac:dyDescent="0.25">
      <c r="E51" s="41" t="s">
        <v>276</v>
      </c>
      <c r="I51" s="42">
        <f>+J49+J39+J32+J18</f>
        <v>149941</v>
      </c>
      <c r="J51" s="43"/>
    </row>
    <row r="52" spans="1:10" ht="13.9" customHeight="1" x14ac:dyDescent="0.25"/>
    <row r="53" spans="1:10" ht="14.1" customHeight="1" x14ac:dyDescent="0.25"/>
    <row r="54" spans="1:10" ht="14.1" customHeight="1" x14ac:dyDescent="0.25"/>
  </sheetData>
  <mergeCells count="40">
    <mergeCell ref="A45:D45"/>
    <mergeCell ref="A46:D46"/>
    <mergeCell ref="A47:D47"/>
    <mergeCell ref="A48:D48"/>
    <mergeCell ref="A37:F37"/>
    <mergeCell ref="A38:F38"/>
    <mergeCell ref="A41:H41"/>
    <mergeCell ref="A42:D42"/>
    <mergeCell ref="A43:D43"/>
    <mergeCell ref="A44:D44"/>
    <mergeCell ref="A36:F36"/>
    <mergeCell ref="A23:F23"/>
    <mergeCell ref="A24:F24"/>
    <mergeCell ref="A25:F25"/>
    <mergeCell ref="A26:F26"/>
    <mergeCell ref="A27:F27"/>
    <mergeCell ref="A28:F28"/>
    <mergeCell ref="A29:F29"/>
    <mergeCell ref="A30:F30"/>
    <mergeCell ref="A31:F31"/>
    <mergeCell ref="A34:H34"/>
    <mergeCell ref="A35:F35"/>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Hoja84">
    <tabColor rgb="FF7030A0"/>
  </sheetPr>
  <dimension ref="A1:Q54"/>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7" width="12.42578125" style="19" bestFit="1" customWidth="1"/>
    <col min="8" max="8" width="11" style="19" bestFit="1" customWidth="1"/>
    <col min="9" max="9" width="14.2851562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292</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101</v>
      </c>
      <c r="D6" s="23"/>
      <c r="E6" s="23"/>
      <c r="F6" s="23"/>
      <c r="G6" s="23"/>
      <c r="H6" s="24"/>
      <c r="I6" s="25" t="s">
        <v>248</v>
      </c>
      <c r="J6" s="26" t="str">
        <f>+VLOOKUP(C6,'ANEXO PLIEGO_1'!$A$7:$C$133,3,FALSE)</f>
        <v>TON</v>
      </c>
    </row>
    <row r="7" spans="1:10" ht="51.75" customHeight="1" x14ac:dyDescent="0.25">
      <c r="A7" s="1568" t="s">
        <v>249</v>
      </c>
      <c r="B7" s="1570"/>
      <c r="C7" s="1578" t="str">
        <f>+VLOOKUP(C6,'ANEXO PLIEGO_1'!A7:B133,2,FALSE)</f>
        <v>Transporte de materiales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c r="B11" s="1559"/>
      <c r="C11" s="1559"/>
      <c r="D11" s="1560"/>
      <c r="E11" s="29"/>
      <c r="F11" s="30"/>
      <c r="G11" s="31"/>
      <c r="H11" s="30"/>
      <c r="I11" s="33"/>
      <c r="J11" s="33"/>
    </row>
    <row r="12" spans="1:10" s="20" customFormat="1" ht="13.9" customHeight="1" x14ac:dyDescent="0.25">
      <c r="A12" s="1558"/>
      <c r="B12" s="1559"/>
      <c r="C12" s="1559"/>
      <c r="D12" s="1560"/>
      <c r="E12" s="29"/>
      <c r="F12" s="30"/>
      <c r="G12" s="31"/>
      <c r="H12" s="30"/>
      <c r="I12" s="33"/>
      <c r="J12" s="33"/>
    </row>
    <row r="13" spans="1:10" s="20" customFormat="1" ht="13.9" customHeight="1" x14ac:dyDescent="0.25">
      <c r="A13" s="1558"/>
      <c r="B13" s="1559"/>
      <c r="C13" s="1559"/>
      <c r="D13" s="1560"/>
      <c r="E13" s="29"/>
      <c r="F13" s="30"/>
      <c r="G13" s="31"/>
      <c r="H13" s="30"/>
      <c r="I13" s="33"/>
      <c r="J13" s="33"/>
    </row>
    <row r="14" spans="1:10" s="20" customFormat="1" ht="13.9" customHeight="1" x14ac:dyDescent="0.25">
      <c r="A14" s="1558"/>
      <c r="B14" s="1559"/>
      <c r="C14" s="1559"/>
      <c r="D14" s="1560"/>
      <c r="E14" s="29"/>
      <c r="F14" s="30"/>
      <c r="G14" s="31"/>
      <c r="H14" s="30"/>
      <c r="I14" s="33"/>
      <c r="J14" s="33"/>
    </row>
    <row r="15" spans="1:10" s="20" customFormat="1" ht="13.9" customHeight="1" x14ac:dyDescent="0.25">
      <c r="A15" s="1558"/>
      <c r="B15" s="1559"/>
      <c r="C15" s="1559"/>
      <c r="D15" s="1560"/>
      <c r="E15" s="29"/>
      <c r="F15" s="30"/>
      <c r="G15" s="31"/>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7"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7" s="20" customFormat="1" ht="13.9" customHeight="1" x14ac:dyDescent="0.25">
      <c r="I18" s="30" t="s">
        <v>257</v>
      </c>
      <c r="J18" s="34"/>
    </row>
    <row r="19" spans="1:17" s="20" customFormat="1" ht="13.9" customHeight="1" x14ac:dyDescent="0.25"/>
    <row r="20" spans="1:17" s="20" customFormat="1" ht="13.9" customHeight="1" x14ac:dyDescent="0.25">
      <c r="A20" s="1561" t="s">
        <v>263</v>
      </c>
      <c r="B20" s="1561"/>
      <c r="C20" s="1561"/>
      <c r="D20" s="1561"/>
      <c r="E20" s="1561"/>
      <c r="F20" s="1561"/>
      <c r="G20" s="1561"/>
      <c r="H20" s="1561"/>
      <c r="I20" s="27"/>
    </row>
    <row r="21" spans="1:17" ht="13.9" customHeight="1" x14ac:dyDescent="0.25">
      <c r="A21" s="1565" t="s">
        <v>251</v>
      </c>
      <c r="B21" s="1566"/>
      <c r="C21" s="1566"/>
      <c r="D21" s="1566"/>
      <c r="E21" s="1566"/>
      <c r="F21" s="1567"/>
      <c r="G21" s="28" t="s">
        <v>252</v>
      </c>
      <c r="H21" s="28" t="s">
        <v>264</v>
      </c>
      <c r="I21" s="28" t="s">
        <v>256</v>
      </c>
      <c r="J21" s="28" t="s">
        <v>257</v>
      </c>
    </row>
    <row r="22" spans="1:17" ht="48.75" customHeight="1" x14ac:dyDescent="0.25">
      <c r="A22" s="1568"/>
      <c r="B22" s="1569"/>
      <c r="C22" s="1569"/>
      <c r="D22" s="1569"/>
      <c r="E22" s="1569"/>
      <c r="F22" s="1570"/>
      <c r="G22" s="29"/>
      <c r="H22" s="35"/>
      <c r="I22" s="33"/>
      <c r="J22" s="33"/>
      <c r="L22" s="1571"/>
      <c r="M22" s="1572"/>
      <c r="N22" s="1572"/>
      <c r="O22" s="1572"/>
      <c r="P22" s="1572"/>
      <c r="Q22" s="1573"/>
    </row>
    <row r="23" spans="1:17" ht="13.9" customHeight="1" x14ac:dyDescent="0.25">
      <c r="A23" s="1558"/>
      <c r="B23" s="1559"/>
      <c r="C23" s="1559"/>
      <c r="D23" s="1559"/>
      <c r="E23" s="1559"/>
      <c r="F23" s="1560"/>
      <c r="G23" s="29"/>
      <c r="H23" s="35"/>
      <c r="I23" s="33"/>
      <c r="J23" s="33"/>
    </row>
    <row r="24" spans="1:17" ht="13.9" customHeight="1" x14ac:dyDescent="0.25">
      <c r="A24" s="1558"/>
      <c r="B24" s="1559"/>
      <c r="C24" s="1559"/>
      <c r="D24" s="1559"/>
      <c r="E24" s="1559"/>
      <c r="F24" s="1560"/>
      <c r="G24" s="29"/>
      <c r="H24" s="35"/>
      <c r="I24" s="33"/>
      <c r="J24" s="33"/>
    </row>
    <row r="25" spans="1:17" ht="13.9" customHeight="1" x14ac:dyDescent="0.25">
      <c r="A25" s="1558"/>
      <c r="B25" s="1559"/>
      <c r="C25" s="1559"/>
      <c r="D25" s="1559"/>
      <c r="E25" s="1559"/>
      <c r="F25" s="1560"/>
      <c r="G25" s="29"/>
      <c r="H25" s="35"/>
      <c r="I25" s="33"/>
      <c r="J25" s="33"/>
    </row>
    <row r="26" spans="1:17" ht="13.9" customHeight="1" x14ac:dyDescent="0.25">
      <c r="A26" s="1571"/>
      <c r="B26" s="1572"/>
      <c r="C26" s="1572"/>
      <c r="D26" s="1572"/>
      <c r="E26" s="1572"/>
      <c r="F26" s="1573"/>
      <c r="G26" s="29"/>
      <c r="H26" s="54"/>
      <c r="I26" s="33"/>
      <c r="J26" s="33"/>
    </row>
    <row r="27" spans="1:17" ht="13.9" customHeight="1" x14ac:dyDescent="0.25">
      <c r="A27" s="1558"/>
      <c r="B27" s="1559"/>
      <c r="C27" s="1559"/>
      <c r="D27" s="1559"/>
      <c r="E27" s="1559"/>
      <c r="F27" s="1560"/>
      <c r="G27" s="29"/>
      <c r="H27" s="35"/>
      <c r="I27" s="33"/>
      <c r="J27" s="33"/>
    </row>
    <row r="28" spans="1:17" ht="13.9" customHeight="1" x14ac:dyDescent="0.25">
      <c r="A28" s="1558"/>
      <c r="B28" s="1559"/>
      <c r="C28" s="1559"/>
      <c r="D28" s="1559"/>
      <c r="E28" s="1559"/>
      <c r="F28" s="1560"/>
      <c r="G28" s="29"/>
      <c r="H28" s="35"/>
      <c r="I28" s="33"/>
      <c r="J28" s="33"/>
    </row>
    <row r="29" spans="1:17" ht="13.9" customHeight="1" x14ac:dyDescent="0.25">
      <c r="A29" s="1558"/>
      <c r="B29" s="1559"/>
      <c r="C29" s="1559"/>
      <c r="D29" s="1559"/>
      <c r="E29" s="1559"/>
      <c r="F29" s="1560"/>
      <c r="G29" s="29"/>
      <c r="H29" s="37"/>
      <c r="I29" s="33"/>
      <c r="J29" s="33"/>
    </row>
    <row r="30" spans="1:17" ht="13.9" customHeight="1" x14ac:dyDescent="0.25">
      <c r="A30" s="1558"/>
      <c r="B30" s="1559"/>
      <c r="C30" s="1559"/>
      <c r="D30" s="1559"/>
      <c r="E30" s="1559"/>
      <c r="F30" s="1560"/>
      <c r="G30" s="29"/>
      <c r="H30" s="35"/>
      <c r="I30" s="33"/>
      <c r="J30" s="33"/>
    </row>
    <row r="31" spans="1:17" ht="13.9" customHeight="1" x14ac:dyDescent="0.25">
      <c r="A31" s="1558"/>
      <c r="B31" s="1559"/>
      <c r="C31" s="1559"/>
      <c r="D31" s="1559"/>
      <c r="E31" s="1559"/>
      <c r="F31" s="1560"/>
      <c r="G31" s="29"/>
      <c r="H31" s="35"/>
      <c r="I31" s="33"/>
      <c r="J31" s="33"/>
    </row>
    <row r="32" spans="1:17" ht="13.9" customHeight="1" x14ac:dyDescent="0.25">
      <c r="A32" s="20"/>
      <c r="B32" s="20"/>
      <c r="C32" s="20"/>
      <c r="D32" s="20"/>
      <c r="E32" s="20"/>
      <c r="G32" s="20"/>
      <c r="H32" s="20"/>
      <c r="I32" s="30" t="s">
        <v>257</v>
      </c>
      <c r="J32" s="34"/>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row>
    <row r="36" spans="1:13" ht="13.9" customHeight="1" x14ac:dyDescent="0.25">
      <c r="A36" s="1558" t="str">
        <f>+'EQUIPOS '!B6</f>
        <v>CAMION INCLUYE CONDUCTOR</v>
      </c>
      <c r="B36" s="1559"/>
      <c r="C36" s="1559"/>
      <c r="D36" s="1559"/>
      <c r="E36" s="1559"/>
      <c r="F36" s="1560"/>
      <c r="G36" s="1484">
        <f>12</f>
        <v>12</v>
      </c>
      <c r="H36" s="33">
        <f>+IFERROR(VLOOKUP(A36,'EQUIPOS '!$B$3:$M$78,12,FALSE),0)</f>
        <v>611492.5</v>
      </c>
      <c r="I36" s="33">
        <f>IFERROR(H36/G36,0)</f>
        <v>50957.708333333336</v>
      </c>
      <c r="J36" s="33">
        <f>ROUND(I36,0)</f>
        <v>50958</v>
      </c>
      <c r="M36" s="19">
        <f>900*1.6*20</f>
        <v>28800</v>
      </c>
    </row>
    <row r="37" spans="1:13" ht="13.9" customHeight="1" x14ac:dyDescent="0.25">
      <c r="A37" s="1558"/>
      <c r="B37" s="1559"/>
      <c r="C37" s="1559"/>
      <c r="D37" s="1559"/>
      <c r="E37" s="1559"/>
      <c r="F37" s="1560"/>
      <c r="G37" s="29"/>
      <c r="H37" s="33"/>
      <c r="I37" s="33"/>
      <c r="J37" s="33"/>
      <c r="M37" s="19">
        <f>915*15</f>
        <v>13725</v>
      </c>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50958</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+PERSONAL!B5</f>
        <v xml:space="preserve">AYUDANTE </v>
      </c>
      <c r="B43" s="1559"/>
      <c r="C43" s="1559"/>
      <c r="D43" s="1560"/>
      <c r="E43" s="40">
        <f>+VLOOKUP(A43,PERSONAL!$B$3:$E$100,4,FALSE)</f>
        <v>72476</v>
      </c>
      <c r="F43" s="30">
        <v>2</v>
      </c>
      <c r="G43" s="40">
        <f>+E43*F43</f>
        <v>144952</v>
      </c>
      <c r="H43" s="1373">
        <v>10</v>
      </c>
      <c r="I43" s="33">
        <f>IFERROR(ROUND(G43/H43,0),0)</f>
        <v>14495</v>
      </c>
      <c r="J43" s="33">
        <f>+I43</f>
        <v>14495</v>
      </c>
    </row>
    <row r="44" spans="1:13" s="39" customFormat="1" ht="13.9" customHeight="1" x14ac:dyDescent="0.25">
      <c r="A44" s="1558"/>
      <c r="B44" s="1559"/>
      <c r="C44" s="1559"/>
      <c r="D44" s="1560"/>
      <c r="E44" s="40"/>
      <c r="F44" s="30"/>
      <c r="G44" s="40"/>
      <c r="H44" s="35"/>
      <c r="I44" s="33"/>
      <c r="J44" s="33"/>
    </row>
    <row r="45" spans="1:13" s="39" customFormat="1" ht="13.9" customHeight="1" x14ac:dyDescent="0.25">
      <c r="A45" s="1558"/>
      <c r="B45" s="1559"/>
      <c r="C45" s="1559"/>
      <c r="D45" s="1560"/>
      <c r="E45" s="40"/>
      <c r="F45" s="30"/>
      <c r="G45" s="40"/>
      <c r="H45" s="35"/>
      <c r="I45" s="33"/>
      <c r="J45" s="33"/>
    </row>
    <row r="46" spans="1:13" s="39" customFormat="1" ht="13.9" customHeight="1" x14ac:dyDescent="0.25">
      <c r="A46" s="1558"/>
      <c r="B46" s="1559"/>
      <c r="C46" s="1559"/>
      <c r="D46" s="1560"/>
      <c r="E46" s="40"/>
      <c r="F46" s="30"/>
      <c r="G46" s="40"/>
      <c r="H46" s="35"/>
      <c r="I46" s="33"/>
      <c r="J46" s="33"/>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14495</v>
      </c>
    </row>
    <row r="51" spans="1:10" ht="13.9" customHeight="1" x14ac:dyDescent="0.25"/>
    <row r="52" spans="1:10" ht="13.9" customHeight="1" x14ac:dyDescent="0.25">
      <c r="E52" s="41" t="s">
        <v>276</v>
      </c>
      <c r="I52" s="42">
        <f>+J50+J39+J32+J18</f>
        <v>65453</v>
      </c>
      <c r="J52" s="43"/>
    </row>
    <row r="53" spans="1:10" ht="13.9" customHeight="1" x14ac:dyDescent="0.25"/>
    <row r="54" spans="1:10" ht="14.1" customHeight="1" x14ac:dyDescent="0.25"/>
  </sheetData>
  <mergeCells count="42">
    <mergeCell ref="A14:D14"/>
    <mergeCell ref="A1:J1"/>
    <mergeCell ref="A2:J2"/>
    <mergeCell ref="A4:J4"/>
    <mergeCell ref="A6:B6"/>
    <mergeCell ref="A7:B7"/>
    <mergeCell ref="C7:J7"/>
    <mergeCell ref="A9:H9"/>
    <mergeCell ref="A10:D10"/>
    <mergeCell ref="A11:D11"/>
    <mergeCell ref="A12:D12"/>
    <mergeCell ref="A13:D13"/>
    <mergeCell ref="A15:D15"/>
    <mergeCell ref="A16:D16"/>
    <mergeCell ref="A17:D17"/>
    <mergeCell ref="A20:H20"/>
    <mergeCell ref="A21:F21"/>
    <mergeCell ref="A35:F35"/>
    <mergeCell ref="L22:Q22"/>
    <mergeCell ref="A23:F23"/>
    <mergeCell ref="A24:F24"/>
    <mergeCell ref="A25:F25"/>
    <mergeCell ref="A26:F26"/>
    <mergeCell ref="A27:F27"/>
    <mergeCell ref="A22:F22"/>
    <mergeCell ref="A28:F28"/>
    <mergeCell ref="A29:F29"/>
    <mergeCell ref="A30:F30"/>
    <mergeCell ref="A31:F31"/>
    <mergeCell ref="A34:H34"/>
    <mergeCell ref="A49:D49"/>
    <mergeCell ref="A36:F36"/>
    <mergeCell ref="A37:F37"/>
    <mergeCell ref="A38:F38"/>
    <mergeCell ref="A41:H41"/>
    <mergeCell ref="A42:D42"/>
    <mergeCell ref="A43:D43"/>
    <mergeCell ref="A44:D44"/>
    <mergeCell ref="A45:D45"/>
    <mergeCell ref="A46:D46"/>
    <mergeCell ref="A47:D47"/>
    <mergeCell ref="A48:D48"/>
  </mergeCells>
  <dataValidations disablePrompts="1" count="1">
    <dataValidation type="list" allowBlank="1" showInputMessage="1" showErrorMessage="1" sqref="A23:F31" xr:uid="{00000000-0002-0000-3C00-000000000000}">
      <formula1>$E$4:$E$120</formula1>
    </dataValidation>
  </dataValidations>
  <pageMargins left="0.70866141732283472" right="0.70866141732283472" top="0.78740157480314965" bottom="0.78740157480314965" header="0.31496062992125984" footer="0.31496062992125984"/>
  <pageSetup scale="82"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Hoja110">
    <tabColor theme="3"/>
  </sheetPr>
  <dimension ref="A1:J52"/>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100</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Borrado mecánico de marcas viales.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1.75" customHeight="1" x14ac:dyDescent="0.25">
      <c r="A11" s="1568" t="str">
        <f>+'EQUIPOS '!B29</f>
        <v xml:space="preserve">FRESADORA DE MARCAS VIALES </v>
      </c>
      <c r="B11" s="1569"/>
      <c r="C11" s="1569"/>
      <c r="D11" s="1570"/>
      <c r="E11" s="29" t="s">
        <v>202</v>
      </c>
      <c r="F11" s="30" t="str">
        <f>IFERROR(VLOOKUP(A11,'[10]EQUIPOS TRANSPOR SALARIO'!$A$3:$G$42,2,FALSE),"")</f>
        <v/>
      </c>
      <c r="G11" s="31">
        <f>+VLOOKUP(A11,'EQUIPOS '!$B$3:$M$64,12,FALSE)</f>
        <v>4099.41</v>
      </c>
      <c r="H11" s="30">
        <v>3</v>
      </c>
      <c r="I11" s="33">
        <f>IFERROR((G11/H11),"")</f>
        <v>1366.47</v>
      </c>
      <c r="J11" s="33">
        <f>ROUND(I11,0)</f>
        <v>1366</v>
      </c>
    </row>
    <row r="12" spans="1:10" s="20" customFormat="1" ht="18"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3</v>
      </c>
      <c r="I12" s="33">
        <f t="shared" ref="I12" si="0">IFERROR((G12/H12),0)</f>
        <v>4407.333333333333</v>
      </c>
      <c r="J12" s="33">
        <f t="shared" ref="J12" si="1">ROUND(I12,0)</f>
        <v>4407</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5773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c r="B22" s="1569"/>
      <c r="C22" s="1569"/>
      <c r="D22" s="1569"/>
      <c r="E22" s="1569"/>
      <c r="F22" s="1570"/>
      <c r="G22" s="29"/>
      <c r="H22" s="37"/>
      <c r="I22" s="33"/>
      <c r="J22" s="33"/>
    </row>
    <row r="23" spans="1:10" ht="13.9" customHeight="1" x14ac:dyDescent="0.25">
      <c r="A23" s="1558"/>
      <c r="B23" s="1559"/>
      <c r="C23" s="1559"/>
      <c r="D23" s="1559"/>
      <c r="E23" s="1559"/>
      <c r="F23" s="1560"/>
      <c r="G23" s="29"/>
      <c r="H23" s="47"/>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4">
        <f>(0.3/8)/12</f>
        <v>3.1249999999999997E-3</v>
      </c>
      <c r="H36" s="33">
        <f>+IFERROR(VLOOKUP(A36,'EQUIPOS '!$B$3:$M$78,12,FALSE),0)</f>
        <v>611492.5</v>
      </c>
      <c r="I36" s="33">
        <f>IFERROR(H36*G36,0)</f>
        <v>1910.9140624999998</v>
      </c>
      <c r="J36" s="33">
        <f>ROUND(I36,0)</f>
        <v>1911</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1911</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 t="shared" ref="G43:G46" si="2">+E43*F43</f>
        <v>143049</v>
      </c>
      <c r="H43" s="35">
        <f>IFERROR(H11*8,0)</f>
        <v>24</v>
      </c>
      <c r="I43" s="33">
        <f t="shared" ref="I43:I46" si="3">IFERROR(ROUND(G43/H43,0),0)</f>
        <v>5960</v>
      </c>
      <c r="J43" s="33">
        <f t="shared" ref="J43:J46" si="4">+I43</f>
        <v>5960</v>
      </c>
    </row>
    <row r="44" spans="1:10" s="39" customFormat="1" ht="13.9" customHeight="1" x14ac:dyDescent="0.25">
      <c r="A44" s="1558" t="str">
        <f>+PERSONAL!B6</f>
        <v>AYUDANTE NOCTURNO</v>
      </c>
      <c r="B44" s="1559"/>
      <c r="C44" s="1559"/>
      <c r="D44" s="1560"/>
      <c r="E44" s="40">
        <f>+VLOOKUP(A44,PERSONAL!$B$3:$E$100,4,FALSE)</f>
        <v>83383</v>
      </c>
      <c r="F44" s="30">
        <v>1</v>
      </c>
      <c r="G44" s="40">
        <f t="shared" si="2"/>
        <v>83383</v>
      </c>
      <c r="H44" s="35">
        <f>+H43</f>
        <v>24</v>
      </c>
      <c r="I44" s="33">
        <f t="shared" si="3"/>
        <v>3474</v>
      </c>
      <c r="J44" s="33">
        <f t="shared" si="4"/>
        <v>3474</v>
      </c>
    </row>
    <row r="45" spans="1:10" s="39" customFormat="1" ht="13.9" customHeight="1" x14ac:dyDescent="0.25">
      <c r="A45" s="1558" t="str">
        <f>+PERSONAL!B4</f>
        <v>AUXILIAR DE TRÁFICO NOCTURNO</v>
      </c>
      <c r="B45" s="1559"/>
      <c r="C45" s="1559"/>
      <c r="D45" s="1560"/>
      <c r="E45" s="40">
        <f>+VLOOKUP(A45,PERSONAL!$B$3:$E$100,4,FALSE)</f>
        <v>98122</v>
      </c>
      <c r="F45" s="30">
        <v>2</v>
      </c>
      <c r="G45" s="40">
        <f t="shared" si="2"/>
        <v>196244</v>
      </c>
      <c r="H45" s="35">
        <f>+H43</f>
        <v>24</v>
      </c>
      <c r="I45" s="33">
        <f t="shared" si="3"/>
        <v>8177</v>
      </c>
      <c r="J45" s="33">
        <f t="shared" si="4"/>
        <v>8177</v>
      </c>
    </row>
    <row r="46" spans="1:10" s="39" customFormat="1" ht="13.9" customHeight="1" x14ac:dyDescent="0.25">
      <c r="A46" s="1558" t="str">
        <f>+PERSONAL!B19</f>
        <v>JEFE DE CUADRILLA NOCTURNO</v>
      </c>
      <c r="B46" s="1559"/>
      <c r="C46" s="1559"/>
      <c r="D46" s="1560"/>
      <c r="E46" s="40">
        <f>+VLOOKUP(A46,PERSONAL!$B$3:$E$100,4,FALSE)</f>
        <v>213741</v>
      </c>
      <c r="F46" s="30">
        <v>1</v>
      </c>
      <c r="G46" s="40">
        <f t="shared" si="2"/>
        <v>213741</v>
      </c>
      <c r="H46" s="35">
        <f>+H45</f>
        <v>24</v>
      </c>
      <c r="I46" s="33">
        <f t="shared" si="3"/>
        <v>8906</v>
      </c>
      <c r="J46" s="33">
        <f t="shared" si="4"/>
        <v>8906</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26517</v>
      </c>
    </row>
    <row r="50" spans="1:10" ht="13.9" customHeight="1" x14ac:dyDescent="0.25"/>
    <row r="51" spans="1:10" ht="13.9" customHeight="1" x14ac:dyDescent="0.25">
      <c r="E51" s="41" t="s">
        <v>276</v>
      </c>
      <c r="I51" s="42">
        <f>+J49+J39+J32+J18</f>
        <v>34201</v>
      </c>
      <c r="J51" s="43"/>
    </row>
    <row r="52" spans="1:10" ht="13.9"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ignoredErrors>
    <ignoredError sqref="H45" formula="1"/>
  </ignoredErrors>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Hoja109">
    <tabColor theme="3"/>
  </sheetPr>
  <dimension ref="A1:J54"/>
  <sheetViews>
    <sheetView topLeftCell="A31" workbookViewId="0">
      <selection activeCell="M36" sqref="M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99</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Limpieza con hidrolavado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'!B34</f>
        <v xml:space="preserve">HIDROLAVADORA </v>
      </c>
      <c r="B11" s="1559"/>
      <c r="C11" s="1559"/>
      <c r="D11" s="1560"/>
      <c r="E11" s="29" t="s">
        <v>202</v>
      </c>
      <c r="F11" s="30" t="str">
        <f>IFERROR(VLOOKUP(A11,'[10]EQUIPOS TRANSPOR SALARIO'!$A$3:$G$42,2,FALSE),"")</f>
        <v/>
      </c>
      <c r="G11" s="31">
        <f>+VLOOKUP(A11,'EQUIPOS '!$B$3:$M$64,12,FALSE)</f>
        <v>7065</v>
      </c>
      <c r="H11" s="30">
        <v>12</v>
      </c>
      <c r="I11" s="33">
        <f t="shared" ref="I11:I14" si="0">IFERROR((G11/H11),0)</f>
        <v>588.75</v>
      </c>
      <c r="J11" s="33">
        <f>ROUND(I11,0)</f>
        <v>589</v>
      </c>
    </row>
    <row r="12" spans="1:10" s="20" customFormat="1" ht="13.9" customHeight="1" x14ac:dyDescent="0.25">
      <c r="A12" s="1558" t="str">
        <f>+'EQUIPOS '!B36</f>
        <v>PLANTA ELÉCTRICA</v>
      </c>
      <c r="B12" s="1559"/>
      <c r="C12" s="1559"/>
      <c r="D12" s="1560"/>
      <c r="E12" s="29" t="s">
        <v>202</v>
      </c>
      <c r="F12" s="30" t="str">
        <f>IFERROR(VLOOKUP(A12,'[10]EQUIPOS TRANSPOR SALARIO'!$A$3:$G$42,2,FALSE),"")</f>
        <v>Eléctrico</v>
      </c>
      <c r="G12" s="31">
        <f>+VLOOKUP(A12,'EQUIPOS '!$B$3:$M$64,12,FALSE)</f>
        <v>12771</v>
      </c>
      <c r="H12" s="30">
        <f>+$H$11</f>
        <v>12</v>
      </c>
      <c r="I12" s="33">
        <f t="shared" si="0"/>
        <v>1064.25</v>
      </c>
      <c r="J12" s="33">
        <f t="shared" ref="J12:J14" si="1">ROUND(I12,0)</f>
        <v>1064</v>
      </c>
    </row>
    <row r="13" spans="1:10" s="20" customFormat="1" ht="13.9" customHeight="1" x14ac:dyDescent="0.25">
      <c r="A13" s="1558" t="str">
        <f>+'EQUIPOS '!B33</f>
        <v>HERRAMIENTA MENOR</v>
      </c>
      <c r="B13" s="1559"/>
      <c r="C13" s="1559"/>
      <c r="D13" s="1560"/>
      <c r="E13" s="29" t="s">
        <v>202</v>
      </c>
      <c r="F13" s="30" t="str">
        <f>IFERROR(VLOOKUP(A13,'[10]EQUIPOS TRANSPOR SALARIO'!$A$3:$G$42,2,FALSE),"")</f>
        <v>Global</v>
      </c>
      <c r="G13" s="74">
        <v>0.01</v>
      </c>
      <c r="H13" s="299">
        <f>J49</f>
        <v>2759</v>
      </c>
      <c r="I13" s="33">
        <f>IFERROR((G13*H13),0)</f>
        <v>27.59</v>
      </c>
      <c r="J13" s="33">
        <f t="shared" si="1"/>
        <v>28</v>
      </c>
    </row>
    <row r="14" spans="1:10" s="20" customFormat="1" ht="13.9" customHeight="1" x14ac:dyDescent="0.25">
      <c r="A14" s="1558" t="str">
        <f>+'EQUIPOS '!B46</f>
        <v xml:space="preserve"> PMT (KIT )</v>
      </c>
      <c r="B14" s="1559"/>
      <c r="C14" s="1559"/>
      <c r="D14" s="1560"/>
      <c r="E14" s="29" t="s">
        <v>202</v>
      </c>
      <c r="F14" s="30" t="str">
        <f>IFERROR(VLOOKUP(A14,'[10]EQUIPOS TRANSPOR SALARIO'!$A$3:$G$42,2,FALSE),"")</f>
        <v/>
      </c>
      <c r="G14" s="31">
        <f>+VLOOKUP(A14,'EQUIPOS '!$B$3:$M$64,12,FALSE)</f>
        <v>13222</v>
      </c>
      <c r="H14" s="30">
        <f>+$H$11</f>
        <v>12</v>
      </c>
      <c r="I14" s="33">
        <f t="shared" si="0"/>
        <v>1101.8333333333333</v>
      </c>
      <c r="J14" s="33">
        <f t="shared" si="1"/>
        <v>1102</v>
      </c>
    </row>
    <row r="15" spans="1:10" s="20" customFormat="1" ht="13.9" customHeight="1" x14ac:dyDescent="0.25">
      <c r="A15" s="1558"/>
      <c r="B15" s="1559"/>
      <c r="C15" s="1559"/>
      <c r="D15" s="1560"/>
      <c r="E15" s="29"/>
      <c r="F15" s="30" t="str">
        <f>IFERROR(VLOOKUP(A15,'[10]EQUIPOS TRANSPOR SALARIO'!$A$3:$G$42,2,FALSE),"")</f>
        <v/>
      </c>
      <c r="G15" s="31"/>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2783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
        <v>295</v>
      </c>
      <c r="B22" s="1569"/>
      <c r="C22" s="1569"/>
      <c r="D22" s="1569"/>
      <c r="E22" s="1569"/>
      <c r="F22" s="1570"/>
      <c r="G22" s="29" t="s">
        <v>3136</v>
      </c>
      <c r="H22" s="35">
        <v>3</v>
      </c>
      <c r="I22" s="33">
        <f>+IFERROR(VLOOKUP(A22,'INSUMOS '!$B$2:$AP$167,'INSUMOS '!$AO$2+1,FALSE),0)</f>
        <v>4.93</v>
      </c>
      <c r="J22" s="33">
        <f>ROUND(I22*H22,0)</f>
        <v>15</v>
      </c>
    </row>
    <row r="23" spans="1:10" ht="13.9" customHeight="1" x14ac:dyDescent="0.25">
      <c r="A23" s="1568" t="s">
        <v>277</v>
      </c>
      <c r="B23" s="1569"/>
      <c r="C23" s="1569"/>
      <c r="D23" s="1569"/>
      <c r="E23" s="1569"/>
      <c r="F23" s="1570"/>
      <c r="G23" s="29" t="s">
        <v>114</v>
      </c>
      <c r="H23" s="35">
        <v>0.01</v>
      </c>
      <c r="I23" s="33">
        <f>+IFERROR(VLOOKUP(A23,'INSUMOS '!$B$2:$AP$167,'INSUMOS '!$AO$2+1,FALSE),0)</f>
        <v>15861</v>
      </c>
      <c r="J23" s="33">
        <f>ROUND(I23*H23,0)</f>
        <v>159</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174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(20/1000)/12</f>
        <v>1.6666666666666668E-3</v>
      </c>
      <c r="H36" s="33">
        <f>+IFERROR(VLOOKUP(A36,'EQUIPOS '!$B$3:$M$78,12,FALSE),0)</f>
        <v>611492.5</v>
      </c>
      <c r="I36" s="33">
        <f>IFERROR(H36*G36,0)</f>
        <v>1019.1541666666667</v>
      </c>
      <c r="J36" s="33">
        <f>ROUND(I36,0)</f>
        <v>1019</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1019</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+PERSONAL!B6</f>
        <v>AYUDANTE NOCTURNO</v>
      </c>
      <c r="B43" s="1559"/>
      <c r="C43" s="1559"/>
      <c r="D43" s="1560"/>
      <c r="E43" s="40">
        <f>+VLOOKUP(A43,PERSONAL!$B$3:$E$100,4,FALSE)</f>
        <v>83383</v>
      </c>
      <c r="F43" s="30">
        <v>2</v>
      </c>
      <c r="G43" s="40">
        <f t="shared" ref="G43:G44" si="2">+E43*F43</f>
        <v>166766</v>
      </c>
      <c r="H43" s="35">
        <f>8*H11</f>
        <v>96</v>
      </c>
      <c r="I43" s="33">
        <f t="shared" ref="I43:I44" si="3">IFERROR(ROUND(G43/H43,0),0)</f>
        <v>1737</v>
      </c>
      <c r="J43" s="33">
        <f t="shared" ref="J43:J44" si="4">+I43</f>
        <v>1737</v>
      </c>
    </row>
    <row r="44" spans="1:10" s="39" customFormat="1" ht="13.9" customHeight="1" x14ac:dyDescent="0.25">
      <c r="A44" s="1558" t="str">
        <f>+PERSONAL!B4</f>
        <v>AUXILIAR DE TRÁFICO NOCTURNO</v>
      </c>
      <c r="B44" s="1559"/>
      <c r="C44" s="1559"/>
      <c r="D44" s="1560"/>
      <c r="E44" s="40">
        <f>+VLOOKUP(A44,PERSONAL!$B$3:$E$100,4,FALSE)</f>
        <v>98122</v>
      </c>
      <c r="F44" s="30">
        <v>1</v>
      </c>
      <c r="G44" s="40">
        <f t="shared" si="2"/>
        <v>98122</v>
      </c>
      <c r="H44" s="35">
        <f>+H43</f>
        <v>96</v>
      </c>
      <c r="I44" s="33">
        <f t="shared" si="3"/>
        <v>1022</v>
      </c>
      <c r="J44" s="33">
        <f t="shared" si="4"/>
        <v>1022</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2759</v>
      </c>
    </row>
    <row r="50" spans="1:10" ht="13.9" customHeight="1" x14ac:dyDescent="0.25"/>
    <row r="51" spans="1:10" ht="13.9" customHeight="1" x14ac:dyDescent="0.25">
      <c r="E51" s="41" t="s">
        <v>276</v>
      </c>
      <c r="I51" s="42">
        <f>+J49+J39+J32+J18</f>
        <v>6735</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ignoredErrors>
    <ignoredError sqref="H13:I13" formula="1"/>
  </ignoredErrors>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Hoja108">
    <tabColor theme="3"/>
  </sheetPr>
  <dimension ref="A1:L58"/>
  <sheetViews>
    <sheetView topLeftCell="A46" workbookViewId="0">
      <selection activeCell="L46" sqref="L4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7" width="11" style="19" bestFit="1" customWidth="1"/>
    <col min="8" max="8" width="12.42578125" style="19" bestFit="1" customWidth="1"/>
    <col min="9" max="9" width="14.42578125" style="19"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98</v>
      </c>
      <c r="D6" s="23"/>
      <c r="E6" s="23"/>
      <c r="F6" s="23"/>
      <c r="G6" s="23"/>
      <c r="H6" s="24"/>
      <c r="I6" s="25" t="s">
        <v>248</v>
      </c>
      <c r="J6" s="26" t="str">
        <f>+VLOOKUP(C6,'ANEXO PLIEGO_1'!$A$7:$C$133,3,FALSE)</f>
        <v>UN</v>
      </c>
    </row>
    <row r="7" spans="1:12" ht="35.1" customHeight="1" x14ac:dyDescent="0.25">
      <c r="A7" s="1568" t="s">
        <v>249</v>
      </c>
      <c r="B7" s="1570"/>
      <c r="C7" s="1578" t="str">
        <f>+VLOOKUP(C6,'ANEXO PLIEGO_1'!$A$7:$B$133,2,FALSE)</f>
        <v>Desmonte y retiro a nivel de Estructura metálica, tableros y/o lamas existentes de señales con pedestal de 4" a 12" de diámetro, Incluye transporte a patios de la SDM</v>
      </c>
      <c r="D7" s="1579"/>
      <c r="E7" s="1579"/>
      <c r="F7" s="1579"/>
      <c r="G7" s="1579"/>
      <c r="H7" s="1579"/>
      <c r="I7" s="1579"/>
      <c r="J7" s="1580"/>
      <c r="L7" s="628" t="s">
        <v>3354</v>
      </c>
    </row>
    <row r="9" spans="1:12" s="27" customFormat="1" ht="12.75" x14ac:dyDescent="0.25">
      <c r="A9" s="1561" t="s">
        <v>250</v>
      </c>
      <c r="B9" s="1561"/>
      <c r="C9" s="1561"/>
      <c r="D9" s="1561"/>
      <c r="E9" s="1561"/>
      <c r="F9" s="1561"/>
      <c r="G9" s="1561"/>
      <c r="H9" s="1561"/>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58" t="str">
        <f>+'EQUIPOS '!B39</f>
        <v xml:space="preserve">PULIDORA </v>
      </c>
      <c r="B11" s="1559"/>
      <c r="C11" s="1559"/>
      <c r="D11" s="1560"/>
      <c r="E11" s="29" t="s">
        <v>202</v>
      </c>
      <c r="F11" s="30">
        <f>IFERROR(VLOOKUP(A11,'[10]EQUIPOS TRANSPOR SALARIO'!$A$3:$G$42,2,FALSE),0)</f>
        <v>0</v>
      </c>
      <c r="G11" s="31">
        <f>+VLOOKUP(A11,'EQUIPOS '!$B$3:$M$64,12,FALSE)</f>
        <v>2821</v>
      </c>
      <c r="H11" s="30">
        <v>0.26500000000000001</v>
      </c>
      <c r="I11" s="33">
        <f>IFERROR((G11/H11),0)</f>
        <v>10645.283018867924</v>
      </c>
      <c r="J11" s="33">
        <f t="shared" ref="J11:J16" si="0">ROUND(I11,0)</f>
        <v>10645</v>
      </c>
    </row>
    <row r="12" spans="1:12" s="20" customFormat="1" ht="13.9" customHeight="1" x14ac:dyDescent="0.25">
      <c r="A12" s="1558" t="str">
        <f>+'EQUIPOS '!B36</f>
        <v>PLANTA ELÉCTRICA</v>
      </c>
      <c r="B12" s="1559"/>
      <c r="C12" s="1559"/>
      <c r="D12" s="1560"/>
      <c r="E12" s="29" t="s">
        <v>202</v>
      </c>
      <c r="F12" s="30" t="str">
        <f>IFERROR(VLOOKUP(A12,'[10]EQUIPOS TRANSPOR SALARIO'!$A$3:$G$42,2,FALSE),0)</f>
        <v>Eléctrico</v>
      </c>
      <c r="G12" s="31">
        <f>+VLOOKUP(A12,'EQUIPOS '!$B$3:$M$64,12,FALSE)</f>
        <v>12771</v>
      </c>
      <c r="H12" s="30">
        <f>+$H$11</f>
        <v>0.26500000000000001</v>
      </c>
      <c r="I12" s="33">
        <f>IFERROR((G12/H12),0)</f>
        <v>48192.452830188675</v>
      </c>
      <c r="J12" s="33">
        <f t="shared" si="0"/>
        <v>48192</v>
      </c>
    </row>
    <row r="13" spans="1:12" s="20" customFormat="1" ht="13.9" customHeight="1" x14ac:dyDescent="0.25">
      <c r="A13" s="1558" t="str">
        <f>+'EQUIPOS '!B33</f>
        <v>HERRAMIENTA MENOR</v>
      </c>
      <c r="B13" s="1559"/>
      <c r="C13" s="1559"/>
      <c r="D13" s="1560"/>
      <c r="E13" s="29" t="s">
        <v>202</v>
      </c>
      <c r="F13" s="30" t="str">
        <f>IFERROR(VLOOKUP(A13,'[10]EQUIPOS TRANSPOR SALARIO'!$A$3:$G$42,2,FALSE),0)</f>
        <v>Global</v>
      </c>
      <c r="G13" s="74">
        <v>0.01</v>
      </c>
      <c r="H13" s="299">
        <f>+J56</f>
        <v>311384</v>
      </c>
      <c r="I13" s="33">
        <f>IFERROR((G13*H13),0)</f>
        <v>3113.84</v>
      </c>
      <c r="J13" s="33">
        <f t="shared" si="0"/>
        <v>3114</v>
      </c>
    </row>
    <row r="14" spans="1:12" s="20" customFormat="1" ht="13.9" customHeight="1" x14ac:dyDescent="0.25">
      <c r="A14" s="1558" t="str">
        <f>+'EQUIPOS '!B46</f>
        <v xml:space="preserve"> PMT (KIT )</v>
      </c>
      <c r="B14" s="1559"/>
      <c r="C14" s="1559"/>
      <c r="D14" s="1560"/>
      <c r="E14" s="29" t="s">
        <v>202</v>
      </c>
      <c r="F14" s="30">
        <f>IFERROR(VLOOKUP(A14,'[10]EQUIPOS TRANSPOR SALARIO'!$A$3:$G$42,2,FALSE),0)</f>
        <v>0</v>
      </c>
      <c r="G14" s="31">
        <f>+VLOOKUP(A14,'EQUIPOS '!$B$3:$M$64,12,FALSE)</f>
        <v>13222</v>
      </c>
      <c r="H14" s="30">
        <f>+$H$11</f>
        <v>0.26500000000000001</v>
      </c>
      <c r="I14" s="33">
        <f>IFERROR((G14/H14),0)</f>
        <v>49894.339622641506</v>
      </c>
      <c r="J14" s="33">
        <f t="shared" si="0"/>
        <v>49894</v>
      </c>
    </row>
    <row r="15" spans="1:12" s="20" customFormat="1" ht="13.9" customHeight="1" x14ac:dyDescent="0.25">
      <c r="A15" s="1558" t="str">
        <f>+'EQUIPOS '!B44</f>
        <v xml:space="preserve">TALADRO PERCUTOR  </v>
      </c>
      <c r="B15" s="1559"/>
      <c r="C15" s="1559"/>
      <c r="D15" s="1560"/>
      <c r="E15" s="29" t="s">
        <v>202</v>
      </c>
      <c r="F15" s="30">
        <f>IFERROR(VLOOKUP(A15,'[10]EQUIPOS TRANSPOR SALARIO'!$A$3:$G$42,2,FALSE),0)</f>
        <v>0</v>
      </c>
      <c r="G15" s="31">
        <f>+VLOOKUP(A15,'EQUIPOS '!$B$3:$M$64,12,FALSE)</f>
        <v>3687.5</v>
      </c>
      <c r="H15" s="30">
        <f>+$H$11</f>
        <v>0.26500000000000001</v>
      </c>
      <c r="I15" s="33">
        <f>IFERROR((G15/H15),0)</f>
        <v>13915.094339622641</v>
      </c>
      <c r="J15" s="33">
        <f t="shared" si="0"/>
        <v>13915</v>
      </c>
    </row>
    <row r="16" spans="1:12" s="20" customFormat="1" ht="13.9" customHeight="1" x14ac:dyDescent="0.25">
      <c r="A16" s="1558" t="str">
        <f>+'EQUIPOS '!B30</f>
        <v>GRUA BRAZO ARTICULADO (H=10.38m) -  - INCLUYE OPERARIO Y COMBUSTIBLE</v>
      </c>
      <c r="B16" s="1559"/>
      <c r="C16" s="1559"/>
      <c r="D16" s="1560"/>
      <c r="E16" s="29" t="s">
        <v>202</v>
      </c>
      <c r="F16" s="30">
        <f>IFERROR(VLOOKUP(A16,'[10]EQUIPOS TRANSPOR SALARIO'!$A$3:$G$42,2,FALSE),0)</f>
        <v>0</v>
      </c>
      <c r="G16" s="31">
        <f>+VLOOKUP(A16,'EQUIPOS '!$B$3:$M$64,12,FALSE)</f>
        <v>80859</v>
      </c>
      <c r="H16" s="30">
        <f>+$H$11</f>
        <v>0.26500000000000001</v>
      </c>
      <c r="I16" s="33">
        <f>IFERROR((G16/H16),0)</f>
        <v>305128.30188679241</v>
      </c>
      <c r="J16" s="33">
        <f t="shared" si="0"/>
        <v>305128</v>
      </c>
    </row>
    <row r="17" spans="1:10" s="20" customFormat="1" ht="13.9" customHeight="1" x14ac:dyDescent="0.25">
      <c r="A17" s="1558"/>
      <c r="B17" s="1559"/>
      <c r="C17" s="1559"/>
      <c r="D17" s="1560"/>
      <c r="E17" s="29"/>
      <c r="F17" s="30"/>
      <c r="G17" s="31"/>
      <c r="H17" s="30"/>
      <c r="I17" s="33"/>
      <c r="J17" s="33"/>
    </row>
    <row r="18" spans="1:10" s="20" customFormat="1" ht="13.9" customHeight="1" x14ac:dyDescent="0.25">
      <c r="A18" s="1558"/>
      <c r="B18" s="1559"/>
      <c r="C18" s="1559"/>
      <c r="D18" s="1560"/>
      <c r="E18" s="29"/>
      <c r="F18" s="30"/>
      <c r="G18" s="31"/>
      <c r="H18" s="30"/>
      <c r="I18" s="33"/>
      <c r="J18" s="33"/>
    </row>
    <row r="19" spans="1:10" s="20" customFormat="1" ht="13.9" customHeight="1" x14ac:dyDescent="0.25">
      <c r="A19" s="1558"/>
      <c r="B19" s="1559"/>
      <c r="C19" s="1559"/>
      <c r="D19" s="1560"/>
      <c r="E19" s="29"/>
      <c r="F19" s="30"/>
      <c r="G19" s="31"/>
      <c r="H19" s="30"/>
      <c r="I19" s="33"/>
      <c r="J19" s="33"/>
    </row>
    <row r="20" spans="1:10" s="20" customFormat="1" ht="13.9" customHeight="1" x14ac:dyDescent="0.25">
      <c r="A20" s="1558"/>
      <c r="B20" s="1559"/>
      <c r="C20" s="1559"/>
      <c r="D20" s="1560"/>
      <c r="E20" s="29"/>
      <c r="F20" s="30"/>
      <c r="G20" s="31"/>
      <c r="H20" s="30"/>
      <c r="I20" s="33"/>
      <c r="J20" s="33"/>
    </row>
    <row r="21" spans="1:10" s="20" customFormat="1" ht="13.9" customHeight="1" x14ac:dyDescent="0.25">
      <c r="A21" s="1558"/>
      <c r="B21" s="1559"/>
      <c r="C21" s="1559"/>
      <c r="D21" s="1560"/>
      <c r="E21" s="29"/>
      <c r="F21" s="30"/>
      <c r="G21" s="31"/>
      <c r="H21" s="30"/>
      <c r="I21" s="33"/>
      <c r="J21" s="33"/>
    </row>
    <row r="22" spans="1:10" s="20" customFormat="1" ht="13.9" customHeight="1" x14ac:dyDescent="0.25">
      <c r="I22" s="30" t="s">
        <v>257</v>
      </c>
      <c r="J22" s="34">
        <f>+SUM(J11:J21)</f>
        <v>430888</v>
      </c>
    </row>
    <row r="23" spans="1:10" s="20" customFormat="1" ht="13.9" customHeight="1" x14ac:dyDescent="0.25"/>
    <row r="24" spans="1:10" s="20" customFormat="1" ht="13.9" customHeight="1" x14ac:dyDescent="0.25">
      <c r="A24" s="1561" t="s">
        <v>263</v>
      </c>
      <c r="B24" s="1561"/>
      <c r="C24" s="1561"/>
      <c r="D24" s="1561"/>
      <c r="E24" s="1561"/>
      <c r="F24" s="1561"/>
      <c r="G24" s="1561"/>
      <c r="H24" s="1561"/>
      <c r="I24" s="27"/>
    </row>
    <row r="25" spans="1:10" ht="13.9" customHeight="1" x14ac:dyDescent="0.25">
      <c r="A25" s="1565" t="s">
        <v>251</v>
      </c>
      <c r="B25" s="1566"/>
      <c r="C25" s="1566"/>
      <c r="D25" s="1566"/>
      <c r="E25" s="1566"/>
      <c r="F25" s="1567"/>
      <c r="G25" s="28" t="s">
        <v>252</v>
      </c>
      <c r="H25" s="28" t="s">
        <v>264</v>
      </c>
      <c r="I25" s="28" t="s">
        <v>256</v>
      </c>
      <c r="J25" s="28" t="s">
        <v>257</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5"/>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1558"/>
      <c r="B32" s="1559"/>
      <c r="C32" s="1559"/>
      <c r="D32" s="1559"/>
      <c r="E32" s="1559"/>
      <c r="F32" s="1560"/>
      <c r="G32" s="29"/>
      <c r="H32" s="35"/>
      <c r="I32" s="33"/>
      <c r="J32" s="33"/>
    </row>
    <row r="33" spans="1:10" ht="13.9" customHeight="1" x14ac:dyDescent="0.25">
      <c r="A33" s="1558"/>
      <c r="B33" s="1559"/>
      <c r="C33" s="1559"/>
      <c r="D33" s="1559"/>
      <c r="E33" s="1559"/>
      <c r="F33" s="1560"/>
      <c r="G33" s="29"/>
      <c r="H33" s="37"/>
      <c r="I33" s="33"/>
      <c r="J33" s="33"/>
    </row>
    <row r="34" spans="1:10" ht="13.9" customHeight="1" x14ac:dyDescent="0.25">
      <c r="A34" s="1558"/>
      <c r="B34" s="1559"/>
      <c r="C34" s="1559"/>
      <c r="D34" s="1559"/>
      <c r="E34" s="1559"/>
      <c r="F34" s="1560"/>
      <c r="G34" s="29"/>
      <c r="H34" s="35"/>
      <c r="I34" s="33"/>
      <c r="J34" s="33"/>
    </row>
    <row r="35" spans="1:10" ht="13.9" customHeight="1" x14ac:dyDescent="0.25">
      <c r="A35" s="20"/>
      <c r="B35" s="20"/>
      <c r="C35" s="20"/>
      <c r="D35" s="20"/>
      <c r="E35" s="20"/>
      <c r="G35" s="20"/>
      <c r="H35" s="20"/>
      <c r="I35" s="30" t="s">
        <v>257</v>
      </c>
      <c r="J35" s="34"/>
    </row>
    <row r="36" spans="1:10" ht="13.9" customHeight="1" x14ac:dyDescent="0.25"/>
    <row r="37" spans="1:10" ht="13.9" customHeight="1" x14ac:dyDescent="0.25">
      <c r="A37" s="1561" t="s">
        <v>267</v>
      </c>
      <c r="B37" s="1561"/>
      <c r="C37" s="1561"/>
      <c r="D37" s="1561"/>
      <c r="E37" s="1561"/>
      <c r="F37" s="1561"/>
      <c r="G37" s="1561"/>
      <c r="H37" s="1561"/>
      <c r="I37" s="27"/>
    </row>
    <row r="38" spans="1:10" ht="13.9" customHeight="1" x14ac:dyDescent="0.25">
      <c r="A38" s="1562" t="s">
        <v>268</v>
      </c>
      <c r="B38" s="1563"/>
      <c r="C38" s="1563"/>
      <c r="D38" s="1563"/>
      <c r="E38" s="1563"/>
      <c r="F38" s="1564"/>
      <c r="G38" s="38" t="s">
        <v>255</v>
      </c>
      <c r="H38" s="28" t="s">
        <v>269</v>
      </c>
      <c r="I38" s="28" t="s">
        <v>256</v>
      </c>
      <c r="J38" s="28" t="s">
        <v>257</v>
      </c>
    </row>
    <row r="39" spans="1:10" ht="13.9" customHeight="1" x14ac:dyDescent="0.25">
      <c r="A39" s="1558" t="str">
        <f>+'EQUIPOS '!B6</f>
        <v>CAMION INCLUYE CONDUCTOR</v>
      </c>
      <c r="B39" s="1559"/>
      <c r="C39" s="1559"/>
      <c r="D39" s="1559"/>
      <c r="E39" s="1559"/>
      <c r="F39" s="1560"/>
      <c r="G39" s="1484">
        <f>2/12</f>
        <v>0.16666666666666666</v>
      </c>
      <c r="H39" s="33">
        <f>+IFERROR(VLOOKUP(A39,'EQUIPOS '!$B$3:$M$78,12,FALSE),0)</f>
        <v>611492.5</v>
      </c>
      <c r="I39" s="33">
        <f>IFERROR(H39*G39,0)</f>
        <v>101915.41666666666</v>
      </c>
      <c r="J39" s="33">
        <f>ROUND(I39,0)</f>
        <v>101915</v>
      </c>
    </row>
    <row r="40" spans="1:10" ht="13.9" customHeight="1" x14ac:dyDescent="0.25">
      <c r="A40" s="1558"/>
      <c r="B40" s="1559"/>
      <c r="C40" s="1559"/>
      <c r="D40" s="1559"/>
      <c r="E40" s="1559"/>
      <c r="F40" s="1560"/>
      <c r="G40" s="29"/>
      <c r="H40" s="33"/>
      <c r="I40" s="33"/>
      <c r="J40" s="33"/>
    </row>
    <row r="41" spans="1:10" ht="13.9" customHeight="1" x14ac:dyDescent="0.25">
      <c r="A41" s="1558"/>
      <c r="B41" s="1559"/>
      <c r="C41" s="1559"/>
      <c r="D41" s="1559"/>
      <c r="E41" s="1559"/>
      <c r="F41" s="1560"/>
      <c r="G41" s="29"/>
      <c r="H41" s="33"/>
      <c r="I41" s="33"/>
      <c r="J41" s="33"/>
    </row>
    <row r="42" spans="1:10" ht="13.9" customHeight="1" x14ac:dyDescent="0.25">
      <c r="G42" s="39"/>
      <c r="H42" s="39"/>
      <c r="I42" s="30" t="s">
        <v>257</v>
      </c>
      <c r="J42" s="33">
        <f>+SUM(J39:J41)</f>
        <v>101915</v>
      </c>
    </row>
    <row r="43" spans="1:10" ht="13.9" customHeight="1" x14ac:dyDescent="0.25"/>
    <row r="44" spans="1:10" ht="13.9" customHeight="1" x14ac:dyDescent="0.25">
      <c r="A44" s="1561" t="s">
        <v>270</v>
      </c>
      <c r="B44" s="1561"/>
      <c r="C44" s="1561"/>
      <c r="D44" s="1561"/>
      <c r="E44" s="1561"/>
      <c r="F44" s="1561"/>
      <c r="G44" s="1561"/>
      <c r="H44" s="1561"/>
      <c r="I44" s="27"/>
    </row>
    <row r="45" spans="1:10" s="39" customFormat="1" ht="13.9" customHeight="1" x14ac:dyDescent="0.25">
      <c r="A45" s="1562" t="s">
        <v>271</v>
      </c>
      <c r="B45" s="1563"/>
      <c r="C45" s="1563"/>
      <c r="D45" s="1564"/>
      <c r="E45" s="28" t="s">
        <v>272</v>
      </c>
      <c r="F45" s="28" t="s">
        <v>264</v>
      </c>
      <c r="G45" s="28" t="s">
        <v>273</v>
      </c>
      <c r="H45" s="28" t="s">
        <v>255</v>
      </c>
      <c r="I45" s="28" t="s">
        <v>256</v>
      </c>
      <c r="J45" s="28" t="s">
        <v>257</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+H11*8</f>
        <v>2.12</v>
      </c>
      <c r="I46" s="33">
        <f>IFERROR(ROUND(G46/H46,0),0)</f>
        <v>100821</v>
      </c>
      <c r="J46" s="33">
        <f>+I46</f>
        <v>100821</v>
      </c>
    </row>
    <row r="47" spans="1:10" s="39" customFormat="1" ht="13.9" customHeight="1" x14ac:dyDescent="0.25">
      <c r="A47" s="1558" t="str">
        <f>+PERSONAL!B6</f>
        <v>AYUDANTE NOCTURNO</v>
      </c>
      <c r="B47" s="1559"/>
      <c r="C47" s="1559"/>
      <c r="D47" s="1560"/>
      <c r="E47" s="40">
        <f>+VLOOKUP(A47,PERSONAL!$B$3:$E$100,4,FALSE)</f>
        <v>83383</v>
      </c>
      <c r="F47" s="30">
        <v>3</v>
      </c>
      <c r="G47" s="40">
        <f t="shared" ref="G47:G48" si="1">+E47*F47</f>
        <v>250149</v>
      </c>
      <c r="H47" s="35">
        <f>+H46</f>
        <v>2.12</v>
      </c>
      <c r="I47" s="33">
        <f t="shared" ref="I47:I48" si="2">IFERROR(ROUND(G47/H47,0),0)</f>
        <v>117995</v>
      </c>
      <c r="J47" s="33">
        <f t="shared" ref="J47:J48" si="3">+I47</f>
        <v>117995</v>
      </c>
    </row>
    <row r="48" spans="1:10" s="39" customFormat="1" ht="13.9" customHeight="1" x14ac:dyDescent="0.25">
      <c r="A48" s="1558" t="str">
        <f>+PERSONAL!B4</f>
        <v>AUXILIAR DE TRÁFICO NOCTURNO</v>
      </c>
      <c r="B48" s="1559"/>
      <c r="C48" s="1559"/>
      <c r="D48" s="1560"/>
      <c r="E48" s="40">
        <f>+VLOOKUP(A48,PERSONAL!$B$3:$E$100,4,FALSE)</f>
        <v>98122</v>
      </c>
      <c r="F48" s="30">
        <v>2</v>
      </c>
      <c r="G48" s="40">
        <f t="shared" si="1"/>
        <v>196244</v>
      </c>
      <c r="H48" s="35">
        <f>+H47</f>
        <v>2.12</v>
      </c>
      <c r="I48" s="33">
        <f t="shared" si="2"/>
        <v>92568</v>
      </c>
      <c r="J48" s="33">
        <f t="shared" si="3"/>
        <v>92568</v>
      </c>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1558"/>
      <c r="B50" s="1559"/>
      <c r="C50" s="1559"/>
      <c r="D50" s="1560"/>
      <c r="E50" s="40"/>
      <c r="F50" s="30"/>
      <c r="G50" s="40"/>
      <c r="H50" s="35"/>
      <c r="I50" s="33"/>
      <c r="J50" s="33"/>
    </row>
    <row r="51" spans="1:10" s="39" customFormat="1" ht="13.9" customHeight="1" x14ac:dyDescent="0.25">
      <c r="A51" s="1558"/>
      <c r="B51" s="1559"/>
      <c r="C51" s="1559"/>
      <c r="D51" s="1560"/>
      <c r="E51" s="40"/>
      <c r="F51" s="30"/>
      <c r="G51" s="40"/>
      <c r="H51" s="35"/>
      <c r="I51" s="33"/>
      <c r="J51" s="33"/>
    </row>
    <row r="52" spans="1:10" s="39" customFormat="1" ht="13.9" customHeight="1" x14ac:dyDescent="0.25">
      <c r="A52" s="1688"/>
      <c r="B52" s="1689"/>
      <c r="C52" s="1689"/>
      <c r="D52" s="1690"/>
      <c r="E52" s="40"/>
      <c r="F52" s="30"/>
      <c r="G52" s="40"/>
      <c r="H52" s="35"/>
      <c r="I52" s="33"/>
      <c r="J52" s="33"/>
    </row>
    <row r="53" spans="1:10" s="39" customFormat="1" ht="13.9" customHeight="1" x14ac:dyDescent="0.25">
      <c r="A53" s="1558"/>
      <c r="B53" s="1559"/>
      <c r="C53" s="1559"/>
      <c r="D53" s="1560"/>
      <c r="E53" s="40"/>
      <c r="F53" s="30"/>
      <c r="G53" s="40"/>
      <c r="H53" s="35"/>
      <c r="I53" s="33"/>
      <c r="J53" s="33"/>
    </row>
    <row r="54" spans="1:10" s="39" customFormat="1" ht="13.9" customHeight="1" x14ac:dyDescent="0.25">
      <c r="A54" s="1558"/>
      <c r="B54" s="1559"/>
      <c r="C54" s="1559"/>
      <c r="D54" s="1560"/>
      <c r="E54" s="40"/>
      <c r="F54" s="30"/>
      <c r="G54" s="40"/>
      <c r="H54" s="35"/>
      <c r="I54" s="33"/>
      <c r="J54" s="33"/>
    </row>
    <row r="55" spans="1:10" s="39" customFormat="1" ht="13.9" customHeight="1" x14ac:dyDescent="0.25">
      <c r="A55" s="1558"/>
      <c r="B55" s="1559"/>
      <c r="C55" s="1559"/>
      <c r="D55" s="1560"/>
      <c r="E55" s="40"/>
      <c r="F55" s="30"/>
      <c r="G55" s="40"/>
      <c r="H55" s="35"/>
      <c r="I55" s="33"/>
      <c r="J55" s="33"/>
    </row>
    <row r="56" spans="1:10" ht="13.9" customHeight="1" x14ac:dyDescent="0.25">
      <c r="A56" s="20"/>
      <c r="B56" s="20"/>
      <c r="C56" s="20"/>
      <c r="E56" s="20"/>
      <c r="F56" s="20"/>
      <c r="G56" s="20"/>
      <c r="H56" s="20"/>
      <c r="I56" s="30" t="s">
        <v>257</v>
      </c>
      <c r="J56" s="34">
        <f>+SUM(J46:J55)</f>
        <v>311384</v>
      </c>
    </row>
    <row r="57" spans="1:10" ht="13.9" customHeight="1" x14ac:dyDescent="0.25"/>
    <row r="58" spans="1:10" ht="13.9" customHeight="1" x14ac:dyDescent="0.25">
      <c r="E58" s="41" t="s">
        <v>276</v>
      </c>
      <c r="I58" s="42">
        <f>+J56+J42+J35+J22</f>
        <v>844187</v>
      </c>
      <c r="J58" s="43"/>
    </row>
  </sheetData>
  <mergeCells count="47">
    <mergeCell ref="A1:J1"/>
    <mergeCell ref="A2:J2"/>
    <mergeCell ref="A4:J4"/>
    <mergeCell ref="A6:B6"/>
    <mergeCell ref="A7:B7"/>
    <mergeCell ref="C7:J7"/>
    <mergeCell ref="A20:D20"/>
    <mergeCell ref="A9:H9"/>
    <mergeCell ref="A10:D10"/>
    <mergeCell ref="A11:D11"/>
    <mergeCell ref="A12:D12"/>
    <mergeCell ref="A13:D13"/>
    <mergeCell ref="A14:D14"/>
    <mergeCell ref="A15:D15"/>
    <mergeCell ref="A16:D16"/>
    <mergeCell ref="A17:D17"/>
    <mergeCell ref="A18:D18"/>
    <mergeCell ref="A19:D19"/>
    <mergeCell ref="A34:F34"/>
    <mergeCell ref="A21:D21"/>
    <mergeCell ref="A24:H24"/>
    <mergeCell ref="A25:F25"/>
    <mergeCell ref="A26:F26"/>
    <mergeCell ref="A27:F27"/>
    <mergeCell ref="A28:F28"/>
    <mergeCell ref="A29:F29"/>
    <mergeCell ref="A30:F30"/>
    <mergeCell ref="A31:F31"/>
    <mergeCell ref="A32:F32"/>
    <mergeCell ref="A33:F33"/>
    <mergeCell ref="A50:D50"/>
    <mergeCell ref="A37:H37"/>
    <mergeCell ref="A38:F38"/>
    <mergeCell ref="A39:F39"/>
    <mergeCell ref="A40:F40"/>
    <mergeCell ref="A41:F41"/>
    <mergeCell ref="A44:H44"/>
    <mergeCell ref="A45:D45"/>
    <mergeCell ref="A46:D46"/>
    <mergeCell ref="A47:D47"/>
    <mergeCell ref="A48:D48"/>
    <mergeCell ref="A49:D49"/>
    <mergeCell ref="A51:D51"/>
    <mergeCell ref="A52:D52"/>
    <mergeCell ref="A53:D53"/>
    <mergeCell ref="A54:D54"/>
    <mergeCell ref="A55:D55"/>
  </mergeCells>
  <dataValidations count="1">
    <dataValidation type="list" allowBlank="1" showInputMessage="1" showErrorMessage="1" sqref="B18:D21 B11:D16" xr:uid="{00000000-0002-0000-3F00-000000000000}">
      <formula1>$A$4:$A$24</formula1>
    </dataValidation>
  </dataValidations>
  <pageMargins left="0.70866141732283472" right="0.70866141732283472" top="0.78740157480314965" bottom="0.78740157480314965" header="0.31496062992125984" footer="0.31496062992125984"/>
  <pageSetup scale="83" orientation="portrait" r:id="rId1"/>
  <ignoredErrors>
    <ignoredError sqref="H13:I13" formula="1"/>
  </ignoredErrors>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Hoja107">
    <tabColor theme="3"/>
  </sheetPr>
  <dimension ref="A1:J54"/>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97</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Retiro de pasacalle, incluye transporte a patios de la SDM</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691" t="s">
        <v>251</v>
      </c>
      <c r="B10" s="1692"/>
      <c r="C10" s="1692"/>
      <c r="D10" s="1693"/>
      <c r="E10" s="56" t="s">
        <v>252</v>
      </c>
      <c r="F10" s="56" t="s">
        <v>253</v>
      </c>
      <c r="G10" s="56" t="s">
        <v>254</v>
      </c>
      <c r="H10" s="56" t="s">
        <v>255</v>
      </c>
      <c r="I10" s="56" t="s">
        <v>256</v>
      </c>
      <c r="J10" s="56"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0.02</v>
      </c>
      <c r="H11" s="299">
        <f>+J49</f>
        <v>25039</v>
      </c>
      <c r="I11" s="33">
        <f>IFERROR((G11*H11),0)</f>
        <v>500.78000000000003</v>
      </c>
      <c r="J11" s="33">
        <f t="shared" ref="J11:J14" si="0">ROUND(I11,0)</f>
        <v>501</v>
      </c>
    </row>
    <row r="12" spans="1:10" s="20" customFormat="1" ht="13.9" customHeight="1" x14ac:dyDescent="0.25">
      <c r="A12" s="1558" t="str">
        <f>+'EQUIPOS '!B38</f>
        <v>PRETAL DIELECTRICO</v>
      </c>
      <c r="B12" s="1559"/>
      <c r="C12" s="1559"/>
      <c r="D12" s="1560"/>
      <c r="E12" s="29" t="s">
        <v>259</v>
      </c>
      <c r="F12" s="30" t="str">
        <f>IFERROR(VLOOKUP(A12,'[10]EQUIPOS TRANSPOR SALARIO'!$A$3:$G$42,2,FALSE),"")</f>
        <v/>
      </c>
      <c r="G12" s="31">
        <f>+VLOOKUP(A12,'EQUIPOS '!$B$3:$M$64,12,FALSE)</f>
        <v>276.60000000000002</v>
      </c>
      <c r="H12" s="30">
        <v>2</v>
      </c>
      <c r="I12" s="33">
        <f t="shared" ref="I12:I13" si="1">IFERROR((G12/H12),0)</f>
        <v>138.30000000000001</v>
      </c>
      <c r="J12" s="33">
        <f t="shared" si="0"/>
        <v>138</v>
      </c>
    </row>
    <row r="13" spans="1:10" s="20" customFormat="1" ht="13.9" customHeight="1" x14ac:dyDescent="0.25">
      <c r="A13" s="1571" t="str">
        <f>+'EQUIPOS '!B3</f>
        <v xml:space="preserve">ARNES DE CUATRO PUNTOS </v>
      </c>
      <c r="B13" s="1572"/>
      <c r="C13" s="1572"/>
      <c r="D13" s="1573"/>
      <c r="E13" s="29" t="s">
        <v>259</v>
      </c>
      <c r="F13" s="30" t="str">
        <f>IFERROR(VLOOKUP(A13,'[10]EQUIPOS TRANSPOR SALARIO'!$A$3:$G$42,2,FALSE),"")</f>
        <v/>
      </c>
      <c r="G13" s="31">
        <f>+VLOOKUP(A13,'EQUIPOS '!$B$3:$M$64,12,FALSE)</f>
        <v>10148.75</v>
      </c>
      <c r="H13" s="30">
        <f>+H12</f>
        <v>2</v>
      </c>
      <c r="I13" s="33">
        <f t="shared" si="1"/>
        <v>5074.375</v>
      </c>
      <c r="J13" s="33">
        <f t="shared" si="0"/>
        <v>5074</v>
      </c>
    </row>
    <row r="14" spans="1:10" s="20" customFormat="1" ht="13.9" customHeight="1" x14ac:dyDescent="0.25">
      <c r="A14" s="1558" t="str">
        <f>+'EQUIPOS '!B46</f>
        <v xml:space="preserve"> PMT (KIT )</v>
      </c>
      <c r="B14" s="1559"/>
      <c r="C14" s="1559"/>
      <c r="D14" s="1560"/>
      <c r="E14" s="29" t="s">
        <v>259</v>
      </c>
      <c r="F14" s="30" t="str">
        <f>IFERROR(VLOOKUP(A14,'[10]EQUIPOS TRANSPOR SALARIO'!$A$3:$G$42,2,FALSE),"")</f>
        <v/>
      </c>
      <c r="G14" s="31">
        <f>+VLOOKUP(A14,'EQUIPOS '!$B$3:$M$64,12,FALSE)</f>
        <v>13222</v>
      </c>
      <c r="H14" s="30">
        <f>+H13</f>
        <v>2</v>
      </c>
      <c r="I14" s="33">
        <f>IFERROR((G14/H14),0)</f>
        <v>6611</v>
      </c>
      <c r="J14" s="33">
        <f t="shared" si="0"/>
        <v>6611</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12324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58"/>
      <c r="B22" s="1559"/>
      <c r="C22" s="1559"/>
      <c r="D22" s="1559"/>
      <c r="E22" s="1559"/>
      <c r="F22" s="1560"/>
      <c r="G22" s="29"/>
      <c r="H22" s="35"/>
      <c r="I22" s="33"/>
      <c r="J22" s="33"/>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0"/>
      <c r="I26" s="33"/>
      <c r="J26" s="33"/>
    </row>
    <row r="27" spans="1:10" ht="13.9" customHeight="1" x14ac:dyDescent="0.25">
      <c r="A27" s="1558"/>
      <c r="B27" s="1559"/>
      <c r="C27" s="1559"/>
      <c r="D27" s="1559"/>
      <c r="E27" s="1559"/>
      <c r="F27" s="1560"/>
      <c r="G27" s="29"/>
      <c r="H27" s="30"/>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691" t="s">
        <v>268</v>
      </c>
      <c r="B35" s="1692"/>
      <c r="C35" s="1692"/>
      <c r="D35" s="1692"/>
      <c r="E35" s="1692"/>
      <c r="F35" s="1693"/>
      <c r="G35" s="59" t="s">
        <v>255</v>
      </c>
      <c r="H35" s="56" t="s">
        <v>269</v>
      </c>
      <c r="I35" s="56" t="s">
        <v>256</v>
      </c>
      <c r="J35" s="56" t="s">
        <v>257</v>
      </c>
    </row>
    <row r="36" spans="1:10" ht="13.9" customHeight="1" x14ac:dyDescent="0.25">
      <c r="A36" s="1558" t="str">
        <f>+'EQUIPOS '!B6</f>
        <v>CAMION INCLUYE CONDUCTOR</v>
      </c>
      <c r="B36" s="1559"/>
      <c r="C36" s="1559"/>
      <c r="D36" s="1559"/>
      <c r="E36" s="1559"/>
      <c r="F36" s="1560"/>
      <c r="G36" s="1484">
        <f>(100/1000)/12</f>
        <v>8.3333333333333332E-3</v>
      </c>
      <c r="H36" s="33">
        <f>+IFERROR(VLOOKUP(A36,'EQUIPOS '!$B$3:$M$78,12,FALSE),0)</f>
        <v>611492.5</v>
      </c>
      <c r="I36" s="33">
        <f>IFERROR(H36*G36,0)</f>
        <v>5095.770833333333</v>
      </c>
      <c r="J36" s="33">
        <f>ROUND(I36,0)</f>
        <v>5096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5096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691" t="s">
        <v>271</v>
      </c>
      <c r="B42" s="1692"/>
      <c r="C42" s="1692"/>
      <c r="D42" s="1693"/>
      <c r="E42" s="56" t="s">
        <v>272</v>
      </c>
      <c r="F42" s="56" t="s">
        <v>264</v>
      </c>
      <c r="G42" s="56" t="s">
        <v>273</v>
      </c>
      <c r="H42" s="56" t="s">
        <v>255</v>
      </c>
      <c r="I42" s="56" t="s">
        <v>256</v>
      </c>
      <c r="J42" s="56" t="s">
        <v>257</v>
      </c>
    </row>
    <row r="43" spans="1:10" s="39" customFormat="1" ht="13.9" customHeight="1" x14ac:dyDescent="0.25">
      <c r="A43" s="1558" t="str">
        <f>+PERSONAL!B18</f>
        <v>JEFE DE CUADRILLA DIURNO</v>
      </c>
      <c r="B43" s="1559"/>
      <c r="C43" s="1559"/>
      <c r="D43" s="1560"/>
      <c r="E43" s="40">
        <f>+VLOOKUP(A43,PERSONAL!$B$3:$E$100,4,FALSE)</f>
        <v>166031</v>
      </c>
      <c r="F43" s="30">
        <v>1</v>
      </c>
      <c r="G43" s="40">
        <f>+E43*F43</f>
        <v>166031</v>
      </c>
      <c r="H43" s="35">
        <f>+H12*8</f>
        <v>16</v>
      </c>
      <c r="I43" s="33">
        <f>IFERROR(ROUND(G43/H43,0),0)</f>
        <v>10377</v>
      </c>
      <c r="J43" s="33">
        <f>+I43</f>
        <v>10377</v>
      </c>
    </row>
    <row r="44" spans="1:10" s="39" customFormat="1" ht="13.9" customHeight="1" x14ac:dyDescent="0.25">
      <c r="A44" s="1558" t="str">
        <f>+PERSONAL!B5</f>
        <v xml:space="preserve">AYUDANTE </v>
      </c>
      <c r="B44" s="1559"/>
      <c r="C44" s="1559"/>
      <c r="D44" s="1560"/>
      <c r="E44" s="40">
        <f>+VLOOKUP(A44,PERSONAL!$B$3:$E$100,4,FALSE)</f>
        <v>72476</v>
      </c>
      <c r="F44" s="30">
        <v>2</v>
      </c>
      <c r="G44" s="40">
        <f>+E44*F44</f>
        <v>144952</v>
      </c>
      <c r="H44" s="35">
        <f>+H43</f>
        <v>16</v>
      </c>
      <c r="I44" s="33">
        <f>IFERROR(ROUND(G44/H44,0),0)</f>
        <v>9060</v>
      </c>
      <c r="J44" s="33">
        <f>+I44</f>
        <v>9060</v>
      </c>
    </row>
    <row r="45" spans="1:10" s="39" customFormat="1" ht="13.9" customHeight="1" x14ac:dyDescent="0.25">
      <c r="A45" s="1558" t="str">
        <f>+PERSONAL!B3</f>
        <v>AUXILIAR DE TRÁFICO</v>
      </c>
      <c r="B45" s="1559"/>
      <c r="C45" s="1559"/>
      <c r="D45" s="1560"/>
      <c r="E45" s="40">
        <f>+VLOOKUP(A45,PERSONAL!$B$3:$E$100,4,FALSE)</f>
        <v>89632</v>
      </c>
      <c r="F45" s="30">
        <v>1</v>
      </c>
      <c r="G45" s="40">
        <f>+E45*F45</f>
        <v>89632</v>
      </c>
      <c r="H45" s="35">
        <f>+H44</f>
        <v>16</v>
      </c>
      <c r="I45" s="33">
        <f>IFERROR(ROUND(G45/H45,0),0)</f>
        <v>5602</v>
      </c>
      <c r="J45" s="33">
        <f>+I45</f>
        <v>5602</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25039</v>
      </c>
    </row>
    <row r="50" spans="1:10" ht="13.9" customHeight="1" x14ac:dyDescent="0.25"/>
    <row r="51" spans="1:10" ht="13.9" customHeight="1" x14ac:dyDescent="0.25">
      <c r="E51" s="41" t="s">
        <v>276</v>
      </c>
      <c r="I51" s="42">
        <f>+J49+J39+J32+J18</f>
        <v>42459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Hoja106">
    <tabColor theme="3"/>
  </sheetPr>
  <dimension ref="A1:N54"/>
  <sheetViews>
    <sheetView topLeftCell="A35" workbookViewId="0">
      <selection activeCell="L39" sqref="L39"/>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5.4257812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96</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Retiro de bandas en agregado.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5" t="str">
        <f>+'EQUIPOS '!B33</f>
        <v>HERRAMIENTA MENOR</v>
      </c>
      <c r="B11" s="6"/>
      <c r="C11" s="6"/>
      <c r="D11" s="7"/>
      <c r="E11" s="29" t="s">
        <v>202</v>
      </c>
      <c r="F11" s="30" t="str">
        <f>IFERROR(VLOOKUP(A11,'[10]EQUIPOS TRANSPOR SALARIO'!$A$3:$G$42,2,FALSE),"")</f>
        <v>Global</v>
      </c>
      <c r="G11" s="74">
        <v>0.03</v>
      </c>
      <c r="H11" s="299">
        <f>+J49</f>
        <v>7905</v>
      </c>
      <c r="I11" s="33">
        <f>IFERROR((G11*H11),0)</f>
        <v>237.14999999999998</v>
      </c>
      <c r="J11" s="33">
        <f t="shared" ref="J11:J12" si="0">ROUND(I11,0)</f>
        <v>237</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v>7</v>
      </c>
      <c r="I12" s="33">
        <f t="shared" ref="I12" si="1">IFERROR((G12/H12),0)</f>
        <v>1888.8571428571429</v>
      </c>
      <c r="J12" s="33">
        <f t="shared" si="0"/>
        <v>1889</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2126</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637"/>
      <c r="B22" s="1638"/>
      <c r="C22" s="1638"/>
      <c r="D22" s="1638"/>
      <c r="E22" s="1638"/>
      <c r="F22" s="1639"/>
      <c r="G22" s="29"/>
      <c r="H22" s="35"/>
      <c r="I22" s="33"/>
      <c r="J22" s="33"/>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row>
    <row r="33" spans="1:14" ht="13.9" customHeight="1" x14ac:dyDescent="0.25"/>
    <row r="34" spans="1:14" ht="13.9" customHeight="1" x14ac:dyDescent="0.25">
      <c r="A34" s="1561" t="s">
        <v>267</v>
      </c>
      <c r="B34" s="1561"/>
      <c r="C34" s="1561"/>
      <c r="D34" s="1561"/>
      <c r="E34" s="1561"/>
      <c r="F34" s="1561"/>
      <c r="G34" s="1561"/>
      <c r="H34" s="1561"/>
      <c r="I34" s="27"/>
    </row>
    <row r="35" spans="1:14" ht="13.9" customHeight="1" x14ac:dyDescent="0.25">
      <c r="A35" s="1562" t="s">
        <v>268</v>
      </c>
      <c r="B35" s="1563"/>
      <c r="C35" s="1563"/>
      <c r="D35" s="1563"/>
      <c r="E35" s="1563"/>
      <c r="F35" s="1564"/>
      <c r="G35" s="38" t="s">
        <v>255</v>
      </c>
      <c r="H35" s="28" t="s">
        <v>269</v>
      </c>
      <c r="I35" s="28" t="s">
        <v>256</v>
      </c>
      <c r="J35" s="28" t="s">
        <v>257</v>
      </c>
      <c r="M35" s="19">
        <f>0.2-0.02*1</f>
        <v>0.18000000000000002</v>
      </c>
      <c r="N35" s="19">
        <f>+M35*60000</f>
        <v>10800.000000000002</v>
      </c>
    </row>
    <row r="36" spans="1:14" ht="13.9" customHeight="1" x14ac:dyDescent="0.25">
      <c r="A36" s="1558" t="str">
        <f>+'EQUIPOS '!B6</f>
        <v>CAMION INCLUYE CONDUCTOR</v>
      </c>
      <c r="B36" s="1559"/>
      <c r="C36" s="1559"/>
      <c r="D36" s="1559"/>
      <c r="E36" s="1559"/>
      <c r="F36" s="1560"/>
      <c r="G36" s="1481">
        <f>(1/(1.6*6))/12</f>
        <v>8.6805555555555542E-3</v>
      </c>
      <c r="H36" s="33">
        <f>+IFERROR(VLOOKUP(A36,'EQUIPOS '!$B$3:$M$78,12,FALSE),0)</f>
        <v>611492.5</v>
      </c>
      <c r="I36" s="33">
        <f>IFERROR(H36*G36,0)</f>
        <v>5308.0946180555547</v>
      </c>
      <c r="J36" s="33">
        <f>ROUND(I36,0)</f>
        <v>5308</v>
      </c>
      <c r="M36" s="19">
        <v>50</v>
      </c>
    </row>
    <row r="37" spans="1:14" ht="13.9" customHeight="1" x14ac:dyDescent="0.25">
      <c r="A37" s="1558"/>
      <c r="B37" s="1559"/>
      <c r="C37" s="1559"/>
      <c r="D37" s="1559"/>
      <c r="E37" s="1559"/>
      <c r="F37" s="1560"/>
      <c r="G37" s="29"/>
      <c r="H37" s="33"/>
      <c r="I37" s="33"/>
      <c r="J37" s="33"/>
      <c r="M37" s="19">
        <f>+M35*M36</f>
        <v>9.0000000000000018</v>
      </c>
    </row>
    <row r="38" spans="1:14" ht="13.9" customHeight="1" x14ac:dyDescent="0.25">
      <c r="A38" s="1558"/>
      <c r="B38" s="1559"/>
      <c r="C38" s="1559"/>
      <c r="D38" s="1559"/>
      <c r="E38" s="1559"/>
      <c r="F38" s="1560"/>
      <c r="G38" s="29"/>
      <c r="H38" s="33"/>
      <c r="I38" s="33"/>
      <c r="J38" s="33"/>
    </row>
    <row r="39" spans="1:14" ht="13.9" customHeight="1" x14ac:dyDescent="0.25">
      <c r="G39" s="39"/>
      <c r="H39" s="39"/>
      <c r="I39" s="30" t="s">
        <v>257</v>
      </c>
      <c r="J39" s="33">
        <f>+SUM(J36:J38)</f>
        <v>5308</v>
      </c>
    </row>
    <row r="40" spans="1:14" ht="13.9" customHeight="1" x14ac:dyDescent="0.25"/>
    <row r="41" spans="1:14" ht="13.9" customHeight="1" x14ac:dyDescent="0.25">
      <c r="A41" s="1561" t="s">
        <v>270</v>
      </c>
      <c r="B41" s="1561"/>
      <c r="C41" s="1561"/>
      <c r="D41" s="1561"/>
      <c r="E41" s="1561"/>
      <c r="F41" s="1561"/>
      <c r="G41" s="1561"/>
      <c r="H41" s="1561"/>
      <c r="I41" s="27"/>
    </row>
    <row r="42" spans="1:14" s="39" customFormat="1" ht="13.9" customHeight="1" x14ac:dyDescent="0.25">
      <c r="A42" s="1562" t="s">
        <v>271</v>
      </c>
      <c r="B42" s="1563"/>
      <c r="C42" s="1563"/>
      <c r="D42" s="1564"/>
      <c r="E42" s="28" t="s">
        <v>272</v>
      </c>
      <c r="F42" s="28" t="s">
        <v>264</v>
      </c>
      <c r="G42" s="28" t="s">
        <v>273</v>
      </c>
      <c r="H42" s="28" t="s">
        <v>255</v>
      </c>
      <c r="I42" s="28" t="s">
        <v>256</v>
      </c>
      <c r="J42" s="28" t="s">
        <v>257</v>
      </c>
    </row>
    <row r="43" spans="1:14" s="39" customFormat="1" ht="13.9" customHeight="1" x14ac:dyDescent="0.25">
      <c r="A43" s="1558" t="str">
        <f>+PERSONAL!B19</f>
        <v>JEFE DE CUADRILLA NOCTURNO</v>
      </c>
      <c r="B43" s="1559"/>
      <c r="C43" s="1559"/>
      <c r="D43" s="1560"/>
      <c r="E43" s="40">
        <f>+VLOOKUP(A43,PERSONAL!$B$3:$E$100,4,FALSE)</f>
        <v>213741</v>
      </c>
      <c r="F43" s="30">
        <v>1</v>
      </c>
      <c r="G43" s="40">
        <f t="shared" ref="G43:G45" si="2">+E43*F43</f>
        <v>213741</v>
      </c>
      <c r="H43" s="54">
        <v>50</v>
      </c>
      <c r="I43" s="33">
        <f t="shared" ref="I43:I45" si="3">IFERROR(ROUND(G43/H43,0),0)</f>
        <v>4275</v>
      </c>
      <c r="J43" s="33">
        <f t="shared" ref="J43:J45" si="4">+I43</f>
        <v>4275</v>
      </c>
    </row>
    <row r="44" spans="1:14" s="39" customFormat="1" ht="13.9" customHeight="1" x14ac:dyDescent="0.25">
      <c r="A44" s="1558" t="str">
        <f>+PERSONAL!B6</f>
        <v>AYUDANTE NOCTURNO</v>
      </c>
      <c r="B44" s="1559"/>
      <c r="C44" s="1559"/>
      <c r="D44" s="1560"/>
      <c r="E44" s="40">
        <f>+VLOOKUP(A44,PERSONAL!$B$3:$E$100,4,FALSE)</f>
        <v>83383</v>
      </c>
      <c r="F44" s="30">
        <v>1</v>
      </c>
      <c r="G44" s="40">
        <f t="shared" si="2"/>
        <v>83383</v>
      </c>
      <c r="H44" s="54">
        <f>+H43</f>
        <v>50</v>
      </c>
      <c r="I44" s="33">
        <f t="shared" si="3"/>
        <v>1668</v>
      </c>
      <c r="J44" s="33">
        <f t="shared" si="4"/>
        <v>1668</v>
      </c>
    </row>
    <row r="45" spans="1:14" s="39" customFormat="1" ht="13.9" customHeight="1" x14ac:dyDescent="0.25">
      <c r="A45" s="1558" t="str">
        <f>+PERSONAL!B4</f>
        <v>AUXILIAR DE TRÁFICO NOCTURNO</v>
      </c>
      <c r="B45" s="1559"/>
      <c r="C45" s="1559"/>
      <c r="D45" s="1560"/>
      <c r="E45" s="40">
        <f>+VLOOKUP(A45,PERSONAL!$B$3:$E$100,4,FALSE)</f>
        <v>98122</v>
      </c>
      <c r="F45" s="30">
        <v>1</v>
      </c>
      <c r="G45" s="40">
        <f t="shared" si="2"/>
        <v>98122</v>
      </c>
      <c r="H45" s="54">
        <f>+H44</f>
        <v>50</v>
      </c>
      <c r="I45" s="33">
        <f t="shared" si="3"/>
        <v>1962</v>
      </c>
      <c r="J45" s="33">
        <f t="shared" si="4"/>
        <v>1962</v>
      </c>
    </row>
    <row r="46" spans="1:14" s="39" customFormat="1" ht="13.9" customHeight="1" x14ac:dyDescent="0.25">
      <c r="A46" s="1558"/>
      <c r="B46" s="1559"/>
      <c r="C46" s="1559"/>
      <c r="D46" s="1560"/>
      <c r="E46" s="40"/>
      <c r="F46" s="30"/>
      <c r="G46" s="40"/>
      <c r="H46" s="35"/>
      <c r="I46" s="33"/>
      <c r="J46" s="33"/>
    </row>
    <row r="47" spans="1:14" s="39" customFormat="1" ht="13.9" customHeight="1" x14ac:dyDescent="0.25">
      <c r="A47" s="1558"/>
      <c r="B47" s="1559"/>
      <c r="C47" s="1559"/>
      <c r="D47" s="1560"/>
      <c r="E47" s="40"/>
      <c r="F47" s="30"/>
      <c r="G47" s="40"/>
      <c r="H47" s="35"/>
      <c r="I47" s="33"/>
      <c r="J47" s="33"/>
    </row>
    <row r="48" spans="1:14"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7905</v>
      </c>
    </row>
    <row r="50" spans="1:10" ht="13.9" customHeight="1" x14ac:dyDescent="0.25"/>
    <row r="51" spans="1:10" ht="13.9" customHeight="1" x14ac:dyDescent="0.25">
      <c r="E51" s="41" t="s">
        <v>276</v>
      </c>
      <c r="I51" s="42">
        <f>+J49+J39+J32+J18</f>
        <v>15339</v>
      </c>
      <c r="J51" s="43"/>
    </row>
    <row r="52" spans="1:10" ht="13.9" customHeight="1" x14ac:dyDescent="0.25"/>
    <row r="53" spans="1:10" ht="14.1" customHeight="1" x14ac:dyDescent="0.25"/>
    <row r="54" spans="1:10" ht="14.1" customHeight="1" x14ac:dyDescent="0.25"/>
  </sheetData>
  <mergeCells count="39">
    <mergeCell ref="A1:J1"/>
    <mergeCell ref="A2:J2"/>
    <mergeCell ref="A4:J4"/>
    <mergeCell ref="A6:B6"/>
    <mergeCell ref="A7:B7"/>
    <mergeCell ref="C7:J7"/>
    <mergeCell ref="A23:F23"/>
    <mergeCell ref="A9:H9"/>
    <mergeCell ref="A10:D10"/>
    <mergeCell ref="A12:D12"/>
    <mergeCell ref="A13:D13"/>
    <mergeCell ref="A14:D14"/>
    <mergeCell ref="A15:D15"/>
    <mergeCell ref="A16:D16"/>
    <mergeCell ref="A17:D17"/>
    <mergeCell ref="A20:H20"/>
    <mergeCell ref="A21:F21"/>
    <mergeCell ref="A22:F22"/>
    <mergeCell ref="A37:F37"/>
    <mergeCell ref="A24:F24"/>
    <mergeCell ref="A25:F25"/>
    <mergeCell ref="A26:F26"/>
    <mergeCell ref="A27:F27"/>
    <mergeCell ref="A28:F28"/>
    <mergeCell ref="A29:F29"/>
    <mergeCell ref="A30:F30"/>
    <mergeCell ref="A31:F31"/>
    <mergeCell ref="A34:H34"/>
    <mergeCell ref="A35:F35"/>
    <mergeCell ref="A36:F36"/>
    <mergeCell ref="A46:D46"/>
    <mergeCell ref="A47:D47"/>
    <mergeCell ref="A48:D48"/>
    <mergeCell ref="A38:F38"/>
    <mergeCell ref="A41:H41"/>
    <mergeCell ref="A42:D42"/>
    <mergeCell ref="A43:D43"/>
    <mergeCell ref="A44:D44"/>
    <mergeCell ref="A45:D45"/>
  </mergeCells>
  <pageMargins left="0.70866141732283472" right="0.70866141732283472" top="0.78740157480314965" bottom="0.78740157480314965" header="0.31496062992125984" footer="0.31496062992125984"/>
  <pageSetup scale="85"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Hoja105">
    <tabColor theme="3"/>
  </sheetPr>
  <dimension ref="A1:J55"/>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95</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Retiro de tachas reflectivas ó estoperoles con su respectivo anclaje, incluye entrega en Patios de la SDM</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5" t="str">
        <f>+'EQUIPOS '!B33</f>
        <v>HERRAMIENTA MENOR</v>
      </c>
      <c r="B11" s="6"/>
      <c r="C11" s="6"/>
      <c r="D11" s="7"/>
      <c r="E11" s="29" t="s">
        <v>202</v>
      </c>
      <c r="F11" s="30" t="str">
        <f>IFERROR(VLOOKUP(A11,'[10]EQUIPOS TRANSPOR SALARIO'!$A$3:$G$42,2,FALSE),"")</f>
        <v>Global</v>
      </c>
      <c r="G11" s="74">
        <v>0.02</v>
      </c>
      <c r="H11" s="299">
        <f>+J50</f>
        <v>2051</v>
      </c>
      <c r="I11" s="33">
        <f>IFERROR((G11*H11),0)</f>
        <v>41.02</v>
      </c>
      <c r="J11" s="33">
        <f>ROUND(I11,0)</f>
        <v>41</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v>18</v>
      </c>
      <c r="I12" s="33">
        <f t="shared" ref="I12" si="0">IFERROR((G12/H12),0)</f>
        <v>734.55555555555554</v>
      </c>
      <c r="J12" s="33">
        <f t="shared" ref="J12" si="1">ROUND(I12,0)</f>
        <v>735</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776</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637"/>
      <c r="B22" s="1638"/>
      <c r="C22" s="1638"/>
      <c r="D22" s="1638"/>
      <c r="E22" s="1638"/>
      <c r="F22" s="1639"/>
      <c r="G22" s="29"/>
      <c r="H22" s="35"/>
      <c r="I22" s="33"/>
      <c r="J22" s="33"/>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(0.2/1000)/12</f>
        <v>1.6666666666666667E-5</v>
      </c>
      <c r="H36" s="33">
        <f>+IFERROR(VLOOKUP(A36,'EQUIPOS '!$B$3:$M$78,12,FALSE),0)</f>
        <v>611492.5</v>
      </c>
      <c r="I36" s="33">
        <f>IFERROR(H36*G36,0)</f>
        <v>10.191541666666668</v>
      </c>
      <c r="J36" s="33">
        <f>ROUND(I36,0)</f>
        <v>10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10</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+PERSONAL!B18</f>
        <v>JEFE DE CUADRILLA DIURNO</v>
      </c>
      <c r="B43" s="1559"/>
      <c r="C43" s="1559"/>
      <c r="D43" s="1560"/>
      <c r="E43" s="40">
        <f>+VLOOKUP(A43,PERSONAL!$B$3:$E$100,4,FALSE)</f>
        <v>166031</v>
      </c>
      <c r="F43" s="30">
        <v>1</v>
      </c>
      <c r="G43" s="40">
        <f>+E43*F43</f>
        <v>166031</v>
      </c>
      <c r="H43" s="35">
        <v>160</v>
      </c>
      <c r="I43" s="33">
        <f>IFERROR(ROUND(G43/H43,0),0)</f>
        <v>1038</v>
      </c>
      <c r="J43" s="33">
        <f>+I43</f>
        <v>1038</v>
      </c>
    </row>
    <row r="44" spans="1:10" s="39" customFormat="1" ht="13.9" customHeight="1" x14ac:dyDescent="0.25">
      <c r="A44" s="1558" t="str">
        <f>+PERSONAL!B5</f>
        <v xml:space="preserve">AYUDANTE </v>
      </c>
      <c r="B44" s="1559"/>
      <c r="C44" s="1559"/>
      <c r="D44" s="1560"/>
      <c r="E44" s="40">
        <f>+VLOOKUP(A44,PERSONAL!$B$3:$E$100,4,FALSE)</f>
        <v>72476</v>
      </c>
      <c r="F44" s="30">
        <v>1</v>
      </c>
      <c r="G44" s="40">
        <f t="shared" ref="G44:G45" si="2">+E44*F44</f>
        <v>72476</v>
      </c>
      <c r="H44" s="35">
        <f>+H43</f>
        <v>160</v>
      </c>
      <c r="I44" s="33">
        <f t="shared" ref="I44:I45" si="3">IFERROR(ROUND(G44/H44,0),0)</f>
        <v>453</v>
      </c>
      <c r="J44" s="33">
        <f t="shared" ref="J44:J45" si="4">+I44</f>
        <v>453</v>
      </c>
    </row>
    <row r="45" spans="1:10" s="39" customFormat="1" ht="13.9" customHeight="1" x14ac:dyDescent="0.25">
      <c r="A45" s="1558" t="str">
        <f>+PERSONAL!B3</f>
        <v>AUXILIAR DE TRÁFICO</v>
      </c>
      <c r="B45" s="1559"/>
      <c r="C45" s="1559"/>
      <c r="D45" s="1560"/>
      <c r="E45" s="40">
        <f>+VLOOKUP(A45,PERSONAL!$B$3:$E$100,4,FALSE)</f>
        <v>89632</v>
      </c>
      <c r="F45" s="30">
        <v>1</v>
      </c>
      <c r="G45" s="40">
        <f t="shared" si="2"/>
        <v>89632</v>
      </c>
      <c r="H45" s="35">
        <f>+H44</f>
        <v>160</v>
      </c>
      <c r="I45" s="33">
        <f t="shared" si="3"/>
        <v>560</v>
      </c>
      <c r="J45" s="33">
        <f t="shared" si="4"/>
        <v>560</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2051</v>
      </c>
    </row>
    <row r="51" spans="1:10" ht="13.9" customHeight="1" x14ac:dyDescent="0.25"/>
    <row r="52" spans="1:10" ht="13.9" customHeight="1" x14ac:dyDescent="0.25">
      <c r="E52" s="41" t="s">
        <v>276</v>
      </c>
      <c r="I52" s="42">
        <f>+J50+J39+J32+J18</f>
        <v>2837</v>
      </c>
      <c r="J52" s="43"/>
    </row>
    <row r="53" spans="1:10" ht="13.9" customHeight="1" x14ac:dyDescent="0.25"/>
    <row r="54" spans="1:10" ht="14.1" customHeight="1" x14ac:dyDescent="0.25"/>
    <row r="55" spans="1:10" ht="14.1" customHeight="1" x14ac:dyDescent="0.25"/>
  </sheetData>
  <mergeCells count="40">
    <mergeCell ref="A1:J1"/>
    <mergeCell ref="A2:J2"/>
    <mergeCell ref="A4:J4"/>
    <mergeCell ref="A6:B6"/>
    <mergeCell ref="A7:B7"/>
    <mergeCell ref="C7:J7"/>
    <mergeCell ref="A23:F23"/>
    <mergeCell ref="A9:H9"/>
    <mergeCell ref="A10:D10"/>
    <mergeCell ref="A12:D12"/>
    <mergeCell ref="A13:D13"/>
    <mergeCell ref="A14:D14"/>
    <mergeCell ref="A15:D15"/>
    <mergeCell ref="A16:D16"/>
    <mergeCell ref="A17:D17"/>
    <mergeCell ref="A20:H20"/>
    <mergeCell ref="A21:F21"/>
    <mergeCell ref="A22:F22"/>
    <mergeCell ref="A37:F37"/>
    <mergeCell ref="A24:F24"/>
    <mergeCell ref="A25:F25"/>
    <mergeCell ref="A26:F26"/>
    <mergeCell ref="A27:F27"/>
    <mergeCell ref="A28:F28"/>
    <mergeCell ref="A29:F29"/>
    <mergeCell ref="A30:F30"/>
    <mergeCell ref="A31:F31"/>
    <mergeCell ref="A34:H34"/>
    <mergeCell ref="A35:F35"/>
    <mergeCell ref="A36:F36"/>
    <mergeCell ref="A46:D46"/>
    <mergeCell ref="A47:D47"/>
    <mergeCell ref="A48:D48"/>
    <mergeCell ref="A49:D49"/>
    <mergeCell ref="A38:F38"/>
    <mergeCell ref="A41:H41"/>
    <mergeCell ref="A42:D42"/>
    <mergeCell ref="A43:D43"/>
    <mergeCell ref="A44:D44"/>
    <mergeCell ref="A45:D45"/>
  </mergeCells>
  <pageMargins left="0.70866141732283472" right="0.70866141732283472" top="0.78740157480314965" bottom="0.78740157480314965" header="0.31496062992125984" footer="0.31496062992125984"/>
  <pageSetup scale="85" orientation="portrait"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Hoja104">
    <tabColor theme="3"/>
  </sheetPr>
  <dimension ref="A1:M54"/>
  <sheetViews>
    <sheetView topLeftCell="A32" workbookViewId="0">
      <selection activeCell="K37" sqref="K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94</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Retiro de tachones, hito o resaltos portátiles con su respectivo anclaje, incluye entrega en Patios de la SDM</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'!B39</f>
        <v xml:space="preserve">PULIDORA </v>
      </c>
      <c r="B11" s="1559"/>
      <c r="C11" s="1559"/>
      <c r="D11" s="1560"/>
      <c r="E11" s="29" t="s">
        <v>202</v>
      </c>
      <c r="F11" s="30" t="str">
        <f>IFERROR(VLOOKUP(A11,'[10]EQUIPOS TRANSPOR SALARIO'!$A$3:$G$42,2,FALSE),"")</f>
        <v/>
      </c>
      <c r="G11" s="31">
        <f>+VLOOKUP(A11,'EQUIPOS '!$B$3:$M$64,12,FALSE)</f>
        <v>2821</v>
      </c>
      <c r="H11" s="30">
        <v>17</v>
      </c>
      <c r="I11" s="33">
        <f>IFERROR((G11/H11),"")</f>
        <v>165.94117647058823</v>
      </c>
      <c r="J11" s="33">
        <f>ROUND(I11,0)</f>
        <v>166</v>
      </c>
    </row>
    <row r="12" spans="1:10" s="20" customFormat="1" ht="13.9" customHeight="1" x14ac:dyDescent="0.25">
      <c r="A12" s="1558" t="str">
        <f>+'EQUIPOS '!B33</f>
        <v>HERRAMIENTA MENOR</v>
      </c>
      <c r="B12" s="1559"/>
      <c r="C12" s="1559"/>
      <c r="D12" s="1560"/>
      <c r="E12" s="29" t="s">
        <v>202</v>
      </c>
      <c r="F12" s="30" t="str">
        <f>IFERROR(VLOOKUP(A12,'[10]EQUIPOS TRANSPOR SALARIO'!$A$3:$G$42,2,FALSE),"")</f>
        <v>Global</v>
      </c>
      <c r="G12" s="74">
        <v>0.01</v>
      </c>
      <c r="H12" s="299">
        <f>+J49</f>
        <v>2946</v>
      </c>
      <c r="I12" s="33">
        <f>IFERROR((G12*H12),0)</f>
        <v>29.46</v>
      </c>
      <c r="J12" s="33">
        <f t="shared" ref="J12:J14" si="0">ROUND(I12,0)</f>
        <v>29</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17</v>
      </c>
      <c r="I13" s="33">
        <f>IFERROR((G13/H13),"")</f>
        <v>777.76470588235293</v>
      </c>
      <c r="J13" s="33">
        <f t="shared" si="0"/>
        <v>778</v>
      </c>
    </row>
    <row r="14" spans="1:10" s="20" customFormat="1" ht="13.9" customHeight="1" x14ac:dyDescent="0.25">
      <c r="A14" s="1571" t="str">
        <f>+'EQUIPOS '!B36</f>
        <v>PLANTA ELÉCTRICA</v>
      </c>
      <c r="B14" s="1572"/>
      <c r="C14" s="1572"/>
      <c r="D14" s="1573"/>
      <c r="E14" s="53" t="s">
        <v>202</v>
      </c>
      <c r="F14" s="601" t="str">
        <f>IFERROR(VLOOKUP(A14,'[10]EQUIPOS TRANSPOR SALARIO'!$A$3:$G$42,2,FALSE),"")</f>
        <v>Eléctrico</v>
      </c>
      <c r="G14" s="602">
        <f>+VLOOKUP(A14,'EQUIPOS '!$B$3:$M$64,12,FALSE)</f>
        <v>12771</v>
      </c>
      <c r="H14" s="601">
        <f>+$H$11</f>
        <v>17</v>
      </c>
      <c r="I14" s="55">
        <f>IFERROR((G14/H14),0)</f>
        <v>751.23529411764707</v>
      </c>
      <c r="J14" s="55">
        <f t="shared" si="0"/>
        <v>751</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1724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'!B39</f>
        <v>DISCO DE CORTE / ABRASIVO 4 1/2 X 1/8"</v>
      </c>
      <c r="B22" s="1569"/>
      <c r="C22" s="1569"/>
      <c r="D22" s="1569"/>
      <c r="E22" s="1569"/>
      <c r="F22" s="1570"/>
      <c r="G22" s="29" t="s">
        <v>266</v>
      </c>
      <c r="H22" s="30">
        <v>0.1</v>
      </c>
      <c r="I22" s="33">
        <f>+IFERROR(VLOOKUP(A22,'INSUMOS '!$B$2:$AP$167,'INSUMOS '!$AO$2+1,FALSE),0)</f>
        <v>14700</v>
      </c>
      <c r="J22" s="33">
        <f>ROUND(I22*H22,0)</f>
        <v>1470</v>
      </c>
    </row>
    <row r="23" spans="1:10" ht="13.9" customHeight="1" x14ac:dyDescent="0.25">
      <c r="A23" s="1568" t="str">
        <f>+'INSUMOS '!B114</f>
        <v>GASOLINA CORRIENTE</v>
      </c>
      <c r="B23" s="1569"/>
      <c r="C23" s="1569"/>
      <c r="D23" s="1569"/>
      <c r="E23" s="1569"/>
      <c r="F23" s="1570"/>
      <c r="G23" s="29" t="s">
        <v>114</v>
      </c>
      <c r="H23" s="30">
        <v>0.01</v>
      </c>
      <c r="I23" s="33">
        <f>+IFERROR(VLOOKUP(A23,'INSUMOS '!$B$2:$AP$167,'INSUMOS '!$AO$2+1,FALSE),0)</f>
        <v>15861</v>
      </c>
      <c r="J23" s="33">
        <f t="shared" ref="J23" si="1">ROUND(I23*H23,0)</f>
        <v>159</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1629</v>
      </c>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row>
    <row r="36" spans="1:13" ht="13.9" customHeight="1" x14ac:dyDescent="0.25">
      <c r="A36" s="1558" t="str">
        <f>+'EQUIPOS '!B6</f>
        <v>CAMION INCLUYE CONDUCTOR</v>
      </c>
      <c r="B36" s="1559"/>
      <c r="C36" s="1559"/>
      <c r="D36" s="1559"/>
      <c r="E36" s="1559"/>
      <c r="F36" s="1560"/>
      <c r="G36" s="1481">
        <f>(0.5/1000)/12</f>
        <v>4.1666666666666665E-5</v>
      </c>
      <c r="H36" s="33">
        <f>+IFERROR(VLOOKUP(A36,'EQUIPOS '!$B$3:$M$78,12,FALSE),0)</f>
        <v>611492.5</v>
      </c>
      <c r="I36" s="33">
        <f>IFERROR(H36*G36,0)</f>
        <v>25.478854166666665</v>
      </c>
      <c r="J36" s="33">
        <f>ROUND(I36,0)</f>
        <v>25</v>
      </c>
      <c r="M36" s="19">
        <f>2500*0.2</f>
        <v>500</v>
      </c>
    </row>
    <row r="37" spans="1:13" ht="13.9" customHeight="1" x14ac:dyDescent="0.25">
      <c r="A37" s="1558"/>
      <c r="B37" s="1559"/>
      <c r="C37" s="1559"/>
      <c r="D37" s="1559"/>
      <c r="E37" s="1559"/>
      <c r="F37" s="1560"/>
      <c r="G37" s="29"/>
      <c r="H37" s="33"/>
      <c r="I37" s="33"/>
      <c r="J37" s="33"/>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25</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+PERSONAL!B18</f>
        <v>JEFE DE CUADRILLA DIURNO</v>
      </c>
      <c r="B43" s="1559"/>
      <c r="C43" s="1559"/>
      <c r="D43" s="1560"/>
      <c r="E43" s="40">
        <f>+VLOOKUP(A43,PERSONAL!$B$3:$E$100,4,FALSE)</f>
        <v>166031</v>
      </c>
      <c r="F43" s="30">
        <v>1</v>
      </c>
      <c r="G43" s="40">
        <f t="shared" ref="G43:G45" si="2">+E43*F43</f>
        <v>166031</v>
      </c>
      <c r="H43" s="35">
        <f>IFERROR(H11*8,0)</f>
        <v>136</v>
      </c>
      <c r="I43" s="33">
        <f t="shared" ref="I43:I45" si="3">IFERROR(ROUND(G43/H43,0),0)</f>
        <v>1221</v>
      </c>
      <c r="J43" s="33">
        <f t="shared" ref="J43:J45" si="4">+I43</f>
        <v>1221</v>
      </c>
    </row>
    <row r="44" spans="1:13" s="39" customFormat="1" ht="13.9" customHeight="1" x14ac:dyDescent="0.25">
      <c r="A44" s="1558" t="str">
        <f>+PERSONAL!B5</f>
        <v xml:space="preserve">AYUDANTE </v>
      </c>
      <c r="B44" s="1559"/>
      <c r="C44" s="1559"/>
      <c r="D44" s="1560"/>
      <c r="E44" s="40">
        <f>+VLOOKUP(A44,PERSONAL!$B$3:$E$100,4,FALSE)</f>
        <v>72476</v>
      </c>
      <c r="F44" s="30">
        <v>2</v>
      </c>
      <c r="G44" s="40">
        <f t="shared" si="2"/>
        <v>144952</v>
      </c>
      <c r="H44" s="35">
        <f>+H43</f>
        <v>136</v>
      </c>
      <c r="I44" s="33">
        <f t="shared" si="3"/>
        <v>1066</v>
      </c>
      <c r="J44" s="33">
        <f t="shared" si="4"/>
        <v>1066</v>
      </c>
    </row>
    <row r="45" spans="1:13" s="39" customFormat="1" ht="13.9" customHeight="1" x14ac:dyDescent="0.25">
      <c r="A45" s="1558" t="str">
        <f>+PERSONAL!B3</f>
        <v>AUXILIAR DE TRÁFICO</v>
      </c>
      <c r="B45" s="1559"/>
      <c r="C45" s="1559"/>
      <c r="D45" s="1560"/>
      <c r="E45" s="40">
        <f>+VLOOKUP(A45,PERSONAL!$B$3:$E$100,4,FALSE)</f>
        <v>89632</v>
      </c>
      <c r="F45" s="30">
        <v>1</v>
      </c>
      <c r="G45" s="40">
        <f t="shared" si="2"/>
        <v>89632</v>
      </c>
      <c r="H45" s="35">
        <f>IF(A45="","",IFERROR(H14*8,0))</f>
        <v>136</v>
      </c>
      <c r="I45" s="33">
        <f t="shared" si="3"/>
        <v>659</v>
      </c>
      <c r="J45" s="33">
        <f t="shared" si="4"/>
        <v>659</v>
      </c>
    </row>
    <row r="46" spans="1:13" s="39" customFormat="1" ht="13.9" customHeight="1" x14ac:dyDescent="0.25">
      <c r="A46" s="1558"/>
      <c r="B46" s="1559"/>
      <c r="C46" s="1559"/>
      <c r="D46" s="1560"/>
      <c r="E46" s="40"/>
      <c r="F46" s="30"/>
      <c r="G46" s="40"/>
      <c r="H46" s="35"/>
      <c r="I46" s="33"/>
      <c r="J46" s="33"/>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2946</v>
      </c>
    </row>
    <row r="50" spans="1:10" ht="13.9" customHeight="1" x14ac:dyDescent="0.25"/>
    <row r="51" spans="1:10" ht="13.9" customHeight="1" x14ac:dyDescent="0.25">
      <c r="E51" s="41" t="s">
        <v>276</v>
      </c>
      <c r="I51" s="42">
        <f>+J49+J39+J32+J18</f>
        <v>6324</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ignoredErrors>
    <ignoredError sqref="I12" formula="1"/>
  </ignoredErrors>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Hoja103">
    <tabColor rgb="FF7030A0"/>
  </sheetPr>
  <dimension ref="A1:J55"/>
  <sheetViews>
    <sheetView topLeftCell="A40"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93</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Suministro e instalación  de cierre con polisombra al 65% mixta (azul traslucido-verde) de altura 2,1 metros.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0.01</v>
      </c>
      <c r="H11" s="299">
        <f>+J50</f>
        <v>1555</v>
      </c>
      <c r="I11" s="33">
        <f>IFERROR((G11*H11),0)</f>
        <v>15.55</v>
      </c>
      <c r="J11" s="33">
        <f>ROUND(I11,0)</f>
        <v>16</v>
      </c>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16</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6.75" customHeight="1" x14ac:dyDescent="0.25">
      <c r="A22" s="1568" t="str">
        <f>+'INSUMOS '!B80</f>
        <v>POLISOMBRA AL 65% MIXTA (AZUL TRASLUCIDO-VERDE) DE ALTURA 2,1 METROS (TELA DE CERRAMIENTO MIXTA)</v>
      </c>
      <c r="B22" s="1569"/>
      <c r="C22" s="1569"/>
      <c r="D22" s="1569"/>
      <c r="E22" s="1569"/>
      <c r="F22" s="1570"/>
      <c r="G22" s="29" t="s">
        <v>12</v>
      </c>
      <c r="H22" s="30">
        <v>1</v>
      </c>
      <c r="I22" s="33">
        <f>+IFERROR(VLOOKUP(A22,'INSUMOS '!$B$2:$AP$167,'INSUMOS '!$AO$2+1,FALSE),0)</f>
        <v>3282</v>
      </c>
      <c r="J22" s="33">
        <f>ROUND(I22*H22,0)</f>
        <v>3282</v>
      </c>
    </row>
    <row r="23" spans="1:10" ht="13.9" customHeight="1" x14ac:dyDescent="0.25">
      <c r="A23" s="1568" t="str">
        <f>+'INSUMOS '!B54</f>
        <v>LISTÓN EN MADERA DE 3X3CM</v>
      </c>
      <c r="B23" s="1569"/>
      <c r="C23" s="1569"/>
      <c r="D23" s="1569"/>
      <c r="E23" s="1569"/>
      <c r="F23" s="1570"/>
      <c r="G23" s="29" t="s">
        <v>13</v>
      </c>
      <c r="H23" s="30">
        <f>9/12.6</f>
        <v>0.7142857142857143</v>
      </c>
      <c r="I23" s="33">
        <f>+IFERROR(VLOOKUP(A23,'INSUMOS '!$B$2:$AP$167,'INSUMOS '!$AO$2+1,FALSE),0)</f>
        <v>7095.05</v>
      </c>
      <c r="J23" s="33">
        <f>ROUND(I23*H23,0)</f>
        <v>5068</v>
      </c>
    </row>
    <row r="24" spans="1:10" ht="13.9" customHeight="1" x14ac:dyDescent="0.25">
      <c r="A24" s="1558" t="str">
        <f>+'INSUMOS '!B84</f>
        <v>PUNTILLA  DE ACERO 2" X 1/2 "</v>
      </c>
      <c r="B24" s="1559"/>
      <c r="C24" s="1559"/>
      <c r="D24" s="1559"/>
      <c r="E24" s="1559"/>
      <c r="F24" s="1560"/>
      <c r="G24" s="29" t="s">
        <v>293</v>
      </c>
      <c r="H24" s="30">
        <f>(16/12.6)/150</f>
        <v>8.4656084656084644E-3</v>
      </c>
      <c r="I24" s="33">
        <f>+IFERROR(VLOOKUP(A24,'INSUMOS '!$B$2:$AP$167,'INSUMOS '!$AO$2+1,FALSE),0)</f>
        <v>5100</v>
      </c>
      <c r="J24" s="33">
        <f>ROUND(I24*H24,0)</f>
        <v>43</v>
      </c>
    </row>
    <row r="25" spans="1:10" ht="13.9" customHeight="1" x14ac:dyDescent="0.25">
      <c r="A25" s="1558" t="str">
        <f>+'INSUMOS '!B81</f>
        <v>POSTE ROLLIZO D= 10CM L= 6 MTS</v>
      </c>
      <c r="B25" s="1559"/>
      <c r="C25" s="1559"/>
      <c r="D25" s="1559"/>
      <c r="E25" s="1559"/>
      <c r="F25" s="1560"/>
      <c r="G25" s="29" t="s">
        <v>13</v>
      </c>
      <c r="H25" s="30">
        <f>9/12.6</f>
        <v>0.7142857142857143</v>
      </c>
      <c r="I25" s="33">
        <f>+IFERROR(VLOOKUP(A25,'INSUMOS '!$B$2:$AP$167,'INSUMOS '!$AO$2+1,FALSE),0)</f>
        <v>17000</v>
      </c>
      <c r="J25" s="33">
        <f>ROUND(I25*H25,0)</f>
        <v>12143</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20536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(3*0.5*(0.08^2*PI()/4*1))/12</f>
        <v>6.2831853071795862E-4</v>
      </c>
      <c r="H36" s="33">
        <f>+IFERROR(VLOOKUP(A36,'EQUIPOS '!$B$3:$M$78,12,FALSE),0)</f>
        <v>611492.5</v>
      </c>
      <c r="I36" s="33">
        <f>IFERROR(H36*G36,0)</f>
        <v>384.21206914505132</v>
      </c>
      <c r="J36" s="33">
        <f>ROUND(I36,0)</f>
        <v>384</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384</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+PERSONAL!B18</f>
        <v>JEFE DE CUADRILLA DIURNO</v>
      </c>
      <c r="B43" s="1559"/>
      <c r="C43" s="1559"/>
      <c r="D43" s="1560"/>
      <c r="E43" s="40">
        <f>+VLOOKUP(A43,PERSONAL!$B$3:$E$100,4,FALSE)</f>
        <v>166031</v>
      </c>
      <c r="F43" s="30">
        <v>1</v>
      </c>
      <c r="G43" s="40">
        <f>+E43*F43</f>
        <v>166031</v>
      </c>
      <c r="H43" s="35">
        <v>200</v>
      </c>
      <c r="I43" s="33">
        <f>IFERROR(ROUND(G43/H43,0),0)</f>
        <v>830</v>
      </c>
      <c r="J43" s="33">
        <f>+I43</f>
        <v>830</v>
      </c>
    </row>
    <row r="44" spans="1:10" s="39" customFormat="1" ht="13.9" customHeight="1" x14ac:dyDescent="0.25">
      <c r="A44" s="1558" t="str">
        <f>+PERSONAL!B5</f>
        <v xml:space="preserve">AYUDANTE </v>
      </c>
      <c r="B44" s="1559"/>
      <c r="C44" s="1559"/>
      <c r="D44" s="1560"/>
      <c r="E44" s="40">
        <f>+VLOOKUP(A44,PERSONAL!$B$3:$E$100,4,FALSE)</f>
        <v>72476</v>
      </c>
      <c r="F44" s="30">
        <v>2</v>
      </c>
      <c r="G44" s="40">
        <f t="shared" ref="G44" si="0">+E44*F44</f>
        <v>144952</v>
      </c>
      <c r="H44" s="35">
        <f>+H43</f>
        <v>200</v>
      </c>
      <c r="I44" s="33">
        <f t="shared" ref="I44" si="1">IFERROR(ROUND(G44/H44,0),0)</f>
        <v>725</v>
      </c>
      <c r="J44" s="33">
        <f t="shared" ref="J44" si="2">+I44</f>
        <v>725</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1555</v>
      </c>
    </row>
    <row r="51" spans="1:10" ht="13.9" customHeight="1" x14ac:dyDescent="0.25"/>
    <row r="52" spans="1:10" ht="13.9" customHeight="1" x14ac:dyDescent="0.25">
      <c r="E52" s="41" t="s">
        <v>276</v>
      </c>
      <c r="I52" s="42">
        <f>+J50+J39+J32+J18</f>
        <v>22491</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ignoredErrors>
    <ignoredError sqref="H24" formula="1"/>
  </ignoredErrors>
  <drawing r:id="rId2"/>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Hoja102">
    <tabColor rgb="FFFF0000"/>
  </sheetPr>
  <dimension ref="A1:L54"/>
  <sheetViews>
    <sheetView workbookViewId="0">
      <selection sqref="A1:J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96</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Retiro de bandas en agregado.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0.02</v>
      </c>
      <c r="H11" s="299">
        <f>+J49</f>
        <v>9146</v>
      </c>
      <c r="I11" s="33">
        <f>IFERROR((G11*H11),0)</f>
        <v>182.92000000000002</v>
      </c>
      <c r="J11" s="33">
        <f>ROUND(I11,0)</f>
        <v>183</v>
      </c>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f t="shared" ref="I12:I17" si="0">IFERROR((G12/H12),0)</f>
        <v>0</v>
      </c>
      <c r="J12" s="33">
        <f t="shared" ref="J12:J17" si="1">ROUND(I12,0)</f>
        <v>0</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f t="shared" si="0"/>
        <v>0</v>
      </c>
      <c r="J13" s="33">
        <f t="shared" si="1"/>
        <v>0</v>
      </c>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f t="shared" si="0"/>
        <v>0</v>
      </c>
      <c r="J14" s="33">
        <f t="shared" si="1"/>
        <v>0</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f t="shared" si="0"/>
        <v>0</v>
      </c>
      <c r="J15" s="33">
        <f t="shared" si="1"/>
        <v>0</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f t="shared" si="0"/>
        <v>0</v>
      </c>
      <c r="J16" s="33">
        <f t="shared" si="1"/>
        <v>0</v>
      </c>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f t="shared" si="0"/>
        <v>0</v>
      </c>
      <c r="J17" s="33">
        <f t="shared" si="1"/>
        <v>0</v>
      </c>
    </row>
    <row r="18" spans="1:10" s="20" customFormat="1" ht="13.9" customHeight="1" x14ac:dyDescent="0.25">
      <c r="I18" s="30" t="s">
        <v>257</v>
      </c>
      <c r="J18" s="34">
        <f>+SUM(J11:J17)</f>
        <v>183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58" t="str">
        <f>+'INSUMOS '!B56</f>
        <v>MADERA ROLLIZA (ALTURA MÍNIMA 6,0 M)</v>
      </c>
      <c r="B22" s="1559"/>
      <c r="C22" s="1559"/>
      <c r="D22" s="1559"/>
      <c r="E22" s="1559"/>
      <c r="F22" s="1560"/>
      <c r="G22" s="29" t="s">
        <v>13</v>
      </c>
      <c r="H22" s="35">
        <v>6</v>
      </c>
      <c r="I22" s="33">
        <f>+IFERROR(VLOOKUP(A22,'INSUMOS '!$B$2:$AP$115,27,FALSE),0)</f>
        <v>0</v>
      </c>
      <c r="J22" s="33">
        <f>ROUND(I22*H22,0)</f>
        <v>0</v>
      </c>
    </row>
    <row r="23" spans="1:10" ht="13.9" customHeight="1" x14ac:dyDescent="0.25">
      <c r="A23" s="1558"/>
      <c r="B23" s="1559"/>
      <c r="C23" s="1559"/>
      <c r="D23" s="1559"/>
      <c r="E23" s="1559"/>
      <c r="F23" s="1560"/>
      <c r="G23" s="29"/>
      <c r="H23" s="35"/>
      <c r="I23" s="33">
        <f>IFERROR(VLOOKUP(A23,[10]INSUMOS!$A$2:$E$121,4,FALSE),0)</f>
        <v>0</v>
      </c>
      <c r="J23" s="33">
        <f t="shared" ref="J23:J31" si="2">ROUND(I23*H23,0)</f>
        <v>0</v>
      </c>
    </row>
    <row r="24" spans="1:10" ht="13.9" customHeight="1" x14ac:dyDescent="0.25">
      <c r="A24" s="1558"/>
      <c r="B24" s="1559"/>
      <c r="C24" s="1559"/>
      <c r="D24" s="1559"/>
      <c r="E24" s="1559"/>
      <c r="F24" s="1560"/>
      <c r="G24" s="29"/>
      <c r="H24" s="35"/>
      <c r="I24" s="33">
        <f>IFERROR(VLOOKUP(A24,[10]INSUMOS!$A$2:$E$121,4,FALSE),0)</f>
        <v>0</v>
      </c>
      <c r="J24" s="33">
        <f t="shared" si="2"/>
        <v>0</v>
      </c>
    </row>
    <row r="25" spans="1:10" ht="13.9" customHeight="1" x14ac:dyDescent="0.25">
      <c r="A25" s="1558"/>
      <c r="B25" s="1559"/>
      <c r="C25" s="1559"/>
      <c r="D25" s="1559"/>
      <c r="E25" s="1559"/>
      <c r="F25" s="1560"/>
      <c r="G25" s="29"/>
      <c r="H25" s="35"/>
      <c r="I25" s="33">
        <f>IFERROR(VLOOKUP(A25,[10]INSUMOS!$A$2:$E$121,4,FALSE),0)</f>
        <v>0</v>
      </c>
      <c r="J25" s="33">
        <f t="shared" si="2"/>
        <v>0</v>
      </c>
    </row>
    <row r="26" spans="1:10" ht="13.9" customHeight="1" x14ac:dyDescent="0.25">
      <c r="A26" s="1558"/>
      <c r="B26" s="1559"/>
      <c r="C26" s="1559"/>
      <c r="D26" s="1559"/>
      <c r="E26" s="1559"/>
      <c r="F26" s="1560"/>
      <c r="G26" s="29"/>
      <c r="H26" s="35"/>
      <c r="I26" s="33">
        <f>IFERROR(VLOOKUP(A26,[10]INSUMOS!$A$2:$E$121,4,FALSE),0)</f>
        <v>0</v>
      </c>
      <c r="J26" s="33">
        <f t="shared" si="2"/>
        <v>0</v>
      </c>
    </row>
    <row r="27" spans="1:10" ht="13.9" customHeight="1" x14ac:dyDescent="0.25">
      <c r="A27" s="1558"/>
      <c r="B27" s="1559"/>
      <c r="C27" s="1559"/>
      <c r="D27" s="1559"/>
      <c r="E27" s="1559"/>
      <c r="F27" s="1560"/>
      <c r="G27" s="29"/>
      <c r="H27" s="35"/>
      <c r="I27" s="33">
        <f>IFERROR(VLOOKUP(A27,[10]INSUMOS!$A$2:$E$121,4,FALSE),0)</f>
        <v>0</v>
      </c>
      <c r="J27" s="33">
        <f t="shared" si="2"/>
        <v>0</v>
      </c>
    </row>
    <row r="28" spans="1:10" ht="13.9" customHeight="1" x14ac:dyDescent="0.25">
      <c r="A28" s="1558"/>
      <c r="B28" s="1559"/>
      <c r="C28" s="1559"/>
      <c r="D28" s="1559"/>
      <c r="E28" s="1559"/>
      <c r="F28" s="1560"/>
      <c r="G28" s="29"/>
      <c r="H28" s="35"/>
      <c r="I28" s="33">
        <f>IFERROR(VLOOKUP(A28,[10]INSUMOS!$A$2:$E$121,4,FALSE),0)</f>
        <v>0</v>
      </c>
      <c r="J28" s="33">
        <f t="shared" si="2"/>
        <v>0</v>
      </c>
    </row>
    <row r="29" spans="1:10" ht="13.9" customHeight="1" x14ac:dyDescent="0.25">
      <c r="A29" s="1558"/>
      <c r="B29" s="1559"/>
      <c r="C29" s="1559"/>
      <c r="D29" s="1559"/>
      <c r="E29" s="1559"/>
      <c r="F29" s="1560"/>
      <c r="G29" s="29"/>
      <c r="H29" s="37"/>
      <c r="I29" s="33">
        <f>IFERROR(VLOOKUP(A29,[10]INSUMOS!$A$2:$E$121,4,FALSE),0)</f>
        <v>0</v>
      </c>
      <c r="J29" s="33">
        <f t="shared" si="2"/>
        <v>0</v>
      </c>
    </row>
    <row r="30" spans="1:10" ht="13.9" customHeight="1" x14ac:dyDescent="0.25">
      <c r="A30" s="1558"/>
      <c r="B30" s="1559"/>
      <c r="C30" s="1559"/>
      <c r="D30" s="1559"/>
      <c r="E30" s="1559"/>
      <c r="F30" s="1560"/>
      <c r="G30" s="29"/>
      <c r="H30" s="35"/>
      <c r="I30" s="33">
        <f>IFERROR(VLOOKUP(A30,[10]INSUMOS!$A$2:$E$121,4,FALSE),0)</f>
        <v>0</v>
      </c>
      <c r="J30" s="33">
        <f t="shared" si="2"/>
        <v>0</v>
      </c>
    </row>
    <row r="31" spans="1:10" ht="13.9" customHeight="1" x14ac:dyDescent="0.25">
      <c r="A31" s="1558"/>
      <c r="B31" s="1559"/>
      <c r="C31" s="1559"/>
      <c r="D31" s="1559"/>
      <c r="E31" s="1559"/>
      <c r="F31" s="1560"/>
      <c r="G31" s="29"/>
      <c r="H31" s="35"/>
      <c r="I31" s="33">
        <f>IFERROR(VLOOKUP(A31,[10]INSUMOS!$A$2:$E$121,4,FALSE),0)</f>
        <v>0</v>
      </c>
      <c r="J31" s="33">
        <f t="shared" si="2"/>
        <v>0</v>
      </c>
    </row>
    <row r="32" spans="1:10" ht="13.9" customHeight="1" x14ac:dyDescent="0.25">
      <c r="A32" s="20"/>
      <c r="B32" s="20"/>
      <c r="C32" s="20"/>
      <c r="D32" s="20"/>
      <c r="E32" s="20"/>
      <c r="G32" s="20"/>
      <c r="H32" s="20"/>
      <c r="I32" s="30" t="s">
        <v>257</v>
      </c>
      <c r="J32" s="34">
        <f>+SUM(J22:J31)</f>
        <v>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
        <v>320</v>
      </c>
      <c r="B36" s="1559"/>
      <c r="C36" s="1559"/>
      <c r="D36" s="1559"/>
      <c r="E36" s="1559"/>
      <c r="F36" s="1560"/>
      <c r="G36" s="29">
        <f>0.5*(0.08^2*PI()/4*1)</f>
        <v>2.5132741228718345E-3</v>
      </c>
      <c r="H36" s="33">
        <f>+IFERROR(VLOOKUP(A36,'EQUIPOS '!$B$3:$M$78,12,FALSE),0)</f>
        <v>0</v>
      </c>
      <c r="I36" s="33">
        <f>IFERROR(H36*G36,0)</f>
        <v>0</v>
      </c>
      <c r="J36" s="33">
        <f>ROUND(I36,0)</f>
        <v>0</v>
      </c>
      <c r="L36" s="19">
        <f>+G36*1000</f>
        <v>2.5132741228718345</v>
      </c>
    </row>
    <row r="37" spans="1:12" ht="13.9" customHeight="1" x14ac:dyDescent="0.25">
      <c r="A37" s="1558"/>
      <c r="B37" s="1559"/>
      <c r="C37" s="1559"/>
      <c r="D37" s="1559"/>
      <c r="E37" s="1559"/>
      <c r="F37" s="1560"/>
      <c r="G37" s="29"/>
      <c r="H37" s="33">
        <f>IFERROR(VLOOKUP(A37,'[10]EQUIPOS TRANSPOR SALARIO'!$A$43:$C$47,3,FALSE),0)</f>
        <v>0</v>
      </c>
      <c r="I37" s="33">
        <f>IFERROR(H37/G37,0)</f>
        <v>0</v>
      </c>
      <c r="J37" s="33">
        <f>ROUND(I37,0)</f>
        <v>0</v>
      </c>
    </row>
    <row r="38" spans="1:12" ht="13.9" customHeight="1" x14ac:dyDescent="0.25">
      <c r="A38" s="1558"/>
      <c r="B38" s="1559"/>
      <c r="C38" s="1559"/>
      <c r="D38" s="1559"/>
      <c r="E38" s="1559"/>
      <c r="F38" s="1560"/>
      <c r="G38" s="29"/>
      <c r="H38" s="33">
        <f>IFERROR(VLOOKUP(A38,'[10]EQUIPOS TRANSPOR SALARIO'!$A$43:$C$47,3,FALSE),0)</f>
        <v>0</v>
      </c>
      <c r="I38" s="33">
        <f>IFERROR(H38/G38,0)</f>
        <v>0</v>
      </c>
      <c r="J38" s="33">
        <f>ROUND(I38,0)</f>
        <v>0</v>
      </c>
    </row>
    <row r="39" spans="1:12" ht="13.9" customHeight="1" x14ac:dyDescent="0.25">
      <c r="G39" s="39"/>
      <c r="H39" s="39"/>
      <c r="I39" s="30" t="s">
        <v>257</v>
      </c>
      <c r="J39" s="33">
        <f>+SUM(J36:J38)</f>
        <v>0</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+PERSONAL!B18</f>
        <v>JEFE DE CUADRILLA DIURNO</v>
      </c>
      <c r="B43" s="1559"/>
      <c r="C43" s="1559"/>
      <c r="D43" s="1560"/>
      <c r="E43" s="40">
        <f>+VLOOKUP(A43,PERSONAL!$B$3:$E$100,4,FALSE)</f>
        <v>166031</v>
      </c>
      <c r="F43" s="30">
        <v>1</v>
      </c>
      <c r="G43" s="40">
        <f t="shared" ref="G43:G48" si="3">+E43*F43</f>
        <v>166031</v>
      </c>
      <c r="H43" s="35">
        <v>34</v>
      </c>
      <c r="I43" s="33">
        <f t="shared" ref="I43:I48" si="4">IFERROR(ROUND(G43/H43,0),0)</f>
        <v>4883</v>
      </c>
      <c r="J43" s="33">
        <f t="shared" ref="J43:J48" si="5">+I43</f>
        <v>4883</v>
      </c>
    </row>
    <row r="44" spans="1:12" s="39" customFormat="1" ht="13.9" customHeight="1" x14ac:dyDescent="0.25">
      <c r="A44" s="1558" t="str">
        <f>+PERSONAL!B5</f>
        <v xml:space="preserve">AYUDANTE </v>
      </c>
      <c r="B44" s="1559"/>
      <c r="C44" s="1559"/>
      <c r="D44" s="1560"/>
      <c r="E44" s="40">
        <f>+VLOOKUP(A44,PERSONAL!$B$3:$E$100,4,FALSE)</f>
        <v>72476</v>
      </c>
      <c r="F44" s="30">
        <v>2</v>
      </c>
      <c r="G44" s="40">
        <f t="shared" si="3"/>
        <v>144952</v>
      </c>
      <c r="H44" s="35">
        <f>+H43</f>
        <v>34</v>
      </c>
      <c r="I44" s="33">
        <f t="shared" si="4"/>
        <v>4263</v>
      </c>
      <c r="J44" s="33">
        <f t="shared" si="5"/>
        <v>4263</v>
      </c>
    </row>
    <row r="45" spans="1:12" s="39" customFormat="1" ht="13.9" customHeight="1" x14ac:dyDescent="0.25">
      <c r="A45" s="1558"/>
      <c r="B45" s="1559"/>
      <c r="C45" s="1559"/>
      <c r="D45" s="1560"/>
      <c r="E45" s="40">
        <f>IFERROR(VLOOKUP(A45,[10]PERSONAL!$A$3:$C$32,3,FALSE),0)</f>
        <v>0</v>
      </c>
      <c r="F45" s="30"/>
      <c r="G45" s="40">
        <f t="shared" si="3"/>
        <v>0</v>
      </c>
      <c r="H45" s="35" t="str">
        <f>IF(A45="","",IFERROR(H14*8,0))</f>
        <v/>
      </c>
      <c r="I45" s="33">
        <f t="shared" si="4"/>
        <v>0</v>
      </c>
      <c r="J45" s="33">
        <f t="shared" si="5"/>
        <v>0</v>
      </c>
    </row>
    <row r="46" spans="1:12" s="39" customFormat="1" ht="13.9" customHeight="1" x14ac:dyDescent="0.25">
      <c r="A46" s="1558"/>
      <c r="B46" s="1559"/>
      <c r="C46" s="1559"/>
      <c r="D46" s="1560"/>
      <c r="E46" s="40">
        <f>IFERROR(VLOOKUP(A46,[10]PERSONAL!$A$3:$C$32,3,FALSE),0)</f>
        <v>0</v>
      </c>
      <c r="F46" s="30"/>
      <c r="G46" s="40">
        <f t="shared" si="3"/>
        <v>0</v>
      </c>
      <c r="H46" s="35" t="str">
        <f>IF(A46="","",IFERROR(H15*8,0))</f>
        <v/>
      </c>
      <c r="I46" s="33">
        <f t="shared" si="4"/>
        <v>0</v>
      </c>
      <c r="J46" s="33">
        <f t="shared" si="5"/>
        <v>0</v>
      </c>
    </row>
    <row r="47" spans="1:12" s="39" customFormat="1" ht="13.9" customHeight="1" x14ac:dyDescent="0.25">
      <c r="A47" s="1558"/>
      <c r="B47" s="1559"/>
      <c r="C47" s="1559"/>
      <c r="D47" s="1560"/>
      <c r="E47" s="40">
        <f>IFERROR(VLOOKUP(A47,[10]PERSONAL!$A$3:$C$32,3,FALSE),0)</f>
        <v>0</v>
      </c>
      <c r="F47" s="30"/>
      <c r="G47" s="40">
        <f t="shared" si="3"/>
        <v>0</v>
      </c>
      <c r="H47" s="35" t="str">
        <f>IF(A47="","",IFERROR(H16*8,0))</f>
        <v/>
      </c>
      <c r="I47" s="33">
        <f t="shared" si="4"/>
        <v>0</v>
      </c>
      <c r="J47" s="33">
        <f t="shared" si="5"/>
        <v>0</v>
      </c>
    </row>
    <row r="48" spans="1:12" s="39" customFormat="1" ht="13.9" customHeight="1" x14ac:dyDescent="0.25">
      <c r="A48" s="1558"/>
      <c r="B48" s="1559"/>
      <c r="C48" s="1559"/>
      <c r="D48" s="1560"/>
      <c r="E48" s="40">
        <f>IFERROR(VLOOKUP(A48,[10]PERSONAL!$A$3:$C$32,3,FALSE),0)</f>
        <v>0</v>
      </c>
      <c r="F48" s="30"/>
      <c r="G48" s="40">
        <f t="shared" si="3"/>
        <v>0</v>
      </c>
      <c r="H48" s="35" t="str">
        <f>IF(A48="","",IFERROR(H17*8,0))</f>
        <v/>
      </c>
      <c r="I48" s="33">
        <f t="shared" si="4"/>
        <v>0</v>
      </c>
      <c r="J48" s="33">
        <f t="shared" si="5"/>
        <v>0</v>
      </c>
    </row>
    <row r="49" spans="1:10" ht="13.9" customHeight="1" x14ac:dyDescent="0.25">
      <c r="A49" s="20"/>
      <c r="B49" s="20"/>
      <c r="C49" s="20"/>
      <c r="E49" s="20"/>
      <c r="F49" s="20"/>
      <c r="G49" s="20"/>
      <c r="H49" s="20"/>
      <c r="I49" s="30" t="s">
        <v>257</v>
      </c>
      <c r="J49" s="34">
        <f>+SUM(J43:J48)</f>
        <v>9146</v>
      </c>
    </row>
    <row r="50" spans="1:10" ht="13.9" customHeight="1" x14ac:dyDescent="0.25"/>
    <row r="51" spans="1:10" ht="13.9" customHeight="1" x14ac:dyDescent="0.25">
      <c r="E51" s="41" t="s">
        <v>276</v>
      </c>
      <c r="I51" s="42">
        <v>0</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legacyDrawing r:id="rId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Hoja101">
    <tabColor rgb="FF7030A0"/>
  </sheetPr>
  <dimension ref="A1:M54"/>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14.5703125" style="19" bestFit="1" customWidth="1"/>
    <col min="12" max="12" width="17.140625" style="19" customWidth="1"/>
    <col min="13" max="16384" width="11.42578125" style="19"/>
  </cols>
  <sheetData>
    <row r="1" spans="1:13" ht="29.25" customHeight="1" x14ac:dyDescent="0.25">
      <c r="A1" s="1574" t="s">
        <v>244</v>
      </c>
      <c r="B1" s="1575"/>
      <c r="C1" s="1575"/>
      <c r="D1" s="1575"/>
      <c r="E1" s="1575"/>
      <c r="F1" s="1575"/>
      <c r="G1" s="1575"/>
      <c r="H1" s="1575"/>
      <c r="I1" s="1575"/>
      <c r="J1" s="1575"/>
    </row>
    <row r="2" spans="1:13" ht="15" customHeight="1" x14ac:dyDescent="0.25">
      <c r="A2" s="1576" t="s">
        <v>245</v>
      </c>
      <c r="B2" s="1576"/>
      <c r="C2" s="1576"/>
      <c r="D2" s="1576"/>
      <c r="E2" s="1576"/>
      <c r="F2" s="1576"/>
      <c r="G2" s="1576"/>
      <c r="H2" s="1576"/>
      <c r="I2" s="1576"/>
      <c r="J2" s="1576"/>
    </row>
    <row r="4" spans="1:13" s="20" customFormat="1" ht="9.9499999999999993" customHeight="1" x14ac:dyDescent="0.25">
      <c r="A4" s="1577" t="s">
        <v>246</v>
      </c>
      <c r="B4" s="1577"/>
      <c r="C4" s="1577"/>
      <c r="D4" s="1577"/>
      <c r="E4" s="1577"/>
      <c r="F4" s="1577"/>
      <c r="G4" s="1577"/>
      <c r="H4" s="1577"/>
      <c r="I4" s="1577"/>
      <c r="J4" s="1577"/>
    </row>
    <row r="5" spans="1:13" s="20" customFormat="1" ht="9.9499999999999993" customHeight="1" x14ac:dyDescent="0.25">
      <c r="B5" s="21"/>
      <c r="C5" s="21"/>
      <c r="D5" s="21"/>
      <c r="E5" s="21"/>
      <c r="F5" s="21"/>
      <c r="G5" s="21"/>
    </row>
    <row r="6" spans="1:13" x14ac:dyDescent="0.25">
      <c r="A6" s="1558" t="s">
        <v>247</v>
      </c>
      <c r="B6" s="1560"/>
      <c r="C6" s="22">
        <v>92</v>
      </c>
      <c r="D6" s="23"/>
      <c r="E6" s="23"/>
      <c r="F6" s="23"/>
      <c r="G6" s="23"/>
      <c r="H6" s="24"/>
      <c r="I6" s="25" t="s">
        <v>248</v>
      </c>
      <c r="J6" s="26" t="str">
        <f>+VLOOKUP(C6,'ANEXO PLIEGO_1'!$A$7:$C$133,3,FALSE)</f>
        <v>M2</v>
      </c>
    </row>
    <row r="7" spans="1:13" ht="35.1" customHeight="1" x14ac:dyDescent="0.25">
      <c r="A7" s="1568" t="s">
        <v>249</v>
      </c>
      <c r="B7" s="1570"/>
      <c r="C7" s="1578" t="str">
        <f>+VLOOKUP(C6,'ANEXO PLIEGO_1'!$A$7:$B$133,2,FALSE)</f>
        <v>Suministro e instalación de pasacalle en tela vendaval.</v>
      </c>
      <c r="D7" s="1579"/>
      <c r="E7" s="1579"/>
      <c r="F7" s="1579"/>
      <c r="G7" s="1579"/>
      <c r="H7" s="1579"/>
      <c r="I7" s="1579"/>
      <c r="J7" s="1580"/>
      <c r="M7" s="19">
        <f>6*50</f>
        <v>300</v>
      </c>
    </row>
    <row r="9" spans="1:13" s="27" customFormat="1" ht="12.75" x14ac:dyDescent="0.25">
      <c r="A9" s="1561" t="s">
        <v>250</v>
      </c>
      <c r="B9" s="1561"/>
      <c r="C9" s="1561"/>
      <c r="D9" s="1561"/>
      <c r="E9" s="1561"/>
      <c r="F9" s="1561"/>
      <c r="G9" s="1561"/>
      <c r="H9" s="1561"/>
    </row>
    <row r="10" spans="1:13" s="20" customFormat="1" ht="13.9" customHeight="1" x14ac:dyDescent="0.25">
      <c r="A10" s="1691" t="s">
        <v>251</v>
      </c>
      <c r="B10" s="1692"/>
      <c r="C10" s="1692"/>
      <c r="D10" s="1693"/>
      <c r="E10" s="56" t="s">
        <v>252</v>
      </c>
      <c r="F10" s="56" t="s">
        <v>253</v>
      </c>
      <c r="G10" s="56" t="s">
        <v>254</v>
      </c>
      <c r="H10" s="56" t="s">
        <v>255</v>
      </c>
      <c r="I10" s="56" t="s">
        <v>256</v>
      </c>
      <c r="J10" s="56" t="s">
        <v>257</v>
      </c>
    </row>
    <row r="11" spans="1:13" s="20" customFormat="1" ht="13.9" customHeight="1" x14ac:dyDescent="0.25">
      <c r="A11" s="1558" t="str">
        <f>+'EQUIPOS '!B33</f>
        <v>HERRAMIENTA MENOR</v>
      </c>
      <c r="B11" s="1559"/>
      <c r="C11" s="1559"/>
      <c r="D11" s="1560"/>
      <c r="E11" s="29" t="s">
        <v>259</v>
      </c>
      <c r="F11" s="30" t="str">
        <f>IFERROR(VLOOKUP(A11,'[10]EQUIPOS TRANSPOR SALARIO'!$A$3:$G$42,2,FALSE),"")</f>
        <v>Global</v>
      </c>
      <c r="G11" s="74">
        <v>0.02</v>
      </c>
      <c r="H11" s="299">
        <f>+J49</f>
        <v>2855</v>
      </c>
      <c r="I11" s="33">
        <f>+H11*G11</f>
        <v>57.1</v>
      </c>
      <c r="J11" s="33">
        <f t="shared" ref="J11:J14" si="0">ROUND(I11,0)</f>
        <v>57</v>
      </c>
    </row>
    <row r="12" spans="1:13" s="20" customFormat="1" ht="13.9" customHeight="1" x14ac:dyDescent="0.25">
      <c r="A12" s="1558" t="str">
        <f>+'EQUIPOS '!B38</f>
        <v>PRETAL DIELECTRICO</v>
      </c>
      <c r="B12" s="1559"/>
      <c r="C12" s="1559"/>
      <c r="D12" s="1560"/>
      <c r="E12" s="29" t="s">
        <v>259</v>
      </c>
      <c r="F12" s="30" t="str">
        <f>IFERROR(VLOOKUP(A12,'[10]EQUIPOS TRANSPOR SALARIO'!$A$3:$G$42,2,FALSE),"")</f>
        <v/>
      </c>
      <c r="G12" s="31">
        <f>+VLOOKUP(A12,'EQUIPOS '!$B$3:$M$64,12,FALSE)</f>
        <v>276.60000000000002</v>
      </c>
      <c r="H12" s="30">
        <v>30</v>
      </c>
      <c r="I12" s="33">
        <f t="shared" ref="I12:I14" si="1">IFERROR((G12/H12),0)</f>
        <v>9.2200000000000006</v>
      </c>
      <c r="J12" s="33">
        <f t="shared" si="0"/>
        <v>9</v>
      </c>
    </row>
    <row r="13" spans="1:13" s="20" customFormat="1" ht="13.9" customHeight="1" x14ac:dyDescent="0.25">
      <c r="A13" s="1571" t="str">
        <f>+'EQUIPOS '!B3</f>
        <v xml:space="preserve">ARNES DE CUATRO PUNTOS </v>
      </c>
      <c r="B13" s="1572"/>
      <c r="C13" s="1572"/>
      <c r="D13" s="1573"/>
      <c r="E13" s="29" t="s">
        <v>259</v>
      </c>
      <c r="F13" s="30" t="str">
        <f>IFERROR(VLOOKUP(A13,'[10]EQUIPOS TRANSPOR SALARIO'!$A$3:$G$42,2,FALSE),"")</f>
        <v/>
      </c>
      <c r="G13" s="31">
        <f>+VLOOKUP(A13,'EQUIPOS '!$B$3:$M$64,12,FALSE)</f>
        <v>10148.75</v>
      </c>
      <c r="H13" s="30">
        <f>+H12</f>
        <v>30</v>
      </c>
      <c r="I13" s="33">
        <f t="shared" si="1"/>
        <v>338.29166666666669</v>
      </c>
      <c r="J13" s="33">
        <f t="shared" si="0"/>
        <v>338</v>
      </c>
    </row>
    <row r="14" spans="1:13" s="20" customFormat="1" ht="13.9" customHeight="1" x14ac:dyDescent="0.25">
      <c r="A14" s="1558" t="str">
        <f>+'EQUIPOS '!B46</f>
        <v xml:space="preserve"> PMT (KIT )</v>
      </c>
      <c r="B14" s="1559"/>
      <c r="C14" s="1559"/>
      <c r="D14" s="1560"/>
      <c r="E14" s="29" t="s">
        <v>259</v>
      </c>
      <c r="F14" s="30" t="str">
        <f>IFERROR(VLOOKUP(A14,'[10]EQUIPOS TRANSPOR SALARIO'!$A$3:$G$42,2,FALSE),"")</f>
        <v/>
      </c>
      <c r="G14" s="31">
        <f>+VLOOKUP(A14,'EQUIPOS '!$B$3:$M$64,12,FALSE)</f>
        <v>13222</v>
      </c>
      <c r="H14" s="30">
        <f>+H13</f>
        <v>30</v>
      </c>
      <c r="I14" s="33">
        <f t="shared" si="1"/>
        <v>440.73333333333335</v>
      </c>
      <c r="J14" s="33">
        <f t="shared" si="0"/>
        <v>441</v>
      </c>
    </row>
    <row r="15" spans="1:13"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3"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2"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2" s="20" customFormat="1" ht="13.9" customHeight="1" x14ac:dyDescent="0.25">
      <c r="I18" s="30" t="s">
        <v>257</v>
      </c>
      <c r="J18" s="34">
        <f>+SUM(J11:J17)</f>
        <v>845</v>
      </c>
      <c r="K18" s="20">
        <v>782</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ht="14.25" customHeight="1" x14ac:dyDescent="0.25">
      <c r="A22" s="1558" t="str">
        <f>+'INSUMOS '!B98</f>
        <v>TELA VENDAVAL PASACALLE (ANCHO MÍNIMO 1,0 M)</v>
      </c>
      <c r="B22" s="1559"/>
      <c r="C22" s="1559"/>
      <c r="D22" s="1559"/>
      <c r="E22" s="1559"/>
      <c r="F22" s="1560"/>
      <c r="G22" s="29" t="s">
        <v>265</v>
      </c>
      <c r="H22" s="35">
        <v>1</v>
      </c>
      <c r="I22" s="33">
        <f>+IFERROR(VLOOKUP(A22,'INSUMOS '!$B$2:$AP$167,'INSUMOS '!$AO$2+1,FALSE),0)</f>
        <v>20600</v>
      </c>
      <c r="J22" s="33">
        <f t="shared" ref="J22:J27" si="2">ROUND(I22*H22,0)</f>
        <v>20600</v>
      </c>
    </row>
    <row r="23" spans="1:12" ht="13.9" customHeight="1" x14ac:dyDescent="0.25">
      <c r="A23" s="1558" t="str">
        <f>+'INSUMOS '!B86</f>
        <v>PUNTILLA  DE ACERO DE 1"</v>
      </c>
      <c r="B23" s="1559"/>
      <c r="C23" s="1559"/>
      <c r="D23" s="1559"/>
      <c r="E23" s="1559"/>
      <c r="F23" s="1560"/>
      <c r="G23" s="29" t="s">
        <v>293</v>
      </c>
      <c r="H23" s="35">
        <v>5.8139534883720929E-2</v>
      </c>
      <c r="I23" s="33">
        <f>+IFERROR(VLOOKUP(A23,'INSUMOS '!$B$2:$AP$167,'INSUMOS '!$AO$2+1,FALSE),0)</f>
        <v>6766.666666666667</v>
      </c>
      <c r="J23" s="33">
        <f t="shared" si="2"/>
        <v>393</v>
      </c>
      <c r="L23" s="19" t="s">
        <v>3135</v>
      </c>
    </row>
    <row r="24" spans="1:12" ht="13.9" customHeight="1" x14ac:dyDescent="0.25">
      <c r="A24" s="1558" t="str">
        <f>+'INSUMOS '!B58</f>
        <v>MANILA 3/8"</v>
      </c>
      <c r="B24" s="1559"/>
      <c r="C24" s="1559"/>
      <c r="D24" s="1559"/>
      <c r="E24" s="1559"/>
      <c r="F24" s="1560"/>
      <c r="G24" s="29" t="s">
        <v>13</v>
      </c>
      <c r="H24" s="35">
        <v>4</v>
      </c>
      <c r="I24" s="33">
        <f>+IFERROR(VLOOKUP(A24,'INSUMOS '!$B$2:$AP$167,'INSUMOS '!$AO$2+1,FALSE),0)</f>
        <v>1744.058</v>
      </c>
      <c r="J24" s="33">
        <f t="shared" si="2"/>
        <v>6976</v>
      </c>
    </row>
    <row r="25" spans="1:12" ht="13.9" customHeight="1" x14ac:dyDescent="0.25">
      <c r="A25" s="1558" t="str">
        <f>+'INSUMOS '!B53</f>
        <v>LISTÓN EN MADERA DE 2X2CM</v>
      </c>
      <c r="B25" s="1559"/>
      <c r="C25" s="1559"/>
      <c r="D25" s="1559"/>
      <c r="E25" s="1559"/>
      <c r="F25" s="1560"/>
      <c r="G25" s="29" t="s">
        <v>13</v>
      </c>
      <c r="H25" s="35">
        <v>3</v>
      </c>
      <c r="I25" s="33">
        <f>+IFERROR(VLOOKUP(A25,'INSUMOS '!$B$2:$AP$167,'INSUMOS '!$AO$2+1,FALSE),0)</f>
        <v>3596.1833333333329</v>
      </c>
      <c r="J25" s="33">
        <f>ROUND(I25*H25,0)</f>
        <v>10789</v>
      </c>
    </row>
    <row r="26" spans="1:12" ht="13.9" customHeight="1" x14ac:dyDescent="0.25">
      <c r="A26" s="1558" t="str">
        <f>+'INSUMOS '!B81</f>
        <v>POSTE ROLLIZO D= 10CM L= 6 MTS</v>
      </c>
      <c r="B26" s="1559"/>
      <c r="C26" s="1559"/>
      <c r="D26" s="1559"/>
      <c r="E26" s="1559"/>
      <c r="F26" s="1560"/>
      <c r="G26" s="29" t="s">
        <v>13</v>
      </c>
      <c r="H26" s="30">
        <f>15/6</f>
        <v>2.5</v>
      </c>
      <c r="I26" s="33">
        <f>+IFERROR(VLOOKUP(A26,'INSUMOS '!$B$2:$AP$167,'INSUMOS '!$AO$2+1,FALSE),0)</f>
        <v>17000</v>
      </c>
      <c r="J26" s="33">
        <f t="shared" si="2"/>
        <v>42500</v>
      </c>
      <c r="L26" s="19">
        <f>6*2.5</f>
        <v>15</v>
      </c>
    </row>
    <row r="27" spans="1:12" ht="13.9" customHeight="1" x14ac:dyDescent="0.25">
      <c r="A27" s="1694" t="s">
        <v>3137</v>
      </c>
      <c r="B27" s="1695"/>
      <c r="C27" s="1695"/>
      <c r="D27" s="1695"/>
      <c r="E27" s="1695"/>
      <c r="F27" s="1696"/>
      <c r="G27" s="29" t="s">
        <v>3489</v>
      </c>
      <c r="H27" s="30">
        <f>500/1000</f>
        <v>0.5</v>
      </c>
      <c r="I27" s="33">
        <f>+IFERROR(VLOOKUP(A27,'INSUMOS '!$B$2:$AP$167,'INSUMOS '!$AO$2+1,FALSE),0)</f>
        <v>62380.952380952382</v>
      </c>
      <c r="J27" s="33">
        <f t="shared" si="2"/>
        <v>31190</v>
      </c>
    </row>
    <row r="28" spans="1:12" ht="13.9" customHeight="1" x14ac:dyDescent="0.25">
      <c r="A28" s="1558"/>
      <c r="B28" s="1559"/>
      <c r="C28" s="1559"/>
      <c r="D28" s="1559"/>
      <c r="E28" s="1559"/>
      <c r="F28" s="1560"/>
      <c r="G28" s="29"/>
      <c r="H28" s="35"/>
      <c r="I28" s="33"/>
      <c r="J28" s="33"/>
    </row>
    <row r="29" spans="1:12" ht="13.9" customHeight="1" x14ac:dyDescent="0.25">
      <c r="A29" s="1558"/>
      <c r="B29" s="1559"/>
      <c r="C29" s="1559"/>
      <c r="D29" s="1559"/>
      <c r="E29" s="1559"/>
      <c r="F29" s="1560"/>
      <c r="G29" s="29"/>
      <c r="H29" s="37"/>
      <c r="I29" s="33"/>
      <c r="J29" s="33"/>
    </row>
    <row r="30" spans="1:12" ht="13.9" customHeight="1" x14ac:dyDescent="0.25">
      <c r="A30" s="1558"/>
      <c r="B30" s="1559"/>
      <c r="C30" s="1559"/>
      <c r="D30" s="1559"/>
      <c r="E30" s="1559"/>
      <c r="F30" s="1560"/>
      <c r="G30" s="29"/>
      <c r="H30" s="35"/>
      <c r="I30" s="33"/>
      <c r="J30" s="33"/>
    </row>
    <row r="31" spans="1:12" ht="13.9" customHeight="1" x14ac:dyDescent="0.25">
      <c r="A31" s="1558"/>
      <c r="B31" s="1559"/>
      <c r="C31" s="1559"/>
      <c r="D31" s="1559"/>
      <c r="E31" s="1559"/>
      <c r="F31" s="1560"/>
      <c r="G31" s="29"/>
      <c r="H31" s="35"/>
      <c r="I31" s="33"/>
      <c r="J31" s="33"/>
    </row>
    <row r="32" spans="1:12" ht="13.9" customHeight="1" x14ac:dyDescent="0.25">
      <c r="A32" s="20"/>
      <c r="B32" s="20"/>
      <c r="C32" s="20"/>
      <c r="D32" s="20"/>
      <c r="E32" s="20"/>
      <c r="G32" s="20"/>
      <c r="H32" s="20"/>
      <c r="I32" s="30" t="s">
        <v>257</v>
      </c>
      <c r="J32" s="34">
        <f>+SUM(J22:J31)</f>
        <v>112448</v>
      </c>
      <c r="K32" s="57">
        <f>+J32*6+J39+J49+J18</f>
        <v>680936</v>
      </c>
      <c r="L32" s="58">
        <f>+I51*6</f>
        <v>712176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691" t="s">
        <v>268</v>
      </c>
      <c r="B35" s="1692"/>
      <c r="C35" s="1692"/>
      <c r="D35" s="1692"/>
      <c r="E35" s="1692"/>
      <c r="F35" s="1693"/>
      <c r="G35" s="59" t="s">
        <v>255</v>
      </c>
      <c r="H35" s="56" t="s">
        <v>269</v>
      </c>
      <c r="I35" s="56" t="s">
        <v>256</v>
      </c>
      <c r="J35" s="56" t="s">
        <v>257</v>
      </c>
    </row>
    <row r="36" spans="1:10" ht="13.9" customHeight="1" x14ac:dyDescent="0.25">
      <c r="A36" s="1558" t="str">
        <f>+'EQUIPOS '!B6</f>
        <v>CAMION INCLUYE CONDUCTOR</v>
      </c>
      <c r="B36" s="1559"/>
      <c r="C36" s="1559"/>
      <c r="D36" s="1559"/>
      <c r="E36" s="1559"/>
      <c r="F36" s="1560"/>
      <c r="G36" s="1484">
        <f>(50/1000)/12</f>
        <v>4.1666666666666666E-3</v>
      </c>
      <c r="H36" s="33">
        <f>+IFERROR(VLOOKUP(A36,'EQUIPOS '!$B$3:$M$78,12,FALSE),0)</f>
        <v>611492.5</v>
      </c>
      <c r="I36" s="33">
        <f>IFERROR(H36*G36,0)</f>
        <v>2547.8854166666665</v>
      </c>
      <c r="J36" s="33">
        <f>ROUND(I36,0)</f>
        <v>2548</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2548</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691" t="s">
        <v>271</v>
      </c>
      <c r="B42" s="1692"/>
      <c r="C42" s="1692"/>
      <c r="D42" s="1693"/>
      <c r="E42" s="56" t="s">
        <v>272</v>
      </c>
      <c r="F42" s="56" t="s">
        <v>264</v>
      </c>
      <c r="G42" s="56" t="s">
        <v>273</v>
      </c>
      <c r="H42" s="56" t="s">
        <v>255</v>
      </c>
      <c r="I42" s="56" t="s">
        <v>256</v>
      </c>
      <c r="J42" s="56" t="s">
        <v>257</v>
      </c>
    </row>
    <row r="43" spans="1:10" s="39" customFormat="1" ht="13.9" customHeight="1" x14ac:dyDescent="0.25">
      <c r="A43" s="1558" t="str">
        <f>+PERSONAL!B18</f>
        <v>JEFE DE CUADRILLA DIURNO</v>
      </c>
      <c r="B43" s="1559"/>
      <c r="C43" s="1559"/>
      <c r="D43" s="1560"/>
      <c r="E43" s="40">
        <f>+VLOOKUP(A43,PERSONAL!$B$3:$E$100,4,FALSE)</f>
        <v>166031</v>
      </c>
      <c r="F43" s="30">
        <v>1</v>
      </c>
      <c r="G43" s="40">
        <f>+E43*F43</f>
        <v>166031</v>
      </c>
      <c r="H43" s="35">
        <v>220</v>
      </c>
      <c r="I43" s="33">
        <f>IFERROR(ROUND(G43/H43,0),0)</f>
        <v>755</v>
      </c>
      <c r="J43" s="33">
        <f>+I43</f>
        <v>755</v>
      </c>
    </row>
    <row r="44" spans="1:10" s="39" customFormat="1" ht="13.9" customHeight="1" x14ac:dyDescent="0.25">
      <c r="A44" s="1558" t="str">
        <f>+PERSONAL!B5</f>
        <v xml:space="preserve">AYUDANTE </v>
      </c>
      <c r="B44" s="1559"/>
      <c r="C44" s="1559"/>
      <c r="D44" s="1560"/>
      <c r="E44" s="40">
        <f>+VLOOKUP(A44,PERSONAL!$B$3:$E$100,4,FALSE)</f>
        <v>72476</v>
      </c>
      <c r="F44" s="30">
        <v>2</v>
      </c>
      <c r="G44" s="40">
        <f>+E44*F44</f>
        <v>144952</v>
      </c>
      <c r="H44" s="35">
        <f>+H43</f>
        <v>220</v>
      </c>
      <c r="I44" s="33">
        <f>IFERROR(ROUND(G44/H44,0),0)</f>
        <v>659</v>
      </c>
      <c r="J44" s="33">
        <f>+I44</f>
        <v>659</v>
      </c>
    </row>
    <row r="45" spans="1:10" s="39" customFormat="1" ht="13.9" customHeight="1" x14ac:dyDescent="0.25">
      <c r="A45" s="1558" t="str">
        <f>+PERSONAL!B3</f>
        <v>AUXILIAR DE TRÁFICO</v>
      </c>
      <c r="B45" s="1559"/>
      <c r="C45" s="1559"/>
      <c r="D45" s="1560"/>
      <c r="E45" s="40">
        <f>+VLOOKUP(A45,PERSONAL!$B$3:$E$100,4,FALSE)</f>
        <v>89632</v>
      </c>
      <c r="F45" s="30">
        <v>1</v>
      </c>
      <c r="G45" s="40">
        <f>+E45*F45</f>
        <v>89632</v>
      </c>
      <c r="H45" s="35">
        <f>+H44</f>
        <v>220</v>
      </c>
      <c r="I45" s="33">
        <f>IFERROR(ROUND(G45/H45,0),0)</f>
        <v>407</v>
      </c>
      <c r="J45" s="33">
        <f>+I45</f>
        <v>407</v>
      </c>
    </row>
    <row r="46" spans="1:10" s="39" customFormat="1" ht="13.9" customHeight="1" x14ac:dyDescent="0.25">
      <c r="A46" s="1558" t="str">
        <f>+PERSONAL!B44</f>
        <v xml:space="preserve">TÉCNICO - DIBUJANTE 2 </v>
      </c>
      <c r="B46" s="1559"/>
      <c r="C46" s="1559"/>
      <c r="D46" s="1560"/>
      <c r="E46" s="40">
        <f>+VLOOKUP(A46,PERSONAL!$B$3:$E$100,4,FALSE)</f>
        <v>132866</v>
      </c>
      <c r="F46" s="30">
        <v>1</v>
      </c>
      <c r="G46" s="40">
        <f>+E46*F46</f>
        <v>132866</v>
      </c>
      <c r="H46" s="35">
        <f>+H45</f>
        <v>220</v>
      </c>
      <c r="I46" s="33">
        <f>IFERROR(ROUND(G46/H46,0),0)</f>
        <v>604</v>
      </c>
      <c r="J46" s="33">
        <f>+I46</f>
        <v>604</v>
      </c>
    </row>
    <row r="47" spans="1:10" s="39" customFormat="1" ht="13.9" customHeight="1" x14ac:dyDescent="0.25">
      <c r="A47" s="1558" t="str">
        <f>+PERSONAL!B39</f>
        <v>SERIGRAFISTA</v>
      </c>
      <c r="B47" s="1559"/>
      <c r="C47" s="1559"/>
      <c r="D47" s="1560"/>
      <c r="E47" s="40">
        <f>+VLOOKUP(A47,PERSONAL!$B$3:$E$100,4,FALSE)</f>
        <v>94615</v>
      </c>
      <c r="F47" s="30">
        <v>1</v>
      </c>
      <c r="G47" s="40">
        <f>+E47*F47</f>
        <v>94615</v>
      </c>
      <c r="H47" s="35">
        <f>+H46</f>
        <v>220</v>
      </c>
      <c r="I47" s="33">
        <f>IFERROR(ROUND(G47/H47,0),0)</f>
        <v>430</v>
      </c>
      <c r="J47" s="33">
        <f>+I47</f>
        <v>430</v>
      </c>
    </row>
    <row r="48" spans="1:10" s="39" customFormat="1" ht="13.9" customHeight="1" x14ac:dyDescent="0.25">
      <c r="A48" s="1558"/>
      <c r="B48" s="1559"/>
      <c r="C48" s="1559"/>
      <c r="D48" s="1560"/>
      <c r="E48" s="40"/>
      <c r="F48" s="30"/>
      <c r="G48" s="40"/>
      <c r="H48" s="35"/>
      <c r="I48" s="33"/>
      <c r="J48" s="33"/>
    </row>
    <row r="49" spans="1:12" ht="13.9" customHeight="1" x14ac:dyDescent="0.25">
      <c r="A49" s="20"/>
      <c r="B49" s="20"/>
      <c r="C49" s="20"/>
      <c r="E49" s="20"/>
      <c r="F49" s="20"/>
      <c r="G49" s="20"/>
      <c r="H49" s="20"/>
      <c r="I49" s="30" t="s">
        <v>257</v>
      </c>
      <c r="J49" s="34">
        <f>+SUM(J43:J48)</f>
        <v>2855</v>
      </c>
      <c r="L49" s="44">
        <f>+J49+J39+J18</f>
        <v>6248</v>
      </c>
    </row>
    <row r="50" spans="1:12" ht="13.9" customHeight="1" x14ac:dyDescent="0.25">
      <c r="L50" s="60">
        <f>+L49/7</f>
        <v>892.57142857142856</v>
      </c>
    </row>
    <row r="51" spans="1:12" ht="13.9" customHeight="1" x14ac:dyDescent="0.25">
      <c r="E51" s="41" t="s">
        <v>276</v>
      </c>
      <c r="I51" s="42">
        <f>+J49+J39+J32+J18</f>
        <v>118696</v>
      </c>
      <c r="J51" s="43"/>
    </row>
    <row r="52" spans="1:12" ht="13.9" customHeight="1" x14ac:dyDescent="0.25"/>
    <row r="53" spans="1:12" ht="14.1" customHeight="1" x14ac:dyDescent="0.25"/>
    <row r="54" spans="1:12"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Hoja100">
    <tabColor rgb="FF7030A0"/>
  </sheetPr>
  <dimension ref="A1:J55"/>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42578125" style="19" bestFit="1"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91</v>
      </c>
      <c r="D6" s="23"/>
      <c r="E6" s="23"/>
      <c r="F6" s="23"/>
      <c r="G6" s="23"/>
      <c r="H6" s="24"/>
      <c r="I6" s="25" t="s">
        <v>248</v>
      </c>
      <c r="J6" s="26" t="str">
        <f>+VLOOKUP(C6,'ANEXO PLIEGO_1'!$A$7:$C$133,3,FALSE)</f>
        <v>M</v>
      </c>
    </row>
    <row r="7" spans="1:10" ht="35.1" customHeight="1" x14ac:dyDescent="0.25">
      <c r="A7" s="1568" t="s">
        <v>249</v>
      </c>
      <c r="B7" s="1570"/>
      <c r="C7" s="1578" t="str">
        <f>+VLOOKUP(C6,'ANEXO PLIEGO_1'!$A$7:$B$133,2,FALSE)</f>
        <v>Suministro e instalación de Cinta de señalización, de calibre mínimo 2 mm de 10 cm de ancho por 500m de longitud por rollo.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1321"/>
      <c r="H11" s="1322"/>
      <c r="I11" s="33"/>
      <c r="J11" s="33"/>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0</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0.75" customHeight="1" x14ac:dyDescent="0.25">
      <c r="A22" s="1568" t="str">
        <f>+'INSUMOS '!B26</f>
        <v>CINTA DE SEÑALIZACIÓN CALIBRE MÍNIMO DE 2 MM, ANCHO 10 CM X 500M DE LONGITUD</v>
      </c>
      <c r="B22" s="1569"/>
      <c r="C22" s="1569"/>
      <c r="D22" s="1569"/>
      <c r="E22" s="1569"/>
      <c r="F22" s="1570"/>
      <c r="G22" s="29" t="s">
        <v>3488</v>
      </c>
      <c r="H22" s="35">
        <v>1</v>
      </c>
      <c r="I22" s="33">
        <f>+IFERROR(VLOOKUP(A22,'INSUMOS '!$B$2:$AP$167,'INSUMOS '!$AO$2+1,FALSE),0)</f>
        <v>73.8</v>
      </c>
      <c r="J22" s="33">
        <f>ROUND(I22*H22,0)</f>
        <v>74</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74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(0.2/1000)/12</f>
        <v>1.6666666666666667E-5</v>
      </c>
      <c r="H36" s="33">
        <f>+IFERROR(VLOOKUP(A36,'EQUIPOS '!$B$3:$M$78,12,FALSE),0)</f>
        <v>611492.5</v>
      </c>
      <c r="I36" s="33">
        <f>IFERROR(H36*G36,0)</f>
        <v>10.191541666666668</v>
      </c>
      <c r="J36" s="33">
        <f>ROUND(I36,0)</f>
        <v>10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10</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+PERSONAL!B18</f>
        <v>JEFE DE CUADRILLA DIURNO</v>
      </c>
      <c r="B43" s="1559"/>
      <c r="C43" s="1559"/>
      <c r="D43" s="1560"/>
      <c r="E43" s="40">
        <f>+VLOOKUP(A43,PERSONAL!$B$3:$E$100,4,FALSE)</f>
        <v>166031</v>
      </c>
      <c r="F43" s="30">
        <v>1</v>
      </c>
      <c r="G43" s="40">
        <f>+E43*F43</f>
        <v>166031</v>
      </c>
      <c r="H43" s="35">
        <v>40000</v>
      </c>
      <c r="I43" s="33">
        <f>IFERROR(ROUND(G43/H43,0),0)</f>
        <v>4</v>
      </c>
      <c r="J43" s="33">
        <f>+I43</f>
        <v>4</v>
      </c>
    </row>
    <row r="44" spans="1:10" s="39" customFormat="1" ht="13.9" customHeight="1" x14ac:dyDescent="0.25">
      <c r="A44" s="1558" t="str">
        <f>+PERSONAL!B5</f>
        <v xml:space="preserve">AYUDANTE </v>
      </c>
      <c r="B44" s="1559"/>
      <c r="C44" s="1559"/>
      <c r="D44" s="1560"/>
      <c r="E44" s="40">
        <f>+VLOOKUP(A44,PERSONAL!$B$3:$E$100,4,FALSE)</f>
        <v>72476</v>
      </c>
      <c r="F44" s="30">
        <v>1</v>
      </c>
      <c r="G44" s="40">
        <f t="shared" ref="G44" si="0">+E44*F44</f>
        <v>72476</v>
      </c>
      <c r="H44" s="35">
        <f>+H43</f>
        <v>40000</v>
      </c>
      <c r="I44" s="33">
        <f t="shared" ref="I44" si="1">IFERROR(ROUND(G44/H44,0),0)</f>
        <v>2</v>
      </c>
      <c r="J44" s="33">
        <f t="shared" ref="J44" si="2">+I44</f>
        <v>2</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6</v>
      </c>
    </row>
    <row r="51" spans="1:10" ht="13.9" customHeight="1" x14ac:dyDescent="0.25"/>
    <row r="52" spans="1:10" ht="13.9" customHeight="1" x14ac:dyDescent="0.25">
      <c r="E52" s="41" t="s">
        <v>276</v>
      </c>
      <c r="I52" s="42">
        <f>+J50+J39+J32+J18</f>
        <v>90</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Hoja99">
    <tabColor rgb="FF7030A0"/>
  </sheetPr>
  <dimension ref="A1:J54"/>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90</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Suministro, instalación y lastrado (con material granular al tope de su altura) de delineador Tubular Tipo Canalizador de 129 cm de altura, incluye transportes, instalación y lastrado con material granular al tope de su altura.</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0.03</v>
      </c>
      <c r="H11" s="299">
        <f>+J49</f>
        <v>795</v>
      </c>
      <c r="I11" s="33">
        <f>IFERROR((G11*H11),0)</f>
        <v>23.849999999999998</v>
      </c>
      <c r="J11" s="33">
        <f>ROUND(I11,0)</f>
        <v>24</v>
      </c>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24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58" t="str">
        <f>+'INSUMOS '!B38</f>
        <v>DELINEADOR TUBULAR TIPO CANALIZADOR DE 129 CM DE ALTURA.</v>
      </c>
      <c r="B22" s="1559"/>
      <c r="C22" s="1559"/>
      <c r="D22" s="1559"/>
      <c r="E22" s="1559"/>
      <c r="F22" s="1560"/>
      <c r="G22" s="29" t="s">
        <v>266</v>
      </c>
      <c r="H22" s="35">
        <v>1</v>
      </c>
      <c r="I22" s="33">
        <f>+IFERROR(VLOOKUP(A22,'INSUMOS '!$B$2:$AP$167,'INSUMOS '!$AO$2+1,FALSE),0)</f>
        <v>45616.333333333336</v>
      </c>
      <c r="J22" s="33">
        <f>ROUND(I22*H22,0)</f>
        <v>45616</v>
      </c>
    </row>
    <row r="23" spans="1:10" ht="13.9" customHeight="1" x14ac:dyDescent="0.25">
      <c r="A23" s="1558" t="str">
        <f>+'INSUMOS '!B87</f>
        <v>RECEBO COMÚN (SUMINISTRO Y TRANSPORTE, NO COMPACTO)</v>
      </c>
      <c r="B23" s="1559"/>
      <c r="C23" s="1559"/>
      <c r="D23" s="1559"/>
      <c r="E23" s="1559"/>
      <c r="F23" s="1560"/>
      <c r="G23" s="29" t="s">
        <v>4</v>
      </c>
      <c r="H23" s="35">
        <f>PI()*0.25*0.25*0.3</f>
        <v>5.8904862254808621E-2</v>
      </c>
      <c r="I23" s="33">
        <f>+IFERROR(VLOOKUP(A23,'INSUMOS '!$B$2:$AP$167,'INSUMOS '!$AO$2+1,FALSE),0)</f>
        <v>93020</v>
      </c>
      <c r="J23" s="33">
        <f>ROUND(I23*H23,0)</f>
        <v>5479</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51095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(96/1000)/12</f>
        <v>8.0000000000000002E-3</v>
      </c>
      <c r="H36" s="33">
        <f>+IFERROR(VLOOKUP(A36,'EQUIPOS '!$B$3:$M$78,12,FALSE),0)</f>
        <v>611492.5</v>
      </c>
      <c r="I36" s="33">
        <f>IFERROR(H36*G36,0)</f>
        <v>4891.9400000000005</v>
      </c>
      <c r="J36" s="33">
        <f>ROUND(I36,0)</f>
        <v>4892</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4892</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+PERSONAL!B18</f>
        <v>JEFE DE CUADRILLA DIURNO</v>
      </c>
      <c r="B43" s="1559"/>
      <c r="C43" s="1559"/>
      <c r="D43" s="1560"/>
      <c r="E43" s="40">
        <f>+VLOOKUP(A43,PERSONAL!$B$3:$E$100,4,FALSE)</f>
        <v>166031</v>
      </c>
      <c r="F43" s="30">
        <v>1</v>
      </c>
      <c r="G43" s="40">
        <f t="shared" ref="G43:G44" si="0">+E43*F43</f>
        <v>166031</v>
      </c>
      <c r="H43" s="35">
        <v>300</v>
      </c>
      <c r="I43" s="33">
        <f t="shared" ref="I43:I44" si="1">IFERROR(ROUND(G43/H43,0),0)</f>
        <v>553</v>
      </c>
      <c r="J43" s="33">
        <f t="shared" ref="J43:J44" si="2">+I43</f>
        <v>553</v>
      </c>
    </row>
    <row r="44" spans="1:10" s="39" customFormat="1" ht="13.9" customHeight="1" x14ac:dyDescent="0.25">
      <c r="A44" s="1558" t="str">
        <f>+PERSONAL!B5</f>
        <v xml:space="preserve">AYUDANTE </v>
      </c>
      <c r="B44" s="1559"/>
      <c r="C44" s="1559"/>
      <c r="D44" s="1560"/>
      <c r="E44" s="40">
        <f>+VLOOKUP(A44,PERSONAL!$B$3:$E$100,4,FALSE)</f>
        <v>72476</v>
      </c>
      <c r="F44" s="30">
        <v>1</v>
      </c>
      <c r="G44" s="40">
        <f t="shared" si="0"/>
        <v>72476</v>
      </c>
      <c r="H44" s="35">
        <f>+H43</f>
        <v>300</v>
      </c>
      <c r="I44" s="33">
        <f t="shared" si="1"/>
        <v>242</v>
      </c>
      <c r="J44" s="33">
        <f t="shared" si="2"/>
        <v>242</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795</v>
      </c>
    </row>
    <row r="50" spans="1:10" ht="13.9" customHeight="1" x14ac:dyDescent="0.25"/>
    <row r="51" spans="1:10" ht="13.9" customHeight="1" x14ac:dyDescent="0.25">
      <c r="E51" s="41" t="s">
        <v>276</v>
      </c>
      <c r="I51" s="42">
        <f>+J49+J39+J32+J18</f>
        <v>56806</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Hoja98">
    <tabColor rgb="FF7030A0"/>
  </sheetPr>
  <dimension ref="A1:J54"/>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89</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Suministro, instalación y lastrado (con material granular mínimo a ¼ de su altura) de maletín plástico de base mínima de 50 cm por 200 cm y altura mínima de 100 cm, con material reflectivo tipo XI color blanco, incluye transportes, instalación y lastrado.</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0.03</v>
      </c>
      <c r="H11" s="299">
        <f>+J49</f>
        <v>19025</v>
      </c>
      <c r="I11" s="33">
        <f>IFERROR((G11*H11),0)</f>
        <v>570.75</v>
      </c>
      <c r="J11" s="33">
        <f>ROUND(I11,0)</f>
        <v>571</v>
      </c>
    </row>
    <row r="12" spans="1:10" s="20" customFormat="1" ht="13.9" customHeight="1" x14ac:dyDescent="0.25">
      <c r="A12" s="1558"/>
      <c r="B12" s="1559"/>
      <c r="C12" s="1559"/>
      <c r="D12" s="1560"/>
      <c r="E12" s="29"/>
      <c r="F12" s="30" t="str">
        <f>IFERROR(VLOOKUP(A12,'[10]EQUIPOS TRANSPOR SALARIO'!$A$3:$G$42,2,FALSE),"")</f>
        <v/>
      </c>
      <c r="G12" s="31" t="str">
        <f>IFERROR(VLOOKUP(A12,'[10]EQUIPOS TRANSPOR SALARIO'!$A$3:$G$42,6,FALSE),"")</f>
        <v/>
      </c>
      <c r="H12" s="30"/>
      <c r="I12" s="33"/>
      <c r="J12" s="33"/>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571</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2.25" customHeight="1" x14ac:dyDescent="0.25">
      <c r="A22" s="1568" t="str">
        <f>+'INSUMOS '!B57</f>
        <v>MALETÍN PLÁSTICO DE BASE MÍNIMA DE 50 CM POR 200 CM Y ALTURA MÍNIMA DE 100 CM, CON MATERIAL REFLECTIVO COLOR BLANCO TIPO IV O SUPERIOR.</v>
      </c>
      <c r="B22" s="1569"/>
      <c r="C22" s="1569"/>
      <c r="D22" s="1569"/>
      <c r="E22" s="1569"/>
      <c r="F22" s="1570"/>
      <c r="G22" s="29" t="s">
        <v>266</v>
      </c>
      <c r="H22" s="35">
        <v>1</v>
      </c>
      <c r="I22" s="33">
        <f>+IFERROR(VLOOKUP(A22,'INSUMOS '!$B$2:$AP$167,'INSUMOS '!$AO$2+1,FALSE),0)</f>
        <v>413093.5</v>
      </c>
      <c r="J22" s="33">
        <f>ROUND(I22*H22,0)</f>
        <v>413094</v>
      </c>
    </row>
    <row r="23" spans="1:10" ht="13.9" customHeight="1" x14ac:dyDescent="0.25">
      <c r="A23" s="1558" t="str">
        <f>+'INSUMOS '!B87</f>
        <v>RECEBO COMÚN (SUMINISTRO Y TRANSPORTE, NO COMPACTO)</v>
      </c>
      <c r="B23" s="1559"/>
      <c r="C23" s="1559"/>
      <c r="D23" s="1559"/>
      <c r="E23" s="1559"/>
      <c r="F23" s="1560"/>
      <c r="G23" s="29" t="s">
        <v>4</v>
      </c>
      <c r="H23" s="35">
        <f>2*0.5*0.4</f>
        <v>0.4</v>
      </c>
      <c r="I23" s="33">
        <f>+IFERROR(VLOOKUP(A23,'INSUMOS '!$B$2:$AP$167,'INSUMOS '!$AO$2+1,FALSE),0)</f>
        <v>93020</v>
      </c>
      <c r="J23" s="33">
        <f>ROUND(I23*H23,0)</f>
        <v>37208</v>
      </c>
    </row>
    <row r="24" spans="1:10" ht="13.9" customHeight="1" x14ac:dyDescent="0.25">
      <c r="A24" s="1558"/>
      <c r="B24" s="1559"/>
      <c r="C24" s="1559"/>
      <c r="D24" s="1559"/>
      <c r="E24" s="1559"/>
      <c r="F24" s="1560"/>
      <c r="G24" s="29"/>
      <c r="H24" s="35"/>
      <c r="I24" s="33"/>
      <c r="J24" s="33"/>
    </row>
    <row r="25" spans="1:10" ht="13.9" customHeight="1" x14ac:dyDescent="0.25">
      <c r="A25" s="1558" t="s">
        <v>2901</v>
      </c>
      <c r="B25" s="1559"/>
      <c r="C25" s="1559"/>
      <c r="D25" s="1559"/>
      <c r="E25" s="1559"/>
      <c r="F25" s="1560"/>
      <c r="G25" s="29" t="s">
        <v>114</v>
      </c>
      <c r="H25" s="35">
        <v>0.05</v>
      </c>
      <c r="I25" s="33"/>
      <c r="J25" s="33">
        <f>+H25*J23</f>
        <v>1860.4</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452162.4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(50/1000)/12</f>
        <v>4.1666666666666666E-3</v>
      </c>
      <c r="H36" s="33">
        <f>+IFERROR(VLOOKUP(A36,'EQUIPOS '!$B$3:$M$78,12,FALSE),0)</f>
        <v>611492.5</v>
      </c>
      <c r="I36" s="33">
        <f>IFERROR(H36*G36,0)</f>
        <v>2547.8854166666665</v>
      </c>
      <c r="J36" s="33">
        <f>ROUND(I36,0)</f>
        <v>2548</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2548</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 t="shared" ref="G43:G44" si="0">+E43*F43</f>
        <v>213741</v>
      </c>
      <c r="H43" s="35">
        <v>20</v>
      </c>
      <c r="I43" s="33">
        <f t="shared" ref="I43:I44" si="1">IFERROR(ROUND(G43/H43,0),0)</f>
        <v>10687</v>
      </c>
      <c r="J43" s="33">
        <f t="shared" ref="J43:J44" si="2">+I43</f>
        <v>10687</v>
      </c>
    </row>
    <row r="44" spans="1:10" s="39" customFormat="1" ht="13.9" customHeight="1" x14ac:dyDescent="0.25">
      <c r="A44" s="1558" t="str">
        <f>+PERSONAL!B6</f>
        <v>AYUDANTE NOCTURNO</v>
      </c>
      <c r="B44" s="1559"/>
      <c r="C44" s="1559"/>
      <c r="D44" s="1560"/>
      <c r="E44" s="40">
        <f>+VLOOKUP(A44,PERSONAL!$B$3:$E$100,4,FALSE)</f>
        <v>83383</v>
      </c>
      <c r="F44" s="30">
        <v>2</v>
      </c>
      <c r="G44" s="40">
        <f t="shared" si="0"/>
        <v>166766</v>
      </c>
      <c r="H44" s="35">
        <f>+H43</f>
        <v>20</v>
      </c>
      <c r="I44" s="33">
        <f t="shared" si="1"/>
        <v>8338</v>
      </c>
      <c r="J44" s="33">
        <f t="shared" si="2"/>
        <v>8338</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19025</v>
      </c>
    </row>
    <row r="50" spans="1:10" ht="13.9" customHeight="1" x14ac:dyDescent="0.25"/>
    <row r="51" spans="1:10" ht="13.9" customHeight="1" x14ac:dyDescent="0.25">
      <c r="E51" s="41" t="s">
        <v>276</v>
      </c>
      <c r="I51" s="42">
        <f>ROUND((+J49+J39+J32+J18),0)</f>
        <v>474306</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Hoja97">
    <tabColor theme="5" tint="-0.499984740745262"/>
  </sheetPr>
  <dimension ref="A1:J53"/>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88</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Suministro e instalación de Baliza iluminada elevada (luz intermitente de color amarillo) dimensiones de acuerdo con la figura  6.4  Resolución 20243040045005 de 17 de septiembre de 2024</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H11" s="30"/>
      <c r="I11" s="33"/>
      <c r="J11" s="33"/>
    </row>
    <row r="12" spans="1:10"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v>1</v>
      </c>
      <c r="I12" s="33">
        <f>IFERROR((G12/H12),0)</f>
        <v>13222</v>
      </c>
      <c r="J12" s="33">
        <f t="shared" ref="J12:J13" si="0">ROUND(I12,0)</f>
        <v>13222</v>
      </c>
    </row>
    <row r="13" spans="1:10" s="20" customFormat="1" ht="13.9" customHeight="1" x14ac:dyDescent="0.25">
      <c r="A13" s="5" t="str">
        <f>+'EQUIPOS '!B33</f>
        <v>HERRAMIENTA MENOR</v>
      </c>
      <c r="B13" s="6"/>
      <c r="C13" s="6"/>
      <c r="D13" s="7"/>
      <c r="E13" s="29" t="s">
        <v>259</v>
      </c>
      <c r="F13" s="30" t="str">
        <f>IFERROR(VLOOKUP(A13,'[10]EQUIPOS TRANSPOR SALARIO'!$A$3:$G$42,2,FALSE),"")</f>
        <v>Global</v>
      </c>
      <c r="G13" s="74">
        <v>0.01</v>
      </c>
      <c r="H13" s="299">
        <f>+J49</f>
        <v>18734</v>
      </c>
      <c r="I13" s="33">
        <f>IFERROR((G13*H13),0)</f>
        <v>187.34</v>
      </c>
      <c r="J13" s="33">
        <f t="shared" si="0"/>
        <v>187</v>
      </c>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13409</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4.5" customHeight="1" x14ac:dyDescent="0.25">
      <c r="A22" s="1568" t="str">
        <f>+'INSUMOS '!B11</f>
        <v xml:space="preserve">BALIZA ILUMINADA ELEVADA (LUZ INTERMITENTE DE COLOR AMARILLO) </v>
      </c>
      <c r="B22" s="1569"/>
      <c r="C22" s="1569"/>
      <c r="D22" s="1569"/>
      <c r="E22" s="1569"/>
      <c r="F22" s="1570"/>
      <c r="G22" s="29" t="s">
        <v>266</v>
      </c>
      <c r="H22" s="35">
        <v>1</v>
      </c>
      <c r="I22" s="33">
        <f>+IFERROR(VLOOKUP(A22,'INSUMOS '!$B$2:$AP$167,'INSUMOS '!$AO$2+1,FALSE),0)</f>
        <v>325000</v>
      </c>
      <c r="J22" s="1005">
        <f>ROUND(I22*H22,0)</f>
        <v>325000</v>
      </c>
    </row>
    <row r="23" spans="1:10" ht="13.9" customHeight="1" x14ac:dyDescent="0.25">
      <c r="A23" s="1697" t="str">
        <f>+'INSUMOS '!B30</f>
        <v>CONCRETO  HIDRAULICO 3500 PSI 24 MPA (245 KG/CM2)</v>
      </c>
      <c r="B23" s="1559"/>
      <c r="C23" s="1559"/>
      <c r="D23" s="1559"/>
      <c r="E23" s="1559"/>
      <c r="F23" s="1560"/>
      <c r="G23" s="29" t="s">
        <v>4</v>
      </c>
      <c r="H23" s="35">
        <f>+PI()*(0.2^2)*0.6</f>
        <v>7.5398223686155036E-2</v>
      </c>
      <c r="I23" s="33">
        <f>+IFERROR(VLOOKUP(A23,'INSUMOS '!$B$2:$AP$167,'INSUMOS '!$AO$2+1,FALSE),0)</f>
        <v>526362.66666666663</v>
      </c>
      <c r="J23" s="33">
        <f>ROUND(I23*H23,0)</f>
        <v>39687</v>
      </c>
    </row>
    <row r="24" spans="1:10" ht="13.9" customHeight="1" x14ac:dyDescent="0.25">
      <c r="A24" s="1558"/>
      <c r="B24" s="1559"/>
      <c r="C24" s="1559"/>
      <c r="D24" s="1559"/>
      <c r="E24" s="1559"/>
      <c r="F24" s="1560"/>
      <c r="G24" s="29"/>
      <c r="H24" s="35"/>
      <c r="I24" s="33"/>
      <c r="J24" s="33"/>
    </row>
    <row r="25" spans="1:10" ht="13.9" customHeight="1" x14ac:dyDescent="0.25">
      <c r="A25" s="1637"/>
      <c r="B25" s="1638"/>
      <c r="C25" s="1638"/>
      <c r="D25" s="1638"/>
      <c r="E25" s="1638"/>
      <c r="F25" s="1639"/>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364687</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4">
        <f>(20/1000)/12</f>
        <v>1.6666666666666668E-3</v>
      </c>
      <c r="H36" s="33">
        <f>+IFERROR(VLOOKUP(A36,'EQUIPOS '!$B$3:$M$78,12,FALSE),0)</f>
        <v>611492.5</v>
      </c>
      <c r="I36" s="33">
        <f>IFERROR(H36*G36,0)</f>
        <v>1019.1541666666667</v>
      </c>
      <c r="J36" s="33">
        <f>ROUND(I36,0)</f>
        <v>1019</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1019</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 t="shared" ref="G43:G45" si="1">+E43*F43</f>
        <v>213741</v>
      </c>
      <c r="H43" s="35">
        <v>30</v>
      </c>
      <c r="I43" s="33">
        <f t="shared" ref="I43:I45" si="2">IFERROR(ROUND(G43/H43,0),0)</f>
        <v>7125</v>
      </c>
      <c r="J43" s="33">
        <f t="shared" ref="J43:J45" si="3">+I43</f>
        <v>7125</v>
      </c>
    </row>
    <row r="44" spans="1:10" s="39" customFormat="1" ht="13.9" customHeight="1" x14ac:dyDescent="0.25">
      <c r="A44" s="1558" t="str">
        <f>+PERSONAL!B6</f>
        <v>AYUDANTE NOCTURNO</v>
      </c>
      <c r="B44" s="1559"/>
      <c r="C44" s="1559"/>
      <c r="D44" s="1560"/>
      <c r="E44" s="40">
        <f>+VLOOKUP(A44,PERSONAL!$B$3:$E$100,4,FALSE)</f>
        <v>83383</v>
      </c>
      <c r="F44" s="30">
        <v>3</v>
      </c>
      <c r="G44" s="40">
        <f t="shared" si="1"/>
        <v>250149</v>
      </c>
      <c r="H44" s="35">
        <f>+H43</f>
        <v>30</v>
      </c>
      <c r="I44" s="33">
        <f t="shared" si="2"/>
        <v>8338</v>
      </c>
      <c r="J44" s="33">
        <f t="shared" si="3"/>
        <v>8338</v>
      </c>
    </row>
    <row r="45" spans="1:10" s="39" customFormat="1" ht="13.9" customHeight="1" x14ac:dyDescent="0.25">
      <c r="A45" s="1558" t="str">
        <f>+PERSONAL!B4</f>
        <v>AUXILIAR DE TRÁFICO NOCTURNO</v>
      </c>
      <c r="B45" s="1559"/>
      <c r="C45" s="1559"/>
      <c r="D45" s="1560"/>
      <c r="E45" s="40">
        <f>+VLOOKUP(A45,PERSONAL!$B$3:$E$100,4,FALSE)</f>
        <v>98122</v>
      </c>
      <c r="F45" s="30">
        <v>1</v>
      </c>
      <c r="G45" s="40">
        <f t="shared" si="1"/>
        <v>98122</v>
      </c>
      <c r="H45" s="35">
        <f>+H44</f>
        <v>30</v>
      </c>
      <c r="I45" s="33">
        <f t="shared" si="2"/>
        <v>3271</v>
      </c>
      <c r="J45" s="33">
        <f t="shared" si="3"/>
        <v>3271</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18734</v>
      </c>
    </row>
    <row r="50" spans="1:10" ht="13.9" customHeight="1" x14ac:dyDescent="0.25"/>
    <row r="51" spans="1:10" ht="13.9" customHeight="1" x14ac:dyDescent="0.25">
      <c r="E51" s="41" t="s">
        <v>276</v>
      </c>
      <c r="I51" s="42">
        <f>+J49+J39+J32+J18</f>
        <v>397849</v>
      </c>
      <c r="J51" s="43"/>
    </row>
    <row r="52" spans="1:10" ht="13.9" customHeight="1" x14ac:dyDescent="0.25"/>
    <row r="53" spans="1:10" ht="14.1" customHeight="1" x14ac:dyDescent="0.25"/>
  </sheetData>
  <mergeCells count="38">
    <mergeCell ref="A1:J1"/>
    <mergeCell ref="A2:J2"/>
    <mergeCell ref="A4:J4"/>
    <mergeCell ref="A6:B6"/>
    <mergeCell ref="A7:B7"/>
    <mergeCell ref="C7:J7"/>
    <mergeCell ref="A22:F22"/>
    <mergeCell ref="A9:H9"/>
    <mergeCell ref="A10:D10"/>
    <mergeCell ref="A12:D12"/>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dataValidations disablePrompts="1" count="1">
    <dataValidation type="list" allowBlank="1" showInputMessage="1" showErrorMessage="1" sqref="A24:F31" xr:uid="{00000000-0002-0000-4A00-000000000000}">
      <formula1>$E$4:$E$108</formula1>
    </dataValidation>
  </dataValidations>
  <pageMargins left="0.70866141732283472" right="0.70866141732283472" top="0.78740157480314965" bottom="0.78740157480314965" header="0.31496062992125984" footer="0.31496062992125984"/>
  <pageSetup scale="85" orientation="portrait" r:id="rId1"/>
  <ignoredErrors>
    <ignoredError sqref="I13" formula="1"/>
  </ignoredErrors>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Hoja96">
    <tabColor theme="5" tint="-0.499984740745262"/>
  </sheetPr>
  <dimension ref="A1:N54"/>
  <sheetViews>
    <sheetView topLeftCell="A34"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4.42578125" style="19" bestFit="1" customWidth="1"/>
    <col min="10" max="10" width="12.42578125" style="19" bestFit="1" customWidth="1"/>
    <col min="11" max="11" width="11.42578125" style="19"/>
    <col min="12" max="12" width="15" style="19" customWidth="1"/>
    <col min="13"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87</v>
      </c>
      <c r="D6" s="23"/>
      <c r="E6" s="23"/>
      <c r="F6" s="23"/>
      <c r="G6" s="23"/>
      <c r="H6" s="24"/>
      <c r="I6" s="25" t="s">
        <v>248</v>
      </c>
      <c r="J6" s="26" t="str">
        <f>+VLOOKUP(C6,'ANEXO PLIEGO_1'!$A$7:$C$133,3,FALSE)</f>
        <v>UN</v>
      </c>
    </row>
    <row r="7" spans="1:12" ht="42.75" customHeight="1" x14ac:dyDescent="0.25">
      <c r="A7" s="1568" t="s">
        <v>249</v>
      </c>
      <c r="B7" s="1570"/>
      <c r="C7" s="1578" t="str">
        <f>+VLOOKUP(C6,'ANEXO PLIEGO_1'!$A$7:$B$133,2,FALSE)</f>
        <v>Suministro e instalación de hito de vértice en resina poliéster de color azul con alta resistencia al impacto y material retrorreflectivo tipo XI en la parte superior (Tipo semicilindrico con incrustación al pavimento, altura máxima de 0,90 m ancho de 1,0 m de acuerdo con la figura 5-26 Resolución 20243040045005 de 17 de septiembre de 2024 ). Incluye accesorios y materiales para fijación.</v>
      </c>
      <c r="D7" s="1579"/>
      <c r="E7" s="1579"/>
      <c r="F7" s="1579"/>
      <c r="G7" s="1579"/>
      <c r="H7" s="1579"/>
      <c r="I7" s="1579"/>
      <c r="J7" s="1580"/>
    </row>
    <row r="9" spans="1:12" s="27" customFormat="1" ht="12.75" x14ac:dyDescent="0.25">
      <c r="A9" s="1561" t="s">
        <v>250</v>
      </c>
      <c r="B9" s="1561"/>
      <c r="C9" s="1561"/>
      <c r="D9" s="1561"/>
      <c r="E9" s="1561"/>
      <c r="F9" s="1561"/>
      <c r="G9" s="1561"/>
      <c r="H9" s="1561"/>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0.5</v>
      </c>
      <c r="I11" s="33">
        <f t="shared" ref="I11:I17" si="0">IFERROR((G11/H11),0)</f>
        <v>15999.88</v>
      </c>
      <c r="J11" s="33">
        <f>ROUND(I11,0)</f>
        <v>16000</v>
      </c>
      <c r="L11" s="20" t="s">
        <v>158</v>
      </c>
    </row>
    <row r="12" spans="1:12" s="20" customFormat="1" ht="13.9" customHeight="1" x14ac:dyDescent="0.25">
      <c r="A12" s="1571" t="str">
        <f>+'EQUIPOS '!B46</f>
        <v xml:space="preserve"> PMT (KIT )</v>
      </c>
      <c r="B12" s="1572"/>
      <c r="C12" s="1572"/>
      <c r="D12" s="1573"/>
      <c r="E12" s="29" t="s">
        <v>259</v>
      </c>
      <c r="F12" s="30" t="str">
        <f>IFERROR(VLOOKUP(A12,'[10]EQUIPOS TRANSPOR SALARIO'!$A$3:$G$42,2,FALSE),"")</f>
        <v/>
      </c>
      <c r="G12" s="31">
        <f>+VLOOKUP(A12,'EQUIPOS '!$B$3:$M$64,12,FALSE)</f>
        <v>13222</v>
      </c>
      <c r="H12" s="30">
        <f>+$H$11</f>
        <v>0.5</v>
      </c>
      <c r="I12" s="33">
        <f t="shared" si="0"/>
        <v>26444</v>
      </c>
      <c r="J12" s="33">
        <f t="shared" ref="J12:J17" si="1">ROUND(I12,0)</f>
        <v>26444</v>
      </c>
      <c r="L12" s="20" t="s">
        <v>278</v>
      </c>
    </row>
    <row r="13" spans="1:12"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+$H$11</f>
        <v>0.5</v>
      </c>
      <c r="I13" s="33">
        <f t="shared" si="0"/>
        <v>25542</v>
      </c>
      <c r="J13" s="33">
        <f t="shared" si="1"/>
        <v>25542</v>
      </c>
      <c r="L13" s="20" t="s">
        <v>95</v>
      </c>
    </row>
    <row r="14" spans="1:12" s="20" customFormat="1" ht="13.9" customHeight="1" x14ac:dyDescent="0.25">
      <c r="A14" s="1571" t="str">
        <f>+'EQUIPOS '!B44</f>
        <v xml:space="preserve">TALADRO PERCUTOR  </v>
      </c>
      <c r="B14" s="1572"/>
      <c r="C14" s="1572"/>
      <c r="D14" s="1573"/>
      <c r="E14" s="29" t="s">
        <v>259</v>
      </c>
      <c r="F14" s="30" t="str">
        <f>IFERROR(VLOOKUP(A14,'[10]EQUIPOS TRANSPOR SALARIO'!$A$3:$G$42,2,FALSE),"")</f>
        <v/>
      </c>
      <c r="G14" s="31">
        <f>+VLOOKUP(A14,'EQUIPOS '!$B$3:$M$64,12,FALSE)</f>
        <v>3687.5</v>
      </c>
      <c r="H14" s="30">
        <f>+$H$11</f>
        <v>0.5</v>
      </c>
      <c r="I14" s="33">
        <f t="shared" si="0"/>
        <v>7375</v>
      </c>
      <c r="J14" s="33">
        <f t="shared" si="1"/>
        <v>7375</v>
      </c>
      <c r="L14" s="20" t="s">
        <v>159</v>
      </c>
    </row>
    <row r="15" spans="1:12" s="20" customFormat="1" ht="13.9" customHeight="1" x14ac:dyDescent="0.25">
      <c r="A15" s="1558" t="str">
        <f>+'EQUIPOS '!B33</f>
        <v>HERRAMIENTA MENOR</v>
      </c>
      <c r="B15" s="1559"/>
      <c r="C15" s="1559"/>
      <c r="D15" s="1560"/>
      <c r="E15" s="29"/>
      <c r="F15" s="30" t="str">
        <f>IFERROR(VLOOKUP(A15,'[10]EQUIPOS TRANSPOR SALARIO'!$A$3:$G$42,2,FALSE),"")</f>
        <v>Global</v>
      </c>
      <c r="G15" s="74">
        <v>0</v>
      </c>
      <c r="H15" s="299">
        <f>+J49</f>
        <v>61672</v>
      </c>
      <c r="I15" s="33">
        <f>IFERROR((G15*H15),0)</f>
        <v>0</v>
      </c>
      <c r="J15" s="33">
        <f t="shared" si="1"/>
        <v>0</v>
      </c>
      <c r="L15" s="20" t="s">
        <v>262</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f t="shared" si="0"/>
        <v>0</v>
      </c>
      <c r="J16" s="33">
        <f t="shared" si="1"/>
        <v>0</v>
      </c>
    </row>
    <row r="17" spans="1:14"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f t="shared" si="0"/>
        <v>0</v>
      </c>
      <c r="J17" s="33">
        <f t="shared" si="1"/>
        <v>0</v>
      </c>
    </row>
    <row r="18" spans="1:14" s="20" customFormat="1" ht="13.9" customHeight="1" x14ac:dyDescent="0.25">
      <c r="I18" s="30" t="s">
        <v>257</v>
      </c>
      <c r="J18" s="34">
        <f>+SUM(J11:J17)</f>
        <v>75361</v>
      </c>
    </row>
    <row r="19" spans="1:14" s="20" customFormat="1" ht="13.9" customHeight="1" x14ac:dyDescent="0.25"/>
    <row r="20" spans="1:14" s="20" customFormat="1" ht="13.9" customHeight="1" x14ac:dyDescent="0.25">
      <c r="A20" s="1561" t="s">
        <v>263</v>
      </c>
      <c r="B20" s="1561"/>
      <c r="C20" s="1561"/>
      <c r="D20" s="1561"/>
      <c r="E20" s="1561"/>
      <c r="F20" s="1561"/>
      <c r="G20" s="1561"/>
      <c r="H20" s="1561"/>
      <c r="I20" s="27"/>
    </row>
    <row r="21" spans="1:14" ht="13.9" customHeight="1" x14ac:dyDescent="0.25">
      <c r="A21" s="1565" t="s">
        <v>251</v>
      </c>
      <c r="B21" s="1566"/>
      <c r="C21" s="1566"/>
      <c r="D21" s="1566"/>
      <c r="E21" s="1566"/>
      <c r="F21" s="1567"/>
      <c r="G21" s="28" t="s">
        <v>252</v>
      </c>
      <c r="H21" s="28" t="s">
        <v>264</v>
      </c>
      <c r="I21" s="28" t="s">
        <v>256</v>
      </c>
      <c r="J21" s="28" t="s">
        <v>257</v>
      </c>
    </row>
    <row r="22" spans="1:14" ht="46.5" customHeight="1" x14ac:dyDescent="0.25">
      <c r="A22" s="1637" t="str">
        <f>+'INSUMOS '!B48</f>
        <v>HITO DE VÉRTICE EN RESINA COLOR AZUL Y MATERIAL RETRORREFLECTIVO SEMICILINDRICO CON INCRUSTACIÓN AL PAVIMENTO, ALTURA 1,20 M A 1,35 M, , ANCHO 1M A 1,2M )</v>
      </c>
      <c r="B22" s="1638"/>
      <c r="C22" s="1638"/>
      <c r="D22" s="1638"/>
      <c r="E22" s="1638"/>
      <c r="F22" s="1639"/>
      <c r="G22" s="29" t="s">
        <v>266</v>
      </c>
      <c r="H22" s="35">
        <v>1</v>
      </c>
      <c r="I22" s="33">
        <f>+IFERROR(VLOOKUP(A22,'INSUMOS '!$B$2:$AP$167,'INSUMOS '!$AO$2+1,FALSE),0)</f>
        <v>2600000</v>
      </c>
      <c r="J22" s="33">
        <f>ROUND(I22*H22,0)</f>
        <v>2600000</v>
      </c>
    </row>
    <row r="23" spans="1:14" ht="13.9" customHeight="1" x14ac:dyDescent="0.25">
      <c r="A23" s="1637" t="str">
        <f>+'INSUMOS '!B65</f>
        <v>PEGANTE EPOXICO</v>
      </c>
      <c r="B23" s="1638"/>
      <c r="C23" s="1638"/>
      <c r="D23" s="1638"/>
      <c r="E23" s="1638"/>
      <c r="F23" s="1639"/>
      <c r="G23" s="29" t="s">
        <v>266</v>
      </c>
      <c r="H23" s="35">
        <v>0.8</v>
      </c>
      <c r="I23" s="33">
        <f>+IFERROR(VLOOKUP(A23,'INSUMOS '!$B$2:$AP$167,'INSUMOS '!$AO$2+1,FALSE),0)</f>
        <v>146748</v>
      </c>
      <c r="J23" s="33">
        <f t="shared" ref="J23:J26" si="2">ROUND(I23*H23,0)</f>
        <v>117398</v>
      </c>
      <c r="N23" s="19">
        <f>2.5*8*1</f>
        <v>20</v>
      </c>
    </row>
    <row r="24" spans="1:14" ht="13.9" customHeight="1" x14ac:dyDescent="0.25">
      <c r="A24" s="1637" t="str">
        <f>+'INSUMOS '!B115</f>
        <v>CHAZO DE EXPANSION 5/16 *4</v>
      </c>
      <c r="B24" s="1638"/>
      <c r="C24" s="1638"/>
      <c r="D24" s="1638"/>
      <c r="E24" s="1638"/>
      <c r="F24" s="1639"/>
      <c r="G24" s="29" t="s">
        <v>6</v>
      </c>
      <c r="H24" s="35">
        <v>8</v>
      </c>
      <c r="I24" s="33">
        <f>+IFERROR(VLOOKUP(A24,'INSUMOS '!$B$2:$AP$167,'INSUMOS '!$AO$2+1,FALSE),0)</f>
        <v>700</v>
      </c>
      <c r="J24" s="33">
        <f t="shared" si="2"/>
        <v>5600</v>
      </c>
    </row>
    <row r="25" spans="1:14" ht="13.9" customHeight="1" x14ac:dyDescent="0.25">
      <c r="A25" s="1637" t="str">
        <f>+'INSUMOS '!B20</f>
        <v>BROCA  PUNTA DE TUNGSTENO DE 1/2"</v>
      </c>
      <c r="B25" s="1638"/>
      <c r="C25" s="1638"/>
      <c r="D25" s="1638"/>
      <c r="E25" s="1638"/>
      <c r="F25" s="1639"/>
      <c r="G25" s="29" t="s">
        <v>266</v>
      </c>
      <c r="H25" s="35">
        <v>0.01</v>
      </c>
      <c r="I25" s="33">
        <f>+IFERROR(VLOOKUP(A25,'INSUMOS '!$B$2:$AP$167,'INSUMOS '!$AO$2+1,FALSE),0)</f>
        <v>12945</v>
      </c>
      <c r="J25" s="33">
        <f t="shared" si="2"/>
        <v>129</v>
      </c>
    </row>
    <row r="26" spans="1:14" ht="13.9" customHeight="1" x14ac:dyDescent="0.25">
      <c r="A26" s="1637" t="str">
        <f>+'INSUMOS '!B114</f>
        <v>GASOLINA CORRIENTE</v>
      </c>
      <c r="B26" s="1638"/>
      <c r="C26" s="1638"/>
      <c r="D26" s="1638"/>
      <c r="E26" s="1638"/>
      <c r="F26" s="1639"/>
      <c r="G26" s="29" t="s">
        <v>114</v>
      </c>
      <c r="H26" s="35">
        <v>0.01</v>
      </c>
      <c r="I26" s="33">
        <f>+IFERROR(VLOOKUP(A26,'INSUMOS '!$B$2:$AP$167,'INSUMOS '!$AO$2+1,FALSE),0)</f>
        <v>15861</v>
      </c>
      <c r="J26" s="33">
        <f t="shared" si="2"/>
        <v>159</v>
      </c>
    </row>
    <row r="27" spans="1:14" ht="13.9" customHeight="1" x14ac:dyDescent="0.25">
      <c r="A27" s="1558"/>
      <c r="B27" s="1559"/>
      <c r="C27" s="1559"/>
      <c r="D27" s="1559"/>
      <c r="E27" s="1559"/>
      <c r="F27" s="1560"/>
      <c r="G27" s="29"/>
      <c r="H27" s="35"/>
      <c r="I27" s="33"/>
      <c r="J27" s="33"/>
    </row>
    <row r="28" spans="1:14" ht="13.9" customHeight="1" x14ac:dyDescent="0.25">
      <c r="A28" s="1558"/>
      <c r="B28" s="1559"/>
      <c r="C28" s="1559"/>
      <c r="D28" s="1559"/>
      <c r="E28" s="1559"/>
      <c r="F28" s="1560"/>
      <c r="G28" s="29"/>
      <c r="H28" s="35"/>
      <c r="I28" s="33"/>
      <c r="J28" s="33"/>
    </row>
    <row r="29" spans="1:14" ht="13.9" customHeight="1" x14ac:dyDescent="0.25">
      <c r="A29" s="1558"/>
      <c r="B29" s="1559"/>
      <c r="C29" s="1559"/>
      <c r="D29" s="1559"/>
      <c r="E29" s="1559"/>
      <c r="F29" s="1560"/>
      <c r="G29" s="29"/>
      <c r="H29" s="37"/>
      <c r="I29" s="33"/>
      <c r="J29" s="33"/>
    </row>
    <row r="30" spans="1:14" ht="13.9" customHeight="1" x14ac:dyDescent="0.25">
      <c r="A30" s="1558"/>
      <c r="B30" s="1559"/>
      <c r="C30" s="1559"/>
      <c r="D30" s="1559"/>
      <c r="E30" s="1559"/>
      <c r="F30" s="1560"/>
      <c r="G30" s="29"/>
      <c r="H30" s="35"/>
      <c r="I30" s="33"/>
      <c r="J30" s="33"/>
    </row>
    <row r="31" spans="1:14" ht="13.9" customHeight="1" x14ac:dyDescent="0.25">
      <c r="A31" s="1558"/>
      <c r="B31" s="1559"/>
      <c r="C31" s="1559"/>
      <c r="D31" s="1559"/>
      <c r="E31" s="1559"/>
      <c r="F31" s="1560"/>
      <c r="G31" s="29"/>
      <c r="H31" s="35"/>
      <c r="I31" s="33"/>
      <c r="J31" s="33"/>
    </row>
    <row r="32" spans="1:14" ht="13.9" customHeight="1" x14ac:dyDescent="0.25">
      <c r="A32" s="20"/>
      <c r="B32" s="20"/>
      <c r="C32" s="20"/>
      <c r="D32" s="20"/>
      <c r="E32" s="20"/>
      <c r="G32" s="20"/>
      <c r="H32" s="20"/>
      <c r="I32" s="30" t="s">
        <v>257</v>
      </c>
      <c r="J32" s="34">
        <f>+SUM(J22:J31)</f>
        <v>2723286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(10/1000)/12</f>
        <v>8.3333333333333339E-4</v>
      </c>
      <c r="H36" s="33">
        <f>+IFERROR(VLOOKUP(A36,'EQUIPOS '!$B$3:$M$78,12,FALSE),0)</f>
        <v>611492.5</v>
      </c>
      <c r="I36" s="33">
        <f>IFERROR(H36*G36,0)</f>
        <v>509.57708333333335</v>
      </c>
      <c r="J36" s="33">
        <f>ROUND(I36,0)</f>
        <v>510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510</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 t="shared" ref="G43:G45" si="3">+E43*F43</f>
        <v>213741</v>
      </c>
      <c r="H43" s="35">
        <f>IFERROR(H11*8,0)*2</f>
        <v>8</v>
      </c>
      <c r="I43" s="33">
        <f t="shared" ref="I43:I45" si="4">IFERROR(ROUND(G43/H43,0),0)</f>
        <v>26718</v>
      </c>
      <c r="J43" s="33">
        <f t="shared" ref="J43:J45" si="5">+I43</f>
        <v>26718</v>
      </c>
    </row>
    <row r="44" spans="1:10" s="39" customFormat="1" ht="13.9" customHeight="1" x14ac:dyDescent="0.25">
      <c r="A44" s="1558" t="str">
        <f>+PERSONAL!B6</f>
        <v>AYUDANTE NOCTURNO</v>
      </c>
      <c r="B44" s="1559"/>
      <c r="C44" s="1559"/>
      <c r="D44" s="1560"/>
      <c r="E44" s="40">
        <f>+VLOOKUP(A44,PERSONAL!$B$3:$E$100,4,FALSE)</f>
        <v>83383</v>
      </c>
      <c r="F44" s="30">
        <v>1</v>
      </c>
      <c r="G44" s="40">
        <f t="shared" si="3"/>
        <v>83383</v>
      </c>
      <c r="H44" s="35">
        <f>+H43*F44</f>
        <v>8</v>
      </c>
      <c r="I44" s="33">
        <f t="shared" si="4"/>
        <v>10423</v>
      </c>
      <c r="J44" s="33">
        <f t="shared" si="5"/>
        <v>10423</v>
      </c>
    </row>
    <row r="45" spans="1:10" s="39" customFormat="1" ht="13.9" customHeight="1" x14ac:dyDescent="0.25">
      <c r="A45" s="1558" t="str">
        <f>+PERSONAL!B4</f>
        <v>AUXILIAR DE TRÁFICO NOCTURNO</v>
      </c>
      <c r="B45" s="1559"/>
      <c r="C45" s="1559"/>
      <c r="D45" s="1560"/>
      <c r="E45" s="40">
        <f>+VLOOKUP(A45,PERSONAL!$B$3:$E$100,4,FALSE)</f>
        <v>98122</v>
      </c>
      <c r="F45" s="30">
        <v>1</v>
      </c>
      <c r="G45" s="40">
        <f t="shared" si="3"/>
        <v>98122</v>
      </c>
      <c r="H45" s="35">
        <f>IF(A45="","",IFERROR(H14*8,0))</f>
        <v>4</v>
      </c>
      <c r="I45" s="33">
        <f t="shared" si="4"/>
        <v>24531</v>
      </c>
      <c r="J45" s="33">
        <f t="shared" si="5"/>
        <v>24531</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61672</v>
      </c>
    </row>
    <row r="50" spans="1:10" ht="13.9" customHeight="1" x14ac:dyDescent="0.25"/>
    <row r="51" spans="1:10" ht="13.9" customHeight="1" x14ac:dyDescent="0.25">
      <c r="E51" s="41" t="s">
        <v>276</v>
      </c>
      <c r="I51" s="42">
        <f>+J49+J39+J32+J18</f>
        <v>2860829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Hoja95">
    <tabColor theme="5" tint="-0.499984740745262"/>
  </sheetPr>
  <dimension ref="A1:L54"/>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86</v>
      </c>
      <c r="D6" s="23"/>
      <c r="E6" s="23"/>
      <c r="F6" s="23"/>
      <c r="G6" s="23"/>
      <c r="H6" s="24"/>
      <c r="I6" s="25" t="s">
        <v>248</v>
      </c>
      <c r="J6" s="26" t="str">
        <f>+VLOOKUP(C6,'ANEXO PLIEGO_1'!$A$7:$C$133,3,FALSE)</f>
        <v>M</v>
      </c>
    </row>
    <row r="7" spans="1:12" ht="35.1" customHeight="1" x14ac:dyDescent="0.25">
      <c r="A7" s="1568" t="s">
        <v>249</v>
      </c>
      <c r="B7" s="1570"/>
      <c r="C7" s="1578" t="str">
        <f>+VLOOKUP(C6,'ANEXO PLIEGO_1'!$A$7:$B$133,2,FALSE)</f>
        <v>Suministro y anclaje de resalto portátil de caucho con alta resistencia al impacto con ancho mínimo de 30 cm y altura entre 2 y 8 cm. Incluye accesorios y materiales para fijación. Figura 5.32 Resolución 20243040045005 de 17 de septiembre de 2024</v>
      </c>
      <c r="D7" s="1579"/>
      <c r="E7" s="1579"/>
      <c r="F7" s="1579"/>
      <c r="G7" s="1579"/>
      <c r="H7" s="1579"/>
      <c r="I7" s="1579"/>
      <c r="J7" s="1580"/>
    </row>
    <row r="9" spans="1:12" s="27" customFormat="1" ht="12.75" x14ac:dyDescent="0.25">
      <c r="A9" s="1561" t="s">
        <v>250</v>
      </c>
      <c r="B9" s="1561"/>
      <c r="C9" s="1561"/>
      <c r="D9" s="1561"/>
      <c r="E9" s="1561"/>
      <c r="F9" s="1561"/>
      <c r="G9" s="1561"/>
      <c r="H9" s="1561"/>
    </row>
    <row r="10" spans="1:12" s="20" customFormat="1" ht="13.9" customHeight="1" x14ac:dyDescent="0.25">
      <c r="A10" s="1562" t="s">
        <v>251</v>
      </c>
      <c r="B10" s="1563"/>
      <c r="C10" s="1563"/>
      <c r="D10" s="1564"/>
      <c r="E10" s="28" t="s">
        <v>252</v>
      </c>
      <c r="F10" s="28" t="s">
        <v>253</v>
      </c>
      <c r="G10" s="28" t="s">
        <v>254</v>
      </c>
      <c r="H10" s="28" t="s">
        <v>255</v>
      </c>
      <c r="I10" s="28" t="s">
        <v>256</v>
      </c>
      <c r="J10" s="28" t="s">
        <v>257</v>
      </c>
      <c r="L10" s="20" t="s">
        <v>158</v>
      </c>
    </row>
    <row r="11" spans="1:12" s="20" customFormat="1" ht="13.9" customHeight="1" x14ac:dyDescent="0.25">
      <c r="A11" s="1558" t="str">
        <f>+'EQUIPOS '!B9</f>
        <v>COMPRESOR</v>
      </c>
      <c r="B11" s="1559"/>
      <c r="C11" s="1559"/>
      <c r="D11" s="1560"/>
      <c r="E11" s="29" t="s">
        <v>259</v>
      </c>
      <c r="F11" s="30" t="str">
        <f>IFERROR(VLOOKUP(A11,'[10]EQUIPOS TRANSPOR SALARIO'!$A$3:$G$42,2,FALSE),"")</f>
        <v>Eléctrico</v>
      </c>
      <c r="G11" s="31">
        <f>+VLOOKUP(A11,'EQUIPOS '!$B$3:$M$64,12,FALSE)</f>
        <v>7999.94</v>
      </c>
      <c r="H11" s="30">
        <v>50</v>
      </c>
      <c r="I11" s="33">
        <f t="shared" ref="I11:I17" si="0">IFERROR((G11/H11),0)</f>
        <v>159.99879999999999</v>
      </c>
      <c r="J11" s="33">
        <f>ROUND(I11,0)</f>
        <v>160</v>
      </c>
      <c r="L11" s="20" t="s">
        <v>278</v>
      </c>
    </row>
    <row r="12" spans="1:12"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50</v>
      </c>
      <c r="I12" s="33">
        <f t="shared" si="0"/>
        <v>264.44</v>
      </c>
      <c r="J12" s="33">
        <f t="shared" ref="J12:J17" si="1">ROUND(I12,0)</f>
        <v>264</v>
      </c>
      <c r="L12" s="20" t="s">
        <v>95</v>
      </c>
    </row>
    <row r="13" spans="1:12" s="20" customFormat="1" ht="13.9" customHeight="1" x14ac:dyDescent="0.25">
      <c r="A13" s="1558" t="str">
        <f>+'EQUIPOS '!B36</f>
        <v>PLANTA ELÉCTRICA</v>
      </c>
      <c r="B13" s="1559"/>
      <c r="C13" s="1559"/>
      <c r="D13" s="1560"/>
      <c r="E13" s="29" t="s">
        <v>259</v>
      </c>
      <c r="F13" s="30" t="str">
        <f>IFERROR(VLOOKUP(A13,'[10]EQUIPOS TRANSPOR SALARIO'!$A$3:$G$42,2,FALSE),"")</f>
        <v>Eléctrico</v>
      </c>
      <c r="G13" s="31">
        <f>+VLOOKUP(A13,'EQUIPOS '!$B$3:$M$64,12,FALSE)</f>
        <v>12771</v>
      </c>
      <c r="H13" s="30">
        <f>+$H$11</f>
        <v>50</v>
      </c>
      <c r="I13" s="33">
        <f t="shared" si="0"/>
        <v>255.42</v>
      </c>
      <c r="J13" s="33">
        <f t="shared" si="1"/>
        <v>255</v>
      </c>
      <c r="L13" s="20" t="s">
        <v>159</v>
      </c>
    </row>
    <row r="14" spans="1:12" s="20" customFormat="1" ht="13.9" customHeight="1" x14ac:dyDescent="0.25">
      <c r="A14" s="1558" t="str">
        <f>+'EQUIPOS '!B44</f>
        <v xml:space="preserve">TALADRO PERCUTOR  </v>
      </c>
      <c r="B14" s="1559"/>
      <c r="C14" s="1559"/>
      <c r="D14" s="1560"/>
      <c r="E14" s="29" t="s">
        <v>259</v>
      </c>
      <c r="F14" s="30" t="str">
        <f>IFERROR(VLOOKUP(A14,'[10]EQUIPOS TRANSPOR SALARIO'!$A$3:$G$42,2,FALSE),"")</f>
        <v/>
      </c>
      <c r="G14" s="31">
        <f>+VLOOKUP(A14,'EQUIPOS '!$B$3:$M$64,12,FALSE)</f>
        <v>3687.5</v>
      </c>
      <c r="H14" s="30">
        <f>+$H$11</f>
        <v>50</v>
      </c>
      <c r="I14" s="33">
        <f t="shared" si="0"/>
        <v>73.75</v>
      </c>
      <c r="J14" s="33">
        <f t="shared" si="1"/>
        <v>74</v>
      </c>
      <c r="L14" s="20" t="s">
        <v>262</v>
      </c>
    </row>
    <row r="15" spans="1:12" s="20" customFormat="1" ht="13.9" customHeight="1" x14ac:dyDescent="0.25">
      <c r="A15" s="1558"/>
      <c r="B15" s="1559"/>
      <c r="C15" s="1559"/>
      <c r="D15" s="1560"/>
      <c r="E15" s="29"/>
      <c r="F15" s="30"/>
      <c r="G15" s="31"/>
      <c r="H15" s="30"/>
      <c r="I15" s="33"/>
      <c r="J15" s="33"/>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f t="shared" si="0"/>
        <v>0</v>
      </c>
      <c r="J16" s="33">
        <f t="shared" si="1"/>
        <v>0</v>
      </c>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f t="shared" si="0"/>
        <v>0</v>
      </c>
      <c r="J17" s="33">
        <f t="shared" si="1"/>
        <v>0</v>
      </c>
    </row>
    <row r="18" spans="1:10" s="20" customFormat="1" ht="13.9" customHeight="1" x14ac:dyDescent="0.25">
      <c r="I18" s="30" t="s">
        <v>257</v>
      </c>
      <c r="J18" s="34">
        <f>+SUM(J11:J17)</f>
        <v>753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0.75" customHeight="1" x14ac:dyDescent="0.25">
      <c r="A22" s="1637" t="str">
        <f>+'INSUMOS '!B90</f>
        <v>RESALTO PORTÁTIL DE CAUCHO  CON ALTA RESISTENCIA AL IMPACTO CON ANCHO MÍNIMO DE 30 CM Y ALTURA ENTRE 5 Y 8 CM</v>
      </c>
      <c r="B22" s="1638"/>
      <c r="C22" s="1638"/>
      <c r="D22" s="1638"/>
      <c r="E22" s="1638"/>
      <c r="F22" s="1639"/>
      <c r="G22" s="29" t="str">
        <f>+VLOOKUP(A22,'INSUMOS '!$B$3:$C$128,2,FALSE)</f>
        <v>M</v>
      </c>
      <c r="H22" s="35">
        <v>1</v>
      </c>
      <c r="I22" s="33">
        <f>+IFERROR(VLOOKUP(A22,'INSUMOS '!$B$2:$AP$167,'INSUMOS '!$AO$2+1,FALSE),0)</f>
        <v>214170</v>
      </c>
      <c r="J22" s="33">
        <f>ROUND(I22*H22,0)</f>
        <v>214170</v>
      </c>
    </row>
    <row r="23" spans="1:10" ht="13.9" customHeight="1" x14ac:dyDescent="0.25">
      <c r="A23" s="1637" t="str">
        <f>+'INSUMOS '!B65</f>
        <v>PEGANTE EPOXICO</v>
      </c>
      <c r="B23" s="1638"/>
      <c r="C23" s="1638"/>
      <c r="D23" s="1638"/>
      <c r="E23" s="1638"/>
      <c r="F23" s="1639"/>
      <c r="G23" s="29" t="str">
        <f>+VLOOKUP(A23,'INSUMOS '!$B$3:$C$128,2,FALSE)</f>
        <v>KG</v>
      </c>
      <c r="H23" s="35">
        <v>0.5</v>
      </c>
      <c r="I23" s="33">
        <f>+IFERROR(VLOOKUP(A23,'INSUMOS '!$B$2:$AP$167,'INSUMOS '!$AO$2+1,FALSE),0)</f>
        <v>146748</v>
      </c>
      <c r="J23" s="33">
        <f>ROUND(I23*H23,0)</f>
        <v>73374</v>
      </c>
    </row>
    <row r="24" spans="1:10" ht="13.9" customHeight="1" x14ac:dyDescent="0.25">
      <c r="A24" s="1637" t="str">
        <f>+'INSUMOS '!B115</f>
        <v>CHAZO DE EXPANSION 5/16 *4</v>
      </c>
      <c r="B24" s="1638"/>
      <c r="C24" s="1638"/>
      <c r="D24" s="1638"/>
      <c r="E24" s="1638"/>
      <c r="F24" s="1639"/>
      <c r="G24" s="29" t="str">
        <f>+VLOOKUP(A24,'INSUMOS '!$B$3:$C$128,2,FALSE)</f>
        <v>UN</v>
      </c>
      <c r="H24" s="35">
        <v>16</v>
      </c>
      <c r="I24" s="33">
        <f>+IFERROR(VLOOKUP(A24,'INSUMOS '!$B$2:$AP$167,'INSUMOS '!$AO$2+1,FALSE),0)</f>
        <v>700</v>
      </c>
      <c r="J24" s="33">
        <f>ROUND(I24*H24,0)</f>
        <v>11200</v>
      </c>
    </row>
    <row r="25" spans="1:10" ht="13.9" customHeight="1" x14ac:dyDescent="0.25">
      <c r="A25" s="1637" t="str">
        <f>+'INSUMOS '!B20</f>
        <v>BROCA  PUNTA DE TUNGSTENO DE 1/2"</v>
      </c>
      <c r="B25" s="1638"/>
      <c r="C25" s="1638"/>
      <c r="D25" s="1638"/>
      <c r="E25" s="1638"/>
      <c r="F25" s="1639"/>
      <c r="G25" s="29" t="str">
        <f>+VLOOKUP(A25,'INSUMOS '!$B$3:$C$128,2,FALSE)</f>
        <v>UN</v>
      </c>
      <c r="H25" s="35">
        <v>0.01</v>
      </c>
      <c r="I25" s="33">
        <f>+IFERROR(VLOOKUP(A25,'INSUMOS '!$B$2:$AP$167,'INSUMOS '!$AO$2+1,FALSE),0)</f>
        <v>12945</v>
      </c>
      <c r="J25" s="33">
        <f>ROUND(I25*H25,0)</f>
        <v>129</v>
      </c>
    </row>
    <row r="26" spans="1:10" ht="13.9" customHeight="1" x14ac:dyDescent="0.25">
      <c r="A26" s="1637" t="str">
        <f>+'INSUMOS '!B114</f>
        <v>GASOLINA CORRIENTE</v>
      </c>
      <c r="B26" s="1638"/>
      <c r="C26" s="1638"/>
      <c r="D26" s="1638"/>
      <c r="E26" s="1638"/>
      <c r="F26" s="1639"/>
      <c r="G26" s="29" t="str">
        <f>+VLOOKUP(A26,'INSUMOS '!$B$3:$C$128,2,FALSE)</f>
        <v>GAL</v>
      </c>
      <c r="H26" s="35">
        <v>0.01</v>
      </c>
      <c r="I26" s="33">
        <f>+IFERROR(VLOOKUP(A26,'INSUMOS '!$B$2:$AP$167,'INSUMOS '!$AO$2+1,FALSE),0)</f>
        <v>15861</v>
      </c>
      <c r="J26" s="33">
        <f>ROUND(I26*H26,0)</f>
        <v>159</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299032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(5/1000)/12</f>
        <v>4.1666666666666669E-4</v>
      </c>
      <c r="H36" s="33">
        <f>+IFERROR(VLOOKUP(A36,'EQUIPOS '!$B$3:$M$78,12,FALSE),0)</f>
        <v>611492.5</v>
      </c>
      <c r="I36" s="33">
        <f>IFERROR(H36*G36,0)</f>
        <v>254.78854166666667</v>
      </c>
      <c r="J36" s="33">
        <f>ROUND(I36,0)</f>
        <v>255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255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 t="shared" ref="G43:G45" si="2">+E43*F43</f>
        <v>213741</v>
      </c>
      <c r="H43" s="35">
        <f>IFERROR(H11*8,0)</f>
        <v>400</v>
      </c>
      <c r="I43" s="33">
        <f t="shared" ref="I43:I45" si="3">IFERROR(ROUND(G43/H43,0),0)</f>
        <v>534</v>
      </c>
      <c r="J43" s="33">
        <f t="shared" ref="J43:J45" si="4">+I43</f>
        <v>534</v>
      </c>
    </row>
    <row r="44" spans="1:10" s="39" customFormat="1" ht="13.9" customHeight="1" x14ac:dyDescent="0.25">
      <c r="A44" s="1558" t="str">
        <f>+PERSONAL!B6</f>
        <v>AYUDANTE NOCTURNO</v>
      </c>
      <c r="B44" s="1559"/>
      <c r="C44" s="1559"/>
      <c r="D44" s="1560"/>
      <c r="E44" s="40">
        <f>+VLOOKUP(A44,PERSONAL!$B$3:$E$100,4,FALSE)</f>
        <v>83383</v>
      </c>
      <c r="F44" s="30">
        <v>2</v>
      </c>
      <c r="G44" s="40">
        <f t="shared" si="2"/>
        <v>166766</v>
      </c>
      <c r="H44" s="35">
        <f>IFERROR(H12*8,0)</f>
        <v>400</v>
      </c>
      <c r="I44" s="33">
        <f t="shared" si="3"/>
        <v>417</v>
      </c>
      <c r="J44" s="33">
        <f t="shared" si="4"/>
        <v>417</v>
      </c>
    </row>
    <row r="45" spans="1:10" s="39" customFormat="1" ht="13.9" customHeight="1" x14ac:dyDescent="0.25">
      <c r="A45" s="1558" t="str">
        <f>+PERSONAL!B4</f>
        <v>AUXILIAR DE TRÁFICO NOCTURNO</v>
      </c>
      <c r="B45" s="1559"/>
      <c r="C45" s="1559"/>
      <c r="D45" s="1560"/>
      <c r="E45" s="40">
        <f>+VLOOKUP(A45,PERSONAL!$B$3:$E$100,4,FALSE)</f>
        <v>98122</v>
      </c>
      <c r="F45" s="30">
        <v>1</v>
      </c>
      <c r="G45" s="40">
        <f t="shared" si="2"/>
        <v>98122</v>
      </c>
      <c r="H45" s="35">
        <f>IF(A45="","",IFERROR(H14*8,0))</f>
        <v>400</v>
      </c>
      <c r="I45" s="33">
        <f t="shared" si="3"/>
        <v>245</v>
      </c>
      <c r="J45" s="33">
        <f t="shared" si="4"/>
        <v>245</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1196</v>
      </c>
    </row>
    <row r="50" spans="1:10" ht="13.9" customHeight="1" x14ac:dyDescent="0.25"/>
    <row r="51" spans="1:10" ht="13.9" customHeight="1" x14ac:dyDescent="0.25">
      <c r="E51" s="41" t="s">
        <v>276</v>
      </c>
      <c r="I51" s="42">
        <f>+J49+J39+J32+J18</f>
        <v>301236</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Hoja94">
    <tabColor theme="5" tint="-0.499984740745262"/>
  </sheetPr>
  <dimension ref="A1:Q54"/>
  <sheetViews>
    <sheetView topLeftCell="A37" workbookViewId="0">
      <selection activeCell="S40" sqref="S40"/>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4.28515625" style="19" bestFit="1" customWidth="1"/>
    <col min="10" max="10" width="12" style="19" customWidth="1"/>
    <col min="11" max="11" width="11.42578125" style="19"/>
    <col min="12" max="17" width="0" style="19" hidden="1" customWidth="1"/>
    <col min="18" max="16384" width="11.42578125" style="19"/>
  </cols>
  <sheetData>
    <row r="1" spans="1:17" ht="29.25" customHeight="1" x14ac:dyDescent="0.25">
      <c r="A1" s="1574" t="s">
        <v>244</v>
      </c>
      <c r="B1" s="1575"/>
      <c r="C1" s="1575"/>
      <c r="D1" s="1575"/>
      <c r="E1" s="1575"/>
      <c r="F1" s="1575"/>
      <c r="G1" s="1575"/>
      <c r="H1" s="1575"/>
      <c r="I1" s="1575"/>
      <c r="J1" s="1575"/>
    </row>
    <row r="2" spans="1:17" ht="15" customHeight="1" x14ac:dyDescent="0.25">
      <c r="A2" s="1576" t="s">
        <v>245</v>
      </c>
      <c r="B2" s="1576"/>
      <c r="C2" s="1576"/>
      <c r="D2" s="1576"/>
      <c r="E2" s="1576"/>
      <c r="F2" s="1576"/>
      <c r="G2" s="1576"/>
      <c r="H2" s="1576"/>
      <c r="I2" s="1576"/>
      <c r="J2" s="1576"/>
    </row>
    <row r="4" spans="1:17" s="20" customFormat="1" ht="9.9499999999999993" customHeight="1" x14ac:dyDescent="0.25">
      <c r="A4" s="1577" t="s">
        <v>246</v>
      </c>
      <c r="B4" s="1577"/>
      <c r="C4" s="1577"/>
      <c r="D4" s="1577"/>
      <c r="E4" s="1577"/>
      <c r="F4" s="1577"/>
      <c r="G4" s="1577"/>
      <c r="H4" s="1577"/>
      <c r="I4" s="1577"/>
      <c r="J4" s="1577"/>
    </row>
    <row r="5" spans="1:17" s="20" customFormat="1" ht="9.9499999999999993" customHeight="1" x14ac:dyDescent="0.25">
      <c r="B5" s="21"/>
      <c r="C5" s="21"/>
      <c r="D5" s="21"/>
      <c r="E5" s="21"/>
      <c r="F5" s="21"/>
      <c r="G5" s="21"/>
    </row>
    <row r="6" spans="1:17" x14ac:dyDescent="0.25">
      <c r="A6" s="1558" t="s">
        <v>247</v>
      </c>
      <c r="B6" s="1560"/>
      <c r="C6" s="22">
        <v>85</v>
      </c>
      <c r="D6" s="23"/>
      <c r="E6" s="23"/>
      <c r="F6" s="23"/>
      <c r="G6" s="23"/>
      <c r="H6" s="24"/>
      <c r="I6" s="25" t="s">
        <v>248</v>
      </c>
      <c r="J6" s="26" t="str">
        <f>+VLOOKUP(C6,'ANEXO PLIEGO_1'!$A$7:$C$133,3,FALSE)</f>
        <v>M</v>
      </c>
    </row>
    <row r="7" spans="1:17" ht="35.1" customHeight="1" x14ac:dyDescent="0.25">
      <c r="A7" s="1568" t="s">
        <v>249</v>
      </c>
      <c r="B7" s="1570"/>
      <c r="C7" s="1578" t="str">
        <f>+VLOOKUP(C6,'ANEXO PLIEGO_1'!$A$7:$B$133,2,FALSE)</f>
        <v>Suministro y anclaje de banda alertadora en resina con alta resistencia al impacto con ancho mínimo de 25 cm y altura máxima de 2 cm. Incluye materiales para la fijación.</v>
      </c>
      <c r="D7" s="1579"/>
      <c r="E7" s="1579"/>
      <c r="F7" s="1579"/>
      <c r="G7" s="1579"/>
      <c r="H7" s="1579"/>
      <c r="I7" s="1579"/>
      <c r="J7" s="1580"/>
      <c r="P7" s="19">
        <f>+PI()*(0.1^2)/4</f>
        <v>7.8539816339744835E-3</v>
      </c>
      <c r="Q7" s="19">
        <f>175/1000</f>
        <v>0.17499999999999999</v>
      </c>
    </row>
    <row r="9" spans="1:17" s="27" customFormat="1" ht="12.75" x14ac:dyDescent="0.25">
      <c r="A9" s="1561" t="s">
        <v>250</v>
      </c>
      <c r="B9" s="1561"/>
      <c r="C9" s="1561"/>
      <c r="D9" s="1561"/>
      <c r="E9" s="1561"/>
      <c r="F9" s="1561"/>
      <c r="G9" s="1561"/>
      <c r="H9" s="1561"/>
    </row>
    <row r="10" spans="1:17" s="20" customFormat="1" ht="13.9" customHeight="1" x14ac:dyDescent="0.25">
      <c r="A10" s="1562" t="s">
        <v>251</v>
      </c>
      <c r="B10" s="1563"/>
      <c r="C10" s="1563"/>
      <c r="D10" s="1564"/>
      <c r="E10" s="28" t="s">
        <v>252</v>
      </c>
      <c r="F10" s="28" t="s">
        <v>253</v>
      </c>
      <c r="G10" s="28" t="s">
        <v>254</v>
      </c>
      <c r="H10" s="28" t="s">
        <v>255</v>
      </c>
      <c r="I10" s="28" t="s">
        <v>256</v>
      </c>
      <c r="J10" s="28" t="s">
        <v>257</v>
      </c>
      <c r="O10" s="20" t="s">
        <v>3133</v>
      </c>
    </row>
    <row r="11" spans="1:17" s="20" customFormat="1" ht="13.9" customHeight="1" x14ac:dyDescent="0.25">
      <c r="A11" s="1558" t="str">
        <f>+'EQUIPOS '!B9</f>
        <v>COMPRESOR</v>
      </c>
      <c r="B11" s="1559"/>
      <c r="C11" s="1559"/>
      <c r="D11" s="1560"/>
      <c r="E11" s="29" t="s">
        <v>259</v>
      </c>
      <c r="F11" s="30" t="str">
        <f>IFERROR(VLOOKUP(A11,'[10]EQUIPOS TRANSPOR SALARIO'!$A$3:$G$42,2,FALSE),"")</f>
        <v>Eléctrico</v>
      </c>
      <c r="G11" s="31">
        <f>+VLOOKUP(A11,'EQUIPOS '!$B$3:$M$64,12,FALSE)</f>
        <v>7999.94</v>
      </c>
      <c r="H11" s="30">
        <v>50</v>
      </c>
      <c r="I11" s="33">
        <f t="shared" ref="I11:I14" si="0">IFERROR((G11/H11),0)</f>
        <v>159.99879999999999</v>
      </c>
      <c r="J11" s="33">
        <f>ROUND(I11,0)</f>
        <v>160</v>
      </c>
      <c r="O11" s="20">
        <v>0.25</v>
      </c>
      <c r="Q11" s="20">
        <f>+O11*Q7/P7</f>
        <v>5.570423008216336</v>
      </c>
    </row>
    <row r="12" spans="1:17"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50</v>
      </c>
      <c r="I12" s="33">
        <f t="shared" si="0"/>
        <v>264.44</v>
      </c>
      <c r="J12" s="33">
        <f t="shared" ref="J12:J14" si="1">ROUND(I12,0)</f>
        <v>264</v>
      </c>
    </row>
    <row r="13" spans="1:17" s="20" customFormat="1" ht="13.9" customHeight="1" x14ac:dyDescent="0.25">
      <c r="A13" s="1558" t="str">
        <f>+'EQUIPOS '!B36</f>
        <v>PLANTA ELÉCTRICA</v>
      </c>
      <c r="B13" s="1559"/>
      <c r="C13" s="1559"/>
      <c r="D13" s="1560"/>
      <c r="E13" s="29" t="s">
        <v>259</v>
      </c>
      <c r="F13" s="30" t="str">
        <f>IFERROR(VLOOKUP(A13,'[10]EQUIPOS TRANSPOR SALARIO'!$A$3:$G$42,2,FALSE),"")</f>
        <v>Eléctrico</v>
      </c>
      <c r="G13" s="31">
        <f>+VLOOKUP(A13,'EQUIPOS '!$B$3:$M$64,12,FALSE)</f>
        <v>12771</v>
      </c>
      <c r="H13" s="30">
        <f>+$H$11</f>
        <v>50</v>
      </c>
      <c r="I13" s="33">
        <f t="shared" si="0"/>
        <v>255.42</v>
      </c>
      <c r="J13" s="33">
        <f t="shared" si="1"/>
        <v>255</v>
      </c>
    </row>
    <row r="14" spans="1:17" s="20" customFormat="1" ht="13.9" customHeight="1" x14ac:dyDescent="0.25">
      <c r="A14" s="1558" t="str">
        <f>+'EQUIPOS '!B44</f>
        <v xml:space="preserve">TALADRO PERCUTOR  </v>
      </c>
      <c r="B14" s="1559"/>
      <c r="C14" s="1559"/>
      <c r="D14" s="1560"/>
      <c r="E14" s="29" t="s">
        <v>259</v>
      </c>
      <c r="F14" s="30" t="str">
        <f>IFERROR(VLOOKUP(A14,'[10]EQUIPOS TRANSPOR SALARIO'!$A$3:$G$42,2,FALSE),"")</f>
        <v/>
      </c>
      <c r="G14" s="31">
        <f>+VLOOKUP(A14,'EQUIPOS '!$B$3:$M$64,12,FALSE)</f>
        <v>3687.5</v>
      </c>
      <c r="H14" s="30">
        <f>+$H$11</f>
        <v>50</v>
      </c>
      <c r="I14" s="33">
        <f t="shared" si="0"/>
        <v>73.75</v>
      </c>
      <c r="J14" s="33">
        <f t="shared" si="1"/>
        <v>74</v>
      </c>
      <c r="O14" s="20">
        <f>0.175*20</f>
        <v>3.5</v>
      </c>
    </row>
    <row r="15" spans="1:17" s="20" customFormat="1" ht="13.9" customHeight="1" x14ac:dyDescent="0.25">
      <c r="A15" s="1558"/>
      <c r="B15" s="1559"/>
      <c r="C15" s="1559"/>
      <c r="D15" s="1560"/>
      <c r="E15" s="29"/>
      <c r="F15" s="30"/>
      <c r="G15" s="74"/>
      <c r="H15" s="299"/>
      <c r="I15" s="33"/>
      <c r="J15" s="33"/>
    </row>
    <row r="16" spans="1:17"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2"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2" s="20" customFormat="1" ht="13.9" customHeight="1" x14ac:dyDescent="0.25">
      <c r="I18" s="30" t="s">
        <v>257</v>
      </c>
      <c r="J18" s="34">
        <f>+SUM(J11:J17)</f>
        <v>753</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ht="41.25" customHeight="1" x14ac:dyDescent="0.25">
      <c r="A22" s="1637" t="str">
        <f>+'INSUMOS '!B12</f>
        <v>BANDA ALERTADORA EN RESINA CON ALTA RESISTENCIA AL IMPACTO CON ANCHO MINIMO DE 25 CM Y ALTURA MAXIMA DE 2 CM. INCLUYE ELEMENTOS PARA LA FIJACIÓN (BANDA SONORA PLÁSTICA)</v>
      </c>
      <c r="B22" s="1638"/>
      <c r="C22" s="1638"/>
      <c r="D22" s="1638"/>
      <c r="E22" s="1638"/>
      <c r="F22" s="1639"/>
      <c r="G22" s="29" t="str">
        <f>+VLOOKUP(A22,'INSUMOS '!$B$3:$C$128,2,FALSE)</f>
        <v>M</v>
      </c>
      <c r="H22" s="35">
        <v>3.6</v>
      </c>
      <c r="I22" s="33">
        <f>+IFERROR(VLOOKUP(A22,'INSUMOS '!$B$2:$AP$167,'INSUMOS '!$AO$2+1,FALSE),0)</f>
        <v>94631.18</v>
      </c>
      <c r="J22" s="33">
        <f>ROUND(I22*H22,0)</f>
        <v>340672</v>
      </c>
    </row>
    <row r="23" spans="1:12" ht="13.9" customHeight="1" x14ac:dyDescent="0.25">
      <c r="A23" s="1637" t="str">
        <f>+'INSUMOS '!B65</f>
        <v>PEGANTE EPOXICO</v>
      </c>
      <c r="B23" s="1638"/>
      <c r="C23" s="1638"/>
      <c r="D23" s="1638"/>
      <c r="E23" s="1638"/>
      <c r="F23" s="1639"/>
      <c r="G23" s="29" t="str">
        <f>+VLOOKUP(A23,'INSUMOS '!$B$3:$C$128,2,FALSE)</f>
        <v>KG</v>
      </c>
      <c r="H23" s="35">
        <v>0.1</v>
      </c>
      <c r="I23" s="33">
        <f>+IFERROR(VLOOKUP(A23,'INSUMOS '!$B$2:$AP$167,'INSUMOS '!$AO$2+1,FALSE),0)</f>
        <v>146748</v>
      </c>
      <c r="J23" s="33">
        <f t="shared" ref="J23:J26" si="2">ROUND(I23*H23,0)</f>
        <v>14675</v>
      </c>
      <c r="L23" s="19" t="s">
        <v>288</v>
      </c>
    </row>
    <row r="24" spans="1:12" ht="13.9" customHeight="1" x14ac:dyDescent="0.25">
      <c r="A24" s="1637" t="str">
        <f>+'INSUMOS '!B115</f>
        <v>CHAZO DE EXPANSION 5/16 *4</v>
      </c>
      <c r="B24" s="1638"/>
      <c r="C24" s="1638"/>
      <c r="D24" s="1638"/>
      <c r="E24" s="1638"/>
      <c r="F24" s="1639"/>
      <c r="G24" s="29" t="str">
        <f>+VLOOKUP(A24,'INSUMOS '!$B$3:$C$128,2,FALSE)</f>
        <v>UN</v>
      </c>
      <c r="H24" s="35">
        <v>2</v>
      </c>
      <c r="I24" s="33">
        <f>+IFERROR(VLOOKUP(A24,'INSUMOS '!$B$2:$AP$167,'INSUMOS '!$AO$2+1,FALSE),0)</f>
        <v>700</v>
      </c>
      <c r="J24" s="33">
        <f t="shared" si="2"/>
        <v>1400</v>
      </c>
      <c r="L24" s="19" t="s">
        <v>289</v>
      </c>
    </row>
    <row r="25" spans="1:12" ht="13.9" customHeight="1" x14ac:dyDescent="0.25">
      <c r="A25" s="1637" t="str">
        <f>+'INSUMOS '!B20</f>
        <v>BROCA  PUNTA DE TUNGSTENO DE 1/2"</v>
      </c>
      <c r="B25" s="1638"/>
      <c r="C25" s="1638"/>
      <c r="D25" s="1638"/>
      <c r="E25" s="1638"/>
      <c r="F25" s="1639"/>
      <c r="G25" s="29" t="str">
        <f>+VLOOKUP(A25,'INSUMOS '!$B$3:$C$128,2,FALSE)</f>
        <v>UN</v>
      </c>
      <c r="H25" s="35">
        <v>0.01</v>
      </c>
      <c r="I25" s="33">
        <f>+IFERROR(VLOOKUP(A25,'INSUMOS '!$B$2:$AP$167,'INSUMOS '!$AO$2+1,FALSE),0)</f>
        <v>12945</v>
      </c>
      <c r="J25" s="33">
        <f t="shared" si="2"/>
        <v>129</v>
      </c>
      <c r="L25" s="19" t="s">
        <v>277</v>
      </c>
    </row>
    <row r="26" spans="1:12" ht="13.9" customHeight="1" x14ac:dyDescent="0.25">
      <c r="A26" s="1637" t="str">
        <f>+'INSUMOS '!B114</f>
        <v>GASOLINA CORRIENTE</v>
      </c>
      <c r="B26" s="1638"/>
      <c r="C26" s="1638"/>
      <c r="D26" s="1638"/>
      <c r="E26" s="1638"/>
      <c r="F26" s="1639"/>
      <c r="G26" s="29" t="str">
        <f>+VLOOKUP(A26,'INSUMOS '!$B$3:$C$128,2,FALSE)</f>
        <v>GAL</v>
      </c>
      <c r="H26" s="35">
        <v>0.01</v>
      </c>
      <c r="I26" s="33">
        <f>+IFERROR(VLOOKUP(A26,'INSUMOS '!$B$2:$AP$167,'INSUMOS '!$AO$2+1,FALSE),0)</f>
        <v>15861</v>
      </c>
      <c r="J26" s="33">
        <f t="shared" si="2"/>
        <v>159</v>
      </c>
    </row>
    <row r="27" spans="1:12" ht="13.9" customHeight="1" x14ac:dyDescent="0.25">
      <c r="A27" s="1637"/>
      <c r="B27" s="1638"/>
      <c r="C27" s="1638"/>
      <c r="D27" s="1638"/>
      <c r="E27" s="1638"/>
      <c r="F27" s="1639"/>
      <c r="G27" s="29"/>
      <c r="H27" s="35"/>
      <c r="I27" s="33"/>
      <c r="J27" s="33"/>
    </row>
    <row r="28" spans="1:12" ht="13.9" customHeight="1" x14ac:dyDescent="0.25">
      <c r="A28" s="1637"/>
      <c r="B28" s="1638"/>
      <c r="C28" s="1638"/>
      <c r="D28" s="1638"/>
      <c r="E28" s="1638"/>
      <c r="F28" s="1639"/>
      <c r="G28" s="29"/>
      <c r="H28" s="35"/>
      <c r="I28" s="33"/>
      <c r="J28" s="33"/>
    </row>
    <row r="29" spans="1:12" ht="13.9" customHeight="1" x14ac:dyDescent="0.25">
      <c r="A29" s="1637"/>
      <c r="B29" s="1638"/>
      <c r="C29" s="1638"/>
      <c r="D29" s="1638"/>
      <c r="E29" s="1638"/>
      <c r="F29" s="1639"/>
      <c r="G29" s="29"/>
      <c r="H29" s="37"/>
      <c r="I29" s="33"/>
      <c r="J29" s="33"/>
    </row>
    <row r="30" spans="1:12" ht="13.9" customHeight="1" x14ac:dyDescent="0.25">
      <c r="A30" s="1637"/>
      <c r="B30" s="1638"/>
      <c r="C30" s="1638"/>
      <c r="D30" s="1638"/>
      <c r="E30" s="1638"/>
      <c r="F30" s="1639"/>
      <c r="G30" s="29"/>
      <c r="H30" s="35"/>
      <c r="I30" s="33"/>
      <c r="J30" s="33"/>
    </row>
    <row r="31" spans="1:12" ht="13.9" customHeight="1" x14ac:dyDescent="0.25">
      <c r="A31" s="1637"/>
      <c r="B31" s="1638"/>
      <c r="C31" s="1638"/>
      <c r="D31" s="1638"/>
      <c r="E31" s="1638"/>
      <c r="F31" s="1639"/>
      <c r="G31" s="29"/>
      <c r="H31" s="35"/>
      <c r="I31" s="33"/>
      <c r="J31" s="33"/>
    </row>
    <row r="32" spans="1:12" ht="13.9" customHeight="1" x14ac:dyDescent="0.25">
      <c r="A32" s="20"/>
      <c r="B32" s="20"/>
      <c r="C32" s="20"/>
      <c r="D32" s="20"/>
      <c r="E32" s="20"/>
      <c r="G32" s="20"/>
      <c r="H32" s="20"/>
      <c r="I32" s="30" t="s">
        <v>257</v>
      </c>
      <c r="J32" s="34">
        <f>SUM(J22:J31)</f>
        <v>357035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51</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400</v>
      </c>
      <c r="I43" s="33">
        <f>IFERROR(ROUND(G43/H43,0),0)</f>
        <v>534</v>
      </c>
      <c r="J43" s="33">
        <f>+I43</f>
        <v>534</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400</v>
      </c>
      <c r="I44" s="33">
        <f>IFERROR(ROUND(G44/H44,0),0)</f>
        <v>417</v>
      </c>
      <c r="J44" s="33">
        <f>+I44</f>
        <v>417</v>
      </c>
    </row>
    <row r="45" spans="1:10" s="39" customFormat="1" ht="13.9" customHeight="1" x14ac:dyDescent="0.25">
      <c r="A45" s="1558" t="str">
        <f>+PERSONAL!B4</f>
        <v>AUXILIAR DE TRÁFICO NOCTURNO</v>
      </c>
      <c r="B45" s="1559"/>
      <c r="C45" s="1559"/>
      <c r="D45" s="1560"/>
      <c r="E45" s="40">
        <f>+VLOOKUP(A45,PERSONAL!$B$3:$E$100,4,FALSE)</f>
        <v>98122</v>
      </c>
      <c r="F45" s="30">
        <v>1</v>
      </c>
      <c r="G45" s="40">
        <f>+E45*F45</f>
        <v>98122</v>
      </c>
      <c r="H45" s="35">
        <f>+H44</f>
        <v>400</v>
      </c>
      <c r="I45" s="33">
        <f>IFERROR(ROUND(G45/H45,0),0)</f>
        <v>245</v>
      </c>
      <c r="J45" s="33">
        <f>+I45</f>
        <v>245</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1196</v>
      </c>
    </row>
    <row r="50" spans="1:10" ht="13.9" customHeight="1" x14ac:dyDescent="0.25"/>
    <row r="51" spans="1:10" ht="13.9" customHeight="1" x14ac:dyDescent="0.25">
      <c r="E51" s="41" t="s">
        <v>276</v>
      </c>
      <c r="I51" s="42">
        <f>+J49+J39+J32+J18</f>
        <v>359035</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Hoja126">
    <tabColor theme="5" tint="-0.499984740745262"/>
  </sheetPr>
  <dimension ref="A1:L54"/>
  <sheetViews>
    <sheetView topLeftCell="A35" workbookViewId="0">
      <selection activeCell="M38" sqref="M38"/>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84</v>
      </c>
      <c r="D6" s="23"/>
      <c r="E6" s="23"/>
      <c r="F6" s="23"/>
      <c r="G6" s="23"/>
      <c r="H6" s="24"/>
      <c r="I6" s="25" t="s">
        <v>248</v>
      </c>
      <c r="J6" s="26" t="str">
        <f>+VLOOKUP(C6,'ANEXO PLIEGO_1'!$A$7:$C$133,3,FALSE)</f>
        <v>M2</v>
      </c>
    </row>
    <row r="7" spans="1:12" ht="35.1" customHeight="1" x14ac:dyDescent="0.25">
      <c r="A7" s="1568" t="s">
        <v>249</v>
      </c>
      <c r="B7" s="1570"/>
      <c r="C7" s="1578" t="str">
        <f>+VLOOKUP(C6,'ANEXO PLIEGO_1'!$A$7:$B$133,2,FALSE)</f>
        <v>Construcción de bandas sonoras reductoras de velocidad de 3 cm de altura, construida con gravilla de 3/4", pintura de larga duración blanca y resina epoxica</v>
      </c>
      <c r="D7" s="1579"/>
      <c r="E7" s="1579"/>
      <c r="F7" s="1579"/>
      <c r="G7" s="1579"/>
      <c r="H7" s="1579"/>
      <c r="I7" s="1579"/>
      <c r="J7" s="1580"/>
    </row>
    <row r="9" spans="1:12" s="27" customFormat="1" x14ac:dyDescent="0.25">
      <c r="A9" s="1561" t="s">
        <v>250</v>
      </c>
      <c r="B9" s="1561"/>
      <c r="C9" s="1561"/>
      <c r="D9" s="1561"/>
      <c r="E9" s="1561"/>
      <c r="F9" s="1561"/>
      <c r="G9" s="1561"/>
      <c r="H9" s="1561"/>
      <c r="L9" s="19"/>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11</v>
      </c>
      <c r="I11" s="33">
        <f>IFERROR((G11/H11),"")</f>
        <v>727.26727272727271</v>
      </c>
      <c r="J11" s="33">
        <f>ROUND(I11,0)</f>
        <v>727</v>
      </c>
      <c r="L11" s="20" t="s">
        <v>262</v>
      </c>
    </row>
    <row r="12" spans="1:12"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11</v>
      </c>
      <c r="I12" s="33">
        <f t="shared" ref="I12:I13" si="0">IFERROR((G12/H12),0)</f>
        <v>1202</v>
      </c>
      <c r="J12" s="33">
        <f t="shared" ref="J12:J15" si="1">ROUND(I12,0)</f>
        <v>1202</v>
      </c>
      <c r="L12" s="20" t="s">
        <v>278</v>
      </c>
    </row>
    <row r="13" spans="1:12"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+H12</f>
        <v>11</v>
      </c>
      <c r="I13" s="33">
        <f t="shared" si="0"/>
        <v>1161</v>
      </c>
      <c r="J13" s="33">
        <f t="shared" si="1"/>
        <v>1161</v>
      </c>
      <c r="L13" s="20" t="s">
        <v>95</v>
      </c>
    </row>
    <row r="14" spans="1:12" s="20" customFormat="1" ht="13.9" customHeight="1" x14ac:dyDescent="0.25">
      <c r="A14" s="1670"/>
      <c r="B14" s="1671"/>
      <c r="C14" s="1671"/>
      <c r="D14" s="1672"/>
      <c r="E14" s="29" t="s">
        <v>259</v>
      </c>
      <c r="F14" s="30" t="str">
        <f>IFERROR(VLOOKUP(A14,'[10]EQUIPOS TRANSPOR SALARIO'!$A$3:$G$42,2,FALSE),"")</f>
        <v/>
      </c>
      <c r="G14" s="31"/>
      <c r="H14" s="30"/>
      <c r="I14" s="33"/>
      <c r="J14" s="33"/>
      <c r="L14" s="20" t="s">
        <v>159</v>
      </c>
    </row>
    <row r="15" spans="1:12" s="20" customFormat="1" ht="13.9" customHeight="1" x14ac:dyDescent="0.25">
      <c r="A15" s="1558" t="str">
        <f>+'EQUIPOS '!B33</f>
        <v>HERRAMIENTA MENOR</v>
      </c>
      <c r="B15" s="1559"/>
      <c r="C15" s="1559"/>
      <c r="D15" s="1560"/>
      <c r="E15" s="29"/>
      <c r="F15" s="30" t="str">
        <f>IFERROR(VLOOKUP(A15,'[10]EQUIPOS TRANSPOR SALARIO'!$A$3:$G$42,2,FALSE),"")</f>
        <v>Global</v>
      </c>
      <c r="G15" s="74">
        <v>0.01</v>
      </c>
      <c r="H15" s="299">
        <f>+J49</f>
        <v>6387</v>
      </c>
      <c r="I15" s="33">
        <f>IFERROR((G15*H15),0)</f>
        <v>63.870000000000005</v>
      </c>
      <c r="J15" s="33">
        <f t="shared" si="1"/>
        <v>64</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3154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667" t="str">
        <f>+'INSUMOS '!B47</f>
        <v>GRAVILLA Ø ≤ 3/4"</v>
      </c>
      <c r="B22" s="1668"/>
      <c r="C22" s="1668"/>
      <c r="D22" s="1668"/>
      <c r="E22" s="1668"/>
      <c r="F22" s="1669"/>
      <c r="G22" s="29" t="str">
        <f>+VLOOKUP(A22,'INSUMOS '!$B$3:$C$128,2,FALSE)</f>
        <v>M3</v>
      </c>
      <c r="H22" s="35">
        <f>1*1*0.03</f>
        <v>0.03</v>
      </c>
      <c r="I22" s="33">
        <f>+IFERROR(VLOOKUP(A22,'INSUMOS '!$B$2:$AP$167,'INSUMOS '!$AO$2+1,FALSE),0)</f>
        <v>160000</v>
      </c>
      <c r="J22" s="33">
        <f>ROUND(I22*H22,0)</f>
        <v>4800</v>
      </c>
    </row>
    <row r="23" spans="1:10" ht="13.9" customHeight="1" x14ac:dyDescent="0.25">
      <c r="A23" s="1637" t="str">
        <f>+'INSUMOS '!B117</f>
        <v>ADHESIVO EPÓXICO PARA BANDAS ALERTADORAS</v>
      </c>
      <c r="B23" s="1638"/>
      <c r="C23" s="1638"/>
      <c r="D23" s="1638"/>
      <c r="E23" s="1638"/>
      <c r="F23" s="1639"/>
      <c r="G23" s="29" t="str">
        <f>+VLOOKUP(A23,'INSUMOS '!$B$3:$C$128,2,FALSE)</f>
        <v>KG</v>
      </c>
      <c r="H23" s="35">
        <v>4.66</v>
      </c>
      <c r="I23" s="33">
        <f>+IFERROR(VLOOKUP(A23,'INSUMOS '!$B$2:$AP$167,'INSUMOS '!$AO$2+1,FALSE),0)</f>
        <v>55000</v>
      </c>
      <c r="J23" s="33">
        <f>ROUND(I23*H23,0)</f>
        <v>256300</v>
      </c>
    </row>
    <row r="24" spans="1:10" ht="29.25" customHeight="1" x14ac:dyDescent="0.25">
      <c r="A24" s="1568" t="str">
        <f>+'INSUMOS '!B75</f>
        <v>PINTURA PLÁSTICO EN FRIO METIL METACRILATO BLANCA O AMARILLA -  EXTRUSIÓN (98:2)</v>
      </c>
      <c r="B24" s="1569"/>
      <c r="C24" s="1569"/>
      <c r="D24" s="1569"/>
      <c r="E24" s="1569"/>
      <c r="F24" s="1570"/>
      <c r="G24" s="29" t="str">
        <f>+VLOOKUP(A24,'INSUMOS '!$B$3:$C$128,2,FALSE)</f>
        <v>GAL</v>
      </c>
      <c r="H24" s="35">
        <v>0.33</v>
      </c>
      <c r="I24" s="33">
        <f>+IFERROR(VLOOKUP(A24,'INSUMOS '!$B$2:$AP$167,'INSUMOS '!$AO$2+1,FALSE),0)</f>
        <v>160575</v>
      </c>
      <c r="J24" s="33">
        <f>ROUND(I24*H24,0)</f>
        <v>52990</v>
      </c>
    </row>
    <row r="25" spans="1:10" ht="13.9" customHeight="1" x14ac:dyDescent="0.25">
      <c r="A25" s="1568" t="str">
        <f>+'INSUMOS '!B114</f>
        <v>GASOLINA CORRIENTE</v>
      </c>
      <c r="B25" s="1569"/>
      <c r="C25" s="1569"/>
      <c r="D25" s="1569"/>
      <c r="E25" s="1569"/>
      <c r="F25" s="1570"/>
      <c r="G25" s="29" t="str">
        <f>+VLOOKUP(A25,'INSUMOS '!$B$3:$C$128,2,FALSE)</f>
        <v>GAL</v>
      </c>
      <c r="H25" s="35">
        <v>0.01</v>
      </c>
      <c r="I25" s="33">
        <f>+IFERROR(VLOOKUP(A25,'INSUMOS '!$B$2:$AP$167,'INSUMOS '!$AO$2+1,FALSE),0)</f>
        <v>15861</v>
      </c>
      <c r="J25" s="33">
        <f>ROUND(I25*H25,0)</f>
        <v>159</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t="s">
        <v>333</v>
      </c>
      <c r="B28" s="1559"/>
      <c r="C28" s="1559"/>
      <c r="D28" s="1559"/>
      <c r="E28" s="1559"/>
      <c r="F28" s="1560"/>
      <c r="G28" s="29"/>
      <c r="H28" s="74">
        <v>0.01</v>
      </c>
      <c r="I28" s="33">
        <f>+SUM(J22:J27)</f>
        <v>314249</v>
      </c>
      <c r="J28" s="33">
        <f>+H28*I28</f>
        <v>3142.4900000000002</v>
      </c>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317391.49</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4">
        <f>(H22*1.6+H23/1000+H24*0.00522+H25/1000*0.74*3.785)/12</f>
        <v>4.5342174166666666E-3</v>
      </c>
      <c r="H36" s="33">
        <f>+IFERROR(VLOOKUP(A36,'EQUIPOS '!$B$3:$M$78,12,FALSE),0)</f>
        <v>611492.5</v>
      </c>
      <c r="I36" s="33">
        <f>IFERROR(H36*G36,0)</f>
        <v>2772.6399436610418</v>
      </c>
      <c r="J36" s="33">
        <f>ROUND(I36,0)</f>
        <v>2773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2773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88</v>
      </c>
      <c r="I43" s="33">
        <f>IFERROR(ROUND(G43/H43,0),0)</f>
        <v>2429</v>
      </c>
      <c r="J43" s="33">
        <f>+I43</f>
        <v>2429</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88</v>
      </c>
      <c r="I44" s="33">
        <f>IFERROR(ROUND(G44/H44,0),0)</f>
        <v>2843</v>
      </c>
      <c r="J44" s="33">
        <f>+I44</f>
        <v>2843</v>
      </c>
    </row>
    <row r="45" spans="1:10" s="39" customFormat="1" ht="13.9" customHeight="1" x14ac:dyDescent="0.25">
      <c r="A45" s="1558" t="str">
        <f>+PERSONAL!B4</f>
        <v>AUXILIAR DE TRÁFICO NOCTURNO</v>
      </c>
      <c r="B45" s="1559"/>
      <c r="C45" s="1559"/>
      <c r="D45" s="1560"/>
      <c r="E45" s="40">
        <f>+VLOOKUP(A45,PERSONAL!$B$3:$E$100,4,FALSE)</f>
        <v>98122</v>
      </c>
      <c r="F45" s="30">
        <v>1</v>
      </c>
      <c r="G45" s="40">
        <f>+E45*F45</f>
        <v>98122</v>
      </c>
      <c r="H45" s="35">
        <f>+H44</f>
        <v>88</v>
      </c>
      <c r="I45" s="33">
        <f>IFERROR(ROUND(G45/H45,0),0)</f>
        <v>1115</v>
      </c>
      <c r="J45" s="33">
        <f>+I45</f>
        <v>1115</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6387</v>
      </c>
    </row>
    <row r="50" spans="1:10" ht="13.9" customHeight="1" x14ac:dyDescent="0.25"/>
    <row r="51" spans="1:10" ht="13.9" customHeight="1" x14ac:dyDescent="0.25">
      <c r="E51" s="41" t="s">
        <v>276</v>
      </c>
      <c r="I51" s="42">
        <f>ROUND((+J49+J39+J32+J18),0)</f>
        <v>329705</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dataValidations disablePrompts="1" count="1">
    <dataValidation type="list" allowBlank="1" showInputMessage="1" showErrorMessage="1" sqref="A11:D14" xr:uid="{00000000-0002-0000-4E00-000000000000}">
      <formula1>$A$4:$A$35</formula1>
    </dataValidation>
  </dataValidation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Hoja127">
    <tabColor theme="5" tint="-0.499984740745262"/>
  </sheetPr>
  <dimension ref="A1:P54"/>
  <sheetViews>
    <sheetView topLeftCell="A34" workbookViewId="0">
      <selection activeCell="M33" sqref="M33"/>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83</v>
      </c>
      <c r="D6" s="23"/>
      <c r="E6" s="23"/>
      <c r="F6" s="23"/>
      <c r="G6" s="23"/>
      <c r="H6" s="24"/>
      <c r="I6" s="25" t="s">
        <v>248</v>
      </c>
      <c r="J6" s="26" t="str">
        <f>+VLOOKUP(C6,'ANEXO PLIEGO_1'!$A$7:$C$133,3,FALSE)</f>
        <v>M2</v>
      </c>
    </row>
    <row r="7" spans="1:12" ht="35.1" customHeight="1" x14ac:dyDescent="0.25">
      <c r="A7" s="1568" t="s">
        <v>249</v>
      </c>
      <c r="B7" s="1570"/>
      <c r="C7" s="1578" t="str">
        <f>+VLOOKUP(C6,'ANEXO PLIEGO_1'!$A$7:$B$133,2,FALSE)</f>
        <v>Construcción de bandas sonoras reductoras de velocidad de 2 cm de altura, construida con gravilla de 1/2", pintura de larga duración blanca y resina epoxica</v>
      </c>
      <c r="D7" s="1579"/>
      <c r="E7" s="1579"/>
      <c r="F7" s="1579"/>
      <c r="G7" s="1579"/>
      <c r="H7" s="1579"/>
      <c r="I7" s="1579"/>
      <c r="J7" s="1580"/>
    </row>
    <row r="9" spans="1:12" s="27" customFormat="1" x14ac:dyDescent="0.25">
      <c r="A9" s="1561" t="s">
        <v>250</v>
      </c>
      <c r="B9" s="1561"/>
      <c r="C9" s="1561"/>
      <c r="D9" s="1561"/>
      <c r="E9" s="1561"/>
      <c r="F9" s="1561"/>
      <c r="G9" s="1561"/>
      <c r="H9" s="1561"/>
      <c r="L9" s="19"/>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13</v>
      </c>
      <c r="I11" s="33">
        <f>IFERROR((G11/H11),"")</f>
        <v>615.38</v>
      </c>
      <c r="J11" s="33">
        <f>ROUND(I11,0)</f>
        <v>615</v>
      </c>
      <c r="L11" s="20" t="s">
        <v>262</v>
      </c>
    </row>
    <row r="12" spans="1:12"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13</v>
      </c>
      <c r="I12" s="33">
        <f t="shared" ref="I12:I13" si="0">IFERROR((G12/H12),0)</f>
        <v>1017.0769230769231</v>
      </c>
      <c r="J12" s="33">
        <f t="shared" ref="J12:J15" si="1">ROUND(I12,0)</f>
        <v>1017</v>
      </c>
      <c r="L12" s="20" t="s">
        <v>278</v>
      </c>
    </row>
    <row r="13" spans="1:12"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+H12</f>
        <v>13</v>
      </c>
      <c r="I13" s="33">
        <f t="shared" si="0"/>
        <v>982.38461538461536</v>
      </c>
      <c r="J13" s="33">
        <f t="shared" si="1"/>
        <v>982</v>
      </c>
      <c r="L13" s="20" t="s">
        <v>95</v>
      </c>
    </row>
    <row r="14" spans="1:12" s="20" customFormat="1" ht="13.9" customHeight="1" x14ac:dyDescent="0.25">
      <c r="A14" s="1670"/>
      <c r="B14" s="1671"/>
      <c r="C14" s="1671"/>
      <c r="D14" s="1672"/>
      <c r="E14" s="29" t="s">
        <v>259</v>
      </c>
      <c r="F14" s="30" t="str">
        <f>IFERROR(VLOOKUP(A14,'[10]EQUIPOS TRANSPOR SALARIO'!$A$3:$G$42,2,FALSE),"")</f>
        <v/>
      </c>
      <c r="G14" s="31"/>
      <c r="H14" s="30"/>
      <c r="I14" s="33"/>
      <c r="J14" s="33"/>
      <c r="L14" s="20" t="s">
        <v>159</v>
      </c>
    </row>
    <row r="15" spans="1:12" s="20" customFormat="1" ht="13.9" customHeight="1" x14ac:dyDescent="0.25">
      <c r="A15" s="1558" t="str">
        <f>+'EQUIPOS '!B33</f>
        <v>HERRAMIENTA MENOR</v>
      </c>
      <c r="B15" s="1559"/>
      <c r="C15" s="1559"/>
      <c r="D15" s="1560"/>
      <c r="E15" s="29"/>
      <c r="F15" s="30" t="str">
        <f>IFERROR(VLOOKUP(A15,'[10]EQUIPOS TRANSPOR SALARIO'!$A$3:$G$42,2,FALSE),"")</f>
        <v>Global</v>
      </c>
      <c r="G15" s="74">
        <v>0.01</v>
      </c>
      <c r="H15" s="299">
        <f>+J49</f>
        <v>5403</v>
      </c>
      <c r="I15" s="33">
        <f>IFERROR((G15*H15),0)</f>
        <v>54.03</v>
      </c>
      <c r="J15" s="33">
        <f t="shared" si="1"/>
        <v>54</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2668</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667" t="str">
        <f>'INSUMOS '!B162</f>
        <v>GRAVILLA Ø ≤ 1/2"</v>
      </c>
      <c r="B22" s="1668"/>
      <c r="C22" s="1668"/>
      <c r="D22" s="1668"/>
      <c r="E22" s="1668"/>
      <c r="F22" s="1669"/>
      <c r="G22" s="29" t="s">
        <v>3</v>
      </c>
      <c r="H22" s="35">
        <v>0.02</v>
      </c>
      <c r="I22" s="33">
        <v>160000</v>
      </c>
      <c r="J22" s="33">
        <f>ROUND(I22*H22,0)</f>
        <v>3200</v>
      </c>
    </row>
    <row r="23" spans="1:10" ht="13.9" customHeight="1" x14ac:dyDescent="0.25">
      <c r="A23" s="1637" t="str">
        <f>+'INSUMOS '!B117</f>
        <v>ADHESIVO EPÓXICO PARA BANDAS ALERTADORAS</v>
      </c>
      <c r="B23" s="1638"/>
      <c r="C23" s="1638"/>
      <c r="D23" s="1638"/>
      <c r="E23" s="1638"/>
      <c r="F23" s="1639"/>
      <c r="G23" s="29" t="str">
        <f>+VLOOKUP(A23,'INSUMOS '!$B$3:$C$128,2,FALSE)</f>
        <v>KG</v>
      </c>
      <c r="H23" s="35">
        <v>4.6500000000000004</v>
      </c>
      <c r="I23" s="33">
        <f>+IFERROR(VLOOKUP(A23,'INSUMOS '!$B$2:$AP$167,'INSUMOS '!$AO$2+1,FALSE),0)</f>
        <v>55000</v>
      </c>
      <c r="J23" s="33">
        <f>ROUND(I23*H23,0)</f>
        <v>255750</v>
      </c>
    </row>
    <row r="24" spans="1:10" ht="29.25" customHeight="1" x14ac:dyDescent="0.25">
      <c r="A24" s="1568" t="str">
        <f>+'INSUMOS '!B75</f>
        <v>PINTURA PLÁSTICO EN FRIO METIL METACRILATO BLANCA O AMARILLA -  EXTRUSIÓN (98:2)</v>
      </c>
      <c r="B24" s="1569"/>
      <c r="C24" s="1569"/>
      <c r="D24" s="1569"/>
      <c r="E24" s="1569"/>
      <c r="F24" s="1570"/>
      <c r="G24" s="29" t="str">
        <f>+VLOOKUP(A24,'INSUMOS '!$B$3:$C$128,2,FALSE)</f>
        <v>GAL</v>
      </c>
      <c r="H24" s="35">
        <v>0.33</v>
      </c>
      <c r="I24" s="33">
        <f>+IFERROR(VLOOKUP(A24,'INSUMOS '!$B$2:$AP$167,'INSUMOS '!$AO$2+1,FALSE),0)</f>
        <v>160575</v>
      </c>
      <c r="J24" s="33">
        <f>ROUND(I24*H24,0)</f>
        <v>52990</v>
      </c>
    </row>
    <row r="25" spans="1:10" ht="13.9" customHeight="1" x14ac:dyDescent="0.25">
      <c r="A25" s="1568" t="str">
        <f>+'INSUMOS '!B114</f>
        <v>GASOLINA CORRIENTE</v>
      </c>
      <c r="B25" s="1569"/>
      <c r="C25" s="1569"/>
      <c r="D25" s="1569"/>
      <c r="E25" s="1569"/>
      <c r="F25" s="1570"/>
      <c r="G25" s="29" t="str">
        <f>+VLOOKUP(A25,'INSUMOS '!$B$3:$C$128,2,FALSE)</f>
        <v>GAL</v>
      </c>
      <c r="H25" s="35">
        <v>0.01</v>
      </c>
      <c r="I25" s="33">
        <f>+IFERROR(VLOOKUP(A25,'INSUMOS '!$B$2:$AP$167,'INSUMOS '!$AO$2+1,FALSE),0)</f>
        <v>15861</v>
      </c>
      <c r="J25" s="33">
        <f>ROUND(I25*H25,0)</f>
        <v>159</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t="s">
        <v>333</v>
      </c>
      <c r="B28" s="1559"/>
      <c r="C28" s="1559"/>
      <c r="D28" s="1559"/>
      <c r="E28" s="1559"/>
      <c r="F28" s="1560"/>
      <c r="G28" s="29"/>
      <c r="H28" s="74">
        <v>0.01</v>
      </c>
      <c r="I28" s="33">
        <f>+SUM(J22:J27)</f>
        <v>312099</v>
      </c>
      <c r="J28" s="33">
        <f>+H28*I28</f>
        <v>3120.9900000000002</v>
      </c>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315219.99</v>
      </c>
    </row>
    <row r="33" spans="1:16" ht="13.9" customHeight="1" x14ac:dyDescent="0.25"/>
    <row r="34" spans="1:16" ht="13.9" customHeight="1" x14ac:dyDescent="0.25">
      <c r="A34" s="1561" t="s">
        <v>267</v>
      </c>
      <c r="B34" s="1561"/>
      <c r="C34" s="1561"/>
      <c r="D34" s="1561"/>
      <c r="E34" s="1561"/>
      <c r="F34" s="1561"/>
      <c r="G34" s="1561"/>
      <c r="H34" s="1561"/>
      <c r="I34" s="27"/>
    </row>
    <row r="35" spans="1:16" ht="13.9" customHeight="1" x14ac:dyDescent="0.25">
      <c r="A35" s="1562" t="s">
        <v>268</v>
      </c>
      <c r="B35" s="1563"/>
      <c r="C35" s="1563"/>
      <c r="D35" s="1563"/>
      <c r="E35" s="1563"/>
      <c r="F35" s="1564"/>
      <c r="G35" s="38" t="s">
        <v>255</v>
      </c>
      <c r="H35" s="28" t="s">
        <v>269</v>
      </c>
      <c r="I35" s="28" t="s">
        <v>256</v>
      </c>
      <c r="J35" s="28" t="s">
        <v>257</v>
      </c>
    </row>
    <row r="36" spans="1:16" ht="13.9" customHeight="1" x14ac:dyDescent="0.25">
      <c r="A36" s="1558" t="str">
        <f>+'EQUIPOS '!B6</f>
        <v>CAMION INCLUYE CONDUCTOR</v>
      </c>
      <c r="B36" s="1559"/>
      <c r="C36" s="1559"/>
      <c r="D36" s="1559"/>
      <c r="E36" s="1559"/>
      <c r="F36" s="1560"/>
      <c r="G36" s="1484">
        <f>(H22*1.6+H23/1000+H24*0.00522+H25/1000*0.74*3.785)/12</f>
        <v>3.2000507500000003E-3</v>
      </c>
      <c r="H36" s="33">
        <f>+IFERROR(VLOOKUP(A36,'EQUIPOS '!$B$3:$M$78,12,FALSE),0)</f>
        <v>611492.5</v>
      </c>
      <c r="I36" s="33">
        <f>IFERROR(H36*G36,0)</f>
        <v>1956.8070332443751</v>
      </c>
      <c r="J36" s="33">
        <f>ROUND(I36,0)</f>
        <v>1957</v>
      </c>
    </row>
    <row r="37" spans="1:16" ht="13.9" customHeight="1" x14ac:dyDescent="0.25">
      <c r="A37" s="1558"/>
      <c r="B37" s="1559"/>
      <c r="C37" s="1559"/>
      <c r="D37" s="1559"/>
      <c r="E37" s="1559"/>
      <c r="F37" s="1560"/>
      <c r="G37" s="29"/>
      <c r="H37" s="33"/>
      <c r="I37" s="33"/>
      <c r="J37" s="33"/>
    </row>
    <row r="38" spans="1:16" ht="13.9" customHeight="1" x14ac:dyDescent="0.25">
      <c r="A38" s="1558"/>
      <c r="B38" s="1559"/>
      <c r="C38" s="1559"/>
      <c r="D38" s="1559"/>
      <c r="E38" s="1559"/>
      <c r="F38" s="1560"/>
      <c r="G38" s="29"/>
      <c r="H38" s="33"/>
      <c r="I38" s="33"/>
      <c r="J38" s="33"/>
    </row>
    <row r="39" spans="1:16" ht="13.9" customHeight="1" x14ac:dyDescent="0.25">
      <c r="G39" s="39"/>
      <c r="H39" s="39"/>
      <c r="I39" s="30" t="s">
        <v>257</v>
      </c>
      <c r="J39" s="33">
        <f>+SUM(J36:J38)</f>
        <v>1957</v>
      </c>
    </row>
    <row r="40" spans="1:16" ht="13.9" customHeight="1" x14ac:dyDescent="0.25"/>
    <row r="41" spans="1:16" ht="13.9" customHeight="1" x14ac:dyDescent="0.25">
      <c r="A41" s="1561" t="s">
        <v>270</v>
      </c>
      <c r="B41" s="1561"/>
      <c r="C41" s="1561"/>
      <c r="D41" s="1561"/>
      <c r="E41" s="1561"/>
      <c r="F41" s="1561"/>
      <c r="G41" s="1561"/>
      <c r="H41" s="1561"/>
      <c r="I41" s="27"/>
    </row>
    <row r="42" spans="1:16" s="39" customFormat="1" ht="13.9" customHeight="1" x14ac:dyDescent="0.25">
      <c r="A42" s="1562" t="s">
        <v>271</v>
      </c>
      <c r="B42" s="1563"/>
      <c r="C42" s="1563"/>
      <c r="D42" s="1564"/>
      <c r="E42" s="28" t="s">
        <v>272</v>
      </c>
      <c r="F42" s="28" t="s">
        <v>264</v>
      </c>
      <c r="G42" s="28" t="s">
        <v>273</v>
      </c>
      <c r="H42" s="28" t="s">
        <v>255</v>
      </c>
      <c r="I42" s="28" t="s">
        <v>256</v>
      </c>
      <c r="J42" s="28" t="s">
        <v>257</v>
      </c>
      <c r="L42" s="19"/>
      <c r="M42" s="19"/>
      <c r="N42" s="19"/>
      <c r="O42" s="19"/>
      <c r="P42" s="19"/>
    </row>
    <row r="43" spans="1:16"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104</v>
      </c>
      <c r="I43" s="33">
        <f>IFERROR(ROUND(G43/H43,0),0)</f>
        <v>2055</v>
      </c>
      <c r="J43" s="33">
        <f>+I43</f>
        <v>2055</v>
      </c>
    </row>
    <row r="44" spans="1:16" s="39" customFormat="1" ht="13.9" customHeight="1" x14ac:dyDescent="0.25">
      <c r="A44" s="1558" t="str">
        <f>+PERSONAL!B6</f>
        <v>AYUDANTE NOCTURNO</v>
      </c>
      <c r="B44" s="1559"/>
      <c r="C44" s="1559"/>
      <c r="D44" s="1560"/>
      <c r="E44" s="40">
        <f>+VLOOKUP(A44,PERSONAL!$B$3:$E$100,4,FALSE)</f>
        <v>83383</v>
      </c>
      <c r="F44" s="30">
        <v>3</v>
      </c>
      <c r="G44" s="40">
        <f>+E44*F44</f>
        <v>250149</v>
      </c>
      <c r="H44" s="35">
        <f>+H43</f>
        <v>104</v>
      </c>
      <c r="I44" s="33">
        <f>IFERROR(ROUND(G44/H44,0),0)</f>
        <v>2405</v>
      </c>
      <c r="J44" s="33">
        <f>+I44</f>
        <v>2405</v>
      </c>
    </row>
    <row r="45" spans="1:16" s="39" customFormat="1" ht="13.9" customHeight="1" x14ac:dyDescent="0.25">
      <c r="A45" s="1558" t="str">
        <f>+PERSONAL!B4</f>
        <v>AUXILIAR DE TRÁFICO NOCTURNO</v>
      </c>
      <c r="B45" s="1559"/>
      <c r="C45" s="1559"/>
      <c r="D45" s="1560"/>
      <c r="E45" s="40">
        <f>+VLOOKUP(A45,PERSONAL!$B$3:$E$100,4,FALSE)</f>
        <v>98122</v>
      </c>
      <c r="F45" s="30">
        <v>1</v>
      </c>
      <c r="G45" s="40">
        <f>+E45*F45</f>
        <v>98122</v>
      </c>
      <c r="H45" s="35">
        <f>+H44</f>
        <v>104</v>
      </c>
      <c r="I45" s="33">
        <f>IFERROR(ROUND(G45/H45,0),0)</f>
        <v>943</v>
      </c>
      <c r="J45" s="33">
        <f>+I45</f>
        <v>943</v>
      </c>
    </row>
    <row r="46" spans="1:16" s="39" customFormat="1" ht="13.9" customHeight="1" x14ac:dyDescent="0.25">
      <c r="A46" s="1558"/>
      <c r="B46" s="1559"/>
      <c r="C46" s="1559"/>
      <c r="D46" s="1560"/>
      <c r="E46" s="40"/>
      <c r="F46" s="30"/>
      <c r="G46" s="40"/>
      <c r="H46" s="35"/>
      <c r="I46" s="33"/>
      <c r="J46" s="33"/>
    </row>
    <row r="47" spans="1:16" s="39" customFormat="1" ht="13.9" customHeight="1" x14ac:dyDescent="0.25">
      <c r="A47" s="1558"/>
      <c r="B47" s="1559"/>
      <c r="C47" s="1559"/>
      <c r="D47" s="1560"/>
      <c r="E47" s="40"/>
      <c r="F47" s="30"/>
      <c r="G47" s="40"/>
      <c r="H47" s="35"/>
      <c r="I47" s="33"/>
      <c r="J47" s="33"/>
    </row>
    <row r="48" spans="1:16"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5403</v>
      </c>
    </row>
    <row r="50" spans="1:10" ht="13.9" customHeight="1" x14ac:dyDescent="0.25"/>
    <row r="51" spans="1:10" ht="13.9" customHeight="1" x14ac:dyDescent="0.25">
      <c r="E51" s="41" t="s">
        <v>276</v>
      </c>
      <c r="I51" s="42">
        <f>ROUND((+J49+J39+J32+J18),0)</f>
        <v>325248</v>
      </c>
      <c r="J51" s="43"/>
    </row>
    <row r="52" spans="1:10" ht="13.9" customHeight="1" x14ac:dyDescent="0.25"/>
    <row r="53" spans="1:10" ht="14.1" customHeight="1" x14ac:dyDescent="0.25"/>
    <row r="54" spans="1:10" ht="14.1" customHeight="1" x14ac:dyDescent="0.25"/>
  </sheetData>
  <mergeCells count="40">
    <mergeCell ref="A45:D45"/>
    <mergeCell ref="A46:D46"/>
    <mergeCell ref="A47:D47"/>
    <mergeCell ref="A48:D48"/>
    <mergeCell ref="A37:F37"/>
    <mergeCell ref="A38:F38"/>
    <mergeCell ref="A41:H41"/>
    <mergeCell ref="A42:D42"/>
    <mergeCell ref="A43:D43"/>
    <mergeCell ref="A44:D44"/>
    <mergeCell ref="A36:F36"/>
    <mergeCell ref="A23:F23"/>
    <mergeCell ref="A24:F24"/>
    <mergeCell ref="A25:F25"/>
    <mergeCell ref="A26:F26"/>
    <mergeCell ref="A27:F27"/>
    <mergeCell ref="A28:F28"/>
    <mergeCell ref="A29:F29"/>
    <mergeCell ref="A30:F30"/>
    <mergeCell ref="A31:F31"/>
    <mergeCell ref="A34:H34"/>
    <mergeCell ref="A35:F35"/>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dataValidations disablePrompts="1" count="1">
    <dataValidation type="list" allowBlank="1" showInputMessage="1" showErrorMessage="1" sqref="A11:D14" xr:uid="{00000000-0002-0000-4F00-000000000000}">
      <formula1>$A$4:$A$35</formula1>
    </dataValidation>
  </dataValidations>
  <pageMargins left="0.70866141732283472" right="0.70866141732283472" top="0.78740157480314965" bottom="0.78740157480314965" header="0.31496062992125984" footer="0.31496062992125984"/>
  <pageSetup scale="85" orientation="portrait"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Hoja91">
    <tabColor theme="5" tint="-0.499984740745262"/>
  </sheetPr>
  <dimension ref="A1:J54"/>
  <sheetViews>
    <sheetView topLeftCell="A40" zoomScaleNormal="100"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82</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Construcción de bandas sonoras reductoras de velocidad de 1 cm de altura, construida con gravilla mona #2", pintura de larga duración blanca y resina epoxica</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15</v>
      </c>
      <c r="I11" s="33">
        <f>IFERROR((G11/H11),"")</f>
        <v>533.32933333333335</v>
      </c>
      <c r="J11" s="33">
        <f>ROUND(I11,0)</f>
        <v>533</v>
      </c>
    </row>
    <row r="12" spans="1:10"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15</v>
      </c>
      <c r="I12" s="33">
        <f t="shared" ref="I12:I13" si="0">IFERROR((G12/H12),0)</f>
        <v>881.4666666666667</v>
      </c>
      <c r="J12" s="33">
        <f t="shared" ref="J12:J15" si="1">ROUND(I12,0)</f>
        <v>881</v>
      </c>
    </row>
    <row r="13" spans="1:10"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+H12</f>
        <v>15</v>
      </c>
      <c r="I13" s="33">
        <f t="shared" si="0"/>
        <v>851.4</v>
      </c>
      <c r="J13" s="33">
        <f t="shared" si="1"/>
        <v>851</v>
      </c>
    </row>
    <row r="14" spans="1:10" s="20" customFormat="1" ht="13.9" customHeight="1" x14ac:dyDescent="0.25">
      <c r="A14" s="1670"/>
      <c r="B14" s="1671"/>
      <c r="C14" s="1671"/>
      <c r="D14" s="1672"/>
      <c r="E14" s="29" t="s">
        <v>259</v>
      </c>
      <c r="F14" s="30" t="str">
        <f>IFERROR(VLOOKUP(A14,'[10]EQUIPOS TRANSPOR SALARIO'!$A$3:$G$42,2,FALSE),"")</f>
        <v/>
      </c>
      <c r="G14" s="31"/>
      <c r="H14" s="30"/>
      <c r="I14" s="33"/>
      <c r="J14" s="33"/>
    </row>
    <row r="15" spans="1:10" s="20" customFormat="1" ht="13.9" customHeight="1" x14ac:dyDescent="0.25">
      <c r="A15" s="1558" t="str">
        <f>+'EQUIPOS '!B33</f>
        <v>HERRAMIENTA MENOR</v>
      </c>
      <c r="B15" s="1559"/>
      <c r="C15" s="1559"/>
      <c r="D15" s="1560"/>
      <c r="E15" s="29"/>
      <c r="F15" s="30" t="str">
        <f>IFERROR(VLOOKUP(A15,'[10]EQUIPOS TRANSPOR SALARIO'!$A$3:$G$42,2,FALSE),"")</f>
        <v>Global</v>
      </c>
      <c r="G15" s="74">
        <v>0.01</v>
      </c>
      <c r="H15" s="299">
        <f>+J49</f>
        <v>4684</v>
      </c>
      <c r="I15" s="33">
        <f>IFERROR((G15*H15),0)</f>
        <v>46.84</v>
      </c>
      <c r="J15" s="33">
        <f t="shared" si="1"/>
        <v>47</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2312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667" t="str">
        <f>+'INSUMOS '!B46</f>
        <v>GRAVILLA MONA # 2</v>
      </c>
      <c r="B22" s="1668"/>
      <c r="C22" s="1668"/>
      <c r="D22" s="1668"/>
      <c r="E22" s="1668"/>
      <c r="F22" s="1669"/>
      <c r="G22" s="29" t="s">
        <v>6</v>
      </c>
      <c r="H22" s="35">
        <v>12.8</v>
      </c>
      <c r="I22" s="33">
        <f>+IFERROR(VLOOKUP(A22,'INSUMOS '!$B$2:$AP$167,'INSUMOS '!$AO$2+1,FALSE),0)</f>
        <v>543.47826086956525</v>
      </c>
      <c r="J22" s="33">
        <f>ROUND(I22*H22,0)</f>
        <v>6957</v>
      </c>
    </row>
    <row r="23" spans="1:10" ht="13.9" customHeight="1" x14ac:dyDescent="0.25">
      <c r="A23" s="1637" t="str">
        <f>+'INSUMOS '!B117</f>
        <v>ADHESIVO EPÓXICO PARA BANDAS ALERTADORAS</v>
      </c>
      <c r="B23" s="1638"/>
      <c r="C23" s="1638"/>
      <c r="D23" s="1638"/>
      <c r="E23" s="1638"/>
      <c r="F23" s="1639"/>
      <c r="G23" s="29" t="s">
        <v>6</v>
      </c>
      <c r="H23" s="35">
        <v>4.6500000000000004</v>
      </c>
      <c r="I23" s="33">
        <f>+IFERROR(VLOOKUP(A23,'INSUMOS '!$B$2:$AP$167,'INSUMOS '!$AO$2+1,FALSE),0)</f>
        <v>55000</v>
      </c>
      <c r="J23" s="33">
        <f>ROUND(I23*H23,0)</f>
        <v>255750</v>
      </c>
    </row>
    <row r="24" spans="1:10" ht="29.25" customHeight="1" x14ac:dyDescent="0.25">
      <c r="A24" s="1568" t="str">
        <f>+'INSUMOS '!B75</f>
        <v>PINTURA PLÁSTICO EN FRIO METIL METACRILATO BLANCA O AMARILLA -  EXTRUSIÓN (98:2)</v>
      </c>
      <c r="B24" s="1569"/>
      <c r="C24" s="1569"/>
      <c r="D24" s="1569"/>
      <c r="E24" s="1569"/>
      <c r="F24" s="1570"/>
      <c r="G24" s="29" t="s">
        <v>114</v>
      </c>
      <c r="H24" s="35">
        <v>0.33</v>
      </c>
      <c r="I24" s="33">
        <f>+IFERROR(VLOOKUP(A24,'INSUMOS '!$B$2:$AP$167,'INSUMOS '!$AO$2+1,FALSE),0)</f>
        <v>160575</v>
      </c>
      <c r="J24" s="33">
        <f>ROUND(I24*H24,0)</f>
        <v>52990</v>
      </c>
    </row>
    <row r="25" spans="1:10" ht="13.9" customHeight="1" x14ac:dyDescent="0.25">
      <c r="A25" s="1568" t="str">
        <f>+'INSUMOS '!B114</f>
        <v>GASOLINA CORRIENTE</v>
      </c>
      <c r="B25" s="1569"/>
      <c r="C25" s="1569"/>
      <c r="D25" s="1569"/>
      <c r="E25" s="1569"/>
      <c r="F25" s="1570"/>
      <c r="G25" s="29" t="s">
        <v>114</v>
      </c>
      <c r="H25" s="35">
        <v>0.01</v>
      </c>
      <c r="I25" s="33">
        <f>+IFERROR(VLOOKUP(A25,'INSUMOS '!$B$2:$AP$167,'INSUMOS '!$AO$2+1,FALSE),0)</f>
        <v>15861</v>
      </c>
      <c r="J25" s="33">
        <f>ROUND(I25*H25,0)</f>
        <v>159</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t="s">
        <v>333</v>
      </c>
      <c r="B28" s="1559"/>
      <c r="C28" s="1559"/>
      <c r="D28" s="1559"/>
      <c r="E28" s="1559"/>
      <c r="F28" s="1560"/>
      <c r="G28" s="29"/>
      <c r="H28" s="74">
        <v>0.01</v>
      </c>
      <c r="I28" s="33">
        <f>+SUM(J22:J27)</f>
        <v>315856</v>
      </c>
      <c r="J28" s="33">
        <f>+H28*I28</f>
        <v>3158.56</v>
      </c>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319014.56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4">
        <f>(H22/1000+H23/1000+H24*0.00522+(H25/1000*0.74*3.785))/12</f>
        <v>1.60005075E-3</v>
      </c>
      <c r="H36" s="33">
        <f>+IFERROR(VLOOKUP(A36,'EQUIPOS '!$B$3:$M$78,12,FALSE),0)</f>
        <v>611492.5</v>
      </c>
      <c r="I36" s="33">
        <f>IFERROR(H36*G36,0)</f>
        <v>978.41903324437499</v>
      </c>
      <c r="J36" s="33">
        <f>ROUND(I36,0)</f>
        <v>978</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978</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120</v>
      </c>
      <c r="I43" s="33">
        <f>IFERROR(ROUND(G43/H43,0),0)</f>
        <v>1781</v>
      </c>
      <c r="J43" s="33">
        <f>+I43</f>
        <v>1781</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120</v>
      </c>
      <c r="I44" s="33">
        <f>IFERROR(ROUND(G44/H44,0),0)</f>
        <v>2085</v>
      </c>
      <c r="J44" s="33">
        <f>+I44</f>
        <v>2085</v>
      </c>
    </row>
    <row r="45" spans="1:10" s="39" customFormat="1" ht="13.9" customHeight="1" x14ac:dyDescent="0.25">
      <c r="A45" s="1558" t="str">
        <f>+PERSONAL!B4</f>
        <v>AUXILIAR DE TRÁFICO NOCTURNO</v>
      </c>
      <c r="B45" s="1559"/>
      <c r="C45" s="1559"/>
      <c r="D45" s="1560"/>
      <c r="E45" s="40">
        <f>+VLOOKUP(A45,PERSONAL!$B$3:$E$100,4,FALSE)</f>
        <v>98122</v>
      </c>
      <c r="F45" s="30">
        <v>1</v>
      </c>
      <c r="G45" s="40">
        <f>+E45*F45</f>
        <v>98122</v>
      </c>
      <c r="H45" s="35">
        <f>+H44</f>
        <v>120</v>
      </c>
      <c r="I45" s="33">
        <f>IFERROR(ROUND(G45/H45,0),0)</f>
        <v>818</v>
      </c>
      <c r="J45" s="33">
        <f>+I45</f>
        <v>818</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4684</v>
      </c>
    </row>
    <row r="50" spans="1:10" ht="13.9" customHeight="1" x14ac:dyDescent="0.25"/>
    <row r="51" spans="1:10" ht="13.9" customHeight="1" x14ac:dyDescent="0.25">
      <c r="E51" s="41" t="s">
        <v>276</v>
      </c>
      <c r="I51" s="42">
        <f>ROUND((+J49+J39+J32+J18),0)</f>
        <v>326989</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3:F23"/>
    <mergeCell ref="A9:H9"/>
    <mergeCell ref="A10:D10"/>
    <mergeCell ref="A11:D11"/>
    <mergeCell ref="A12:D12"/>
    <mergeCell ref="A13:D13"/>
    <mergeCell ref="A15:D15"/>
    <mergeCell ref="A16:D16"/>
    <mergeCell ref="A17:D17"/>
    <mergeCell ref="A20:H20"/>
    <mergeCell ref="A21:F21"/>
    <mergeCell ref="A22:F22"/>
    <mergeCell ref="A14:D14"/>
    <mergeCell ref="A37:F37"/>
    <mergeCell ref="A24:F24"/>
    <mergeCell ref="A25:F25"/>
    <mergeCell ref="A26:F26"/>
    <mergeCell ref="A27:F27"/>
    <mergeCell ref="A28:F28"/>
    <mergeCell ref="A29:F29"/>
    <mergeCell ref="A30:F30"/>
    <mergeCell ref="A31:F31"/>
    <mergeCell ref="A34:H34"/>
    <mergeCell ref="A35:F35"/>
    <mergeCell ref="A36:F36"/>
    <mergeCell ref="A46:D46"/>
    <mergeCell ref="A47:D47"/>
    <mergeCell ref="A48:D48"/>
    <mergeCell ref="A38:F38"/>
    <mergeCell ref="A41:H41"/>
    <mergeCell ref="A42:D42"/>
    <mergeCell ref="A43:D43"/>
    <mergeCell ref="A44:D44"/>
    <mergeCell ref="A45:D45"/>
  </mergeCells>
  <dataValidations disablePrompts="1" count="1">
    <dataValidation type="list" allowBlank="1" showInputMessage="1" showErrorMessage="1" sqref="A11:D14" xr:uid="{00000000-0002-0000-5000-000000000000}">
      <formula1>$A$4:$A$35</formula1>
    </dataValidation>
  </dataValidation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Hoja90">
    <tabColor theme="5" tint="-0.499984740745262"/>
  </sheetPr>
  <dimension ref="A1:M54"/>
  <sheetViews>
    <sheetView topLeftCell="A34"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81</v>
      </c>
      <c r="D6" s="23"/>
      <c r="E6" s="23"/>
      <c r="F6" s="23"/>
      <c r="G6" s="23"/>
      <c r="H6" s="24"/>
      <c r="I6" s="25" t="s">
        <v>248</v>
      </c>
      <c r="J6" s="26" t="str">
        <f>+VLOOKUP(C6,'ANEXO PLIEGO_1'!$A$7:$C$133,3,FALSE)</f>
        <v>UN</v>
      </c>
    </row>
    <row r="7" spans="1:12" ht="54" customHeight="1" x14ac:dyDescent="0.25">
      <c r="A7" s="1568" t="s">
        <v>249</v>
      </c>
      <c r="B7" s="1570"/>
      <c r="C7" s="1578" t="str">
        <f>+VLOOKUP(C6,'ANEXO PLIEGO_1'!$A$7:$B$133,2,FALSE)</f>
        <v>Suministro e instalación de delineador de corona (hitos de arista) construido en material sintético flexible de color blanco, franja negra y material retroflectivo tipo XI  (Tipo "A", fijado en concreto, altura mínima de 75 cm y máxima de 120 cm de acuerdo con la figura 5-11 Resolución 20243040045005 de 17 de septiembre de 2024). Incluye accesorios y materiales para fijación. 8 (SEGUN DISEÑO)</v>
      </c>
      <c r="D7" s="1579"/>
      <c r="E7" s="1579"/>
      <c r="F7" s="1579"/>
      <c r="G7" s="1579"/>
      <c r="H7" s="1579"/>
      <c r="I7" s="1579"/>
      <c r="J7" s="1580"/>
    </row>
    <row r="9" spans="1:12" s="27" customFormat="1" ht="12.75" x14ac:dyDescent="0.25">
      <c r="A9" s="1561" t="s">
        <v>250</v>
      </c>
      <c r="B9" s="1561"/>
      <c r="C9" s="1561"/>
      <c r="D9" s="1561"/>
      <c r="E9" s="1561"/>
      <c r="F9" s="1561"/>
      <c r="G9" s="1561"/>
      <c r="H9" s="1561"/>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71" t="str">
        <f>+'EQUIPOS '!B9</f>
        <v>COMPRESOR</v>
      </c>
      <c r="B11" s="1572"/>
      <c r="C11" s="1572"/>
      <c r="D11" s="1573"/>
      <c r="E11" s="29" t="s">
        <v>259</v>
      </c>
      <c r="F11" s="30" t="str">
        <f>IFERROR(VLOOKUP(A11,'[10]EQUIPOS TRANSPOR SALARIO'!$A$3:$G$42,2,FALSE),"")</f>
        <v>Eléctrico</v>
      </c>
      <c r="G11" s="31">
        <f>+VLOOKUP(A11,'EQUIPOS '!$B$3:$M$64,12,FALSE)</f>
        <v>7999.94</v>
      </c>
      <c r="H11" s="30">
        <v>50</v>
      </c>
      <c r="I11" s="33">
        <f>IFERROR((G11/H11),"")</f>
        <v>159.99879999999999</v>
      </c>
      <c r="J11" s="33">
        <f>ROUND(I11,0)</f>
        <v>160</v>
      </c>
      <c r="L11" s="20" t="s">
        <v>158</v>
      </c>
    </row>
    <row r="12" spans="1:12" s="20" customFormat="1" ht="13.9" customHeight="1" x14ac:dyDescent="0.25">
      <c r="A12" s="1571" t="str">
        <f>+'EQUIPOS '!B46</f>
        <v xml:space="preserve"> PMT (KIT )</v>
      </c>
      <c r="B12" s="1572"/>
      <c r="C12" s="1572"/>
      <c r="D12" s="1573"/>
      <c r="E12" s="29" t="s">
        <v>259</v>
      </c>
      <c r="F12" s="30" t="str">
        <f>IFERROR(VLOOKUP(A12,'[10]EQUIPOS TRANSPOR SALARIO'!$A$3:$G$42,2,FALSE),"")</f>
        <v/>
      </c>
      <c r="G12" s="31">
        <f>+VLOOKUP(A12,'EQUIPOS '!$B$3:$M$64,12,FALSE)</f>
        <v>13222</v>
      </c>
      <c r="H12" s="30">
        <f>+H11</f>
        <v>50</v>
      </c>
      <c r="I12" s="33">
        <f t="shared" ref="I12:I17" si="0">IFERROR((G12/H12),0)</f>
        <v>264.44</v>
      </c>
      <c r="J12" s="33">
        <f t="shared" ref="J12:J17" si="1">ROUND(I12,0)</f>
        <v>264</v>
      </c>
      <c r="L12" s="20" t="s">
        <v>262</v>
      </c>
    </row>
    <row r="13" spans="1:12" s="20" customFormat="1" ht="13.9" customHeight="1" x14ac:dyDescent="0.25">
      <c r="A13" s="1571" t="str">
        <f>+'EQUIPOS '!B36</f>
        <v>PLANTA ELÉCTRICA</v>
      </c>
      <c r="B13" s="1572"/>
      <c r="C13" s="1572"/>
      <c r="D13" s="1573"/>
      <c r="E13" s="29" t="s">
        <v>259</v>
      </c>
      <c r="F13" s="30" t="str">
        <f>IFERROR(VLOOKUP(A13,'[10]EQUIPOS TRANSPOR SALARIO'!$A$3:$G$42,2,FALSE),"")</f>
        <v>Eléctrico</v>
      </c>
      <c r="G13" s="31">
        <f>+VLOOKUP(A13,'EQUIPOS '!$B$3:$M$64,12,FALSE)</f>
        <v>12771</v>
      </c>
      <c r="H13" s="30">
        <f>+H12</f>
        <v>50</v>
      </c>
      <c r="I13" s="33">
        <f t="shared" si="0"/>
        <v>255.42</v>
      </c>
      <c r="J13" s="33">
        <f t="shared" si="1"/>
        <v>255</v>
      </c>
      <c r="L13" s="20" t="s">
        <v>159</v>
      </c>
    </row>
    <row r="14" spans="1:12" s="20" customFormat="1" ht="13.9" customHeight="1" x14ac:dyDescent="0.25">
      <c r="A14" s="1571" t="str">
        <f>+'EQUIPOS '!B44</f>
        <v xml:space="preserve">TALADRO PERCUTOR  </v>
      </c>
      <c r="B14" s="1572"/>
      <c r="C14" s="1572"/>
      <c r="D14" s="1573"/>
      <c r="E14" s="29" t="s">
        <v>259</v>
      </c>
      <c r="F14" s="30" t="str">
        <f>IFERROR(VLOOKUP(A14,'[10]EQUIPOS TRANSPOR SALARIO'!$A$3:$G$42,2,FALSE),"")</f>
        <v/>
      </c>
      <c r="G14" s="31">
        <f>+VLOOKUP(A14,'EQUIPOS '!$B$3:$M$64,12,FALSE)</f>
        <v>3687.5</v>
      </c>
      <c r="H14" s="30">
        <f>+H13</f>
        <v>50</v>
      </c>
      <c r="I14" s="33">
        <f t="shared" si="0"/>
        <v>73.75</v>
      </c>
      <c r="J14" s="33">
        <f t="shared" si="1"/>
        <v>74</v>
      </c>
      <c r="L14" s="20" t="s">
        <v>95</v>
      </c>
    </row>
    <row r="15" spans="1:12" s="20" customFormat="1" ht="13.9" customHeight="1" x14ac:dyDescent="0.25">
      <c r="A15" s="1571" t="str">
        <f>+'EQUIPOS '!B33</f>
        <v>HERRAMIENTA MENOR</v>
      </c>
      <c r="B15" s="1572"/>
      <c r="C15" s="1572"/>
      <c r="D15" s="1573"/>
      <c r="E15" s="29"/>
      <c r="F15" s="30" t="str">
        <f>IFERROR(VLOOKUP(A15,'[10]EQUIPOS TRANSPOR SALARIO'!$A$3:$G$42,2,FALSE),"")</f>
        <v>Global</v>
      </c>
      <c r="G15" s="74">
        <v>0.01</v>
      </c>
      <c r="H15" s="299">
        <f>+J50</f>
        <v>987</v>
      </c>
      <c r="I15" s="33">
        <f>IFERROR((G15*H15),0)</f>
        <v>9.870000000000001</v>
      </c>
      <c r="J15" s="33">
        <f t="shared" si="1"/>
        <v>10</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f t="shared" si="0"/>
        <v>0</v>
      </c>
      <c r="J16" s="33">
        <f t="shared" si="1"/>
        <v>0</v>
      </c>
    </row>
    <row r="17" spans="1:12"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f t="shared" si="0"/>
        <v>0</v>
      </c>
      <c r="J17" s="33">
        <f t="shared" si="1"/>
        <v>0</v>
      </c>
    </row>
    <row r="18" spans="1:12" s="20" customFormat="1" ht="13.9" customHeight="1" x14ac:dyDescent="0.25">
      <c r="I18" s="30" t="s">
        <v>257</v>
      </c>
      <c r="J18" s="34">
        <f>+SUM(J11:J17)</f>
        <v>763</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ht="39.75" customHeight="1" x14ac:dyDescent="0.25">
      <c r="A22" s="1637" t="str">
        <f>+'INSUMOS '!B36</f>
        <v>DELINEADOR DE CORONA (HITO DE ARISTA) MATERIAL SINTETICO FLEXIBLE BLANCO, FRANJA NEGRA Y MATERIAL RETROFLECTIVO (TIPO "A", FIJADO EN CONCRETO, MIN DE 75 Y MÁX DE 120 CM FIGURA 5-2 Y 5-3)</v>
      </c>
      <c r="B22" s="1638"/>
      <c r="C22" s="1638"/>
      <c r="D22" s="1638"/>
      <c r="E22" s="1638"/>
      <c r="F22" s="1639"/>
      <c r="G22" s="29" t="s">
        <v>266</v>
      </c>
      <c r="H22" s="35">
        <v>1</v>
      </c>
      <c r="I22" s="33">
        <f>+IFERROR(VLOOKUP(A22,'INSUMOS '!$B$2:$AP$167,'INSUMOS '!$AO$2+1,FALSE),0)</f>
        <v>47076.399999999994</v>
      </c>
      <c r="J22" s="33">
        <f>ROUND(I22*H22,0)</f>
        <v>47076</v>
      </c>
    </row>
    <row r="23" spans="1:12" ht="13.9" customHeight="1" x14ac:dyDescent="0.25">
      <c r="A23" s="1571" t="str">
        <f>+'INSUMOS '!B65</f>
        <v>PEGANTE EPOXICO</v>
      </c>
      <c r="B23" s="1572"/>
      <c r="C23" s="1572"/>
      <c r="D23" s="1572"/>
      <c r="E23" s="1572"/>
      <c r="F23" s="1573"/>
      <c r="G23" s="29" t="s">
        <v>6</v>
      </c>
      <c r="H23" s="35">
        <v>0.01</v>
      </c>
      <c r="I23" s="33">
        <f>+IFERROR(VLOOKUP(A23,'INSUMOS '!$B$2:$AP$167,'INSUMOS '!$AO$2+1,FALSE),0)</f>
        <v>146748</v>
      </c>
      <c r="J23" s="33">
        <f t="shared" ref="J23:J28" si="2">ROUND(I23*H23,0)</f>
        <v>1467</v>
      </c>
      <c r="L23" s="19" t="s">
        <v>288</v>
      </c>
    </row>
    <row r="24" spans="1:12" ht="13.9" customHeight="1" x14ac:dyDescent="0.25">
      <c r="A24" s="1571" t="str">
        <f>+'INSUMOS '!B115</f>
        <v>CHAZO DE EXPANSION 5/16 *4</v>
      </c>
      <c r="B24" s="1572"/>
      <c r="C24" s="1572"/>
      <c r="D24" s="1572"/>
      <c r="E24" s="1572"/>
      <c r="F24" s="1573"/>
      <c r="G24" s="29" t="s">
        <v>266</v>
      </c>
      <c r="H24" s="35">
        <v>4</v>
      </c>
      <c r="I24" s="33">
        <f>+IFERROR(VLOOKUP(A24,'INSUMOS '!$B$2:$AP$167,'INSUMOS '!$AO$2+1,FALSE),0)</f>
        <v>700</v>
      </c>
      <c r="J24" s="33">
        <f t="shared" si="2"/>
        <v>2800</v>
      </c>
      <c r="L24" s="19" t="s">
        <v>291</v>
      </c>
    </row>
    <row r="25" spans="1:12" ht="13.9" customHeight="1" x14ac:dyDescent="0.25">
      <c r="A25" s="1571" t="str">
        <f>+'INSUMOS '!B20</f>
        <v>BROCA  PUNTA DE TUNGSTENO DE 1/2"</v>
      </c>
      <c r="B25" s="1572"/>
      <c r="C25" s="1572"/>
      <c r="D25" s="1572"/>
      <c r="E25" s="1572"/>
      <c r="F25" s="1573"/>
      <c r="G25" s="29" t="s">
        <v>266</v>
      </c>
      <c r="H25" s="35">
        <v>0.13</v>
      </c>
      <c r="I25" s="33">
        <f>+IFERROR(VLOOKUP(A25,'INSUMOS '!$B$2:$AP$167,'INSUMOS '!$AO$2+1,FALSE),0)</f>
        <v>12945</v>
      </c>
      <c r="J25" s="33">
        <f t="shared" si="2"/>
        <v>1683</v>
      </c>
      <c r="L25" s="19" t="s">
        <v>289</v>
      </c>
    </row>
    <row r="26" spans="1:12" ht="13.9" customHeight="1" x14ac:dyDescent="0.25">
      <c r="A26" s="1571" t="str">
        <f>+'INSUMOS '!B114</f>
        <v>GASOLINA CORRIENTE</v>
      </c>
      <c r="B26" s="1572"/>
      <c r="C26" s="1572"/>
      <c r="D26" s="1572"/>
      <c r="E26" s="1572"/>
      <c r="F26" s="1573"/>
      <c r="G26" s="29" t="s">
        <v>114</v>
      </c>
      <c r="H26" s="35">
        <v>0.01</v>
      </c>
      <c r="I26" s="33">
        <f>+IFERROR(VLOOKUP(A26,'INSUMOS '!$B$2:$AP$167,'INSUMOS '!$AO$2+1,FALSE),0)</f>
        <v>15861</v>
      </c>
      <c r="J26" s="33">
        <f t="shared" si="2"/>
        <v>159</v>
      </c>
      <c r="L26" s="19" t="s">
        <v>277</v>
      </c>
    </row>
    <row r="27" spans="1:12" ht="13.9" customHeight="1" x14ac:dyDescent="0.25">
      <c r="A27" s="1697" t="str">
        <f>+'INSUMOS '!B28</f>
        <v>CONCRETO  HIDRAULICO 2500 PSI 17 MPA (175 KG/CM2)</v>
      </c>
      <c r="B27" s="1559"/>
      <c r="C27" s="1559"/>
      <c r="D27" s="1559"/>
      <c r="E27" s="1559"/>
      <c r="F27" s="1560"/>
      <c r="G27" s="29" t="s">
        <v>3</v>
      </c>
      <c r="H27" s="35">
        <f>0.5*0.25^2</f>
        <v>3.125E-2</v>
      </c>
      <c r="I27" s="33">
        <f>+IFERROR(VLOOKUP(A27,'INSUMOS '!$B$2:$AP$167,'INSUMOS '!$AO$2+1,FALSE),0)</f>
        <v>486142</v>
      </c>
      <c r="J27" s="33">
        <f t="shared" si="2"/>
        <v>15192</v>
      </c>
    </row>
    <row r="28" spans="1:12" ht="13.9" customHeight="1" x14ac:dyDescent="0.25">
      <c r="A28" s="1558" t="str">
        <f>+'INSUMOS '!B4</f>
        <v>ACERO DE REFUERZO FY 60000 PSI</v>
      </c>
      <c r="B28" s="1559"/>
      <c r="C28" s="1559"/>
      <c r="D28" s="1559"/>
      <c r="E28" s="1559"/>
      <c r="F28" s="1560"/>
      <c r="G28" s="29" t="s">
        <v>115</v>
      </c>
      <c r="H28" s="35">
        <v>0.2</v>
      </c>
      <c r="I28" s="33">
        <f>+IFERROR(VLOOKUP(A28,'INSUMOS '!$B$2:$AP$167,'INSUMOS '!$AO$2+1,FALSE),0)</f>
        <v>6392</v>
      </c>
      <c r="J28" s="33">
        <f t="shared" si="2"/>
        <v>1278</v>
      </c>
    </row>
    <row r="29" spans="1:12" ht="13.9" customHeight="1" x14ac:dyDescent="0.25">
      <c r="A29" s="1558"/>
      <c r="B29" s="1559"/>
      <c r="C29" s="1559"/>
      <c r="D29" s="1559"/>
      <c r="E29" s="1559"/>
      <c r="F29" s="1560"/>
      <c r="G29" s="29"/>
      <c r="H29" s="37"/>
      <c r="I29" s="33"/>
      <c r="J29" s="33"/>
    </row>
    <row r="30" spans="1:12" ht="13.9" customHeight="1" x14ac:dyDescent="0.25">
      <c r="A30" s="1558"/>
      <c r="B30" s="1559"/>
      <c r="C30" s="1559"/>
      <c r="D30" s="1559"/>
      <c r="E30" s="1559"/>
      <c r="F30" s="1560"/>
      <c r="G30" s="29"/>
      <c r="H30" s="35"/>
      <c r="I30" s="33"/>
      <c r="J30" s="33"/>
    </row>
    <row r="31" spans="1:12" ht="13.9" customHeight="1" x14ac:dyDescent="0.25">
      <c r="A31" s="1558"/>
      <c r="B31" s="1559"/>
      <c r="C31" s="1559"/>
      <c r="D31" s="1559"/>
      <c r="E31" s="1559"/>
      <c r="F31" s="1560"/>
      <c r="G31" s="29"/>
      <c r="H31" s="35"/>
      <c r="I31" s="33"/>
      <c r="J31" s="33"/>
    </row>
    <row r="32" spans="1:12" ht="13.9" customHeight="1" x14ac:dyDescent="0.25">
      <c r="A32" s="20"/>
      <c r="B32" s="20"/>
      <c r="C32" s="20"/>
      <c r="D32" s="20"/>
      <c r="E32" s="20"/>
      <c r="G32" s="20"/>
      <c r="H32" s="20"/>
      <c r="I32" s="30" t="s">
        <v>257</v>
      </c>
      <c r="J32" s="34">
        <f>+SUM(J22:J31)</f>
        <v>69655</v>
      </c>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row>
    <row r="36" spans="1:13" ht="13.9" customHeight="1" x14ac:dyDescent="0.25">
      <c r="A36" s="1558" t="str">
        <f>+'EQUIPOS '!B6</f>
        <v>CAMION INCLUYE CONDUCTOR</v>
      </c>
      <c r="B36" s="1559"/>
      <c r="C36" s="1559"/>
      <c r="D36" s="1559"/>
      <c r="E36" s="1559"/>
      <c r="F36" s="1560"/>
      <c r="G36" s="20">
        <f>(0.03*2.4)/12</f>
        <v>5.9999999999999993E-3</v>
      </c>
      <c r="H36" s="33">
        <f>+IFERROR(VLOOKUP(A36,'EQUIPOS '!$B$3:$M$78,12,FALSE),0)</f>
        <v>611492.5</v>
      </c>
      <c r="I36" s="33">
        <f>IFERROR(H36*G36,0)</f>
        <v>3668.9549999999995</v>
      </c>
      <c r="J36" s="33">
        <f>ROUND(I36,0)</f>
        <v>3669</v>
      </c>
      <c r="M36" s="19">
        <f>0.03*2.4</f>
        <v>7.1999999999999995E-2</v>
      </c>
    </row>
    <row r="37" spans="1:13" ht="13.9" customHeight="1" x14ac:dyDescent="0.25">
      <c r="A37" s="1558"/>
      <c r="B37" s="1559"/>
      <c r="C37" s="1559"/>
      <c r="D37" s="1559"/>
      <c r="E37" s="1559"/>
      <c r="F37" s="1560"/>
      <c r="G37" s="29"/>
      <c r="H37" s="33"/>
      <c r="I37" s="33"/>
      <c r="J37" s="33"/>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3669</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400</v>
      </c>
      <c r="I43" s="33">
        <f>IFERROR(ROUND(G43/H43,0),0)</f>
        <v>534</v>
      </c>
      <c r="J43" s="33">
        <f>+I43</f>
        <v>534</v>
      </c>
    </row>
    <row r="44" spans="1:13" s="39" customFormat="1" ht="13.9" customHeight="1" x14ac:dyDescent="0.25">
      <c r="A44" s="1558" t="str">
        <f>+PERSONAL!B6</f>
        <v>AYUDANTE NOCTURNO</v>
      </c>
      <c r="B44" s="1559"/>
      <c r="C44" s="1559"/>
      <c r="D44" s="1560"/>
      <c r="E44" s="40">
        <f>+VLOOKUP(A44,PERSONAL!$B$3:$E$100,4,FALSE)</f>
        <v>83383</v>
      </c>
      <c r="F44" s="30">
        <v>1</v>
      </c>
      <c r="G44" s="40">
        <f t="shared" ref="G44:G45" si="3">+E44*F44</f>
        <v>83383</v>
      </c>
      <c r="H44" s="35">
        <f>+H43</f>
        <v>400</v>
      </c>
      <c r="I44" s="33">
        <f t="shared" ref="I44:I45" si="4">IFERROR(ROUND(G44/H44,0),0)</f>
        <v>208</v>
      </c>
      <c r="J44" s="33">
        <f t="shared" ref="J44:J45" si="5">+I44</f>
        <v>208</v>
      </c>
    </row>
    <row r="45" spans="1:13" s="39" customFormat="1" ht="13.9" customHeight="1" x14ac:dyDescent="0.25">
      <c r="A45" s="1558" t="str">
        <f>+PERSONAL!B4</f>
        <v>AUXILIAR DE TRÁFICO NOCTURNO</v>
      </c>
      <c r="B45" s="1559"/>
      <c r="C45" s="1559"/>
      <c r="D45" s="1560"/>
      <c r="E45" s="40">
        <f>+VLOOKUP(A45,PERSONAL!$B$3:$E$100,4,FALSE)</f>
        <v>98122</v>
      </c>
      <c r="F45" s="30">
        <v>1</v>
      </c>
      <c r="G45" s="40">
        <f t="shared" si="3"/>
        <v>98122</v>
      </c>
      <c r="H45" s="35">
        <f>+H44</f>
        <v>400</v>
      </c>
      <c r="I45" s="33">
        <f t="shared" si="4"/>
        <v>245</v>
      </c>
      <c r="J45" s="33">
        <f t="shared" si="5"/>
        <v>245</v>
      </c>
    </row>
    <row r="46" spans="1:13" s="39" customFormat="1" ht="13.9" customHeight="1" x14ac:dyDescent="0.25">
      <c r="A46" s="1558"/>
      <c r="B46" s="1559"/>
      <c r="C46" s="1559"/>
      <c r="D46" s="1560"/>
      <c r="E46" s="40"/>
      <c r="F46" s="30"/>
      <c r="G46" s="40"/>
      <c r="H46" s="35"/>
      <c r="I46" s="33"/>
      <c r="J46" s="33"/>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987</v>
      </c>
    </row>
    <row r="51" spans="1:10" ht="13.9" customHeight="1" x14ac:dyDescent="0.25"/>
    <row r="52" spans="1:10" ht="13.9" customHeight="1" x14ac:dyDescent="0.25">
      <c r="E52" s="41" t="s">
        <v>276</v>
      </c>
      <c r="I52" s="42">
        <f>+J50+J39+J32+J18</f>
        <v>75074</v>
      </c>
      <c r="J52" s="43"/>
    </row>
    <row r="53" spans="1:10" ht="13.9" customHeight="1" x14ac:dyDescent="0.25"/>
    <row r="54"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Hoja89">
    <tabColor theme="5" tint="-0.499984740745262"/>
  </sheetPr>
  <dimension ref="A1:J53"/>
  <sheetViews>
    <sheetView topLeftCell="A34"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80</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Suministro e instalación de delineador tubular simple (figura 5-19 Resolución 20243040045005 de 17 de septiembre de 2024)  construido en material sintético flexible de color amarillo con tres bandas de 7,5 cm en material reflectivoblanco tipo XI , altura mínima 70 cm, diámetro mínimo de 8 cm. Incluye accesorios y materiales para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259</v>
      </c>
      <c r="F11" s="30"/>
      <c r="G11" s="31">
        <f>+VLOOKUP(A11,'EQUIPOS '!$B$3:$M$64,12,FALSE)</f>
        <v>7999.94</v>
      </c>
      <c r="H11" s="30">
        <v>200</v>
      </c>
      <c r="I11" s="33">
        <f>IFERROR((G11/H11),"")</f>
        <v>39.999699999999997</v>
      </c>
      <c r="J11" s="33">
        <f>ROUND(I11,0)</f>
        <v>40</v>
      </c>
    </row>
    <row r="12" spans="1:10"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200</v>
      </c>
      <c r="I12" s="33">
        <f t="shared" ref="I12:I14" si="0">IFERROR((G12/H12),0)</f>
        <v>66.11</v>
      </c>
      <c r="J12" s="33">
        <f t="shared" ref="J12:J15" si="1">ROUND(I12,0)</f>
        <v>66</v>
      </c>
    </row>
    <row r="13" spans="1:10" s="20" customFormat="1" ht="13.9" customHeight="1" x14ac:dyDescent="0.25">
      <c r="A13" s="1558" t="str">
        <f>+'EQUIPOS '!B36</f>
        <v>PLANTA ELÉCTRICA</v>
      </c>
      <c r="B13" s="1559"/>
      <c r="C13" s="1559"/>
      <c r="D13" s="1560"/>
      <c r="E13" s="29" t="s">
        <v>259</v>
      </c>
      <c r="F13" s="30" t="str">
        <f>IFERROR(VLOOKUP(A13,'[10]EQUIPOS TRANSPOR SALARIO'!$A$3:$G$42,2,FALSE),"")</f>
        <v>Eléctrico</v>
      </c>
      <c r="G13" s="31">
        <f>+VLOOKUP(A13,'EQUIPOS '!$B$3:$M$64,12,FALSE)</f>
        <v>12771</v>
      </c>
      <c r="H13" s="30">
        <f>+$H$11</f>
        <v>200</v>
      </c>
      <c r="I13" s="33">
        <f t="shared" si="0"/>
        <v>63.854999999999997</v>
      </c>
      <c r="J13" s="33">
        <f t="shared" si="1"/>
        <v>64</v>
      </c>
    </row>
    <row r="14" spans="1:10" s="20" customFormat="1" ht="13.9" customHeight="1" x14ac:dyDescent="0.25">
      <c r="A14" s="1558" t="str">
        <f>+'EQUIPOS '!B44</f>
        <v xml:space="preserve">TALADRO PERCUTOR  </v>
      </c>
      <c r="B14" s="1559"/>
      <c r="C14" s="1559"/>
      <c r="D14" s="1560"/>
      <c r="E14" s="29" t="s">
        <v>259</v>
      </c>
      <c r="F14" s="30" t="str">
        <f>IFERROR(VLOOKUP(A14,'[10]EQUIPOS TRANSPOR SALARIO'!$A$3:$G$42,2,FALSE),"")</f>
        <v/>
      </c>
      <c r="G14" s="31">
        <f>+VLOOKUP(A14,'EQUIPOS '!$B$3:$M$64,12,FALSE)</f>
        <v>3687.5</v>
      </c>
      <c r="H14" s="30">
        <f>+$H$11</f>
        <v>200</v>
      </c>
      <c r="I14" s="33">
        <f t="shared" si="0"/>
        <v>18.4375</v>
      </c>
      <c r="J14" s="33">
        <f t="shared" si="1"/>
        <v>18</v>
      </c>
    </row>
    <row r="15" spans="1:10" s="20" customFormat="1" ht="13.9" customHeight="1" x14ac:dyDescent="0.25">
      <c r="A15" s="1558" t="str">
        <f>+'EQUIPOS '!B33</f>
        <v>HERRAMIENTA MENOR</v>
      </c>
      <c r="B15" s="1559"/>
      <c r="C15" s="1559"/>
      <c r="D15" s="1560"/>
      <c r="E15" s="29" t="s">
        <v>259</v>
      </c>
      <c r="F15" s="30" t="str">
        <f>IFERROR(VLOOKUP(A15,'[10]EQUIPOS TRANSPOR SALARIO'!$A$3:$G$42,2,FALSE),"")</f>
        <v>Global</v>
      </c>
      <c r="G15" s="74">
        <v>0.01</v>
      </c>
      <c r="H15" s="299">
        <f>+J48</f>
        <v>247</v>
      </c>
      <c r="I15" s="33">
        <f>IFERROR((G15*H15),0)</f>
        <v>2.4700000000000002</v>
      </c>
      <c r="J15" s="33">
        <f t="shared" si="1"/>
        <v>2</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190</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9.75" customHeight="1" x14ac:dyDescent="0.25">
      <c r="A22" s="1637" t="str">
        <f>+'INSUMOS '!B37</f>
        <v>DELINEADOR TUBULAR SIMPLE (HITO PLÁSTICO - FIGURA 5-17A) MATAREIAL SINTETICO FLEXIBLE COLOR AMARILLO CON TRES BANDAS DE 7,5 CM EN PAPEL REFLECTIVO BLANCO (MÍN 70 CM Y MÍNIMO DE 8 CM)</v>
      </c>
      <c r="B22" s="1638"/>
      <c r="C22" s="1638"/>
      <c r="D22" s="1638"/>
      <c r="E22" s="1638"/>
      <c r="F22" s="1639"/>
      <c r="G22" s="29" t="s">
        <v>266</v>
      </c>
      <c r="H22" s="35">
        <v>1</v>
      </c>
      <c r="I22" s="33">
        <f>+IFERROR(VLOOKUP(A22,'INSUMOS '!$B$2:$AP$167,'INSUMOS '!$AO$2+1,FALSE),0)</f>
        <v>41316</v>
      </c>
      <c r="J22" s="33">
        <f>ROUND(I22*H22,0)</f>
        <v>41316</v>
      </c>
    </row>
    <row r="23" spans="1:10" ht="13.9" customHeight="1" x14ac:dyDescent="0.25">
      <c r="A23" s="1558" t="str">
        <f>+'INSUMOS '!B65</f>
        <v>PEGANTE EPOXICO</v>
      </c>
      <c r="B23" s="1559"/>
      <c r="C23" s="1559"/>
      <c r="D23" s="1559"/>
      <c r="E23" s="1559"/>
      <c r="F23" s="1560"/>
      <c r="G23" s="29" t="s">
        <v>6</v>
      </c>
      <c r="H23" s="35">
        <v>0.05</v>
      </c>
      <c r="I23" s="33">
        <f>+IFERROR(VLOOKUP(A23,'INSUMOS '!$B$2:$AP$167,'INSUMOS '!$AO$2+1,FALSE),0)</f>
        <v>146748</v>
      </c>
      <c r="J23" s="33">
        <f>ROUND(I23*H23,0)</f>
        <v>7337</v>
      </c>
    </row>
    <row r="24" spans="1:10" ht="13.9" customHeight="1" x14ac:dyDescent="0.25">
      <c r="A24" s="1558" t="str">
        <f>+'INSUMOS '!B115</f>
        <v>CHAZO DE EXPANSION 5/16 *4</v>
      </c>
      <c r="B24" s="1559"/>
      <c r="C24" s="1559"/>
      <c r="D24" s="1559"/>
      <c r="E24" s="1559"/>
      <c r="F24" s="1560"/>
      <c r="G24" s="29" t="s">
        <v>266</v>
      </c>
      <c r="H24" s="35">
        <v>3</v>
      </c>
      <c r="I24" s="33">
        <f>+IFERROR(VLOOKUP(A24,'INSUMOS '!$B$2:$AP$167,'INSUMOS '!$AO$2+1,FALSE),0)</f>
        <v>700</v>
      </c>
      <c r="J24" s="33">
        <f>ROUND(I24*H24,0)</f>
        <v>2100</v>
      </c>
    </row>
    <row r="25" spans="1:10" ht="13.9" customHeight="1" x14ac:dyDescent="0.25">
      <c r="A25" s="1558" t="str">
        <f>+'INSUMOS '!B20</f>
        <v>BROCA  PUNTA DE TUNGSTENO DE 1/2"</v>
      </c>
      <c r="B25" s="1559"/>
      <c r="C25" s="1559"/>
      <c r="D25" s="1559"/>
      <c r="E25" s="1559"/>
      <c r="F25" s="1560"/>
      <c r="G25" s="29" t="s">
        <v>266</v>
      </c>
      <c r="H25" s="35">
        <v>0.01</v>
      </c>
      <c r="I25" s="33">
        <f>+IFERROR(VLOOKUP(A25,'INSUMOS '!$B$2:$AP$167,'INSUMOS '!$AO$2+1,FALSE),0)</f>
        <v>12945</v>
      </c>
      <c r="J25" s="33">
        <f>ROUND(I25*H25,0)</f>
        <v>129</v>
      </c>
    </row>
    <row r="26" spans="1:10" ht="13.9" customHeight="1" x14ac:dyDescent="0.25">
      <c r="A26" s="1558" t="str">
        <f>+'INSUMOS '!B114</f>
        <v>GASOLINA CORRIENTE</v>
      </c>
      <c r="B26" s="1559"/>
      <c r="C26" s="1559"/>
      <c r="D26" s="1559"/>
      <c r="E26" s="1559"/>
      <c r="F26" s="1560"/>
      <c r="G26" s="29" t="s">
        <v>114</v>
      </c>
      <c r="H26" s="35">
        <v>0.01</v>
      </c>
      <c r="I26" s="33">
        <f>+IFERROR(VLOOKUP(A26,'INSUMOS '!$B$2:$AP$167,'INSUMOS '!$AO$2+1,FALSE),0)</f>
        <v>15861</v>
      </c>
      <c r="J26" s="33">
        <f>ROUND(I26*H26,0)</f>
        <v>159</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51041</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29">
        <f>(0.9/1000)/12</f>
        <v>7.4999999999999993E-5</v>
      </c>
      <c r="H36" s="33">
        <f>+IFERROR(VLOOKUP(A36,'EQUIPOS '!$B$3:$M$78,12,FALSE),0)</f>
        <v>611492.5</v>
      </c>
      <c r="I36" s="33">
        <f>IFERROR(H36*G36,0)</f>
        <v>45.861937499999996</v>
      </c>
      <c r="J36" s="33">
        <f>ROUND(I36,0)</f>
        <v>46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46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+H11*8</f>
        <v>1600</v>
      </c>
      <c r="I43" s="33">
        <f>IFERROR(ROUND(G43/H43,0),0)</f>
        <v>134</v>
      </c>
      <c r="J43" s="33">
        <f>+I43</f>
        <v>134</v>
      </c>
    </row>
    <row r="44" spans="1:10" s="39" customFormat="1" ht="13.9" customHeight="1" x14ac:dyDescent="0.25">
      <c r="A44" s="1558" t="str">
        <f>+PERSONAL!B6</f>
        <v>AYUDANTE NOCTURNO</v>
      </c>
      <c r="B44" s="1559"/>
      <c r="C44" s="1559"/>
      <c r="D44" s="1560"/>
      <c r="E44" s="40">
        <f>+VLOOKUP(A44,PERSONAL!$B$3:$E$100,4,FALSE)</f>
        <v>83383</v>
      </c>
      <c r="F44" s="30">
        <v>1</v>
      </c>
      <c r="G44" s="40">
        <f>+E44*F44</f>
        <v>83383</v>
      </c>
      <c r="H44" s="35">
        <f>+H12*8</f>
        <v>1600</v>
      </c>
      <c r="I44" s="33">
        <f>IFERROR(ROUND(G44/H44,0),0)</f>
        <v>52</v>
      </c>
      <c r="J44" s="33">
        <f>+I44</f>
        <v>52</v>
      </c>
    </row>
    <row r="45" spans="1:10" s="39" customFormat="1" ht="13.9" customHeight="1" x14ac:dyDescent="0.25">
      <c r="A45" s="1558" t="str">
        <f>+PERSONAL!B4</f>
        <v>AUXILIAR DE TRÁFICO NOCTURNO</v>
      </c>
      <c r="B45" s="1559"/>
      <c r="C45" s="1559"/>
      <c r="D45" s="1560"/>
      <c r="E45" s="40">
        <f>+VLOOKUP(A45,PERSONAL!$B$3:$E$100,4,FALSE)</f>
        <v>98122</v>
      </c>
      <c r="F45" s="30">
        <v>1</v>
      </c>
      <c r="G45" s="40">
        <f>+E45*F45</f>
        <v>98122</v>
      </c>
      <c r="H45" s="35">
        <f>+H13*8</f>
        <v>1600</v>
      </c>
      <c r="I45" s="33">
        <f>IFERROR(ROUND(G45/H45,0),0)</f>
        <v>61</v>
      </c>
      <c r="J45" s="33">
        <f>+I45</f>
        <v>61</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ht="13.9" customHeight="1" x14ac:dyDescent="0.25">
      <c r="A48" s="20"/>
      <c r="B48" s="20"/>
      <c r="C48" s="20"/>
      <c r="E48" s="20"/>
      <c r="F48" s="20"/>
      <c r="G48" s="20"/>
      <c r="H48" s="20"/>
      <c r="I48" s="30" t="s">
        <v>257</v>
      </c>
      <c r="J48" s="34">
        <f>+SUM(J43:J47)</f>
        <v>247</v>
      </c>
    </row>
    <row r="49" spans="5:10" ht="13.9" customHeight="1" x14ac:dyDescent="0.25"/>
    <row r="50" spans="5:10" ht="13.9" customHeight="1" x14ac:dyDescent="0.25">
      <c r="E50" s="41" t="s">
        <v>276</v>
      </c>
      <c r="I50" s="42">
        <f>+J48+J39+J32+J18</f>
        <v>51524</v>
      </c>
      <c r="J50" s="43"/>
    </row>
    <row r="51" spans="5:10" ht="13.9" customHeight="1" x14ac:dyDescent="0.25"/>
    <row r="52" spans="5:10" ht="14.1" customHeight="1" x14ac:dyDescent="0.25"/>
    <row r="53" spans="5:10" ht="14.1" customHeight="1" x14ac:dyDescent="0.25"/>
  </sheetData>
  <mergeCells count="39">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4:D44"/>
    <mergeCell ref="A45:D45"/>
    <mergeCell ref="A46:D46"/>
    <mergeCell ref="A47:D47"/>
    <mergeCell ref="A37:F37"/>
    <mergeCell ref="A38:F38"/>
    <mergeCell ref="A41:H41"/>
    <mergeCell ref="A42:D42"/>
    <mergeCell ref="A43:D43"/>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Hoja88">
    <tabColor theme="5" tint="-0.499984740745262"/>
  </sheetPr>
  <dimension ref="A1:J55"/>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79</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 xml:space="preserve">Suministro e instalación de Boya plástica de color amarillo, con alta resistencia al impacto, con lentes reflectantes (dimensiones máximas: de 7 cm de altura y 24 cm de base según figura 5-3 Resolución 20243040045005 de 17 de septiembre de 2024)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259</v>
      </c>
      <c r="F11" s="30"/>
      <c r="G11" s="31">
        <f>+VLOOKUP(A11,'EQUIPOS '!$B$3:$M$64,12,FALSE)</f>
        <v>7999.94</v>
      </c>
      <c r="H11" s="30">
        <v>100</v>
      </c>
      <c r="I11" s="33">
        <f>IFERROR((G11/H11),"")</f>
        <v>79.999399999999994</v>
      </c>
      <c r="J11" s="33">
        <f>ROUND(I11,0)</f>
        <v>80</v>
      </c>
    </row>
    <row r="12" spans="1:10" s="20" customFormat="1" ht="13.9" customHeight="1" x14ac:dyDescent="0.25">
      <c r="A12" s="1558" t="str">
        <f>+'EQUIPOS '!B46</f>
        <v xml:space="preserve"> PMT (KIT )</v>
      </c>
      <c r="B12" s="1559"/>
      <c r="C12" s="1559"/>
      <c r="D12" s="1560"/>
      <c r="E12" s="29" t="s">
        <v>259</v>
      </c>
      <c r="F12" s="30" t="str">
        <f>IFERROR(VLOOKUP(A12,'[10]EQUIPOS TRANSPOR SALARIO'!$A$3:$G$42,2,FALSE),"")</f>
        <v/>
      </c>
      <c r="G12" s="31">
        <f>+VLOOKUP(A12,'EQUIPOS '!$B$3:$M$64,12,FALSE)</f>
        <v>13222</v>
      </c>
      <c r="H12" s="30">
        <f>+$H$11</f>
        <v>100</v>
      </c>
      <c r="I12" s="33">
        <f t="shared" ref="I12:I14" si="0">IFERROR((G12/H12),0)</f>
        <v>132.22</v>
      </c>
      <c r="J12" s="33">
        <f t="shared" ref="J12:J15" si="1">ROUND(I12,0)</f>
        <v>132</v>
      </c>
    </row>
    <row r="13" spans="1:10" s="20" customFormat="1" ht="13.9" customHeight="1" x14ac:dyDescent="0.25">
      <c r="A13" s="1558" t="str">
        <f>+'EQUIPOS '!B36</f>
        <v>PLANTA ELÉCTRICA</v>
      </c>
      <c r="B13" s="1559"/>
      <c r="C13" s="1559"/>
      <c r="D13" s="1560"/>
      <c r="E13" s="29" t="s">
        <v>259</v>
      </c>
      <c r="F13" s="30" t="str">
        <f>IFERROR(VLOOKUP(A13,'[10]EQUIPOS TRANSPOR SALARIO'!$A$3:$G$42,2,FALSE),"")</f>
        <v>Eléctrico</v>
      </c>
      <c r="G13" s="31">
        <f>+VLOOKUP(A13,'EQUIPOS '!$B$3:$M$64,12,FALSE)</f>
        <v>12771</v>
      </c>
      <c r="H13" s="30">
        <f>+$H$11</f>
        <v>100</v>
      </c>
      <c r="I13" s="33">
        <f t="shared" si="0"/>
        <v>127.71</v>
      </c>
      <c r="J13" s="33">
        <f t="shared" si="1"/>
        <v>128</v>
      </c>
    </row>
    <row r="14" spans="1:10" s="20" customFormat="1" ht="13.9" customHeight="1" x14ac:dyDescent="0.25">
      <c r="A14" s="1558" t="str">
        <f>+'EQUIPOS '!B44</f>
        <v xml:space="preserve">TALADRO PERCUTOR  </v>
      </c>
      <c r="B14" s="1559"/>
      <c r="C14" s="1559"/>
      <c r="D14" s="1560"/>
      <c r="E14" s="29" t="s">
        <v>259</v>
      </c>
      <c r="F14" s="30" t="str">
        <f>IFERROR(VLOOKUP(A14,'[10]EQUIPOS TRANSPOR SALARIO'!$A$3:$G$42,2,FALSE),"")</f>
        <v/>
      </c>
      <c r="G14" s="31">
        <f>+VLOOKUP(A14,'EQUIPOS '!$B$3:$M$64,12,FALSE)</f>
        <v>3687.5</v>
      </c>
      <c r="H14" s="30">
        <f>+$H$11</f>
        <v>100</v>
      </c>
      <c r="I14" s="33">
        <f t="shared" si="0"/>
        <v>36.875</v>
      </c>
      <c r="J14" s="33">
        <f t="shared" si="1"/>
        <v>37</v>
      </c>
    </row>
    <row r="15" spans="1:10" s="20" customFormat="1" ht="13.9" customHeight="1" x14ac:dyDescent="0.25">
      <c r="A15" s="1558" t="str">
        <f>+'EQUIPOS '!B33</f>
        <v>HERRAMIENTA MENOR</v>
      </c>
      <c r="B15" s="1559"/>
      <c r="C15" s="1559"/>
      <c r="D15" s="1560"/>
      <c r="E15" s="29" t="s">
        <v>259</v>
      </c>
      <c r="F15" s="30" t="str">
        <f>IFERROR(VLOOKUP(A15,'[10]EQUIPOS TRANSPOR SALARIO'!$A$3:$G$42,2,FALSE),"")</f>
        <v>Global</v>
      </c>
      <c r="G15" s="74">
        <v>0.01</v>
      </c>
      <c r="H15" s="299">
        <f>+J50</f>
        <v>494</v>
      </c>
      <c r="I15" s="33">
        <f>IFERROR((G15*H15),0)</f>
        <v>4.9400000000000004</v>
      </c>
      <c r="J15" s="33">
        <f t="shared" si="1"/>
        <v>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382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9" customHeight="1" x14ac:dyDescent="0.25">
      <c r="A22" s="1637" t="str">
        <f>+'INSUMOS '!B19</f>
        <v>BOYA PLÁSTICA DE COLOR AMARILLO, CON ALTA RESISTENCIA AL IMPACTO, CON LENTES REFLECTANTES (DIMENSIONES MÁXIMAS: DE 7 CM DE ALTURA Y 24 CM DE BASE)</v>
      </c>
      <c r="B22" s="1638"/>
      <c r="C22" s="1638"/>
      <c r="D22" s="1638"/>
      <c r="E22" s="1638"/>
      <c r="F22" s="1639"/>
      <c r="G22" s="29" t="s">
        <v>266</v>
      </c>
      <c r="H22" s="35">
        <v>1</v>
      </c>
      <c r="I22" s="33">
        <f>+IFERROR(VLOOKUP(A22,'INSUMOS '!$B$2:$AP$167,'INSUMOS '!$AO$2+1,FALSE),0)</f>
        <v>23749.5</v>
      </c>
      <c r="J22" s="33">
        <f>ROUND(I22*H22,0)</f>
        <v>23750</v>
      </c>
    </row>
    <row r="23" spans="1:10" ht="13.9" customHeight="1" x14ac:dyDescent="0.25">
      <c r="A23" s="1558" t="str">
        <f>+'INSUMOS '!B65</f>
        <v>PEGANTE EPOXICO</v>
      </c>
      <c r="B23" s="1559"/>
      <c r="C23" s="1559"/>
      <c r="D23" s="1559"/>
      <c r="E23" s="1559"/>
      <c r="F23" s="1560"/>
      <c r="G23" s="29" t="s">
        <v>6</v>
      </c>
      <c r="H23" s="35">
        <v>0.01</v>
      </c>
      <c r="I23" s="33">
        <f>+IFERROR(VLOOKUP(A23,'INSUMOS '!$B$2:$AP$167,'INSUMOS '!$AO$2+1,FALSE),0)</f>
        <v>146748</v>
      </c>
      <c r="J23" s="33">
        <f>ROUND(I23*H23,0)</f>
        <v>1467</v>
      </c>
    </row>
    <row r="24" spans="1:10" ht="13.9" customHeight="1" x14ac:dyDescent="0.25">
      <c r="A24" s="1558" t="str">
        <f>+'INSUMOS '!B115</f>
        <v>CHAZO DE EXPANSION 5/16 *4</v>
      </c>
      <c r="B24" s="1559"/>
      <c r="C24" s="1559"/>
      <c r="D24" s="1559"/>
      <c r="E24" s="1559"/>
      <c r="F24" s="1560"/>
      <c r="G24" s="29" t="s">
        <v>266</v>
      </c>
      <c r="H24" s="35">
        <v>4</v>
      </c>
      <c r="I24" s="33">
        <f>+IFERROR(VLOOKUP(A24,'INSUMOS '!$B$2:$AP$167,'INSUMOS '!$AO$2+1,FALSE),0)</f>
        <v>700</v>
      </c>
      <c r="J24" s="33">
        <f>ROUND(I24*H24,0)</f>
        <v>2800</v>
      </c>
    </row>
    <row r="25" spans="1:10" ht="13.9" customHeight="1" x14ac:dyDescent="0.25">
      <c r="A25" s="1558" t="str">
        <f>+'INSUMOS '!B20</f>
        <v>BROCA  PUNTA DE TUNGSTENO DE 1/2"</v>
      </c>
      <c r="B25" s="1559"/>
      <c r="C25" s="1559"/>
      <c r="D25" s="1559"/>
      <c r="E25" s="1559"/>
      <c r="F25" s="1560"/>
      <c r="G25" s="29" t="s">
        <v>266</v>
      </c>
      <c r="H25" s="35">
        <v>0.01</v>
      </c>
      <c r="I25" s="33">
        <f>+IFERROR(VLOOKUP(A25,'INSUMOS '!$B$2:$AP$167,'INSUMOS '!$AO$2+1,FALSE),0)</f>
        <v>12945</v>
      </c>
      <c r="J25" s="33">
        <f>ROUND(I25*H25,0)</f>
        <v>129</v>
      </c>
    </row>
    <row r="26" spans="1:10" ht="13.9" customHeight="1" x14ac:dyDescent="0.25">
      <c r="A26" s="1558" t="str">
        <f>+'INSUMOS '!B114</f>
        <v>GASOLINA CORRIENTE</v>
      </c>
      <c r="B26" s="1559"/>
      <c r="C26" s="1559"/>
      <c r="D26" s="1559"/>
      <c r="E26" s="1559"/>
      <c r="F26" s="1560"/>
      <c r="G26" s="29" t="s">
        <v>114</v>
      </c>
      <c r="H26" s="35">
        <v>0.01</v>
      </c>
      <c r="I26" s="33">
        <f>+IFERROR(VLOOKUP(A26,'INSUMOS '!$B$2:$AP$167,'INSUMOS '!$AO$2+1,FALSE),0)</f>
        <v>15861</v>
      </c>
      <c r="J26" s="33">
        <f>ROUND(I26*H26,0)</f>
        <v>159</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28305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29">
        <f>(0.9/1000)/12</f>
        <v>7.4999999999999993E-5</v>
      </c>
      <c r="H36" s="33">
        <f>+IFERROR(VLOOKUP(A36,'EQUIPOS '!$B$3:$M$78,12,FALSE),0)</f>
        <v>611492.5</v>
      </c>
      <c r="I36" s="33">
        <f>IFERROR(H36*G36,0)</f>
        <v>45.861937499999996</v>
      </c>
      <c r="J36" s="33">
        <f>ROUND(I36,0)</f>
        <v>46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46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800</v>
      </c>
      <c r="I43" s="33">
        <f>IFERROR(ROUND(G43/H43,0),0)</f>
        <v>267</v>
      </c>
      <c r="J43" s="33">
        <f>+I43</f>
        <v>267</v>
      </c>
    </row>
    <row r="44" spans="1:10" s="39" customFormat="1" ht="13.9" customHeight="1" x14ac:dyDescent="0.25">
      <c r="A44" s="1558" t="str">
        <f>+PERSONAL!B6</f>
        <v>AYUDANTE NOCTURNO</v>
      </c>
      <c r="B44" s="1559"/>
      <c r="C44" s="1559"/>
      <c r="D44" s="1560"/>
      <c r="E44" s="40">
        <f>+VLOOKUP(A44,PERSONAL!$B$3:$E$100,4,FALSE)</f>
        <v>83383</v>
      </c>
      <c r="F44" s="30">
        <v>1</v>
      </c>
      <c r="G44" s="40">
        <f t="shared" ref="G44:G45" si="2">+E44*F44</f>
        <v>83383</v>
      </c>
      <c r="H44" s="35">
        <f>+H43</f>
        <v>800</v>
      </c>
      <c r="I44" s="33">
        <f t="shared" ref="I44:I45" si="3">IFERROR(ROUND(G44/H44,0),0)</f>
        <v>104</v>
      </c>
      <c r="J44" s="33">
        <f t="shared" ref="J44:J45" si="4">+I44</f>
        <v>104</v>
      </c>
    </row>
    <row r="45" spans="1:10" s="39" customFormat="1" ht="13.9" customHeight="1" x14ac:dyDescent="0.25">
      <c r="A45" s="1558" t="str">
        <f>+PERSONAL!B4</f>
        <v>AUXILIAR DE TRÁFICO NOCTURNO</v>
      </c>
      <c r="B45" s="1559"/>
      <c r="C45" s="1559"/>
      <c r="D45" s="1560"/>
      <c r="E45" s="40">
        <f>+VLOOKUP(A45,PERSONAL!$B$3:$E$100,4,FALSE)</f>
        <v>98122</v>
      </c>
      <c r="F45" s="30">
        <v>1</v>
      </c>
      <c r="G45" s="40">
        <f t="shared" si="2"/>
        <v>98122</v>
      </c>
      <c r="H45" s="35">
        <f>+H44</f>
        <v>800</v>
      </c>
      <c r="I45" s="33">
        <f t="shared" si="3"/>
        <v>123</v>
      </c>
      <c r="J45" s="33">
        <f t="shared" si="4"/>
        <v>123</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494</v>
      </c>
    </row>
    <row r="51" spans="1:10" ht="13.9" customHeight="1" x14ac:dyDescent="0.25"/>
    <row r="52" spans="1:10" ht="13.9" customHeight="1" x14ac:dyDescent="0.25">
      <c r="E52" s="41" t="s">
        <v>276</v>
      </c>
      <c r="I52" s="42">
        <f>+J50+J39+J32+J18</f>
        <v>29227</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Hoja87">
    <tabColor theme="5" tint="-0.499984740745262"/>
  </sheetPr>
  <dimension ref="A1:M55"/>
  <sheetViews>
    <sheetView topLeftCell="A27" workbookViewId="0">
      <selection activeCell="G36" sqref="G36"/>
    </sheetView>
  </sheetViews>
  <sheetFormatPr baseColWidth="10" defaultColWidth="11.42578125" defaultRowHeight="15.75" x14ac:dyDescent="0.25"/>
  <cols>
    <col min="1" max="1" width="3.7109375" style="629" customWidth="1"/>
    <col min="2" max="2" width="11.42578125" style="629"/>
    <col min="3" max="3" width="8.140625" style="629" customWidth="1"/>
    <col min="4" max="4" width="8.5703125" style="629" customWidth="1"/>
    <col min="5" max="5" width="12.28515625" style="629" customWidth="1"/>
    <col min="6" max="6" width="11.7109375" style="629" customWidth="1"/>
    <col min="7" max="8" width="11.140625" style="629" bestFit="1" customWidth="1"/>
    <col min="9" max="9" width="14.7109375" style="629" bestFit="1" customWidth="1"/>
    <col min="10" max="10" width="12" style="629" customWidth="1"/>
    <col min="11" max="11" width="11.42578125" style="629"/>
    <col min="12" max="13" width="11.5703125" style="629" bestFit="1" customWidth="1"/>
    <col min="14" max="16384" width="11.42578125" style="629"/>
  </cols>
  <sheetData>
    <row r="1" spans="1:12" ht="29.25" customHeight="1" x14ac:dyDescent="0.25">
      <c r="A1" s="1649" t="s">
        <v>244</v>
      </c>
      <c r="B1" s="1650"/>
      <c r="C1" s="1650"/>
      <c r="D1" s="1650"/>
      <c r="E1" s="1650"/>
      <c r="F1" s="1650"/>
      <c r="G1" s="1650"/>
      <c r="H1" s="1650"/>
      <c r="I1" s="1650"/>
      <c r="J1" s="1650"/>
    </row>
    <row r="2" spans="1:12" ht="15" customHeight="1" x14ac:dyDescent="0.25">
      <c r="A2" s="1651" t="s">
        <v>245</v>
      </c>
      <c r="B2" s="1651"/>
      <c r="C2" s="1651"/>
      <c r="D2" s="1651"/>
      <c r="E2" s="1651"/>
      <c r="F2" s="1651"/>
      <c r="G2" s="1651"/>
      <c r="H2" s="1651"/>
      <c r="I2" s="1651"/>
      <c r="J2" s="1651"/>
    </row>
    <row r="4" spans="1:12" s="630" customFormat="1" ht="9.9499999999999993" customHeight="1" x14ac:dyDescent="0.25">
      <c r="A4" s="1652" t="s">
        <v>246</v>
      </c>
      <c r="B4" s="1652"/>
      <c r="C4" s="1652"/>
      <c r="D4" s="1652"/>
      <c r="E4" s="1652"/>
      <c r="F4" s="1652"/>
      <c r="G4" s="1652"/>
      <c r="H4" s="1652"/>
      <c r="I4" s="1652"/>
      <c r="J4" s="1652"/>
    </row>
    <row r="5" spans="1:12" s="630" customFormat="1" ht="9.9499999999999993" customHeight="1" x14ac:dyDescent="0.25">
      <c r="B5" s="631"/>
      <c r="C5" s="631"/>
      <c r="D5" s="631"/>
      <c r="E5" s="631"/>
      <c r="F5" s="631"/>
      <c r="G5" s="631"/>
    </row>
    <row r="6" spans="1:12" x14ac:dyDescent="0.25">
      <c r="A6" s="1646" t="s">
        <v>247</v>
      </c>
      <c r="B6" s="1648"/>
      <c r="C6" s="632">
        <v>78</v>
      </c>
      <c r="D6" s="633"/>
      <c r="E6" s="633"/>
      <c r="F6" s="633"/>
      <c r="G6" s="633"/>
      <c r="H6" s="634"/>
      <c r="I6" s="635" t="s">
        <v>248</v>
      </c>
      <c r="J6" s="636" t="str">
        <f>+VLOOKUP(C6,'ANEXO PLIEGO_1'!$A$7:$C$133,3,FALSE)</f>
        <v>UN</v>
      </c>
    </row>
    <row r="7" spans="1:12" ht="35.1" customHeight="1" x14ac:dyDescent="0.25">
      <c r="A7" s="1653" t="s">
        <v>249</v>
      </c>
      <c r="B7" s="1654"/>
      <c r="C7" s="1655" t="str">
        <f>+VLOOKUP(C6,'ANEXO PLIEGO_1'!$A$7:$B$133,2,FALSE)</f>
        <v>Suministro e instalación de Boya metálica de color amarillo, con alta resistencia al impacto, con lentes reflectantes (dimensiones máximas: de 7 cm de altura y 24 cm de base según figura 5-3 Resolución 20243040045005 de 17 de septiembre de 2024)</v>
      </c>
      <c r="D7" s="1656"/>
      <c r="E7" s="1656"/>
      <c r="F7" s="1656"/>
      <c r="G7" s="1656"/>
      <c r="H7" s="1656"/>
      <c r="I7" s="1656"/>
      <c r="J7" s="1657"/>
    </row>
    <row r="9" spans="1:12" s="637" customFormat="1" ht="13.5" x14ac:dyDescent="0.25">
      <c r="A9" s="1658" t="s">
        <v>250</v>
      </c>
      <c r="B9" s="1658"/>
      <c r="C9" s="1658"/>
      <c r="D9" s="1658"/>
      <c r="E9" s="1658"/>
      <c r="F9" s="1658"/>
      <c r="G9" s="1658"/>
      <c r="H9" s="1658"/>
    </row>
    <row r="10" spans="1:12" s="630" customFormat="1" ht="13.9" customHeight="1" x14ac:dyDescent="0.25">
      <c r="A10" s="1659" t="s">
        <v>251</v>
      </c>
      <c r="B10" s="1660"/>
      <c r="C10" s="1660"/>
      <c r="D10" s="1661"/>
      <c r="E10" s="638" t="s">
        <v>252</v>
      </c>
      <c r="F10" s="638" t="s">
        <v>253</v>
      </c>
      <c r="G10" s="638" t="s">
        <v>254</v>
      </c>
      <c r="H10" s="638" t="s">
        <v>255</v>
      </c>
      <c r="I10" s="638" t="s">
        <v>256</v>
      </c>
      <c r="J10" s="638" t="s">
        <v>257</v>
      </c>
      <c r="L10" s="630" t="s">
        <v>278</v>
      </c>
    </row>
    <row r="11" spans="1:12" s="630" customFormat="1" ht="13.9" customHeight="1" x14ac:dyDescent="0.25">
      <c r="A11" s="1646" t="str">
        <f>+'EQUIPOS '!B9</f>
        <v>COMPRESOR</v>
      </c>
      <c r="B11" s="1647"/>
      <c r="C11" s="1647"/>
      <c r="D11" s="1648"/>
      <c r="E11" s="639" t="s">
        <v>259</v>
      </c>
      <c r="F11" s="640" t="str">
        <f>IFERROR(VLOOKUP(A11,'[10]EQUIPOS TRANSPOR SALARIO'!$A$3:$G$42,2,FALSE),"")</f>
        <v>Eléctrico</v>
      </c>
      <c r="G11" s="641">
        <f>+VLOOKUP(A11,'EQUIPOS '!$B$3:$M$64,12,FALSE)</f>
        <v>7999.94</v>
      </c>
      <c r="H11" s="640">
        <v>100</v>
      </c>
      <c r="I11" s="642">
        <f>IFERROR((G11/H11),"")</f>
        <v>79.999399999999994</v>
      </c>
      <c r="J11" s="642">
        <f>ROUND(I11,0)</f>
        <v>80</v>
      </c>
      <c r="L11" s="630" t="s">
        <v>262</v>
      </c>
    </row>
    <row r="12" spans="1:12" s="630" customFormat="1" ht="13.9" customHeight="1" x14ac:dyDescent="0.25">
      <c r="A12" s="1646" t="str">
        <f>+'EQUIPOS '!B46</f>
        <v xml:space="preserve"> PMT (KIT )</v>
      </c>
      <c r="B12" s="1647"/>
      <c r="C12" s="1647"/>
      <c r="D12" s="1648"/>
      <c r="E12" s="639" t="s">
        <v>259</v>
      </c>
      <c r="F12" s="640" t="str">
        <f>IFERROR(VLOOKUP(A12,'[10]EQUIPOS TRANSPOR SALARIO'!$A$3:$G$42,2,FALSE),"")</f>
        <v/>
      </c>
      <c r="G12" s="641">
        <f>+VLOOKUP(A12,'EQUIPOS '!$B$3:$M$64,12,FALSE)</f>
        <v>13222</v>
      </c>
      <c r="H12" s="640">
        <f>+H11</f>
        <v>100</v>
      </c>
      <c r="I12" s="642">
        <f t="shared" ref="I12" si="0">IFERROR((G12/H12),0)</f>
        <v>132.22</v>
      </c>
      <c r="J12" s="642">
        <f t="shared" ref="J12" si="1">ROUND(I12,0)</f>
        <v>132</v>
      </c>
      <c r="L12" s="630" t="s">
        <v>159</v>
      </c>
    </row>
    <row r="13" spans="1:12" s="630" customFormat="1" ht="13.9" customHeight="1" x14ac:dyDescent="0.25">
      <c r="A13" s="1646" t="str">
        <f>+'EQUIPOS '!B36</f>
        <v>PLANTA ELÉCTRICA</v>
      </c>
      <c r="B13" s="1647"/>
      <c r="C13" s="1647"/>
      <c r="D13" s="1648"/>
      <c r="E13" s="639" t="s">
        <v>259</v>
      </c>
      <c r="F13" s="640" t="str">
        <f>IFERROR(VLOOKUP(A13,'[10]EQUIPOS TRANSPOR SALARIO'!$A$3:$G$42,2,FALSE),"")</f>
        <v>Eléctrico</v>
      </c>
      <c r="G13" s="641">
        <f>+VLOOKUP(A13,'EQUIPOS '!$B$3:$M$64,12,FALSE)</f>
        <v>12771</v>
      </c>
      <c r="H13" s="640">
        <f>+H12</f>
        <v>100</v>
      </c>
      <c r="I13" s="642">
        <f>IFERROR((G13/H13),0)</f>
        <v>127.71</v>
      </c>
      <c r="J13" s="642">
        <f>ROUND(I13,0)</f>
        <v>128</v>
      </c>
      <c r="L13" s="630" t="s">
        <v>95</v>
      </c>
    </row>
    <row r="14" spans="1:12" s="630" customFormat="1" ht="13.9" customHeight="1" x14ac:dyDescent="0.25">
      <c r="A14" s="1646" t="str">
        <f>+'EQUIPOS '!B44</f>
        <v xml:space="preserve">TALADRO PERCUTOR  </v>
      </c>
      <c r="B14" s="1647"/>
      <c r="C14" s="1647"/>
      <c r="D14" s="1648"/>
      <c r="E14" s="639" t="s">
        <v>259</v>
      </c>
      <c r="F14" s="640" t="str">
        <f>IFERROR(VLOOKUP(A14,'[10]EQUIPOS TRANSPOR SALARIO'!$A$3:$G$42,2,FALSE),"")</f>
        <v/>
      </c>
      <c r="G14" s="641">
        <f>+VLOOKUP(A14,'EQUIPOS '!$B$3:$M$64,12,FALSE)</f>
        <v>3687.5</v>
      </c>
      <c r="H14" s="640">
        <f>+H13</f>
        <v>100</v>
      </c>
      <c r="I14" s="642">
        <f>IFERROR((G14/H14),0)</f>
        <v>36.875</v>
      </c>
      <c r="J14" s="642">
        <f>ROUND(I14,0)</f>
        <v>37</v>
      </c>
    </row>
    <row r="15" spans="1:12" s="630" customFormat="1" ht="13.9" customHeight="1" x14ac:dyDescent="0.25">
      <c r="A15" s="1646" t="str">
        <f>+'EQUIPOS '!B33</f>
        <v>HERRAMIENTA MENOR</v>
      </c>
      <c r="B15" s="1647"/>
      <c r="C15" s="1647"/>
      <c r="D15" s="1648"/>
      <c r="E15" s="639" t="s">
        <v>259</v>
      </c>
      <c r="F15" s="640" t="str">
        <f>IFERROR(VLOOKUP(A15,'[10]EQUIPOS TRANSPOR SALARIO'!$A$3:$G$42,2,FALSE),"")</f>
        <v>Global</v>
      </c>
      <c r="G15" s="643">
        <v>0.01</v>
      </c>
      <c r="H15" s="640">
        <f>+J50</f>
        <v>494</v>
      </c>
      <c r="I15" s="642">
        <f>IFERROR((G15*H15),0)</f>
        <v>4.9400000000000004</v>
      </c>
      <c r="J15" s="642">
        <f>ROUND(I15,0)</f>
        <v>5</v>
      </c>
    </row>
    <row r="16" spans="1:12" s="630" customFormat="1" ht="13.9" customHeight="1" x14ac:dyDescent="0.25">
      <c r="A16" s="1646"/>
      <c r="B16" s="1647"/>
      <c r="C16" s="1647"/>
      <c r="D16" s="1648"/>
      <c r="E16" s="639"/>
      <c r="F16" s="640" t="str">
        <f>IFERROR(VLOOKUP(A16,'[10]EQUIPOS TRANSPOR SALARIO'!$A$3:$G$42,2,FALSE),"")</f>
        <v/>
      </c>
      <c r="G16" s="641" t="str">
        <f>IFERROR(VLOOKUP(A16,'[10]EQUIPOS TRANSPOR SALARIO'!$A$3:$G$42,6,FALSE),"")</f>
        <v/>
      </c>
      <c r="H16" s="640" t="str">
        <f>IFERROR(VLOOKUP(A16,'[10]EQUIPOS TRANSPOR SALARIO'!$A$3:$G$42,7,FALSE),"")</f>
        <v/>
      </c>
      <c r="I16" s="642"/>
      <c r="J16" s="642"/>
    </row>
    <row r="17" spans="1:13" s="630" customFormat="1" ht="13.9" customHeight="1" x14ac:dyDescent="0.25">
      <c r="A17" s="1646"/>
      <c r="B17" s="1647"/>
      <c r="C17" s="1647"/>
      <c r="D17" s="1648"/>
      <c r="E17" s="639"/>
      <c r="F17" s="640" t="str">
        <f>IFERROR(VLOOKUP(A17,'[10]EQUIPOS TRANSPOR SALARIO'!$A$3:$G$42,2,FALSE),"")</f>
        <v/>
      </c>
      <c r="G17" s="641" t="str">
        <f>IFERROR(VLOOKUP(A17,'[10]EQUIPOS TRANSPOR SALARIO'!$A$3:$G$42,6,FALSE),"")</f>
        <v/>
      </c>
      <c r="H17" s="640" t="str">
        <f>IFERROR(VLOOKUP(A17,'[10]EQUIPOS TRANSPOR SALARIO'!$A$3:$G$42,7,FALSE),"")</f>
        <v/>
      </c>
      <c r="I17" s="642"/>
      <c r="J17" s="642"/>
    </row>
    <row r="18" spans="1:13" s="630" customFormat="1" ht="13.9" customHeight="1" x14ac:dyDescent="0.25">
      <c r="I18" s="640" t="s">
        <v>257</v>
      </c>
      <c r="J18" s="645">
        <f>+SUM(J11:J17)</f>
        <v>382</v>
      </c>
    </row>
    <row r="19" spans="1:13" s="630" customFormat="1" ht="13.9" customHeight="1" x14ac:dyDescent="0.25"/>
    <row r="20" spans="1:13" s="630" customFormat="1" ht="13.9" customHeight="1" x14ac:dyDescent="0.25">
      <c r="A20" s="1658" t="s">
        <v>263</v>
      </c>
      <c r="B20" s="1658"/>
      <c r="C20" s="1658"/>
      <c r="D20" s="1658"/>
      <c r="E20" s="1658"/>
      <c r="F20" s="1658"/>
      <c r="G20" s="1658"/>
      <c r="H20" s="1658"/>
      <c r="I20" s="637"/>
    </row>
    <row r="21" spans="1:13" ht="13.9" customHeight="1" x14ac:dyDescent="0.25">
      <c r="A21" s="1663" t="s">
        <v>251</v>
      </c>
      <c r="B21" s="1664"/>
      <c r="C21" s="1664"/>
      <c r="D21" s="1664"/>
      <c r="E21" s="1664"/>
      <c r="F21" s="1665"/>
      <c r="G21" s="638" t="s">
        <v>252</v>
      </c>
      <c r="H21" s="638" t="s">
        <v>264</v>
      </c>
      <c r="I21" s="638" t="s">
        <v>256</v>
      </c>
      <c r="J21" s="638" t="s">
        <v>257</v>
      </c>
    </row>
    <row r="22" spans="1:13" ht="33.75" customHeight="1" x14ac:dyDescent="0.25">
      <c r="A22" s="1653" t="str">
        <f>+'INSUMOS '!B18</f>
        <v>BOYA METÁLICA DE COLOR AMARILLO, CON ALTA RESISTENCIA AL IMPACTO, CON LENTES REFLECTANTES (DIMENSIONES MÁXIMAS: DE 10 CM DE ALTURA Y 24 CM DE BASE)</v>
      </c>
      <c r="B22" s="1698"/>
      <c r="C22" s="1698"/>
      <c r="D22" s="1698"/>
      <c r="E22" s="1698"/>
      <c r="F22" s="1654"/>
      <c r="G22" s="639" t="s">
        <v>266</v>
      </c>
      <c r="H22" s="646">
        <v>1</v>
      </c>
      <c r="I22" s="33">
        <f>+IFERROR(VLOOKUP(A22,'INSUMOS '!$B$2:$AP$167,'INSUMOS '!$AO$2+1,FALSE),0)</f>
        <v>29750</v>
      </c>
      <c r="J22" s="642">
        <f>ROUND(I22*H22,0)</f>
        <v>29750</v>
      </c>
    </row>
    <row r="23" spans="1:13" ht="13.9" customHeight="1" x14ac:dyDescent="0.25">
      <c r="A23" s="1653" t="str">
        <f>+'INSUMOS '!B65</f>
        <v>PEGANTE EPOXICO</v>
      </c>
      <c r="B23" s="1698"/>
      <c r="C23" s="1698"/>
      <c r="D23" s="1698"/>
      <c r="E23" s="1698"/>
      <c r="F23" s="1654"/>
      <c r="G23" s="639" t="s">
        <v>6</v>
      </c>
      <c r="H23" s="646">
        <v>0.05</v>
      </c>
      <c r="I23" s="33">
        <f>+IFERROR(VLOOKUP(A23,'INSUMOS '!$B$2:$AP$167,'INSUMOS '!$AO$2+1,FALSE),0)</f>
        <v>146748</v>
      </c>
      <c r="J23" s="642">
        <f>ROUND(I23*H23,0)</f>
        <v>7337</v>
      </c>
    </row>
    <row r="24" spans="1:13" ht="13.9" customHeight="1" x14ac:dyDescent="0.25">
      <c r="A24" s="1653" t="s">
        <v>277</v>
      </c>
      <c r="B24" s="1698"/>
      <c r="C24" s="1698"/>
      <c r="D24" s="1698"/>
      <c r="E24" s="1698"/>
      <c r="F24" s="1654"/>
      <c r="G24" s="639" t="s">
        <v>114</v>
      </c>
      <c r="H24" s="646">
        <v>0.01</v>
      </c>
      <c r="I24" s="33">
        <f>+IFERROR(VLOOKUP(A24,'INSUMOS '!$B$2:$AP$167,'INSUMOS '!$AO$2+1,FALSE),0)</f>
        <v>15861</v>
      </c>
      <c r="J24" s="642">
        <f>ROUND(I24*H24,0)</f>
        <v>159</v>
      </c>
    </row>
    <row r="25" spans="1:13" ht="13.9" customHeight="1" x14ac:dyDescent="0.25">
      <c r="A25" s="1653" t="str">
        <f>+'INSUMOS '!B84</f>
        <v>PUNTILLA  DE ACERO 2" X 1/2 "</v>
      </c>
      <c r="B25" s="1698"/>
      <c r="C25" s="1698"/>
      <c r="D25" s="1698"/>
      <c r="E25" s="1698"/>
      <c r="F25" s="1654"/>
      <c r="G25" s="639" t="s">
        <v>293</v>
      </c>
      <c r="H25" s="646">
        <v>0.05</v>
      </c>
      <c r="I25" s="33">
        <f>+IFERROR(VLOOKUP(A25,'INSUMOS '!$B$2:$AP$167,'INSUMOS '!$AO$2+1,FALSE),0)</f>
        <v>5100</v>
      </c>
      <c r="J25" s="642">
        <f>ROUND(I25*H25,0)</f>
        <v>255</v>
      </c>
      <c r="L25" s="629">
        <f>4/80</f>
        <v>0.05</v>
      </c>
      <c r="M25" s="654" t="s">
        <v>3127</v>
      </c>
    </row>
    <row r="26" spans="1:13" ht="13.9" customHeight="1" x14ac:dyDescent="0.25">
      <c r="A26" s="1646"/>
      <c r="B26" s="1647"/>
      <c r="C26" s="1647"/>
      <c r="D26" s="1647"/>
      <c r="E26" s="1647"/>
      <c r="F26" s="1648"/>
      <c r="G26" s="639"/>
      <c r="H26" s="646"/>
      <c r="I26" s="642"/>
      <c r="J26" s="642"/>
    </row>
    <row r="27" spans="1:13" ht="13.9" customHeight="1" x14ac:dyDescent="0.25">
      <c r="A27" s="1646"/>
      <c r="B27" s="1647"/>
      <c r="C27" s="1647"/>
      <c r="D27" s="1647"/>
      <c r="E27" s="1647"/>
      <c r="F27" s="1648"/>
      <c r="G27" s="639"/>
      <c r="H27" s="646"/>
      <c r="I27" s="642"/>
      <c r="J27" s="642"/>
    </row>
    <row r="28" spans="1:13" ht="13.9" customHeight="1" x14ac:dyDescent="0.25">
      <c r="A28" s="1646"/>
      <c r="B28" s="1647"/>
      <c r="C28" s="1647"/>
      <c r="D28" s="1647"/>
      <c r="E28" s="1647"/>
      <c r="F28" s="1648"/>
      <c r="G28" s="639"/>
      <c r="H28" s="646"/>
      <c r="I28" s="642"/>
      <c r="J28" s="642"/>
    </row>
    <row r="29" spans="1:13" ht="13.9" customHeight="1" x14ac:dyDescent="0.25">
      <c r="A29" s="1646"/>
      <c r="B29" s="1647"/>
      <c r="C29" s="1647"/>
      <c r="D29" s="1647"/>
      <c r="E29" s="1647"/>
      <c r="F29" s="1648"/>
      <c r="G29" s="639"/>
      <c r="H29" s="648"/>
      <c r="I29" s="642"/>
      <c r="J29" s="642"/>
      <c r="M29" s="629">
        <f>4/87</f>
        <v>4.5977011494252873E-2</v>
      </c>
    </row>
    <row r="30" spans="1:13" ht="13.9" customHeight="1" x14ac:dyDescent="0.25">
      <c r="A30" s="1646"/>
      <c r="B30" s="1647"/>
      <c r="C30" s="1647"/>
      <c r="D30" s="1647"/>
      <c r="E30" s="1647"/>
      <c r="F30" s="1648"/>
      <c r="G30" s="639"/>
      <c r="H30" s="646"/>
      <c r="I30" s="642"/>
      <c r="J30" s="642"/>
    </row>
    <row r="31" spans="1:13" ht="13.9" customHeight="1" x14ac:dyDescent="0.25">
      <c r="A31" s="1646"/>
      <c r="B31" s="1647"/>
      <c r="C31" s="1647"/>
      <c r="D31" s="1647"/>
      <c r="E31" s="1647"/>
      <c r="F31" s="1648"/>
      <c r="G31" s="639"/>
      <c r="H31" s="646"/>
      <c r="I31" s="642"/>
      <c r="J31" s="642"/>
    </row>
    <row r="32" spans="1:13" ht="13.9" customHeight="1" x14ac:dyDescent="0.25">
      <c r="A32" s="630"/>
      <c r="B32" s="630"/>
      <c r="C32" s="630"/>
      <c r="D32" s="630"/>
      <c r="E32" s="630"/>
      <c r="G32" s="630"/>
      <c r="H32" s="630"/>
      <c r="I32" s="640" t="s">
        <v>257</v>
      </c>
      <c r="J32" s="645">
        <f>+SUM(J22:J31)</f>
        <v>37501</v>
      </c>
    </row>
    <row r="33" spans="1:10" ht="13.9" customHeight="1" x14ac:dyDescent="0.25"/>
    <row r="34" spans="1:10" ht="13.9" customHeight="1" x14ac:dyDescent="0.25">
      <c r="A34" s="1658" t="s">
        <v>267</v>
      </c>
      <c r="B34" s="1658"/>
      <c r="C34" s="1658"/>
      <c r="D34" s="1658"/>
      <c r="E34" s="1658"/>
      <c r="F34" s="1658"/>
      <c r="G34" s="1658"/>
      <c r="H34" s="1658"/>
      <c r="I34" s="637"/>
    </row>
    <row r="35" spans="1:10" ht="13.9" customHeight="1" x14ac:dyDescent="0.25">
      <c r="A35" s="1659" t="s">
        <v>268</v>
      </c>
      <c r="B35" s="1660"/>
      <c r="C35" s="1660"/>
      <c r="D35" s="1660"/>
      <c r="E35" s="1660"/>
      <c r="F35" s="1661"/>
      <c r="G35" s="649" t="s">
        <v>255</v>
      </c>
      <c r="H35" s="638" t="s">
        <v>269</v>
      </c>
      <c r="I35" s="638" t="s">
        <v>256</v>
      </c>
      <c r="J35" s="638" t="s">
        <v>257</v>
      </c>
    </row>
    <row r="36" spans="1:10" ht="13.9" customHeight="1" x14ac:dyDescent="0.25">
      <c r="A36" s="1646" t="str">
        <f>+'EQUIPOS '!B6</f>
        <v>CAMION INCLUYE CONDUCTOR</v>
      </c>
      <c r="B36" s="1647"/>
      <c r="C36" s="1647"/>
      <c r="D36" s="1647"/>
      <c r="E36" s="1647"/>
      <c r="F36" s="1648"/>
      <c r="G36" s="1486">
        <f>(2/1000)/12</f>
        <v>1.6666666666666666E-4</v>
      </c>
      <c r="H36" s="642">
        <f>+IFERROR(VLOOKUP(A36,'EQUIPOS '!$B$3:$M$78,12,FALSE),0)</f>
        <v>611492.5</v>
      </c>
      <c r="I36" s="642">
        <f>IFERROR(H36*G36,0)</f>
        <v>101.91541666666666</v>
      </c>
      <c r="J36" s="642">
        <f>ROUND(I36,0)</f>
        <v>102</v>
      </c>
    </row>
    <row r="37" spans="1:10" ht="13.9" customHeight="1" x14ac:dyDescent="0.25">
      <c r="A37" s="1646"/>
      <c r="B37" s="1647"/>
      <c r="C37" s="1647"/>
      <c r="D37" s="1647"/>
      <c r="E37" s="1647"/>
      <c r="F37" s="1648"/>
      <c r="G37" s="639"/>
      <c r="H37" s="642"/>
      <c r="I37" s="642"/>
      <c r="J37" s="642"/>
    </row>
    <row r="38" spans="1:10" ht="13.9" customHeight="1" x14ac:dyDescent="0.25">
      <c r="A38" s="1646"/>
      <c r="B38" s="1647"/>
      <c r="C38" s="1647"/>
      <c r="D38" s="1647"/>
      <c r="E38" s="1647"/>
      <c r="F38" s="1648"/>
      <c r="G38" s="639"/>
      <c r="H38" s="642"/>
      <c r="I38" s="642"/>
      <c r="J38" s="642"/>
    </row>
    <row r="39" spans="1:10" ht="13.9" customHeight="1" x14ac:dyDescent="0.25">
      <c r="G39" s="98"/>
      <c r="H39" s="98"/>
      <c r="I39" s="640" t="s">
        <v>257</v>
      </c>
      <c r="J39" s="642">
        <f>+SUM(J36:J38)</f>
        <v>102</v>
      </c>
    </row>
    <row r="40" spans="1:10" ht="13.9" customHeight="1" x14ac:dyDescent="0.25"/>
    <row r="41" spans="1:10" ht="13.9" customHeight="1" x14ac:dyDescent="0.25">
      <c r="A41" s="1658" t="s">
        <v>270</v>
      </c>
      <c r="B41" s="1658"/>
      <c r="C41" s="1658"/>
      <c r="D41" s="1658"/>
      <c r="E41" s="1658"/>
      <c r="F41" s="1658"/>
      <c r="G41" s="1658"/>
      <c r="H41" s="1658"/>
      <c r="I41" s="637"/>
    </row>
    <row r="42" spans="1:10" s="98" customFormat="1" ht="13.9" customHeight="1" x14ac:dyDescent="0.25">
      <c r="A42" s="1659" t="s">
        <v>271</v>
      </c>
      <c r="B42" s="1660"/>
      <c r="C42" s="1660"/>
      <c r="D42" s="1661"/>
      <c r="E42" s="638" t="s">
        <v>272</v>
      </c>
      <c r="F42" s="638" t="s">
        <v>264</v>
      </c>
      <c r="G42" s="638" t="s">
        <v>273</v>
      </c>
      <c r="H42" s="638" t="s">
        <v>255</v>
      </c>
      <c r="I42" s="638" t="s">
        <v>256</v>
      </c>
      <c r="J42" s="638" t="s">
        <v>257</v>
      </c>
    </row>
    <row r="43" spans="1:10" s="98" customFormat="1" ht="13.9" customHeight="1" x14ac:dyDescent="0.25">
      <c r="A43" s="1646" t="str">
        <f>+PERSONAL!B19</f>
        <v>JEFE DE CUADRILLA NOCTURNO</v>
      </c>
      <c r="B43" s="1647"/>
      <c r="C43" s="1647"/>
      <c r="D43" s="1648"/>
      <c r="E43" s="650">
        <f>+VLOOKUP(A43,PERSONAL!$B$3:$E$100,4,FALSE)</f>
        <v>213741</v>
      </c>
      <c r="F43" s="640">
        <v>1</v>
      </c>
      <c r="G43" s="650">
        <f>+E43*F43</f>
        <v>213741</v>
      </c>
      <c r="H43" s="646">
        <f>8*H11</f>
        <v>800</v>
      </c>
      <c r="I43" s="642">
        <f>IFERROR(ROUND(G43/H43,0),0)</f>
        <v>267</v>
      </c>
      <c r="J43" s="642">
        <f>+I43</f>
        <v>267</v>
      </c>
    </row>
    <row r="44" spans="1:10" s="98" customFormat="1" ht="13.9" customHeight="1" x14ac:dyDescent="0.25">
      <c r="A44" s="1646" t="str">
        <f>+PERSONAL!B6</f>
        <v>AYUDANTE NOCTURNO</v>
      </c>
      <c r="B44" s="1647"/>
      <c r="C44" s="1647"/>
      <c r="D44" s="1648"/>
      <c r="E44" s="650">
        <f>+VLOOKUP(A44,PERSONAL!$B$3:$E$100,4,FALSE)</f>
        <v>83383</v>
      </c>
      <c r="F44" s="640">
        <v>1</v>
      </c>
      <c r="G44" s="650">
        <f t="shared" ref="G44:G45" si="2">+E44*F44</f>
        <v>83383</v>
      </c>
      <c r="H44" s="646">
        <f>+H43</f>
        <v>800</v>
      </c>
      <c r="I44" s="642">
        <f t="shared" ref="I44:I45" si="3">IFERROR(ROUND(G44/H44,0),0)</f>
        <v>104</v>
      </c>
      <c r="J44" s="642">
        <f t="shared" ref="J44:J45" si="4">+I44</f>
        <v>104</v>
      </c>
    </row>
    <row r="45" spans="1:10" s="98" customFormat="1" ht="13.9" customHeight="1" x14ac:dyDescent="0.25">
      <c r="A45" s="1646" t="str">
        <f>+PERSONAL!B4</f>
        <v>AUXILIAR DE TRÁFICO NOCTURNO</v>
      </c>
      <c r="B45" s="1647"/>
      <c r="C45" s="1647"/>
      <c r="D45" s="1648"/>
      <c r="E45" s="650">
        <f>+VLOOKUP(A45,PERSONAL!$B$3:$E$100,4,FALSE)</f>
        <v>98122</v>
      </c>
      <c r="F45" s="640">
        <v>1</v>
      </c>
      <c r="G45" s="650">
        <f t="shared" si="2"/>
        <v>98122</v>
      </c>
      <c r="H45" s="646">
        <f>+H44</f>
        <v>800</v>
      </c>
      <c r="I45" s="642">
        <f t="shared" si="3"/>
        <v>123</v>
      </c>
      <c r="J45" s="642">
        <f t="shared" si="4"/>
        <v>123</v>
      </c>
    </row>
    <row r="46" spans="1:10" s="98" customFormat="1" ht="13.9" customHeight="1" x14ac:dyDescent="0.25">
      <c r="A46" s="1646"/>
      <c r="B46" s="1647"/>
      <c r="C46" s="1647"/>
      <c r="D46" s="1648"/>
      <c r="E46" s="650"/>
      <c r="F46" s="640"/>
      <c r="G46" s="650"/>
      <c r="H46" s="646"/>
      <c r="I46" s="642"/>
      <c r="J46" s="642"/>
    </row>
    <row r="47" spans="1:10" s="98" customFormat="1" ht="13.9" customHeight="1" x14ac:dyDescent="0.25">
      <c r="A47" s="1646"/>
      <c r="B47" s="1647"/>
      <c r="C47" s="1647"/>
      <c r="D47" s="1648"/>
      <c r="E47" s="650"/>
      <c r="F47" s="640"/>
      <c r="G47" s="650"/>
      <c r="H47" s="646"/>
      <c r="I47" s="642"/>
      <c r="J47" s="642"/>
    </row>
    <row r="48" spans="1:10" s="98" customFormat="1" ht="13.9" customHeight="1" x14ac:dyDescent="0.25">
      <c r="A48" s="1646"/>
      <c r="B48" s="1647"/>
      <c r="C48" s="1647"/>
      <c r="D48" s="1648"/>
      <c r="E48" s="650"/>
      <c r="F48" s="640"/>
      <c r="G48" s="650"/>
      <c r="H48" s="646"/>
      <c r="I48" s="642"/>
      <c r="J48" s="642"/>
    </row>
    <row r="49" spans="1:10" s="98" customFormat="1" ht="13.9" customHeight="1" x14ac:dyDescent="0.25">
      <c r="A49" s="1646"/>
      <c r="B49" s="1647"/>
      <c r="C49" s="1647"/>
      <c r="D49" s="1648"/>
      <c r="E49" s="650"/>
      <c r="F49" s="640"/>
      <c r="G49" s="650"/>
      <c r="H49" s="646"/>
      <c r="I49" s="642"/>
      <c r="J49" s="642"/>
    </row>
    <row r="50" spans="1:10" ht="13.9" customHeight="1" x14ac:dyDescent="0.25">
      <c r="A50" s="630"/>
      <c r="B50" s="630"/>
      <c r="C50" s="630"/>
      <c r="E50" s="630"/>
      <c r="F50" s="630"/>
      <c r="G50" s="630"/>
      <c r="H50" s="630"/>
      <c r="I50" s="640" t="s">
        <v>257</v>
      </c>
      <c r="J50" s="645">
        <f>+SUM(J43:J49)</f>
        <v>494</v>
      </c>
    </row>
    <row r="51" spans="1:10" ht="13.9" customHeight="1" x14ac:dyDescent="0.25"/>
    <row r="52" spans="1:10" ht="13.9" customHeight="1" x14ac:dyDescent="0.25">
      <c r="E52" s="651" t="s">
        <v>276</v>
      </c>
      <c r="I52" s="652">
        <f>+J50+J39+J32+J18</f>
        <v>38479</v>
      </c>
      <c r="J52" s="65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Hoja85">
    <tabColor theme="5" tint="-0.499984740745262"/>
  </sheetPr>
  <dimension ref="A1:N53"/>
  <sheetViews>
    <sheetView topLeftCell="A29" workbookViewId="0">
      <selection activeCell="L36" sqref="L36"/>
    </sheetView>
  </sheetViews>
  <sheetFormatPr baseColWidth="10" defaultColWidth="11.42578125" defaultRowHeight="15.75" x14ac:dyDescent="0.25"/>
  <cols>
    <col min="1" max="1" width="3.7109375" style="629" customWidth="1"/>
    <col min="2" max="2" width="11.42578125" style="629"/>
    <col min="3" max="3" width="8.140625" style="629" customWidth="1"/>
    <col min="4" max="4" width="8.5703125" style="629" customWidth="1"/>
    <col min="5" max="5" width="12.28515625" style="629" customWidth="1"/>
    <col min="6" max="6" width="11.7109375" style="629" customWidth="1"/>
    <col min="7" max="8" width="11.140625" style="629" bestFit="1" customWidth="1"/>
    <col min="9" max="9" width="15.7109375" style="629" bestFit="1" customWidth="1"/>
    <col min="10" max="10" width="12" style="629" customWidth="1"/>
    <col min="11" max="12" width="11.42578125" style="629"/>
    <col min="13" max="14" width="11.5703125" style="629" bestFit="1" customWidth="1"/>
    <col min="15" max="16384" width="11.42578125" style="629"/>
  </cols>
  <sheetData>
    <row r="1" spans="1:13" ht="29.25" customHeight="1" x14ac:dyDescent="0.25">
      <c r="A1" s="1649" t="s">
        <v>244</v>
      </c>
      <c r="B1" s="1650"/>
      <c r="C1" s="1650"/>
      <c r="D1" s="1650"/>
      <c r="E1" s="1650"/>
      <c r="F1" s="1650"/>
      <c r="G1" s="1650"/>
      <c r="H1" s="1650"/>
      <c r="I1" s="1650"/>
      <c r="J1" s="1650"/>
    </row>
    <row r="2" spans="1:13" ht="15" customHeight="1" x14ac:dyDescent="0.25">
      <c r="A2" s="1651" t="s">
        <v>245</v>
      </c>
      <c r="B2" s="1651"/>
      <c r="C2" s="1651"/>
      <c r="D2" s="1651"/>
      <c r="E2" s="1651"/>
      <c r="F2" s="1651"/>
      <c r="G2" s="1651"/>
      <c r="H2" s="1651"/>
      <c r="I2" s="1651"/>
      <c r="J2" s="1651"/>
    </row>
    <row r="4" spans="1:13" s="630" customFormat="1" ht="9.9499999999999993" customHeight="1" x14ac:dyDescent="0.25">
      <c r="A4" s="1652" t="s">
        <v>246</v>
      </c>
      <c r="B4" s="1652"/>
      <c r="C4" s="1652"/>
      <c r="D4" s="1652"/>
      <c r="E4" s="1652"/>
      <c r="F4" s="1652"/>
      <c r="G4" s="1652"/>
      <c r="H4" s="1652"/>
      <c r="I4" s="1652"/>
      <c r="J4" s="1652"/>
    </row>
    <row r="5" spans="1:13" s="630" customFormat="1" ht="9.9499999999999993" customHeight="1" x14ac:dyDescent="0.25">
      <c r="B5" s="631"/>
      <c r="C5" s="631"/>
      <c r="D5" s="631"/>
      <c r="E5" s="631"/>
      <c r="F5" s="631"/>
      <c r="G5" s="631"/>
    </row>
    <row r="6" spans="1:13" x14ac:dyDescent="0.25">
      <c r="A6" s="1646" t="s">
        <v>247</v>
      </c>
      <c r="B6" s="1648"/>
      <c r="C6" s="632">
        <v>77</v>
      </c>
      <c r="D6" s="633"/>
      <c r="E6" s="633"/>
      <c r="F6" s="633"/>
      <c r="G6" s="633"/>
      <c r="H6" s="634"/>
      <c r="I6" s="635" t="s">
        <v>248</v>
      </c>
      <c r="J6" s="636" t="str">
        <f>+VLOOKUP(C6,'ANEXO PLIEGO_1'!$A$7:$C$133,3,FALSE)</f>
        <v>UN</v>
      </c>
    </row>
    <row r="7" spans="1:13" ht="51.75" customHeight="1" x14ac:dyDescent="0.25">
      <c r="A7" s="1653" t="s">
        <v>249</v>
      </c>
      <c r="B7" s="1654"/>
      <c r="C7" s="1655" t="str">
        <f>+VLOOKUP(C6,'ANEXO PLIEGO_1'!$A$7:$B$133,2,FALSE)</f>
        <v>Suministro y anclaje de bordillo no traspasable, en concreto de color amarillo con alta resistencia al impacto o concreto de 4000 PSI con varilla de refuerzo de 1/2"(Tipo piramidal con incrustación al pavimento con cuatro anclajes en varilla de 5/8" de diámetro por 4" de longitud, dimensiones: altura máxima de 15 cm, ancho de 20 cm y largo 100 cm). Incluye accesorios y materiales para fijación.</v>
      </c>
      <c r="D7" s="1656"/>
      <c r="E7" s="1656"/>
      <c r="F7" s="1656"/>
      <c r="G7" s="1656"/>
      <c r="H7" s="1656"/>
      <c r="I7" s="1656"/>
      <c r="J7" s="1657"/>
    </row>
    <row r="8" spans="1:13" x14ac:dyDescent="0.25">
      <c r="M8" s="629">
        <f>12/2.5</f>
        <v>4.8</v>
      </c>
    </row>
    <row r="9" spans="1:13" s="637" customFormat="1" ht="13.5" x14ac:dyDescent="0.25">
      <c r="A9" s="1658" t="s">
        <v>250</v>
      </c>
      <c r="B9" s="1658"/>
      <c r="C9" s="1658"/>
      <c r="D9" s="1658"/>
      <c r="E9" s="1658"/>
      <c r="F9" s="1658"/>
      <c r="G9" s="1658"/>
      <c r="H9" s="1658"/>
    </row>
    <row r="10" spans="1:13" s="630" customFormat="1" ht="13.9" customHeight="1" x14ac:dyDescent="0.25">
      <c r="A10" s="1659" t="s">
        <v>251</v>
      </c>
      <c r="B10" s="1660"/>
      <c r="C10" s="1660"/>
      <c r="D10" s="1661"/>
      <c r="E10" s="638" t="s">
        <v>252</v>
      </c>
      <c r="F10" s="638" t="s">
        <v>253</v>
      </c>
      <c r="G10" s="638" t="s">
        <v>254</v>
      </c>
      <c r="H10" s="638" t="s">
        <v>255</v>
      </c>
      <c r="I10" s="638" t="s">
        <v>256</v>
      </c>
      <c r="J10" s="638" t="s">
        <v>257</v>
      </c>
      <c r="M10" s="630">
        <f>0.15*0.2*1*500000</f>
        <v>15000</v>
      </c>
    </row>
    <row r="11" spans="1:13" s="630" customFormat="1" ht="13.9" customHeight="1" x14ac:dyDescent="0.25">
      <c r="A11" s="1646" t="str">
        <f>+'EQUIPOS '!B9</f>
        <v>COMPRESOR</v>
      </c>
      <c r="B11" s="1647"/>
      <c r="C11" s="1647"/>
      <c r="D11" s="1648"/>
      <c r="E11" s="639" t="s">
        <v>3171</v>
      </c>
      <c r="F11" s="640" t="str">
        <f>IFERROR(VLOOKUP(A11,'[10]EQUIPOS TRANSPOR SALARIO'!$A$3:$G$42,2,FALSE),"")</f>
        <v>Eléctrico</v>
      </c>
      <c r="G11" s="641">
        <f>+VLOOKUP(A11,'EQUIPOS '!$B$3:$M$64,12,FALSE)</f>
        <v>7999.94</v>
      </c>
      <c r="H11" s="640">
        <v>100</v>
      </c>
      <c r="I11" s="642">
        <f>IFERROR((G11/H11),"")</f>
        <v>79.999399999999994</v>
      </c>
      <c r="J11" s="642">
        <f>ROUND(I11,0)</f>
        <v>80</v>
      </c>
    </row>
    <row r="12" spans="1:13" s="630" customFormat="1" ht="13.9" customHeight="1" x14ac:dyDescent="0.25">
      <c r="A12" s="1646" t="str">
        <f>+'EQUIPOS '!B46</f>
        <v xml:space="preserve"> PMT (KIT )</v>
      </c>
      <c r="B12" s="1647"/>
      <c r="C12" s="1647"/>
      <c r="D12" s="1648"/>
      <c r="E12" s="639" t="s">
        <v>3171</v>
      </c>
      <c r="F12" s="640" t="str">
        <f>IFERROR(VLOOKUP(A12,'[10]EQUIPOS TRANSPOR SALARIO'!$A$3:$G$42,2,FALSE),"")</f>
        <v/>
      </c>
      <c r="G12" s="641">
        <f>+VLOOKUP(A12,'EQUIPOS '!$B$3:$M$64,12,FALSE)</f>
        <v>13222</v>
      </c>
      <c r="H12" s="640">
        <f>+$H$11</f>
        <v>100</v>
      </c>
      <c r="I12" s="642">
        <f>IFERROR((G12/H12),"")</f>
        <v>132.22</v>
      </c>
      <c r="J12" s="642">
        <f t="shared" ref="J12:J15" si="0">ROUND(I12,0)</f>
        <v>132</v>
      </c>
    </row>
    <row r="13" spans="1:13" s="630" customFormat="1" ht="13.9" customHeight="1" x14ac:dyDescent="0.25">
      <c r="A13" s="1646" t="str">
        <f>+'EQUIPOS '!B36</f>
        <v>PLANTA ELÉCTRICA</v>
      </c>
      <c r="B13" s="1647"/>
      <c r="C13" s="1647"/>
      <c r="D13" s="1648"/>
      <c r="E13" s="639" t="s">
        <v>3171</v>
      </c>
      <c r="F13" s="640" t="str">
        <f>IFERROR(VLOOKUP(A13,'[10]EQUIPOS TRANSPOR SALARIO'!$A$3:$G$42,2,FALSE),"")</f>
        <v>Eléctrico</v>
      </c>
      <c r="G13" s="641">
        <f>+VLOOKUP(A13,'EQUIPOS '!$B$3:$M$64,12,FALSE)</f>
        <v>12771</v>
      </c>
      <c r="H13" s="640">
        <f>+$H$11</f>
        <v>100</v>
      </c>
      <c r="I13" s="642">
        <f>IFERROR((G13/H13),0)</f>
        <v>127.71</v>
      </c>
      <c r="J13" s="642">
        <f t="shared" si="0"/>
        <v>128</v>
      </c>
    </row>
    <row r="14" spans="1:13" s="630" customFormat="1" ht="13.9" customHeight="1" x14ac:dyDescent="0.25">
      <c r="A14" s="1646" t="str">
        <f>+'EQUIPOS '!B44</f>
        <v xml:space="preserve">TALADRO PERCUTOR  </v>
      </c>
      <c r="B14" s="1647"/>
      <c r="C14" s="1647"/>
      <c r="D14" s="1648"/>
      <c r="E14" s="639" t="s">
        <v>3171</v>
      </c>
      <c r="F14" s="640" t="str">
        <f>IFERROR(VLOOKUP(A14,'[10]EQUIPOS TRANSPOR SALARIO'!$A$3:$G$42,2,FALSE),"")</f>
        <v/>
      </c>
      <c r="G14" s="641">
        <f>+VLOOKUP(A14,'EQUIPOS '!$B$3:$M$64,12,FALSE)</f>
        <v>3687.5</v>
      </c>
      <c r="H14" s="640">
        <f>+$H$11</f>
        <v>100</v>
      </c>
      <c r="I14" s="642">
        <f>IFERROR((G14/H14),0)</f>
        <v>36.875</v>
      </c>
      <c r="J14" s="642">
        <f t="shared" si="0"/>
        <v>37</v>
      </c>
    </row>
    <row r="15" spans="1:13" s="630" customFormat="1" ht="13.9" customHeight="1" x14ac:dyDescent="0.25">
      <c r="A15" s="1646" t="str">
        <f>+'EQUIPOS '!B33</f>
        <v>HERRAMIENTA MENOR</v>
      </c>
      <c r="B15" s="1647"/>
      <c r="C15" s="1647"/>
      <c r="D15" s="1648"/>
      <c r="E15" s="639" t="s">
        <v>3171</v>
      </c>
      <c r="F15" s="640" t="str">
        <f>IFERROR(VLOOKUP(A15,'[10]EQUIPOS TRANSPOR SALARIO'!$A$3:$G$42,2,FALSE),"")</f>
        <v>Global</v>
      </c>
      <c r="G15" s="643">
        <v>0.01</v>
      </c>
      <c r="H15" s="640">
        <f>+J50</f>
        <v>7210</v>
      </c>
      <c r="I15" s="642">
        <f>IFERROR((G15*H15),0)</f>
        <v>72.100000000000009</v>
      </c>
      <c r="J15" s="642">
        <f t="shared" si="0"/>
        <v>72</v>
      </c>
    </row>
    <row r="16" spans="1:13" s="630" customFormat="1" ht="13.9" customHeight="1" x14ac:dyDescent="0.25">
      <c r="A16" s="1646"/>
      <c r="B16" s="1647"/>
      <c r="C16" s="1647"/>
      <c r="D16" s="1648"/>
      <c r="E16" s="639"/>
      <c r="F16" s="640" t="str">
        <f>IFERROR(VLOOKUP(A16,'[10]EQUIPOS TRANSPOR SALARIO'!$A$3:$G$42,2,FALSE),"")</f>
        <v/>
      </c>
      <c r="G16" s="641" t="str">
        <f>IFERROR(VLOOKUP(A16,'[10]EQUIPOS TRANSPOR SALARIO'!$A$3:$G$42,6,FALSE),"")</f>
        <v/>
      </c>
      <c r="H16" s="640" t="str">
        <f>IFERROR(VLOOKUP(A16,'[10]EQUIPOS TRANSPOR SALARIO'!$A$3:$G$42,7,FALSE),"")</f>
        <v/>
      </c>
      <c r="I16" s="642"/>
      <c r="J16" s="642"/>
    </row>
    <row r="17" spans="1:10" s="630" customFormat="1" ht="13.9" customHeight="1" x14ac:dyDescent="0.25">
      <c r="A17" s="1646"/>
      <c r="B17" s="1647"/>
      <c r="C17" s="1647"/>
      <c r="D17" s="1648"/>
      <c r="E17" s="639"/>
      <c r="F17" s="640" t="str">
        <f>IFERROR(VLOOKUP(A17,'[10]EQUIPOS TRANSPOR SALARIO'!$A$3:$G$42,2,FALSE),"")</f>
        <v/>
      </c>
      <c r="G17" s="641" t="str">
        <f>IFERROR(VLOOKUP(A17,'[10]EQUIPOS TRANSPOR SALARIO'!$A$3:$G$42,6,FALSE),"")</f>
        <v/>
      </c>
      <c r="H17" s="640" t="str">
        <f>IFERROR(VLOOKUP(A17,'[10]EQUIPOS TRANSPOR SALARIO'!$A$3:$G$42,7,FALSE),"")</f>
        <v/>
      </c>
      <c r="I17" s="642"/>
      <c r="J17" s="642"/>
    </row>
    <row r="18" spans="1:10" s="630" customFormat="1" ht="13.9" customHeight="1" x14ac:dyDescent="0.25">
      <c r="I18" s="640" t="s">
        <v>257</v>
      </c>
      <c r="J18" s="645">
        <f>+SUM(J11:J17)</f>
        <v>449</v>
      </c>
    </row>
    <row r="19" spans="1:10" s="630" customFormat="1" ht="13.9" customHeight="1" x14ac:dyDescent="0.25"/>
    <row r="20" spans="1:10" s="630" customFormat="1" ht="13.9" customHeight="1" x14ac:dyDescent="0.25">
      <c r="A20" s="1658" t="s">
        <v>263</v>
      </c>
      <c r="B20" s="1658"/>
      <c r="C20" s="1658"/>
      <c r="D20" s="1658"/>
      <c r="E20" s="1658"/>
      <c r="F20" s="1658"/>
      <c r="G20" s="1658"/>
      <c r="H20" s="1658"/>
      <c r="I20" s="637"/>
    </row>
    <row r="21" spans="1:10" ht="13.9" customHeight="1" x14ac:dyDescent="0.25">
      <c r="A21" s="1663" t="s">
        <v>251</v>
      </c>
      <c r="B21" s="1664"/>
      <c r="C21" s="1664"/>
      <c r="D21" s="1664"/>
      <c r="E21" s="1664"/>
      <c r="F21" s="1665"/>
      <c r="G21" s="638" t="s">
        <v>252</v>
      </c>
      <c r="H21" s="638" t="s">
        <v>264</v>
      </c>
      <c r="I21" s="638" t="s">
        <v>256</v>
      </c>
      <c r="J21" s="638" t="s">
        <v>257</v>
      </c>
    </row>
    <row r="22" spans="1:10" ht="37.5" customHeight="1" x14ac:dyDescent="0.25">
      <c r="A22" s="1653" t="str">
        <f>+'INSUMOS '!B14</f>
        <v>BORDILLO NO TRANSPASABLE  CONCRETO AMARILLO Y REFUERZO 1/2"  CUATRO ANCLAJES 5/8" X  4" DE LARGO (DE15 CM, 20 CM Y 100 CM)</v>
      </c>
      <c r="B22" s="1698"/>
      <c r="C22" s="1698"/>
      <c r="D22" s="1698"/>
      <c r="E22" s="1698"/>
      <c r="F22" s="1654"/>
      <c r="G22" s="639" t="s">
        <v>266</v>
      </c>
      <c r="H22" s="646">
        <v>1</v>
      </c>
      <c r="I22" s="33">
        <f>+IFERROR(VLOOKUP(A22,'INSUMOS '!$B$2:$AP$167,'INSUMOS '!$AO$2+1,FALSE),0)</f>
        <v>139230</v>
      </c>
      <c r="J22" s="642">
        <f>ROUND(I22*H22,0)</f>
        <v>139230</v>
      </c>
    </row>
    <row r="23" spans="1:10" ht="13.9" customHeight="1" x14ac:dyDescent="0.3">
      <c r="A23" s="1666" t="str">
        <f>+'INSUMOS '!B65</f>
        <v>PEGANTE EPOXICO</v>
      </c>
      <c r="B23" s="1666"/>
      <c r="C23" s="1666"/>
      <c r="D23" s="1666"/>
      <c r="E23" s="1666"/>
      <c r="F23" s="1666"/>
      <c r="G23" s="639" t="s">
        <v>6</v>
      </c>
      <c r="H23" s="646">
        <f>0.15</f>
        <v>0.15</v>
      </c>
      <c r="I23" s="33">
        <f>+IFERROR(VLOOKUP(A23,'INSUMOS '!$B$2:$AP$167,'INSUMOS '!$AO$2+1,FALSE),0)</f>
        <v>146748</v>
      </c>
      <c r="J23" s="642">
        <f>ROUND(I23*H23,0)</f>
        <v>22012</v>
      </c>
    </row>
    <row r="24" spans="1:10" ht="13.9" customHeight="1" x14ac:dyDescent="0.3">
      <c r="A24" s="1666" t="str">
        <f>+'INSUMOS '!B114</f>
        <v>GASOLINA CORRIENTE</v>
      </c>
      <c r="B24" s="1666"/>
      <c r="C24" s="1666"/>
      <c r="D24" s="1666"/>
      <c r="E24" s="1666"/>
      <c r="F24" s="1666"/>
      <c r="G24" s="639" t="s">
        <v>114</v>
      </c>
      <c r="H24" s="646">
        <v>0.02</v>
      </c>
      <c r="I24" s="33">
        <f>+IFERROR(VLOOKUP(A24,'INSUMOS '!$B$2:$AP$167,'INSUMOS '!$AO$2+1,FALSE),0)</f>
        <v>15861</v>
      </c>
      <c r="J24" s="642">
        <f>ROUND(I24*H24,0)</f>
        <v>317</v>
      </c>
    </row>
    <row r="25" spans="1:10" ht="13.9" customHeight="1" x14ac:dyDescent="0.3">
      <c r="A25" s="1666" t="str">
        <f>+'INSUMOS '!B22</f>
        <v>BROCA TUNGSTENO DE 5/8"</v>
      </c>
      <c r="B25" s="1666"/>
      <c r="C25" s="1666"/>
      <c r="D25" s="1666"/>
      <c r="E25" s="1666"/>
      <c r="F25" s="1666"/>
      <c r="G25" s="639" t="s">
        <v>266</v>
      </c>
      <c r="H25" s="646">
        <v>0.01</v>
      </c>
      <c r="I25" s="33">
        <f>+IFERROR(VLOOKUP(A25,'INSUMOS '!$B$2:$AP$167,'INSUMOS '!$AO$2+1,FALSE),0)</f>
        <v>16445</v>
      </c>
      <c r="J25" s="642">
        <f>ROUND(I25*H25,0)</f>
        <v>164</v>
      </c>
    </row>
    <row r="26" spans="1:10" ht="13.9" customHeight="1" x14ac:dyDescent="0.3">
      <c r="A26" s="1666" t="str">
        <f>+'INSUMOS '!B25</f>
        <v>CHAZO ANCLA DE CUNA 1/2 X 4 1/2</v>
      </c>
      <c r="B26" s="1666"/>
      <c r="C26" s="1666"/>
      <c r="D26" s="1666"/>
      <c r="E26" s="1666"/>
      <c r="F26" s="1666"/>
      <c r="G26" s="639" t="s">
        <v>266</v>
      </c>
      <c r="H26" s="647">
        <v>2</v>
      </c>
      <c r="I26" s="33">
        <f>+IFERROR(VLOOKUP(A26,'INSUMOS '!$B$2:$AP$167,'INSUMOS '!$AO$2+1,FALSE),0)</f>
        <v>6900</v>
      </c>
      <c r="J26" s="642">
        <f>ROUND(I26*H26,0)</f>
        <v>13800</v>
      </c>
    </row>
    <row r="27" spans="1:10" ht="13.9" customHeight="1" x14ac:dyDescent="0.3">
      <c r="A27" s="1662"/>
      <c r="B27" s="1662"/>
      <c r="C27" s="1662"/>
      <c r="D27" s="1662"/>
      <c r="E27" s="1662"/>
      <c r="F27" s="1662"/>
      <c r="G27" s="639"/>
      <c r="H27" s="646"/>
      <c r="I27" s="642"/>
      <c r="J27" s="642"/>
    </row>
    <row r="28" spans="1:10" ht="13.9" customHeight="1" x14ac:dyDescent="0.3">
      <c r="A28" s="1662"/>
      <c r="B28" s="1662"/>
      <c r="C28" s="1662"/>
      <c r="D28" s="1662"/>
      <c r="E28" s="1662"/>
      <c r="F28" s="1662"/>
      <c r="G28" s="639"/>
      <c r="H28" s="646"/>
      <c r="I28" s="642"/>
      <c r="J28" s="642"/>
    </row>
    <row r="29" spans="1:10" ht="13.9" customHeight="1" x14ac:dyDescent="0.3">
      <c r="A29" s="1662"/>
      <c r="B29" s="1662"/>
      <c r="C29" s="1662"/>
      <c r="D29" s="1662"/>
      <c r="E29" s="1662"/>
      <c r="F29" s="1662"/>
      <c r="G29" s="639"/>
      <c r="H29" s="648"/>
      <c r="I29" s="642"/>
      <c r="J29" s="642"/>
    </row>
    <row r="30" spans="1:10" ht="13.9" customHeight="1" x14ac:dyDescent="0.3">
      <c r="A30" s="1662"/>
      <c r="B30" s="1662"/>
      <c r="C30" s="1662"/>
      <c r="D30" s="1662"/>
      <c r="E30" s="1662"/>
      <c r="F30" s="1662"/>
      <c r="G30" s="639"/>
      <c r="H30" s="646"/>
      <c r="I30" s="642"/>
      <c r="J30" s="642"/>
    </row>
    <row r="31" spans="1:10" ht="13.9" customHeight="1" x14ac:dyDescent="0.3">
      <c r="A31" s="1662"/>
      <c r="B31" s="1662"/>
      <c r="C31" s="1662"/>
      <c r="D31" s="1662"/>
      <c r="E31" s="1662"/>
      <c r="F31" s="1662"/>
      <c r="G31" s="639"/>
      <c r="H31" s="646"/>
      <c r="I31" s="642"/>
      <c r="J31" s="642"/>
    </row>
    <row r="32" spans="1:10" ht="13.9" customHeight="1" x14ac:dyDescent="0.25">
      <c r="A32" s="630"/>
      <c r="B32" s="630"/>
      <c r="C32" s="630"/>
      <c r="D32" s="630"/>
      <c r="E32" s="630"/>
      <c r="G32" s="630"/>
      <c r="H32" s="630"/>
      <c r="I32" s="640" t="s">
        <v>257</v>
      </c>
      <c r="J32" s="645">
        <f>+SUM(J22:J31)</f>
        <v>175523</v>
      </c>
    </row>
    <row r="33" spans="1:14" ht="13.9" customHeight="1" x14ac:dyDescent="0.25"/>
    <row r="34" spans="1:14" ht="13.9" customHeight="1" x14ac:dyDescent="0.25">
      <c r="A34" s="1658" t="s">
        <v>267</v>
      </c>
      <c r="B34" s="1658"/>
      <c r="C34" s="1658"/>
      <c r="D34" s="1658"/>
      <c r="E34" s="1658"/>
      <c r="F34" s="1658"/>
      <c r="G34" s="1658"/>
      <c r="H34" s="1658"/>
      <c r="I34" s="637"/>
    </row>
    <row r="35" spans="1:14" ht="13.9" customHeight="1" x14ac:dyDescent="0.25">
      <c r="A35" s="1659" t="s">
        <v>268</v>
      </c>
      <c r="B35" s="1660"/>
      <c r="C35" s="1660"/>
      <c r="D35" s="1660"/>
      <c r="E35" s="1660"/>
      <c r="F35" s="1661"/>
      <c r="G35" s="649" t="s">
        <v>255</v>
      </c>
      <c r="H35" s="638" t="s">
        <v>269</v>
      </c>
      <c r="I35" s="638" t="s">
        <v>256</v>
      </c>
      <c r="J35" s="638" t="s">
        <v>257</v>
      </c>
      <c r="M35" s="629">
        <f>0.15*0.2*1</f>
        <v>0.03</v>
      </c>
      <c r="N35" s="629">
        <f>2400*M35</f>
        <v>72</v>
      </c>
    </row>
    <row r="36" spans="1:14" ht="13.9" customHeight="1" x14ac:dyDescent="0.25">
      <c r="A36" s="1646" t="str">
        <f>+'EQUIPOS '!B6</f>
        <v>CAMION INCLUYE CONDUCTOR</v>
      </c>
      <c r="B36" s="1647"/>
      <c r="C36" s="1647"/>
      <c r="D36" s="1647"/>
      <c r="E36" s="1647"/>
      <c r="F36" s="1648"/>
      <c r="G36" s="639">
        <f>(72/1000)/12</f>
        <v>5.9999999999999993E-3</v>
      </c>
      <c r="H36" s="642">
        <f>+IFERROR(VLOOKUP(A36,'EQUIPOS '!$B$3:$M$78,12,FALSE),0)</f>
        <v>611492.5</v>
      </c>
      <c r="I36" s="642">
        <f>IFERROR(H36*G36,0)</f>
        <v>3668.9549999999995</v>
      </c>
      <c r="J36" s="642">
        <f>ROUND(I36,0)</f>
        <v>3669</v>
      </c>
    </row>
    <row r="37" spans="1:14" ht="13.9" customHeight="1" x14ac:dyDescent="0.25">
      <c r="A37" s="1646"/>
      <c r="B37" s="1647"/>
      <c r="C37" s="1647"/>
      <c r="D37" s="1647"/>
      <c r="E37" s="1647"/>
      <c r="F37" s="1648"/>
      <c r="G37" s="639"/>
      <c r="H37" s="642"/>
      <c r="I37" s="642"/>
      <c r="J37" s="642"/>
    </row>
    <row r="38" spans="1:14" ht="13.9" customHeight="1" x14ac:dyDescent="0.25">
      <c r="A38" s="1646"/>
      <c r="B38" s="1647"/>
      <c r="C38" s="1647"/>
      <c r="D38" s="1647"/>
      <c r="E38" s="1647"/>
      <c r="F38" s="1648"/>
      <c r="G38" s="639"/>
      <c r="H38" s="642"/>
      <c r="I38" s="642"/>
      <c r="J38" s="642"/>
    </row>
    <row r="39" spans="1:14" ht="13.9" customHeight="1" x14ac:dyDescent="0.25">
      <c r="G39" s="98"/>
      <c r="H39" s="98"/>
      <c r="I39" s="640" t="s">
        <v>257</v>
      </c>
      <c r="J39" s="642">
        <f>+SUM(J36:J38)</f>
        <v>3669</v>
      </c>
    </row>
    <row r="40" spans="1:14" ht="13.9" customHeight="1" x14ac:dyDescent="0.25"/>
    <row r="41" spans="1:14" ht="13.9" customHeight="1" x14ac:dyDescent="0.25">
      <c r="A41" s="1658" t="s">
        <v>270</v>
      </c>
      <c r="B41" s="1658"/>
      <c r="C41" s="1658"/>
      <c r="D41" s="1658"/>
      <c r="E41" s="1658"/>
      <c r="F41" s="1658"/>
      <c r="G41" s="1658"/>
      <c r="H41" s="1658"/>
      <c r="I41" s="637"/>
    </row>
    <row r="42" spans="1:14" s="98" customFormat="1" ht="13.9" customHeight="1" x14ac:dyDescent="0.25">
      <c r="A42" s="1659" t="s">
        <v>271</v>
      </c>
      <c r="B42" s="1660"/>
      <c r="C42" s="1660"/>
      <c r="D42" s="1661"/>
      <c r="E42" s="638" t="s">
        <v>272</v>
      </c>
      <c r="F42" s="638" t="s">
        <v>264</v>
      </c>
      <c r="G42" s="638" t="s">
        <v>273</v>
      </c>
      <c r="H42" s="638" t="s">
        <v>255</v>
      </c>
      <c r="I42" s="638" t="s">
        <v>256</v>
      </c>
      <c r="J42" s="638" t="s">
        <v>257</v>
      </c>
    </row>
    <row r="43" spans="1:14" s="98" customFormat="1" ht="13.9" customHeight="1" x14ac:dyDescent="0.25">
      <c r="A43" s="1646" t="str">
        <f>+PERSONAL!B19</f>
        <v>JEFE DE CUADRILLA NOCTURNO</v>
      </c>
      <c r="B43" s="1647"/>
      <c r="C43" s="1647"/>
      <c r="D43" s="1648"/>
      <c r="E43" s="650">
        <f>+VLOOKUP(A43,PERSONAL!$B$3:$E$100,4,FALSE)</f>
        <v>213741</v>
      </c>
      <c r="F43" s="640">
        <v>1</v>
      </c>
      <c r="G43" s="650">
        <f>+E43*F43</f>
        <v>213741</v>
      </c>
      <c r="H43" s="646">
        <v>80</v>
      </c>
      <c r="I43" s="642">
        <f>IFERROR(ROUND(G43/H43,0),0)</f>
        <v>2672</v>
      </c>
      <c r="J43" s="642">
        <f>+I43</f>
        <v>2672</v>
      </c>
    </row>
    <row r="44" spans="1:14" s="98" customFormat="1" ht="13.9" customHeight="1" x14ac:dyDescent="0.25">
      <c r="A44" s="1646" t="str">
        <f>+PERSONAL!B6</f>
        <v>AYUDANTE NOCTURNO</v>
      </c>
      <c r="B44" s="1647"/>
      <c r="C44" s="1647"/>
      <c r="D44" s="1648"/>
      <c r="E44" s="650">
        <f>+VLOOKUP(A44,PERSONAL!$B$3:$E$100,4,FALSE)</f>
        <v>83383</v>
      </c>
      <c r="F44" s="640">
        <v>2</v>
      </c>
      <c r="G44" s="650">
        <f>+E44*F44</f>
        <v>166766</v>
      </c>
      <c r="H44" s="646">
        <f>+H43</f>
        <v>80</v>
      </c>
      <c r="I44" s="642">
        <f>IFERROR(ROUND(G44/H44,0),0)</f>
        <v>2085</v>
      </c>
      <c r="J44" s="642">
        <f>+I44</f>
        <v>2085</v>
      </c>
    </row>
    <row r="45" spans="1:14" s="98" customFormat="1" ht="13.9" customHeight="1" x14ac:dyDescent="0.25">
      <c r="A45" s="1646" t="str">
        <f>+PERSONAL!B4</f>
        <v>AUXILIAR DE TRÁFICO NOCTURNO</v>
      </c>
      <c r="B45" s="1647"/>
      <c r="C45" s="1647"/>
      <c r="D45" s="1648"/>
      <c r="E45" s="650">
        <f>+VLOOKUP(A45,PERSONAL!$B$3:$E$100,4,FALSE)</f>
        <v>98122</v>
      </c>
      <c r="F45" s="640">
        <v>2</v>
      </c>
      <c r="G45" s="650">
        <f>+E45*F45</f>
        <v>196244</v>
      </c>
      <c r="H45" s="646">
        <f>+H44</f>
        <v>80</v>
      </c>
      <c r="I45" s="642">
        <f>IFERROR(ROUND(G45/H45,0),0)</f>
        <v>2453</v>
      </c>
      <c r="J45" s="642">
        <f>+I45</f>
        <v>2453</v>
      </c>
    </row>
    <row r="46" spans="1:14" s="98" customFormat="1" ht="13.9" customHeight="1" x14ac:dyDescent="0.25">
      <c r="A46" s="1646"/>
      <c r="B46" s="1647"/>
      <c r="C46" s="1647"/>
      <c r="D46" s="1648"/>
      <c r="E46" s="650"/>
      <c r="F46" s="640"/>
      <c r="G46" s="650"/>
      <c r="H46" s="646"/>
      <c r="I46" s="642"/>
      <c r="J46" s="642"/>
    </row>
    <row r="47" spans="1:14" s="98" customFormat="1" ht="13.9" customHeight="1" x14ac:dyDescent="0.25">
      <c r="A47" s="1646"/>
      <c r="B47" s="1647"/>
      <c r="C47" s="1647"/>
      <c r="D47" s="1648"/>
      <c r="E47" s="650"/>
      <c r="F47" s="640"/>
      <c r="G47" s="650"/>
      <c r="H47" s="646"/>
      <c r="I47" s="642"/>
      <c r="J47" s="642"/>
    </row>
    <row r="48" spans="1:14" s="98" customFormat="1" ht="13.9" customHeight="1" x14ac:dyDescent="0.25">
      <c r="A48" s="1646"/>
      <c r="B48" s="1647"/>
      <c r="C48" s="1647"/>
      <c r="D48" s="1648"/>
      <c r="E48" s="650"/>
      <c r="F48" s="640"/>
      <c r="G48" s="650"/>
      <c r="H48" s="646"/>
      <c r="I48" s="642"/>
      <c r="J48" s="642"/>
    </row>
    <row r="49" spans="1:10" s="98" customFormat="1" ht="13.9" customHeight="1" x14ac:dyDescent="0.25">
      <c r="A49" s="1646"/>
      <c r="B49" s="1647"/>
      <c r="C49" s="1647"/>
      <c r="D49" s="1648"/>
      <c r="E49" s="650"/>
      <c r="F49" s="640"/>
      <c r="G49" s="650"/>
      <c r="H49" s="646"/>
      <c r="I49" s="642"/>
      <c r="J49" s="642"/>
    </row>
    <row r="50" spans="1:10" ht="13.9" customHeight="1" x14ac:dyDescent="0.25">
      <c r="A50" s="630"/>
      <c r="B50" s="630"/>
      <c r="C50" s="630"/>
      <c r="E50" s="630"/>
      <c r="F50" s="630"/>
      <c r="G50" s="630"/>
      <c r="H50" s="630"/>
      <c r="I50" s="640" t="s">
        <v>257</v>
      </c>
      <c r="J50" s="645">
        <f>+SUM(J43:J49)</f>
        <v>7210</v>
      </c>
    </row>
    <row r="51" spans="1:10" ht="13.9" customHeight="1" x14ac:dyDescent="0.25"/>
    <row r="52" spans="1:10" ht="13.9" customHeight="1" x14ac:dyDescent="0.25">
      <c r="E52" s="651" t="s">
        <v>276</v>
      </c>
      <c r="I52" s="652">
        <f>+J50+J39+J32+J18</f>
        <v>186851</v>
      </c>
      <c r="J52" s="653"/>
    </row>
    <row r="53" spans="1:10" ht="13.9"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15:D15"/>
    <mergeCell ref="A16:D16"/>
    <mergeCell ref="A17:D17"/>
    <mergeCell ref="A20:H20"/>
    <mergeCell ref="A21:F21"/>
    <mergeCell ref="A35:F35"/>
    <mergeCell ref="A23:F23"/>
    <mergeCell ref="A24:F24"/>
    <mergeCell ref="A25:F25"/>
    <mergeCell ref="A26:F26"/>
    <mergeCell ref="A27:F27"/>
    <mergeCell ref="A34:H34"/>
    <mergeCell ref="A22:F22"/>
    <mergeCell ref="A28:F28"/>
    <mergeCell ref="A29:F29"/>
    <mergeCell ref="A30:F30"/>
    <mergeCell ref="A31:F31"/>
    <mergeCell ref="A49:D49"/>
    <mergeCell ref="A36:F36"/>
    <mergeCell ref="A37:F37"/>
    <mergeCell ref="A38:F38"/>
    <mergeCell ref="A41:H41"/>
    <mergeCell ref="A42:D42"/>
    <mergeCell ref="A43:D43"/>
    <mergeCell ref="A44:D44"/>
    <mergeCell ref="A45:D45"/>
    <mergeCell ref="A46:D46"/>
    <mergeCell ref="A47:D47"/>
    <mergeCell ref="A48:D48"/>
  </mergeCells>
  <dataValidations count="1">
    <dataValidation type="list" allowBlank="1" showInputMessage="1" showErrorMessage="1" sqref="A27:A31 A23:A25 B28:F31" xr:uid="{00000000-0002-0000-5500-000000000000}">
      <formula1>$E$4:$E$120</formula1>
    </dataValidation>
  </dataValidation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Hoja83">
    <tabColor theme="5" tint="-0.499984740745262"/>
  </sheetPr>
  <dimension ref="A1:N55"/>
  <sheetViews>
    <sheetView topLeftCell="A33"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76</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Suministro y anclaje de bordillo traspasable metálico de color amarillo con alta resistencia al impacto (Tipo piramidal, largo 40 cm, ancho de 15 cm y altura máxima de 8 cm de acuerdo con figura 5-6 de la Resolución 20243040045005 de 17 de septiembre de 2024). Incluye accesorios y materiales para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200</v>
      </c>
      <c r="I11" s="33">
        <f>IFERROR((G11/H11),"")</f>
        <v>39.999699999999997</v>
      </c>
      <c r="J11" s="33">
        <f>ROUND(I11,0)</f>
        <v>40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200</v>
      </c>
      <c r="I12" s="33">
        <f>IFERROR((G12/H12),"")</f>
        <v>66.11</v>
      </c>
      <c r="J12" s="33">
        <f>ROUND(I12,0)</f>
        <v>66</v>
      </c>
    </row>
    <row r="13" spans="1:10"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200</v>
      </c>
      <c r="I13" s="33">
        <f>IFERROR((G13/H13),0)</f>
        <v>63.854999999999997</v>
      </c>
      <c r="J13" s="33">
        <f>ROUND(I13,0)</f>
        <v>64</v>
      </c>
    </row>
    <row r="14" spans="1:10"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200</v>
      </c>
      <c r="I14" s="33">
        <f>IFERROR((G14/H14),0)</f>
        <v>18.4375</v>
      </c>
      <c r="J14" s="33">
        <f>ROUND(I14,0)</f>
        <v>18</v>
      </c>
    </row>
    <row r="15" spans="1:10" s="20" customFormat="1" ht="13.9" customHeight="1" x14ac:dyDescent="0.25">
      <c r="A15" s="1558" t="str">
        <f>+'EQUIPOS '!B33</f>
        <v>HERRAMIENTA MENOR</v>
      </c>
      <c r="B15" s="1559"/>
      <c r="C15" s="1559"/>
      <c r="D15" s="1560"/>
      <c r="E15" s="29" t="s">
        <v>202</v>
      </c>
      <c r="F15" s="30" t="str">
        <f>IFERROR(VLOOKUP(A15,'[10]EQUIPOS TRANSPOR SALARIO'!$A$3:$G$42,2,FALSE),"")</f>
        <v>Global</v>
      </c>
      <c r="G15" s="74">
        <v>0.01</v>
      </c>
      <c r="H15" s="30">
        <f>+J50</f>
        <v>361</v>
      </c>
      <c r="I15" s="33">
        <f>IFERROR((G15*H15),0)</f>
        <v>3.61</v>
      </c>
      <c r="J15" s="33">
        <f>ROUND(I15,0)</f>
        <v>4</v>
      </c>
    </row>
    <row r="16" spans="1:10" s="20" customFormat="1" ht="13.9" customHeight="1" x14ac:dyDescent="0.25">
      <c r="A16" s="1558"/>
      <c r="B16" s="1559"/>
      <c r="C16" s="1559"/>
      <c r="D16" s="1560"/>
      <c r="E16" s="29"/>
      <c r="F16" s="30"/>
      <c r="G16" s="31"/>
      <c r="H16" s="30"/>
      <c r="I16" s="33"/>
      <c r="J16" s="33"/>
    </row>
    <row r="17" spans="1:13" s="20" customFormat="1" ht="13.9" customHeight="1" x14ac:dyDescent="0.25">
      <c r="A17" s="1558"/>
      <c r="B17" s="1559"/>
      <c r="C17" s="1559"/>
      <c r="D17" s="1560"/>
      <c r="E17" s="29"/>
      <c r="F17" s="30"/>
      <c r="G17" s="31"/>
      <c r="H17" s="30"/>
      <c r="I17" s="33"/>
      <c r="J17" s="33"/>
    </row>
    <row r="18" spans="1:13" s="20" customFormat="1" ht="13.9" customHeight="1" x14ac:dyDescent="0.25">
      <c r="I18" s="30" t="s">
        <v>257</v>
      </c>
      <c r="J18" s="34">
        <f>+SUM(J11:J17)</f>
        <v>192</v>
      </c>
    </row>
    <row r="19" spans="1:13" s="20" customFormat="1" ht="13.9" customHeight="1" x14ac:dyDescent="0.25"/>
    <row r="20" spans="1:13" s="20" customFormat="1" ht="13.9" customHeight="1" x14ac:dyDescent="0.25">
      <c r="A20" s="1561" t="s">
        <v>263</v>
      </c>
      <c r="B20" s="1561"/>
      <c r="C20" s="1561"/>
      <c r="D20" s="1561"/>
      <c r="E20" s="1561"/>
      <c r="F20" s="1561"/>
      <c r="G20" s="1561"/>
      <c r="H20" s="1561"/>
      <c r="I20" s="27"/>
    </row>
    <row r="21" spans="1:13" ht="13.9" customHeight="1" x14ac:dyDescent="0.25">
      <c r="A21" s="1565" t="s">
        <v>251</v>
      </c>
      <c r="B21" s="1566"/>
      <c r="C21" s="1566"/>
      <c r="D21" s="1566"/>
      <c r="E21" s="1566"/>
      <c r="F21" s="1567"/>
      <c r="G21" s="28" t="s">
        <v>252</v>
      </c>
      <c r="H21" s="28" t="s">
        <v>264</v>
      </c>
      <c r="I21" s="28" t="s">
        <v>256</v>
      </c>
      <c r="J21" s="28" t="s">
        <v>257</v>
      </c>
    </row>
    <row r="22" spans="1:13" ht="45.75" customHeight="1" x14ac:dyDescent="0.25">
      <c r="A22" s="1568" t="str">
        <f>+'INSUMOS '!B17</f>
        <v>BORDILLO TRANSPASABLE METÁLICO DE COLOR AMARILLO CON ALTA RESISTENCIA AL IMPACTO  (TIPO PIRAMIDAL, LARGO 40 CM, ANCHO DE 15 CM Y ALTURA MINIMA DE 8 CM )</v>
      </c>
      <c r="B22" s="1569"/>
      <c r="C22" s="1569"/>
      <c r="D22" s="1569"/>
      <c r="E22" s="1569"/>
      <c r="F22" s="1570"/>
      <c r="G22" s="29" t="s">
        <v>266</v>
      </c>
      <c r="H22" s="35">
        <v>1</v>
      </c>
      <c r="I22" s="33">
        <f>+IFERROR(VLOOKUP(A22,'INSUMOS '!$B$2:$AP$167,'INSUMOS '!$AO$2+1,FALSE),0)</f>
        <v>145000</v>
      </c>
      <c r="J22" s="33">
        <f>ROUND(I22*H22,0)</f>
        <v>145000</v>
      </c>
      <c r="L22" s="20"/>
      <c r="M22" s="20"/>
    </row>
    <row r="23" spans="1:13" ht="13.9" customHeight="1" x14ac:dyDescent="0.25">
      <c r="A23" s="1558" t="str">
        <f>+'INSUMOS '!B65</f>
        <v>PEGANTE EPOXICO</v>
      </c>
      <c r="B23" s="1559"/>
      <c r="C23" s="1559"/>
      <c r="D23" s="1559"/>
      <c r="E23" s="1559"/>
      <c r="F23" s="1560"/>
      <c r="G23" s="29" t="s">
        <v>6</v>
      </c>
      <c r="H23" s="35">
        <f>0.05</f>
        <v>0.05</v>
      </c>
      <c r="I23" s="33">
        <f>+IFERROR(VLOOKUP(A23,'INSUMOS '!$B$2:$AP$167,'INSUMOS '!$AO$2+1,FALSE),0)</f>
        <v>146748</v>
      </c>
      <c r="J23" s="33">
        <f>ROUND(I23*H23,0)</f>
        <v>7337</v>
      </c>
      <c r="L23" s="19">
        <v>25</v>
      </c>
      <c r="M23" s="19">
        <v>0.05</v>
      </c>
    </row>
    <row r="24" spans="1:13"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ROUND(I24*H24,0)</f>
        <v>159</v>
      </c>
      <c r="L24" s="19">
        <v>40</v>
      </c>
    </row>
    <row r="25" spans="1:13" ht="13.9" customHeight="1" x14ac:dyDescent="0.25">
      <c r="A25" s="1558" t="str">
        <f>+'INSUMOS '!B22</f>
        <v>BROCA TUNGSTENO DE 5/8"</v>
      </c>
      <c r="B25" s="1559"/>
      <c r="C25" s="1559"/>
      <c r="D25" s="1559"/>
      <c r="E25" s="1559"/>
      <c r="F25" s="1560"/>
      <c r="G25" s="29" t="s">
        <v>266</v>
      </c>
      <c r="H25" s="35">
        <v>0.01</v>
      </c>
      <c r="I25" s="33">
        <f>+IFERROR(VLOOKUP(A25,'INSUMOS '!$B$2:$AP$167,'INSUMOS '!$AO$2+1,FALSE),0)</f>
        <v>16445</v>
      </c>
      <c r="J25" s="33">
        <f>ROUND(I25*H25,0)</f>
        <v>164</v>
      </c>
    </row>
    <row r="26" spans="1:13" ht="13.9" customHeight="1" x14ac:dyDescent="0.25">
      <c r="A26" s="1571"/>
      <c r="B26" s="1572"/>
      <c r="C26" s="1572"/>
      <c r="D26" s="1572"/>
      <c r="E26" s="1572"/>
      <c r="F26" s="1573"/>
      <c r="G26" s="53"/>
      <c r="H26" s="54"/>
      <c r="I26" s="33"/>
      <c r="J26" s="55"/>
    </row>
    <row r="27" spans="1:13" ht="13.9" customHeight="1" x14ac:dyDescent="0.25">
      <c r="A27" s="1558"/>
      <c r="B27" s="1559"/>
      <c r="C27" s="1559"/>
      <c r="D27" s="1559"/>
      <c r="E27" s="1559"/>
      <c r="F27" s="1560"/>
      <c r="G27" s="29"/>
      <c r="H27" s="35"/>
      <c r="I27" s="33"/>
      <c r="J27" s="33"/>
    </row>
    <row r="28" spans="1:13" ht="13.9" customHeight="1" x14ac:dyDescent="0.25">
      <c r="A28" s="1558"/>
      <c r="B28" s="1559"/>
      <c r="C28" s="1559"/>
      <c r="D28" s="1559"/>
      <c r="E28" s="1559"/>
      <c r="F28" s="1560"/>
      <c r="G28" s="29"/>
      <c r="H28" s="35"/>
      <c r="I28" s="33"/>
      <c r="J28" s="33"/>
    </row>
    <row r="29" spans="1:13" ht="13.9" customHeight="1" x14ac:dyDescent="0.25">
      <c r="A29" s="1558"/>
      <c r="B29" s="1559"/>
      <c r="C29" s="1559"/>
      <c r="D29" s="1559"/>
      <c r="E29" s="1559"/>
      <c r="F29" s="1560"/>
      <c r="G29" s="29"/>
      <c r="H29" s="37"/>
      <c r="I29" s="33"/>
      <c r="J29" s="33"/>
    </row>
    <row r="30" spans="1:13" ht="13.9" customHeight="1" x14ac:dyDescent="0.25">
      <c r="A30" s="1558"/>
      <c r="B30" s="1559"/>
      <c r="C30" s="1559"/>
      <c r="D30" s="1559"/>
      <c r="E30" s="1559"/>
      <c r="F30" s="1560"/>
      <c r="G30" s="29"/>
      <c r="H30" s="35"/>
      <c r="I30" s="33"/>
      <c r="J30" s="33"/>
    </row>
    <row r="31" spans="1:13" ht="13.9" customHeight="1" x14ac:dyDescent="0.25">
      <c r="A31" s="1558"/>
      <c r="B31" s="1559"/>
      <c r="C31" s="1559"/>
      <c r="D31" s="1559"/>
      <c r="E31" s="1559"/>
      <c r="F31" s="1560"/>
      <c r="G31" s="29"/>
      <c r="H31" s="35"/>
      <c r="I31" s="33"/>
      <c r="J31" s="33"/>
    </row>
    <row r="32" spans="1:13" ht="13.9" customHeight="1" x14ac:dyDescent="0.25">
      <c r="A32" s="20"/>
      <c r="B32" s="20"/>
      <c r="C32" s="20"/>
      <c r="D32" s="20"/>
      <c r="E32" s="20"/>
      <c r="G32" s="20"/>
      <c r="H32" s="20"/>
      <c r="I32" s="30" t="s">
        <v>257</v>
      </c>
      <c r="J32" s="34">
        <f>+SUM(J22:J31)</f>
        <v>152660</v>
      </c>
    </row>
    <row r="33" spans="1:14" ht="13.9" customHeight="1" x14ac:dyDescent="0.25"/>
    <row r="34" spans="1:14" ht="13.9" customHeight="1" x14ac:dyDescent="0.25">
      <c r="A34" s="1561" t="s">
        <v>267</v>
      </c>
      <c r="B34" s="1561"/>
      <c r="C34" s="1561"/>
      <c r="D34" s="1561"/>
      <c r="E34" s="1561"/>
      <c r="F34" s="1561"/>
      <c r="G34" s="1561"/>
      <c r="H34" s="1561"/>
      <c r="I34" s="27"/>
    </row>
    <row r="35" spans="1:14" ht="13.9" customHeight="1" x14ac:dyDescent="0.25">
      <c r="A35" s="1562" t="s">
        <v>268</v>
      </c>
      <c r="B35" s="1563"/>
      <c r="C35" s="1563"/>
      <c r="D35" s="1563"/>
      <c r="E35" s="1563"/>
      <c r="F35" s="1564"/>
      <c r="G35" s="38" t="s">
        <v>255</v>
      </c>
      <c r="H35" s="28" t="s">
        <v>269</v>
      </c>
      <c r="I35" s="28" t="s">
        <v>256</v>
      </c>
      <c r="J35" s="28" t="s">
        <v>257</v>
      </c>
    </row>
    <row r="36" spans="1:14" ht="13.9" customHeight="1" x14ac:dyDescent="0.25">
      <c r="A36" s="1558" t="str">
        <f>+'EQUIPOS '!B6</f>
        <v>CAMION INCLUYE CONDUCTOR</v>
      </c>
      <c r="B36" s="1559"/>
      <c r="C36" s="1559"/>
      <c r="D36" s="1559"/>
      <c r="E36" s="1559"/>
      <c r="F36" s="1560"/>
      <c r="G36" s="1481">
        <f>(2/1000)/12</f>
        <v>1.6666666666666666E-4</v>
      </c>
      <c r="H36" s="33">
        <f>+IFERROR(VLOOKUP(A36,'EQUIPOS '!$B$3:$M$78,12,FALSE),0)</f>
        <v>611492.5</v>
      </c>
      <c r="I36" s="33">
        <f>IFERROR(H36*G36,0)</f>
        <v>101.91541666666666</v>
      </c>
      <c r="J36" s="33">
        <f>ROUND(I36,0)</f>
        <v>102</v>
      </c>
      <c r="M36" s="19">
        <f>2*(0.36*0.08)+(0.15*0.08*0.5*2)</f>
        <v>6.9599999999999995E-2</v>
      </c>
      <c r="N36" s="19">
        <f>+M36*30</f>
        <v>2.0880000000000001</v>
      </c>
    </row>
    <row r="37" spans="1:14" ht="13.9" customHeight="1" x14ac:dyDescent="0.25">
      <c r="A37" s="1558"/>
      <c r="B37" s="1559"/>
      <c r="C37" s="1559"/>
      <c r="D37" s="1559"/>
      <c r="E37" s="1559"/>
      <c r="F37" s="1560"/>
      <c r="G37" s="29"/>
      <c r="H37" s="33"/>
      <c r="I37" s="33"/>
      <c r="J37" s="33"/>
      <c r="M37" s="19">
        <f>0.07*15</f>
        <v>1.05</v>
      </c>
    </row>
    <row r="38" spans="1:14" ht="13.9" customHeight="1" x14ac:dyDescent="0.25">
      <c r="A38" s="1558"/>
      <c r="B38" s="1559"/>
      <c r="C38" s="1559"/>
      <c r="D38" s="1559"/>
      <c r="E38" s="1559"/>
      <c r="F38" s="1560"/>
      <c r="G38" s="29"/>
      <c r="H38" s="33"/>
      <c r="I38" s="33"/>
      <c r="J38" s="33"/>
    </row>
    <row r="39" spans="1:14" ht="13.9" customHeight="1" x14ac:dyDescent="0.25">
      <c r="G39" s="39"/>
      <c r="H39" s="39"/>
      <c r="I39" s="30" t="s">
        <v>257</v>
      </c>
      <c r="J39" s="33">
        <f>+SUM(J36:J38)</f>
        <v>102</v>
      </c>
    </row>
    <row r="40" spans="1:14" ht="13.9" customHeight="1" x14ac:dyDescent="0.25"/>
    <row r="41" spans="1:14" ht="13.9" customHeight="1" x14ac:dyDescent="0.25">
      <c r="A41" s="1561" t="s">
        <v>270</v>
      </c>
      <c r="B41" s="1561"/>
      <c r="C41" s="1561"/>
      <c r="D41" s="1561"/>
      <c r="E41" s="1561"/>
      <c r="F41" s="1561"/>
      <c r="G41" s="1561"/>
      <c r="H41" s="1561"/>
      <c r="I41" s="27"/>
    </row>
    <row r="42" spans="1:14" s="39" customFormat="1" ht="13.9" customHeight="1" x14ac:dyDescent="0.25">
      <c r="A42" s="1562" t="s">
        <v>271</v>
      </c>
      <c r="B42" s="1563"/>
      <c r="C42" s="1563"/>
      <c r="D42" s="1564"/>
      <c r="E42" s="28" t="s">
        <v>272</v>
      </c>
      <c r="F42" s="28" t="s">
        <v>264</v>
      </c>
      <c r="G42" s="28" t="s">
        <v>273</v>
      </c>
      <c r="H42" s="28" t="s">
        <v>255</v>
      </c>
      <c r="I42" s="28" t="s">
        <v>256</v>
      </c>
      <c r="J42" s="28" t="s">
        <v>257</v>
      </c>
    </row>
    <row r="43" spans="1:14" s="39" customFormat="1" ht="13.9" customHeight="1" x14ac:dyDescent="0.25">
      <c r="A43" s="1558" t="str">
        <f>+PERSONAL!B19</f>
        <v>JEFE DE CUADRILLA NOCTURNO</v>
      </c>
      <c r="B43" s="1559"/>
      <c r="C43" s="1559"/>
      <c r="D43" s="1560"/>
      <c r="E43" s="40">
        <f>+VLOOKUP(A43,PERSONAL!$B$3:$E$100,4,FALSE)</f>
        <v>213741</v>
      </c>
      <c r="F43" s="30">
        <v>1</v>
      </c>
      <c r="G43" s="40">
        <f t="shared" ref="G43:G45" si="0">+E43*F43</f>
        <v>213741</v>
      </c>
      <c r="H43" s="35">
        <f>IFERROR(H11*8,0)</f>
        <v>1600</v>
      </c>
      <c r="I43" s="33">
        <f>IFERROR(ROUND(G43/H43,0),0)</f>
        <v>134</v>
      </c>
      <c r="J43" s="33">
        <f>+I43</f>
        <v>134</v>
      </c>
    </row>
    <row r="44" spans="1:14" s="39" customFormat="1" ht="13.9" customHeight="1" x14ac:dyDescent="0.25">
      <c r="A44" s="1558" t="str">
        <f>+PERSONAL!B6</f>
        <v>AYUDANTE NOCTURNO</v>
      </c>
      <c r="B44" s="1559"/>
      <c r="C44" s="1559"/>
      <c r="D44" s="1560"/>
      <c r="E44" s="40">
        <f>+VLOOKUP(A44,PERSONAL!$B$3:$E$100,4,FALSE)</f>
        <v>83383</v>
      </c>
      <c r="F44" s="30">
        <v>2</v>
      </c>
      <c r="G44" s="40">
        <f t="shared" si="0"/>
        <v>166766</v>
      </c>
      <c r="H44" s="35">
        <f>+H43</f>
        <v>1600</v>
      </c>
      <c r="I44" s="33">
        <f t="shared" ref="I44:I45" si="1">IFERROR(ROUND(G44/H44,0),0)</f>
        <v>104</v>
      </c>
      <c r="J44" s="33">
        <f t="shared" ref="J44:J45" si="2">+I44</f>
        <v>104</v>
      </c>
    </row>
    <row r="45" spans="1:14" s="39" customFormat="1" ht="13.9" customHeight="1" x14ac:dyDescent="0.25">
      <c r="A45" s="1558" t="str">
        <f>+PERSONAL!B4</f>
        <v>AUXILIAR DE TRÁFICO NOCTURNO</v>
      </c>
      <c r="B45" s="1559"/>
      <c r="C45" s="1559"/>
      <c r="D45" s="1560"/>
      <c r="E45" s="40">
        <f>+VLOOKUP(A45,PERSONAL!$B$3:$E$100,4,FALSE)</f>
        <v>98122</v>
      </c>
      <c r="F45" s="30">
        <v>2</v>
      </c>
      <c r="G45" s="40">
        <f t="shared" si="0"/>
        <v>196244</v>
      </c>
      <c r="H45" s="35">
        <f>+H44</f>
        <v>1600</v>
      </c>
      <c r="I45" s="33">
        <f t="shared" si="1"/>
        <v>123</v>
      </c>
      <c r="J45" s="33">
        <f t="shared" si="2"/>
        <v>123</v>
      </c>
    </row>
    <row r="46" spans="1:14" s="39" customFormat="1" ht="13.9" customHeight="1" x14ac:dyDescent="0.25">
      <c r="A46" s="1558"/>
      <c r="B46" s="1559"/>
      <c r="C46" s="1559"/>
      <c r="D46" s="1560"/>
      <c r="E46" s="40"/>
      <c r="F46" s="30"/>
      <c r="G46" s="40"/>
      <c r="H46" s="35"/>
      <c r="I46" s="33"/>
      <c r="J46" s="33"/>
    </row>
    <row r="47" spans="1:14" s="39" customFormat="1" ht="13.9" customHeight="1" x14ac:dyDescent="0.25">
      <c r="A47" s="1558"/>
      <c r="B47" s="1559"/>
      <c r="C47" s="1559"/>
      <c r="D47" s="1560"/>
      <c r="E47" s="40"/>
      <c r="F47" s="30"/>
      <c r="G47" s="40"/>
      <c r="H47" s="35"/>
      <c r="I47" s="33"/>
      <c r="J47" s="33"/>
    </row>
    <row r="48" spans="1:14"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361</v>
      </c>
    </row>
    <row r="51" spans="1:10" ht="13.9" customHeight="1" x14ac:dyDescent="0.25"/>
    <row r="52" spans="1:10" ht="13.9" customHeight="1" x14ac:dyDescent="0.25">
      <c r="E52" s="41" t="s">
        <v>276</v>
      </c>
      <c r="I52" s="42">
        <f>+J50+J39+J32+J18</f>
        <v>153315</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Hoja82">
    <tabColor theme="5" tint="-0.499984740745262"/>
  </sheetPr>
  <dimension ref="A1:M54"/>
  <sheetViews>
    <sheetView topLeftCell="A34" zoomScaleNormal="100"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75</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Suministro y anclaje de bordillo traspasable en resina poliéster de color amarillo con alta resistencia al impacto (Tipo piramidal, largo 40 cm, ancho de 15 cm y altura máxima de 8 cm de acuerdo con la figura 5-6 de la Resolución 20243040045005 de 17 de septiembre de 2024). Incluye accesorios y materiales para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40</v>
      </c>
      <c r="I11" s="33">
        <f>IFERROR((G11/H11),"")</f>
        <v>199.99849999999998</v>
      </c>
      <c r="J11" s="33">
        <f>ROUND(I11,0)</f>
        <v>200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40</v>
      </c>
      <c r="I12" s="33">
        <f>IFERROR((G12/H12),"")</f>
        <v>330.55</v>
      </c>
      <c r="J12" s="33">
        <f>ROUND(I12,0)</f>
        <v>331</v>
      </c>
    </row>
    <row r="13" spans="1:10"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40</v>
      </c>
      <c r="I13" s="33">
        <f>IFERROR((G13/H13),0)</f>
        <v>319.27499999999998</v>
      </c>
      <c r="J13" s="33">
        <f>ROUND(I13,0)</f>
        <v>319</v>
      </c>
    </row>
    <row r="14" spans="1:10"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40</v>
      </c>
      <c r="I14" s="33">
        <f>IFERROR((G14/H14),0)</f>
        <v>92.1875</v>
      </c>
      <c r="J14" s="33">
        <f>ROUND(I14,0)</f>
        <v>92</v>
      </c>
    </row>
    <row r="15" spans="1:10" s="20" customFormat="1" ht="13.9" customHeight="1" x14ac:dyDescent="0.25">
      <c r="A15" s="1558" t="str">
        <f>+'EQUIPOS '!B33</f>
        <v>HERRAMIENTA MENOR</v>
      </c>
      <c r="B15" s="1559"/>
      <c r="C15" s="1559"/>
      <c r="D15" s="1560"/>
      <c r="E15" s="29" t="s">
        <v>202</v>
      </c>
      <c r="F15" s="30" t="str">
        <f>IFERROR(VLOOKUP(A15,'[10]EQUIPOS TRANSPOR SALARIO'!$A$3:$G$42,2,FALSE),"")</f>
        <v>Global</v>
      </c>
      <c r="G15" s="74">
        <v>0.01</v>
      </c>
      <c r="H15" s="30">
        <f>+J49</f>
        <v>1802</v>
      </c>
      <c r="I15" s="33">
        <f>IFERROR((G15*H15),0)</f>
        <v>18.02</v>
      </c>
      <c r="J15" s="33">
        <f>ROUND(I15,0)</f>
        <v>18</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3"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3" s="20" customFormat="1" ht="13.9" customHeight="1" x14ac:dyDescent="0.25">
      <c r="I18" s="30" t="s">
        <v>257</v>
      </c>
      <c r="J18" s="34">
        <f>+SUM(J11:J17)</f>
        <v>960</v>
      </c>
    </row>
    <row r="19" spans="1:13" s="20" customFormat="1" ht="13.9" customHeight="1" x14ac:dyDescent="0.25"/>
    <row r="20" spans="1:13" s="20" customFormat="1" ht="13.9" customHeight="1" x14ac:dyDescent="0.25">
      <c r="A20" s="1561" t="s">
        <v>263</v>
      </c>
      <c r="B20" s="1561"/>
      <c r="C20" s="1561"/>
      <c r="D20" s="1561"/>
      <c r="E20" s="1561"/>
      <c r="F20" s="1561"/>
      <c r="G20" s="1561"/>
      <c r="H20" s="1561"/>
      <c r="I20" s="27"/>
    </row>
    <row r="21" spans="1:13" ht="13.9" customHeight="1" x14ac:dyDescent="0.25">
      <c r="A21" s="1565" t="s">
        <v>251</v>
      </c>
      <c r="B21" s="1566"/>
      <c r="C21" s="1566"/>
      <c r="D21" s="1566"/>
      <c r="E21" s="1566"/>
      <c r="F21" s="1567"/>
      <c r="G21" s="28" t="s">
        <v>252</v>
      </c>
      <c r="H21" s="28" t="s">
        <v>264</v>
      </c>
      <c r="I21" s="28" t="s">
        <v>256</v>
      </c>
      <c r="J21" s="28" t="s">
        <v>257</v>
      </c>
    </row>
    <row r="22" spans="1:13" ht="48" customHeight="1" x14ac:dyDescent="0.25">
      <c r="A22" s="1568" t="str">
        <f>+'INSUMOS '!B16</f>
        <v>BORDILLO TRANSPASABLE EN RESINA POLIÉSTER DE COLOR AMARILLO CON ALTA RESISTENCIA AL IMPACTO  (TIPO PIRAMIDAL, LARGO 40 CM, ANCHO DE 15 CM Y ALTURA MINIMA DE 8 CM )</v>
      </c>
      <c r="B22" s="1569"/>
      <c r="C22" s="1569"/>
      <c r="D22" s="1569"/>
      <c r="E22" s="1569"/>
      <c r="F22" s="1570"/>
      <c r="G22" s="29" t="s">
        <v>266</v>
      </c>
      <c r="H22" s="35">
        <v>1</v>
      </c>
      <c r="I22" s="33">
        <f>+IFERROR(VLOOKUP(A22,'INSUMOS '!$B$2:$AP$167,'INSUMOS '!$AO$2+1,FALSE),0)</f>
        <v>71400</v>
      </c>
      <c r="J22" s="33">
        <f>ROUND(I22*H22,0)</f>
        <v>71400</v>
      </c>
    </row>
    <row r="23" spans="1:13" ht="13.9" customHeight="1" x14ac:dyDescent="0.25">
      <c r="A23" s="1558" t="str">
        <f>+'INSUMOS '!B65</f>
        <v>PEGANTE EPOXICO</v>
      </c>
      <c r="B23" s="1559"/>
      <c r="C23" s="1559"/>
      <c r="D23" s="1559"/>
      <c r="E23" s="1559"/>
      <c r="F23" s="1560"/>
      <c r="G23" s="29" t="s">
        <v>6</v>
      </c>
      <c r="H23" s="35">
        <f>0.05</f>
        <v>0.05</v>
      </c>
      <c r="I23" s="33">
        <f>+IFERROR(VLOOKUP(A23,'INSUMOS '!$B$2:$AP$167,'INSUMOS '!$AO$2+1,FALSE),0)</f>
        <v>146748</v>
      </c>
      <c r="J23" s="33">
        <f>ROUND(I23*H23,0)</f>
        <v>7337</v>
      </c>
      <c r="L23" s="19">
        <v>25</v>
      </c>
      <c r="M23" s="19">
        <v>0.05</v>
      </c>
    </row>
    <row r="24" spans="1:13"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ROUND(I24*H24,0)</f>
        <v>159</v>
      </c>
      <c r="L24" s="19">
        <v>40</v>
      </c>
    </row>
    <row r="25" spans="1:13" ht="13.9" customHeight="1" x14ac:dyDescent="0.25">
      <c r="A25" s="1558" t="str">
        <f>+'INSUMOS '!B22</f>
        <v>BROCA TUNGSTENO DE 5/8"</v>
      </c>
      <c r="B25" s="1559"/>
      <c r="C25" s="1559"/>
      <c r="D25" s="1559"/>
      <c r="E25" s="1559"/>
      <c r="F25" s="1560"/>
      <c r="G25" s="29" t="s">
        <v>266</v>
      </c>
      <c r="H25" s="35">
        <v>0.01</v>
      </c>
      <c r="I25" s="33">
        <f>+IFERROR(VLOOKUP(A25,'INSUMOS '!$B$2:$AP$167,'INSUMOS '!$AO$2+1,FALSE),0)</f>
        <v>16445</v>
      </c>
      <c r="J25" s="33">
        <f>ROUND(I25*H25,0)</f>
        <v>164</v>
      </c>
    </row>
    <row r="26" spans="1:13" ht="13.9" customHeight="1" x14ac:dyDescent="0.25">
      <c r="A26" s="1571"/>
      <c r="B26" s="1572"/>
      <c r="C26" s="1572"/>
      <c r="D26" s="1572"/>
      <c r="E26" s="1572"/>
      <c r="F26" s="1573"/>
      <c r="G26" s="53"/>
      <c r="H26" s="54"/>
      <c r="I26" s="33"/>
      <c r="J26" s="55"/>
    </row>
    <row r="27" spans="1:13" ht="13.9" customHeight="1" x14ac:dyDescent="0.25">
      <c r="A27" s="1558"/>
      <c r="B27" s="1559"/>
      <c r="C27" s="1559"/>
      <c r="D27" s="1559"/>
      <c r="E27" s="1559"/>
      <c r="F27" s="1560"/>
      <c r="G27" s="29"/>
      <c r="H27" s="35"/>
      <c r="I27" s="33"/>
      <c r="J27" s="33"/>
    </row>
    <row r="28" spans="1:13" ht="13.9" customHeight="1" x14ac:dyDescent="0.25">
      <c r="A28" s="1558"/>
      <c r="B28" s="1559"/>
      <c r="C28" s="1559"/>
      <c r="D28" s="1559"/>
      <c r="E28" s="1559"/>
      <c r="F28" s="1560"/>
      <c r="G28" s="29"/>
      <c r="H28" s="35"/>
      <c r="I28" s="33"/>
      <c r="J28" s="33"/>
    </row>
    <row r="29" spans="1:13" ht="13.9" customHeight="1" x14ac:dyDescent="0.25">
      <c r="A29" s="1558"/>
      <c r="B29" s="1559"/>
      <c r="C29" s="1559"/>
      <c r="D29" s="1559"/>
      <c r="E29" s="1559"/>
      <c r="F29" s="1560"/>
      <c r="G29" s="29"/>
      <c r="H29" s="37"/>
      <c r="I29" s="33"/>
      <c r="J29" s="33"/>
    </row>
    <row r="30" spans="1:13" ht="13.9" customHeight="1" x14ac:dyDescent="0.25">
      <c r="A30" s="1558"/>
      <c r="B30" s="1559"/>
      <c r="C30" s="1559"/>
      <c r="D30" s="1559"/>
      <c r="E30" s="1559"/>
      <c r="F30" s="1560"/>
      <c r="G30" s="29"/>
      <c r="H30" s="35"/>
      <c r="I30" s="33"/>
      <c r="J30" s="33"/>
    </row>
    <row r="31" spans="1:13" ht="13.9" customHeight="1" x14ac:dyDescent="0.25">
      <c r="A31" s="1558"/>
      <c r="B31" s="1559"/>
      <c r="C31" s="1559"/>
      <c r="D31" s="1559"/>
      <c r="E31" s="1559"/>
      <c r="F31" s="1560"/>
      <c r="G31" s="29"/>
      <c r="H31" s="35"/>
      <c r="I31" s="33"/>
      <c r="J31" s="33"/>
    </row>
    <row r="32" spans="1:13" ht="13.9" customHeight="1" x14ac:dyDescent="0.25">
      <c r="A32" s="20"/>
      <c r="B32" s="20"/>
      <c r="C32" s="20"/>
      <c r="D32" s="20"/>
      <c r="E32" s="20"/>
      <c r="G32" s="20"/>
      <c r="H32" s="20"/>
      <c r="I32" s="30" t="s">
        <v>257</v>
      </c>
      <c r="J32" s="34">
        <f>+SUM(J22:J31)</f>
        <v>79060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51</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 t="shared" ref="G43:G45" si="0">+E43*F43</f>
        <v>213741</v>
      </c>
      <c r="H43" s="35">
        <f>IFERROR(H11*8,0)</f>
        <v>320</v>
      </c>
      <c r="I43" s="33">
        <f t="shared" ref="I43:I45" si="1">IFERROR(ROUND(G43/H43,0),0)</f>
        <v>668</v>
      </c>
      <c r="J43" s="33">
        <f t="shared" ref="J43:J45" si="2">+I43</f>
        <v>668</v>
      </c>
    </row>
    <row r="44" spans="1:10" s="39" customFormat="1" ht="13.9" customHeight="1" x14ac:dyDescent="0.25">
      <c r="A44" s="1558" t="str">
        <f>+PERSONAL!B6</f>
        <v>AYUDANTE NOCTURNO</v>
      </c>
      <c r="B44" s="1559"/>
      <c r="C44" s="1559"/>
      <c r="D44" s="1560"/>
      <c r="E44" s="40">
        <f>+VLOOKUP(A44,PERSONAL!$B$3:$E$100,4,FALSE)</f>
        <v>83383</v>
      </c>
      <c r="F44" s="30">
        <v>2</v>
      </c>
      <c r="G44" s="40">
        <f t="shared" si="0"/>
        <v>166766</v>
      </c>
      <c r="H44" s="35">
        <f>IFERROR(H12*8,0)</f>
        <v>320</v>
      </c>
      <c r="I44" s="33">
        <f t="shared" si="1"/>
        <v>521</v>
      </c>
      <c r="J44" s="33">
        <f t="shared" si="2"/>
        <v>521</v>
      </c>
    </row>
    <row r="45" spans="1:10" s="39" customFormat="1" ht="13.9" customHeight="1" x14ac:dyDescent="0.25">
      <c r="A45" s="1558" t="str">
        <f>+PERSONAL!B4</f>
        <v>AUXILIAR DE TRÁFICO NOCTURNO</v>
      </c>
      <c r="B45" s="1559"/>
      <c r="C45" s="1559"/>
      <c r="D45" s="1560"/>
      <c r="E45" s="40">
        <f>+VLOOKUP(A45,PERSONAL!$B$3:$E$100,4,FALSE)</f>
        <v>98122</v>
      </c>
      <c r="F45" s="30">
        <v>2</v>
      </c>
      <c r="G45" s="40">
        <f t="shared" si="0"/>
        <v>196244</v>
      </c>
      <c r="H45" s="35">
        <f>IFERROR(H13*8,0)</f>
        <v>320</v>
      </c>
      <c r="I45" s="33">
        <f t="shared" si="1"/>
        <v>613</v>
      </c>
      <c r="J45" s="33">
        <f t="shared" si="2"/>
        <v>613</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1802</v>
      </c>
    </row>
    <row r="50" spans="1:10" ht="13.9" customHeight="1" x14ac:dyDescent="0.25"/>
    <row r="51" spans="1:10" ht="13.9" customHeight="1" x14ac:dyDescent="0.25">
      <c r="E51" s="41" t="s">
        <v>276</v>
      </c>
      <c r="I51" s="42">
        <f>+J49+J39+J32+J18</f>
        <v>81873</v>
      </c>
      <c r="J51" s="43"/>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Hoja81">
    <tabColor theme="5" tint="-0.499984740745262"/>
  </sheetPr>
  <dimension ref="A1:J55"/>
  <sheetViews>
    <sheetView topLeftCell="A36"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6.570312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74</v>
      </c>
      <c r="D6" s="23"/>
      <c r="E6" s="23"/>
      <c r="F6" s="23"/>
      <c r="G6" s="23"/>
      <c r="H6" s="24"/>
      <c r="I6" s="25" t="s">
        <v>248</v>
      </c>
      <c r="J6" s="26" t="str">
        <f>+VLOOKUP(C6,'ANEXO PLIEGO_1'!$A$7:$C$133,3,FALSE)</f>
        <v>UN</v>
      </c>
    </row>
    <row r="7" spans="1:10" ht="53.25" customHeight="1" x14ac:dyDescent="0.25">
      <c r="A7" s="1568" t="s">
        <v>249</v>
      </c>
      <c r="B7" s="1570"/>
      <c r="C7" s="1578" t="str">
        <f>+VLOOKUP(C6,'ANEXO PLIEGO_1'!$A$7:$B$133,2,FALSE)</f>
        <v>Suministro y anclaje de tachón en resina poliéster de color amarillo con alta resistencia al impacto y material retroreflectivo tipo XI en los costados (Tipo piramidal con base rectangular, con incrustación al pavimento, altura máxima de 6 cm, ancho de 15 cm y largo 25 cm). Incluye accesorios y materiales para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50</v>
      </c>
      <c r="I11" s="33">
        <f>IFERROR((G11/H11),"")</f>
        <v>159.99879999999999</v>
      </c>
      <c r="J11" s="33">
        <f>ROUND(I11,0)</f>
        <v>160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50</v>
      </c>
      <c r="I12" s="33">
        <f>IFERROR((G12/H12),"")</f>
        <v>264.44</v>
      </c>
      <c r="J12" s="33">
        <f t="shared" ref="J12:J15" si="0">ROUND(I12,0)</f>
        <v>264</v>
      </c>
    </row>
    <row r="13" spans="1:10"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50</v>
      </c>
      <c r="I13" s="33">
        <f>IFERROR((G13/H13),0)</f>
        <v>255.42</v>
      </c>
      <c r="J13" s="33">
        <f t="shared" si="0"/>
        <v>255</v>
      </c>
    </row>
    <row r="14" spans="1:10"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50</v>
      </c>
      <c r="I14" s="33">
        <f>IFERROR((G14/H14),0)</f>
        <v>73.75</v>
      </c>
      <c r="J14" s="33">
        <f t="shared" si="0"/>
        <v>74</v>
      </c>
    </row>
    <row r="15" spans="1:10" s="20" customFormat="1" ht="13.9" customHeight="1" x14ac:dyDescent="0.25">
      <c r="A15" s="1558" t="str">
        <f>+'EQUIPOS '!B33</f>
        <v>HERRAMIENTA MENOR</v>
      </c>
      <c r="B15" s="1559"/>
      <c r="C15" s="1559"/>
      <c r="D15" s="1560"/>
      <c r="E15" s="29" t="s">
        <v>202</v>
      </c>
      <c r="F15" s="30" t="str">
        <f>IFERROR(VLOOKUP(A15,'[10]EQUIPOS TRANSPOR SALARIO'!$A$3:$G$42,2,FALSE),"")</f>
        <v>Global</v>
      </c>
      <c r="G15" s="31">
        <v>0.01</v>
      </c>
      <c r="H15" s="30">
        <f>+J50</f>
        <v>1442</v>
      </c>
      <c r="I15" s="33">
        <f>IFERROR((G15*H15),0)</f>
        <v>14.42</v>
      </c>
      <c r="J15" s="33">
        <f t="shared" si="0"/>
        <v>14</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767</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0.75" customHeight="1" x14ac:dyDescent="0.25">
      <c r="A22" s="1568" t="str">
        <f>+'INSUMOS '!B97</f>
        <v>TACHÓN EN RESINA (COLOR AMARILLO CON ALTA RESISTENCIA Y MATERIAL RETROREFLECTIVO (PIRAMIDAL 6 CM, 15 CM Y 25 CM)</v>
      </c>
      <c r="B22" s="1569"/>
      <c r="C22" s="1569"/>
      <c r="D22" s="1569"/>
      <c r="E22" s="1569"/>
      <c r="F22" s="1570"/>
      <c r="G22" s="29" t="s">
        <v>266</v>
      </c>
      <c r="H22" s="35">
        <v>1</v>
      </c>
      <c r="I22" s="33">
        <f>+IFERROR(VLOOKUP(A22,'INSUMOS '!$B$2:$AP$167,'INSUMOS '!$AO$2+1,FALSE),0)</f>
        <v>71500</v>
      </c>
      <c r="J22" s="33">
        <f>ROUND(I22*H22,0)</f>
        <v>71500</v>
      </c>
    </row>
    <row r="23" spans="1:10" ht="13.9" customHeight="1" x14ac:dyDescent="0.25">
      <c r="A23" s="1558" t="str">
        <f>+'INSUMOS '!B65</f>
        <v>PEGANTE EPOXICO</v>
      </c>
      <c r="B23" s="1559"/>
      <c r="C23" s="1559"/>
      <c r="D23" s="1559"/>
      <c r="E23" s="1559"/>
      <c r="F23" s="1560"/>
      <c r="G23" s="29" t="s">
        <v>6</v>
      </c>
      <c r="H23" s="35">
        <f>0.05</f>
        <v>0.05</v>
      </c>
      <c r="I23" s="33">
        <f>+IFERROR(VLOOKUP(A23,'INSUMOS '!$B$2:$AP$167,'INSUMOS '!$AO$2+1,FALSE),0)</f>
        <v>146748</v>
      </c>
      <c r="J23" s="33">
        <f>ROUND(I23*H23,0)</f>
        <v>7337</v>
      </c>
    </row>
    <row r="24" spans="1:10"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ROUND(I24*H24,0)</f>
        <v>159</v>
      </c>
    </row>
    <row r="25" spans="1:10" ht="13.9" customHeight="1" x14ac:dyDescent="0.25">
      <c r="A25" s="1558" t="str">
        <f>+'INSUMOS '!B22</f>
        <v>BROCA TUNGSTENO DE 5/8"</v>
      </c>
      <c r="B25" s="1559"/>
      <c r="C25" s="1559"/>
      <c r="D25" s="1559"/>
      <c r="E25" s="1559"/>
      <c r="F25" s="1560"/>
      <c r="G25" s="29" t="s">
        <v>266</v>
      </c>
      <c r="H25" s="35">
        <v>0.01</v>
      </c>
      <c r="I25" s="33">
        <f>+IFERROR(VLOOKUP(A25,'INSUMOS '!$B$2:$AP$167,'INSUMOS '!$AO$2+1,FALSE),0)</f>
        <v>16445</v>
      </c>
      <c r="J25" s="33">
        <f>ROUND(I25*H25,0)</f>
        <v>164</v>
      </c>
    </row>
    <row r="26" spans="1:10" ht="13.9" customHeight="1" x14ac:dyDescent="0.25">
      <c r="A26" s="1571"/>
      <c r="B26" s="1572"/>
      <c r="C26" s="1572"/>
      <c r="D26" s="1572"/>
      <c r="E26" s="1572"/>
      <c r="F26" s="1573"/>
      <c r="G26" s="53"/>
      <c r="H26" s="54"/>
      <c r="I26" s="33"/>
      <c r="J26" s="55"/>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79160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(1/1000)/12</f>
        <v>8.3333333333333331E-5</v>
      </c>
      <c r="H36" s="33">
        <f>+IFERROR(VLOOKUP(A36,'EQUIPOS '!$B$3:$M$78,12,FALSE),0)</f>
        <v>611492.5</v>
      </c>
      <c r="I36" s="33">
        <f>IFERROR(H36*G36,0)</f>
        <v>50.957708333333329</v>
      </c>
      <c r="J36" s="33">
        <f>ROUND(I36,0)</f>
        <v>51</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51</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IFERROR(H11*8,0)</f>
        <v>400</v>
      </c>
      <c r="I43" s="33">
        <f>IFERROR(ROUND(G43/H43,0),0)</f>
        <v>534</v>
      </c>
      <c r="J43" s="33">
        <f>+I43</f>
        <v>534</v>
      </c>
    </row>
    <row r="44" spans="1:10" s="39" customFormat="1" ht="13.9" customHeight="1" x14ac:dyDescent="0.25">
      <c r="A44" s="1558" t="str">
        <f>+PERSONAL!B6</f>
        <v>AYUDANTE NOCTURNO</v>
      </c>
      <c r="B44" s="1559"/>
      <c r="C44" s="1559"/>
      <c r="D44" s="1560"/>
      <c r="E44" s="40">
        <f>+VLOOKUP(A44,PERSONAL!$B$3:$E$100,4,FALSE)</f>
        <v>83383</v>
      </c>
      <c r="F44" s="30">
        <v>2</v>
      </c>
      <c r="G44" s="40">
        <f t="shared" ref="G44:G45" si="1">+E44*F44</f>
        <v>166766</v>
      </c>
      <c r="H44" s="35">
        <f>IFERROR(H12*8,0)</f>
        <v>400</v>
      </c>
      <c r="I44" s="33">
        <f t="shared" ref="I44:I45" si="2">IFERROR(ROUND(G44/H44,0),0)</f>
        <v>417</v>
      </c>
      <c r="J44" s="33">
        <f t="shared" ref="J44:J45" si="3">+I44</f>
        <v>417</v>
      </c>
    </row>
    <row r="45" spans="1:10" s="39" customFormat="1" ht="13.9" customHeight="1" x14ac:dyDescent="0.25">
      <c r="A45" s="1558" t="str">
        <f>+PERSONAL!B4</f>
        <v>AUXILIAR DE TRÁFICO NOCTURNO</v>
      </c>
      <c r="B45" s="1559"/>
      <c r="C45" s="1559"/>
      <c r="D45" s="1560"/>
      <c r="E45" s="40">
        <f>+VLOOKUP(A45,PERSONAL!$B$3:$E$100,4,FALSE)</f>
        <v>98122</v>
      </c>
      <c r="F45" s="30">
        <v>2</v>
      </c>
      <c r="G45" s="40">
        <f t="shared" si="1"/>
        <v>196244</v>
      </c>
      <c r="H45" s="35">
        <f>IFERROR(H13*8,0)</f>
        <v>400</v>
      </c>
      <c r="I45" s="33">
        <f t="shared" si="2"/>
        <v>491</v>
      </c>
      <c r="J45" s="33">
        <f t="shared" si="3"/>
        <v>491</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1442</v>
      </c>
    </row>
    <row r="51" spans="1:10" ht="13.9" customHeight="1" x14ac:dyDescent="0.25"/>
    <row r="52" spans="1:10" ht="13.9" customHeight="1" x14ac:dyDescent="0.25">
      <c r="E52" s="41" t="s">
        <v>276</v>
      </c>
      <c r="I52" s="42">
        <f>+J50+J39+J32+J18</f>
        <v>81420</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ignoredErrors>
    <ignoredError sqref="I15" formula="1"/>
  </ignoredErrors>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Hoja130">
    <tabColor theme="5" tint="-0.499984740745262"/>
  </sheetPr>
  <dimension ref="A1:J56"/>
  <sheetViews>
    <sheetView topLeftCell="A34"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2" width="11.42578125" style="19"/>
    <col min="13" max="13" width="12.42578125" style="19" bestFit="1" customWidth="1"/>
    <col min="14"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73</v>
      </c>
      <c r="D6" s="23"/>
      <c r="E6" s="23"/>
      <c r="F6" s="23"/>
      <c r="G6" s="23"/>
      <c r="H6" s="24"/>
      <c r="I6" s="25" t="s">
        <v>248</v>
      </c>
      <c r="J6" s="305" t="str">
        <f>+VLOOKUP(C6,'ANEXO PLIEGO_1'!$A$7:$C$133,3,FALSE)</f>
        <v>UN</v>
      </c>
    </row>
    <row r="7" spans="1:10" ht="35.1" customHeight="1" x14ac:dyDescent="0.25">
      <c r="A7" s="1568" t="s">
        <v>249</v>
      </c>
      <c r="B7" s="1570"/>
      <c r="C7" s="1578" t="str">
        <f>+VLOOKUP(C6,'ANEXO PLIEGO_1'!$A$7:$B$133,2,FALSE)</f>
        <v>Suministro y anclaje de estoperoles metálicos con espigo, diámetro mínimo 10 cm y altura máxima 2,0 cm de altura con un espigo de mínimo 5 cm (NTC 4745) Incluye elementos de fijación. Figura 5-22 de la Resolución 20243040045005 de 17 de septiembre de 2024</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45</v>
      </c>
      <c r="I11" s="33">
        <f>IFERROR((G11/H11),"")</f>
        <v>177.77644444444442</v>
      </c>
      <c r="J11" s="33">
        <f>ROUND(I11,0)</f>
        <v>178</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45</v>
      </c>
      <c r="I12" s="33">
        <f>IFERROR((G12/H12),"")</f>
        <v>293.82222222222219</v>
      </c>
      <c r="J12" s="33">
        <f t="shared" ref="J12:J14" si="0">ROUND(I12,0)</f>
        <v>294</v>
      </c>
    </row>
    <row r="13" spans="1:10"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45</v>
      </c>
      <c r="I13" s="33">
        <f>IFERROR((G13/H13),0)</f>
        <v>283.8</v>
      </c>
      <c r="J13" s="33">
        <f t="shared" si="0"/>
        <v>284</v>
      </c>
    </row>
    <row r="14" spans="1:10"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45</v>
      </c>
      <c r="I14" s="33">
        <f>IFERROR((G14/H14),0)</f>
        <v>81.944444444444443</v>
      </c>
      <c r="J14" s="33">
        <f t="shared" si="0"/>
        <v>82</v>
      </c>
    </row>
    <row r="15" spans="1:10" s="20" customFormat="1" ht="13.9" customHeight="1" x14ac:dyDescent="0.25">
      <c r="A15" s="1558" t="str">
        <f>+'EQUIPOS '!B33</f>
        <v>HERRAMIENTA MENOR</v>
      </c>
      <c r="B15" s="1559"/>
      <c r="C15" s="1559"/>
      <c r="D15" s="1560"/>
      <c r="E15" s="29" t="s">
        <v>202</v>
      </c>
      <c r="F15" s="30" t="str">
        <f>IFERROR(VLOOKUP(A15,'[10]EQUIPOS TRANSPOR SALARIO'!$A$3:$G$42,2,FALSE),"")</f>
        <v>Global</v>
      </c>
      <c r="G15" s="74">
        <v>0.01</v>
      </c>
      <c r="H15" s="30">
        <f>+J50</f>
        <v>1602</v>
      </c>
      <c r="I15" s="33">
        <f>IFERROR((G15*H15),0)</f>
        <v>16.02</v>
      </c>
      <c r="J15" s="33">
        <f>ROUND(I15,0)</f>
        <v>16</v>
      </c>
    </row>
    <row r="16" spans="1:10" s="20" customFormat="1" ht="13.9" customHeight="1" x14ac:dyDescent="0.25">
      <c r="A16" s="5"/>
      <c r="B16" s="6"/>
      <c r="C16" s="6"/>
      <c r="D16" s="7"/>
      <c r="E16" s="29"/>
      <c r="F16" s="30"/>
      <c r="G16" s="31"/>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854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s="20" customFormat="1" ht="13.9" customHeight="1" x14ac:dyDescent="0.25">
      <c r="A21" s="1565" t="s">
        <v>251</v>
      </c>
      <c r="B21" s="1566"/>
      <c r="C21" s="1566"/>
      <c r="D21" s="1566"/>
      <c r="E21" s="1566"/>
      <c r="F21" s="1567"/>
      <c r="G21" s="28" t="s">
        <v>252</v>
      </c>
      <c r="H21" s="28" t="s">
        <v>264</v>
      </c>
      <c r="I21" s="28" t="s">
        <v>256</v>
      </c>
      <c r="J21" s="28" t="s">
        <v>257</v>
      </c>
    </row>
    <row r="22" spans="1:10" ht="51" customHeight="1" x14ac:dyDescent="0.25">
      <c r="A22" s="1568" t="str">
        <f>+'INSUMOS '!B41</f>
        <v>ESTOPEROL METÁLICO CON ESPIGO, DIAMETRO MÍNIMO 10 CM Y ALTURA MÁXIMA 2,5 CM DE ALTURA CON UN ESPIGO DE MÍNIMO 5 CM (NTC 4745)</v>
      </c>
      <c r="B22" s="1569"/>
      <c r="C22" s="1569"/>
      <c r="D22" s="1569"/>
      <c r="E22" s="1569"/>
      <c r="F22" s="1570"/>
      <c r="G22" s="29" t="s">
        <v>266</v>
      </c>
      <c r="H22" s="35">
        <v>1</v>
      </c>
      <c r="I22" s="33">
        <f>+IFERROR(VLOOKUP(A22,'INSUMOS '!$B$2:$AP$167,'INSUMOS '!$AO$2+1,FALSE),0)</f>
        <v>5313.333333333333</v>
      </c>
      <c r="J22" s="33">
        <f>ROUND(I22*H22,0)</f>
        <v>5313</v>
      </c>
    </row>
    <row r="23" spans="1:10" x14ac:dyDescent="0.25">
      <c r="A23" s="1558" t="str">
        <f>+'INSUMOS '!B65</f>
        <v>PEGANTE EPOXICO</v>
      </c>
      <c r="B23" s="1559"/>
      <c r="C23" s="1559"/>
      <c r="D23" s="1559"/>
      <c r="E23" s="1559"/>
      <c r="F23" s="1560"/>
      <c r="G23" s="29" t="s">
        <v>6</v>
      </c>
      <c r="H23" s="35">
        <f>175/3780/4*2</f>
        <v>2.3148148148148147E-2</v>
      </c>
      <c r="I23" s="33">
        <f>+IFERROR(VLOOKUP(A23,'INSUMOS '!$B$2:$AP$167,'INSUMOS '!$AO$2+1,FALSE),0)</f>
        <v>146748</v>
      </c>
      <c r="J23" s="33">
        <f>ROUND(I23*H23,0)</f>
        <v>3397</v>
      </c>
    </row>
    <row r="24" spans="1:10"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ROUND(I24*H24,0)</f>
        <v>159</v>
      </c>
    </row>
    <row r="25" spans="1:10" ht="13.9" customHeight="1" x14ac:dyDescent="0.25">
      <c r="A25" s="1571" t="str">
        <f>+'INSUMOS '!B22</f>
        <v>BROCA TUNGSTENO DE 5/8"</v>
      </c>
      <c r="B25" s="1572"/>
      <c r="C25" s="1572"/>
      <c r="D25" s="1572"/>
      <c r="E25" s="1572"/>
      <c r="F25" s="1573"/>
      <c r="G25" s="29" t="s">
        <v>266</v>
      </c>
      <c r="H25" s="35">
        <v>0.01</v>
      </c>
      <c r="I25" s="33">
        <f>+IFERROR(VLOOKUP(A25,'INSUMOS '!$B$2:$AP$167,'INSUMOS '!$AO$2+1,FALSE),0)</f>
        <v>16445</v>
      </c>
      <c r="J25" s="33">
        <f>ROUND(I25*H25,0)</f>
        <v>164</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9033</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(0.4/1000)/12</f>
        <v>3.3333333333333335E-5</v>
      </c>
      <c r="H36" s="33">
        <f>+IFERROR(VLOOKUP(A36,'EQUIPOS '!$B$3:$M$78,12,FALSE),0)</f>
        <v>611492.5</v>
      </c>
      <c r="I36" s="33">
        <f>IFERROR(H36*G36,0)</f>
        <v>20.383083333333335</v>
      </c>
      <c r="J36" s="33">
        <f>ROUND(I36,0)</f>
        <v>20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20</v>
      </c>
    </row>
    <row r="40" spans="1:10" ht="13.9" customHeight="1" x14ac:dyDescent="0.25"/>
    <row r="41" spans="1:10" ht="13.9" customHeight="1" x14ac:dyDescent="0.25">
      <c r="A41" s="1561" t="s">
        <v>270</v>
      </c>
      <c r="B41" s="1561"/>
      <c r="C41" s="1561"/>
      <c r="D41" s="1561"/>
      <c r="E41" s="1561"/>
      <c r="F41" s="1561"/>
      <c r="G41" s="1561"/>
      <c r="H41" s="1561"/>
      <c r="I41" s="27"/>
    </row>
    <row r="42" spans="1:10"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+H11*8</f>
        <v>360</v>
      </c>
      <c r="I43" s="33">
        <f>IFERROR(ROUND(G43/H43,0),0)</f>
        <v>594</v>
      </c>
      <c r="J43" s="33">
        <f>+I43</f>
        <v>594</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360</v>
      </c>
      <c r="I44" s="33">
        <f>IFERROR(ROUND(G44/H44,0),0)</f>
        <v>463</v>
      </c>
      <c r="J44" s="33">
        <f>+I44</f>
        <v>463</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360</v>
      </c>
      <c r="I45" s="33">
        <f>IFERROR(ROUND(G45/H45,0),0)</f>
        <v>545</v>
      </c>
      <c r="J45" s="33">
        <f>+I45</f>
        <v>545</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20"/>
      <c r="B50" s="20"/>
      <c r="C50" s="20"/>
      <c r="D50" s="19"/>
      <c r="E50" s="20"/>
      <c r="F50" s="20"/>
      <c r="G50" s="20"/>
      <c r="H50" s="20"/>
      <c r="I50" s="30" t="s">
        <v>257</v>
      </c>
      <c r="J50" s="34">
        <f>+SUM(J43:J49)</f>
        <v>1602</v>
      </c>
    </row>
    <row r="51" spans="1:10" ht="13.9" customHeight="1" x14ac:dyDescent="0.25"/>
    <row r="52" spans="1:10" ht="13.9" customHeight="1" x14ac:dyDescent="0.25">
      <c r="E52" s="41" t="s">
        <v>276</v>
      </c>
      <c r="I52" s="42">
        <f>+J50+J39+J32+J18</f>
        <v>11509</v>
      </c>
      <c r="J52" s="43"/>
    </row>
    <row r="53" spans="1:10" ht="13.9" customHeight="1" x14ac:dyDescent="0.25"/>
    <row r="54" spans="1:10" ht="13.9" customHeight="1" x14ac:dyDescent="0.25"/>
    <row r="55" spans="1:10" ht="14.1" customHeight="1" x14ac:dyDescent="0.25"/>
    <row r="56" spans="1:10" ht="14.1" customHeight="1" x14ac:dyDescent="0.25"/>
  </sheetData>
  <sheetProtection selectLockedCells="1"/>
  <mergeCells count="40">
    <mergeCell ref="A46:D46"/>
    <mergeCell ref="A47:D47"/>
    <mergeCell ref="A48:D48"/>
    <mergeCell ref="A49:D49"/>
    <mergeCell ref="A38:F38"/>
    <mergeCell ref="A41:H41"/>
    <mergeCell ref="A42:D42"/>
    <mergeCell ref="A43:D43"/>
    <mergeCell ref="A44:D44"/>
    <mergeCell ref="A45:D45"/>
    <mergeCell ref="A37:F37"/>
    <mergeCell ref="A24:F24"/>
    <mergeCell ref="A25:F25"/>
    <mergeCell ref="A26:F26"/>
    <mergeCell ref="A27:F27"/>
    <mergeCell ref="A28:F28"/>
    <mergeCell ref="A29:F29"/>
    <mergeCell ref="A30:F30"/>
    <mergeCell ref="A31:F31"/>
    <mergeCell ref="A34:H34"/>
    <mergeCell ref="A35:F35"/>
    <mergeCell ref="A36:F36"/>
    <mergeCell ref="A23:F23"/>
    <mergeCell ref="A9:H9"/>
    <mergeCell ref="A10:D10"/>
    <mergeCell ref="A11:D11"/>
    <mergeCell ref="A12:D12"/>
    <mergeCell ref="A13:D13"/>
    <mergeCell ref="A14:D14"/>
    <mergeCell ref="A15:D15"/>
    <mergeCell ref="A17:D17"/>
    <mergeCell ref="A20:H20"/>
    <mergeCell ref="A21:F21"/>
    <mergeCell ref="A22:F22"/>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Hoja129">
    <tabColor theme="5" tint="-0.499984740745262"/>
  </sheetPr>
  <dimension ref="A1:J56"/>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72</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 xml:space="preserve">Suministro y anclaje de estoperoles plásticos con espigo, diámetro mínimo 10 cm y altura máxima 2,0 cm de altura con un espigo de mínimo 5 cm (NTC 4745) Incluye elementos de fijación. Figura 5-22 de la Resolución 20243040045005 de 17 de septiembre de 2024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100</v>
      </c>
      <c r="I11" s="33">
        <f>IFERROR((G11/H11),"")</f>
        <v>79.999399999999994</v>
      </c>
      <c r="J11" s="33">
        <f>ROUND(I11,0)</f>
        <v>80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100</v>
      </c>
      <c r="I12" s="33">
        <f>IFERROR((G12/H12),0)</f>
        <v>132.22</v>
      </c>
      <c r="J12" s="33">
        <f t="shared" ref="J12:J14" si="0">ROUND(I12,0)</f>
        <v>132</v>
      </c>
    </row>
    <row r="13" spans="1:10"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100</v>
      </c>
      <c r="I13" s="33">
        <f>IFERROR((G13/H13),0)</f>
        <v>127.71</v>
      </c>
      <c r="J13" s="33">
        <f t="shared" si="0"/>
        <v>128</v>
      </c>
    </row>
    <row r="14" spans="1:10"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100</v>
      </c>
      <c r="I14" s="33">
        <f>IFERROR((G14/H14),0)</f>
        <v>36.875</v>
      </c>
      <c r="J14" s="33">
        <f t="shared" si="0"/>
        <v>37</v>
      </c>
    </row>
    <row r="15" spans="1:10" s="20" customFormat="1" ht="13.9" customHeight="1" x14ac:dyDescent="0.25">
      <c r="A15" s="1558" t="str">
        <f>+'EQUIPOS '!B33</f>
        <v>HERRAMIENTA MENOR</v>
      </c>
      <c r="B15" s="1559"/>
      <c r="C15" s="1559"/>
      <c r="D15" s="1560"/>
      <c r="E15" s="29" t="s">
        <v>202</v>
      </c>
      <c r="F15" s="30" t="str">
        <f>IFERROR(VLOOKUP(A15,'[10]EQUIPOS TRANSPOR SALARIO'!$A$3:$G$42,2,FALSE),"")</f>
        <v>Global</v>
      </c>
      <c r="G15" s="74">
        <v>0.01</v>
      </c>
      <c r="H15" s="30">
        <f>+J50</f>
        <v>720</v>
      </c>
      <c r="I15" s="33">
        <f>IFERROR((G15*H15),0)</f>
        <v>7.2</v>
      </c>
      <c r="J15" s="33">
        <f>ROUND(I15,0)</f>
        <v>7</v>
      </c>
    </row>
    <row r="16" spans="1:10" s="20" customFormat="1" ht="13.9" customHeight="1" x14ac:dyDescent="0.25">
      <c r="A16" s="5"/>
      <c r="B16" s="6"/>
      <c r="C16" s="6"/>
      <c r="D16" s="7"/>
      <c r="E16" s="29"/>
      <c r="F16" s="30"/>
      <c r="G16" s="31"/>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384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s="20" customFormat="1" ht="13.9" customHeight="1" x14ac:dyDescent="0.25">
      <c r="A21" s="1565" t="s">
        <v>251</v>
      </c>
      <c r="B21" s="1566"/>
      <c r="C21" s="1566"/>
      <c r="D21" s="1566"/>
      <c r="E21" s="1566"/>
      <c r="F21" s="1567"/>
      <c r="G21" s="28" t="s">
        <v>252</v>
      </c>
      <c r="H21" s="28" t="s">
        <v>264</v>
      </c>
      <c r="I21" s="28" t="s">
        <v>256</v>
      </c>
      <c r="J21" s="28" t="s">
        <v>257</v>
      </c>
    </row>
    <row r="22" spans="1:10" ht="51" customHeight="1" x14ac:dyDescent="0.25">
      <c r="A22" s="1568" t="str">
        <f>+'INSUMOS '!B42</f>
        <v>ESTOPEROL PLÁSTICO CON ESPIGO, DIAMETRO MÍNIMO 10 CM Y ALTURA MÁXIMA 2,5 CM DE ALTURA CON UN ESPIGO DE MÍNIMO 5 CM (NTC 4745)</v>
      </c>
      <c r="B22" s="1569"/>
      <c r="C22" s="1569"/>
      <c r="D22" s="1569"/>
      <c r="E22" s="1569"/>
      <c r="F22" s="1570"/>
      <c r="G22" s="29" t="s">
        <v>266</v>
      </c>
      <c r="H22" s="35">
        <v>1</v>
      </c>
      <c r="I22" s="33">
        <f>+IFERROR(VLOOKUP(A22,'INSUMOS '!$B$2:$AP$167,'INSUMOS '!$AO$2+1,FALSE),0)</f>
        <v>2113.5</v>
      </c>
      <c r="J22" s="33">
        <f>ROUND(I22*H22,0)</f>
        <v>2114</v>
      </c>
    </row>
    <row r="23" spans="1:10" x14ac:dyDescent="0.25">
      <c r="A23" s="1558" t="str">
        <f>+'INSUMOS '!B65</f>
        <v>PEGANTE EPOXICO</v>
      </c>
      <c r="B23" s="1559"/>
      <c r="C23" s="1559"/>
      <c r="D23" s="1559"/>
      <c r="E23" s="1559"/>
      <c r="F23" s="1560"/>
      <c r="G23" s="29" t="s">
        <v>6</v>
      </c>
      <c r="H23" s="35">
        <f>175/3780/4*2</f>
        <v>2.3148148148148147E-2</v>
      </c>
      <c r="I23" s="33">
        <f>+IFERROR(VLOOKUP(A23,'INSUMOS '!$B$2:$AP$167,'INSUMOS '!$AO$2+1,FALSE),0)</f>
        <v>146748</v>
      </c>
      <c r="J23" s="33">
        <f t="shared" ref="J23:J25" si="1">ROUND(I23*H23,0)</f>
        <v>3397</v>
      </c>
    </row>
    <row r="24" spans="1:10"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 t="shared" si="1"/>
        <v>159</v>
      </c>
    </row>
    <row r="25" spans="1:10" ht="13.9" customHeight="1" x14ac:dyDescent="0.25">
      <c r="A25" s="1571" t="str">
        <f>+'INSUMOS '!B22</f>
        <v>BROCA TUNGSTENO DE 5/8"</v>
      </c>
      <c r="B25" s="1572"/>
      <c r="C25" s="1572"/>
      <c r="D25" s="1572"/>
      <c r="E25" s="1572"/>
      <c r="F25" s="1573"/>
      <c r="G25" s="29" t="s">
        <v>266</v>
      </c>
      <c r="H25" s="35">
        <v>0.01</v>
      </c>
      <c r="I25" s="33">
        <f>+IFERROR(VLOOKUP(A25,'INSUMOS '!$B$2:$AP$167,'INSUMOS '!$AO$2+1,FALSE),0)</f>
        <v>16445</v>
      </c>
      <c r="J25" s="33">
        <f t="shared" si="1"/>
        <v>164</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5834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(0.4/1000)/12</f>
        <v>3.3333333333333335E-5</v>
      </c>
      <c r="H36" s="33">
        <f>+IFERROR(VLOOKUP(A36,'EQUIPOS '!$B$3:$M$78,12,FALSE),0)</f>
        <v>611492.5</v>
      </c>
      <c r="I36" s="33">
        <f>IFERROR(H36*G36,0)</f>
        <v>20.383083333333335</v>
      </c>
      <c r="J36" s="33">
        <f>ROUND(I36,0)</f>
        <v>20</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20</v>
      </c>
    </row>
    <row r="40" spans="1:10" ht="13.9" customHeight="1" x14ac:dyDescent="0.25"/>
    <row r="41" spans="1:10" ht="13.9" customHeight="1" x14ac:dyDescent="0.25">
      <c r="A41" s="1561" t="s">
        <v>270</v>
      </c>
      <c r="B41" s="1561"/>
      <c r="C41" s="1561"/>
      <c r="D41" s="1561"/>
      <c r="E41" s="1561"/>
      <c r="F41" s="1561"/>
      <c r="G41" s="1561"/>
      <c r="H41" s="1561"/>
      <c r="I41" s="27"/>
    </row>
    <row r="42" spans="1:10"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+PERSONAL!B19</f>
        <v>JEFE DE CUADRILLA NOCTURNO</v>
      </c>
      <c r="B43" s="1559"/>
      <c r="C43" s="1559"/>
      <c r="D43" s="1560"/>
      <c r="E43" s="40">
        <f>+VLOOKUP(A43,PERSONAL!$B$3:$E$100,4,FALSE)</f>
        <v>213741</v>
      </c>
      <c r="F43" s="30">
        <v>1</v>
      </c>
      <c r="G43" s="40">
        <f>+E43*F43</f>
        <v>213741</v>
      </c>
      <c r="H43" s="35">
        <f>+H11*8</f>
        <v>800</v>
      </c>
      <c r="I43" s="33">
        <f>IFERROR(ROUND(G43/H43,0),0)</f>
        <v>267</v>
      </c>
      <c r="J43" s="33">
        <f>+I43</f>
        <v>267</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800</v>
      </c>
      <c r="I44" s="33">
        <f>IFERROR(ROUND(G44/H44,0),0)</f>
        <v>208</v>
      </c>
      <c r="J44" s="33">
        <f>+I44</f>
        <v>208</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800</v>
      </c>
      <c r="I45" s="33">
        <f>IFERROR(ROUND(G45/H45,0),0)</f>
        <v>245</v>
      </c>
      <c r="J45" s="33">
        <f>+I45</f>
        <v>245</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20"/>
      <c r="B50" s="20"/>
      <c r="C50" s="20"/>
      <c r="D50" s="19"/>
      <c r="E50" s="20"/>
      <c r="F50" s="20"/>
      <c r="G50" s="20"/>
      <c r="H50" s="20"/>
      <c r="I50" s="30" t="s">
        <v>257</v>
      </c>
      <c r="J50" s="34">
        <f>+SUM(J43:J49)</f>
        <v>720</v>
      </c>
    </row>
    <row r="51" spans="1:10" ht="13.9" customHeight="1" x14ac:dyDescent="0.25"/>
    <row r="52" spans="1:10" ht="13.9" customHeight="1" x14ac:dyDescent="0.25">
      <c r="E52" s="41" t="s">
        <v>276</v>
      </c>
      <c r="I52" s="42">
        <f>+J50+J39+J32+J18</f>
        <v>6958</v>
      </c>
      <c r="J52" s="43"/>
    </row>
    <row r="53" spans="1:10" ht="13.9" customHeight="1" x14ac:dyDescent="0.25"/>
    <row r="54" spans="1:10" ht="13.9" customHeight="1" x14ac:dyDescent="0.25"/>
    <row r="55" spans="1:10" ht="14.1" customHeight="1" x14ac:dyDescent="0.25"/>
    <row r="56" spans="1:10" ht="14.1" customHeight="1" x14ac:dyDescent="0.25"/>
  </sheetData>
  <sheetProtection selectLockedCells="1"/>
  <mergeCells count="40">
    <mergeCell ref="A46:D46"/>
    <mergeCell ref="A47:D47"/>
    <mergeCell ref="A48:D48"/>
    <mergeCell ref="A49:D49"/>
    <mergeCell ref="A38:F38"/>
    <mergeCell ref="A41:H41"/>
    <mergeCell ref="A42:D42"/>
    <mergeCell ref="A43:D43"/>
    <mergeCell ref="A44:D44"/>
    <mergeCell ref="A45:D45"/>
    <mergeCell ref="A37:F37"/>
    <mergeCell ref="A24:F24"/>
    <mergeCell ref="A25:F25"/>
    <mergeCell ref="A26:F26"/>
    <mergeCell ref="A27:F27"/>
    <mergeCell ref="A28:F28"/>
    <mergeCell ref="A29:F29"/>
    <mergeCell ref="A30:F30"/>
    <mergeCell ref="A31:F31"/>
    <mergeCell ref="A34:H34"/>
    <mergeCell ref="A35:F35"/>
    <mergeCell ref="A36:F36"/>
    <mergeCell ref="A23:F23"/>
    <mergeCell ref="A9:H9"/>
    <mergeCell ref="A10:D10"/>
    <mergeCell ref="A11:D11"/>
    <mergeCell ref="A12:D12"/>
    <mergeCell ref="A13:D13"/>
    <mergeCell ref="A14:D14"/>
    <mergeCell ref="A15:D15"/>
    <mergeCell ref="A17:D17"/>
    <mergeCell ref="A20:H20"/>
    <mergeCell ref="A21:F21"/>
    <mergeCell ref="A22:F22"/>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Hoja78">
    <tabColor theme="5" tint="-0.499984740745262"/>
  </sheetPr>
  <dimension ref="A1:N54"/>
  <sheetViews>
    <sheetView topLeftCell="A32" workbookViewId="0">
      <selection activeCell="G36" sqref="G3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6384" width="11.42578125" style="592"/>
  </cols>
  <sheetData>
    <row r="1" spans="1:10" ht="29.25" customHeight="1" x14ac:dyDescent="0.25">
      <c r="A1" s="1680" t="s">
        <v>244</v>
      </c>
      <c r="B1" s="1681"/>
      <c r="C1" s="1681"/>
      <c r="D1" s="1681"/>
      <c r="E1" s="1681"/>
      <c r="F1" s="1681"/>
      <c r="G1" s="1681"/>
      <c r="H1" s="1681"/>
      <c r="I1" s="1681"/>
      <c r="J1" s="1681"/>
    </row>
    <row r="2" spans="1:10" ht="15" customHeight="1" x14ac:dyDescent="0.25">
      <c r="A2" s="1682" t="s">
        <v>245</v>
      </c>
      <c r="B2" s="1682"/>
      <c r="C2" s="1682"/>
      <c r="D2" s="1682"/>
      <c r="E2" s="1682"/>
      <c r="F2" s="1682"/>
      <c r="G2" s="1682"/>
      <c r="H2" s="1682"/>
      <c r="I2" s="1682"/>
      <c r="J2" s="1682"/>
    </row>
    <row r="4" spans="1:10" s="593" customFormat="1" ht="9.9499999999999993" customHeight="1" x14ac:dyDescent="0.25">
      <c r="A4" s="1683" t="s">
        <v>246</v>
      </c>
      <c r="B4" s="1683"/>
      <c r="C4" s="1683"/>
      <c r="D4" s="1683"/>
      <c r="E4" s="1683"/>
      <c r="F4" s="1683"/>
      <c r="G4" s="1683"/>
      <c r="H4" s="1683"/>
      <c r="I4" s="1683"/>
      <c r="J4" s="1683"/>
    </row>
    <row r="5" spans="1:10" s="593" customFormat="1" ht="9.9499999999999993" customHeight="1" x14ac:dyDescent="0.25">
      <c r="B5" s="594"/>
      <c r="C5" s="594"/>
      <c r="D5" s="594"/>
      <c r="E5" s="594"/>
      <c r="F5" s="594"/>
      <c r="G5" s="594"/>
    </row>
    <row r="6" spans="1:10" x14ac:dyDescent="0.25">
      <c r="A6" s="1571" t="s">
        <v>247</v>
      </c>
      <c r="B6" s="1573"/>
      <c r="C6" s="595">
        <v>71</v>
      </c>
      <c r="D6" s="596"/>
      <c r="E6" s="596"/>
      <c r="F6" s="596"/>
      <c r="G6" s="596"/>
      <c r="H6" s="597"/>
      <c r="I6" s="598" t="s">
        <v>248</v>
      </c>
      <c r="J6" s="599" t="str">
        <f>+VLOOKUP(C6,'ANEXO PLIEGO_1'!$A$7:$C$133,3,FALSE)</f>
        <v>UN</v>
      </c>
    </row>
    <row r="7" spans="1:10" ht="35.1" customHeight="1" x14ac:dyDescent="0.25">
      <c r="A7" s="1637" t="s">
        <v>249</v>
      </c>
      <c r="B7" s="1639"/>
      <c r="C7" s="1684" t="str">
        <f>+VLOOKUP(C6,'ANEXO PLIEGO_1'!$A$7:$B$133,2,FALSE)</f>
        <v>Suministro e instalación de estoperoles plásticos de 10 cm de diámetro y 2 cm de altura (NTC 4745). Figura 5-22 de la Resolución 20243040045005 de 17 de septiembre de 2024</v>
      </c>
      <c r="D7" s="1685"/>
      <c r="E7" s="1685"/>
      <c r="F7" s="1685"/>
      <c r="G7" s="1685"/>
      <c r="H7" s="1685"/>
      <c r="I7" s="1685"/>
      <c r="J7" s="1686"/>
    </row>
    <row r="9" spans="1:10" s="390" customFormat="1" ht="12.75" x14ac:dyDescent="0.25">
      <c r="A9" s="1673" t="s">
        <v>250</v>
      </c>
      <c r="B9" s="1673"/>
      <c r="C9" s="1673"/>
      <c r="D9" s="1673"/>
      <c r="E9" s="1673"/>
      <c r="F9" s="1673"/>
      <c r="G9" s="1673"/>
      <c r="H9" s="1673"/>
    </row>
    <row r="10" spans="1:10" s="593" customFormat="1" ht="13.9" customHeight="1" x14ac:dyDescent="0.25">
      <c r="A10" s="1674" t="s">
        <v>251</v>
      </c>
      <c r="B10" s="1675"/>
      <c r="C10" s="1675"/>
      <c r="D10" s="1676"/>
      <c r="E10" s="600" t="s">
        <v>252</v>
      </c>
      <c r="F10" s="600" t="s">
        <v>253</v>
      </c>
      <c r="G10" s="600" t="s">
        <v>254</v>
      </c>
      <c r="H10" s="600" t="s">
        <v>255</v>
      </c>
      <c r="I10" s="600" t="s">
        <v>256</v>
      </c>
      <c r="J10" s="600" t="s">
        <v>257</v>
      </c>
    </row>
    <row r="11" spans="1:10" s="593" customFormat="1" ht="13.9" customHeight="1" x14ac:dyDescent="0.25">
      <c r="A11" s="1571" t="str">
        <f>+'EQUIPOS '!B9</f>
        <v>COMPRESOR</v>
      </c>
      <c r="B11" s="1572"/>
      <c r="C11" s="1572"/>
      <c r="D11" s="1573"/>
      <c r="E11" s="53" t="str">
        <f>+VLOOKUP(A11,'EQUIPOS '!$B$3:$C$58,2,FALSE)</f>
        <v>HR</v>
      </c>
      <c r="F11" s="601" t="str">
        <f>IFERROR(VLOOKUP(A11,'[10]EQUIPOS TRANSPOR SALARIO'!$A$3:$G$42,2,FALSE),"")</f>
        <v>Eléctrico</v>
      </c>
      <c r="G11" s="602">
        <f>+VLOOKUP(A11,'EQUIPOS '!$B$3:$M$64,12,FALSE)</f>
        <v>7999.94</v>
      </c>
      <c r="H11" s="601">
        <v>100</v>
      </c>
      <c r="I11" s="55">
        <f>IFERROR((G11/H11),"")</f>
        <v>79.999399999999994</v>
      </c>
      <c r="J11" s="55">
        <f>ROUND(I11,0)</f>
        <v>80</v>
      </c>
    </row>
    <row r="12" spans="1:10" s="593" customFormat="1" ht="13.9" customHeight="1" x14ac:dyDescent="0.25">
      <c r="A12" s="1571" t="str">
        <f>+'EQUIPOS '!B46</f>
        <v xml:space="preserve"> PMT (KIT )</v>
      </c>
      <c r="B12" s="1572"/>
      <c r="C12" s="1572"/>
      <c r="D12" s="1573"/>
      <c r="E12" s="53" t="str">
        <f>+VLOOKUP(A12,'EQUIPOS '!$B$3:$C$58,2,FALSE)</f>
        <v>HR</v>
      </c>
      <c r="F12" s="601" t="str">
        <f>IFERROR(VLOOKUP(A12,'[10]EQUIPOS TRANSPOR SALARIO'!$A$3:$G$42,2,FALSE),"")</f>
        <v/>
      </c>
      <c r="G12" s="602">
        <f>+VLOOKUP(A12,'EQUIPOS '!$B$3:$M$64,12,FALSE)</f>
        <v>13222</v>
      </c>
      <c r="H12" s="601">
        <f>+$H$11</f>
        <v>100</v>
      </c>
      <c r="I12" s="55">
        <f>IFERROR((G12/H12),"")</f>
        <v>132.22</v>
      </c>
      <c r="J12" s="55">
        <f t="shared" ref="J12:J13" si="0">ROUND(I12,0)</f>
        <v>132</v>
      </c>
    </row>
    <row r="13" spans="1:10" s="593" customFormat="1" ht="13.9" customHeight="1" x14ac:dyDescent="0.25">
      <c r="A13" s="1571" t="str">
        <f>+'EQUIPOS '!B36</f>
        <v>PLANTA ELÉCTRICA</v>
      </c>
      <c r="B13" s="1572"/>
      <c r="C13" s="1572"/>
      <c r="D13" s="1573"/>
      <c r="E13" s="53" t="str">
        <f>+VLOOKUP(A13,'EQUIPOS '!$B$3:$C$58,2,FALSE)</f>
        <v>HR</v>
      </c>
      <c r="F13" s="601" t="str">
        <f>IFERROR(VLOOKUP(A13,'[10]EQUIPOS TRANSPOR SALARIO'!$A$3:$G$42,2,FALSE),"")</f>
        <v>Eléctrico</v>
      </c>
      <c r="G13" s="602">
        <f>+VLOOKUP(A13,'EQUIPOS '!$B$3:$M$64,12,FALSE)</f>
        <v>12771</v>
      </c>
      <c r="H13" s="601">
        <f>+$H$11</f>
        <v>100</v>
      </c>
      <c r="I13" s="55">
        <f>IFERROR((G13/H13),0)</f>
        <v>127.71</v>
      </c>
      <c r="J13" s="55">
        <f t="shared" si="0"/>
        <v>128</v>
      </c>
    </row>
    <row r="14" spans="1:10" s="593" customFormat="1" ht="13.9" customHeight="1" x14ac:dyDescent="0.25">
      <c r="A14" s="1571"/>
      <c r="B14" s="1572"/>
      <c r="C14" s="1572"/>
      <c r="D14" s="1573"/>
      <c r="E14" s="53"/>
      <c r="F14" s="601"/>
      <c r="G14" s="603"/>
      <c r="H14" s="601"/>
      <c r="I14" s="55"/>
      <c r="J14" s="55"/>
    </row>
    <row r="15" spans="1:10" s="593" customFormat="1" ht="13.9" customHeight="1" x14ac:dyDescent="0.25">
      <c r="A15" s="1571"/>
      <c r="B15" s="1572"/>
      <c r="C15" s="1572"/>
      <c r="D15" s="1573"/>
      <c r="E15" s="53"/>
      <c r="F15" s="601" t="str">
        <f>IFERROR(VLOOKUP(A15,'[10]EQUIPOS TRANSPOR SALARIO'!$A$3:$G$42,2,FALSE),"")</f>
        <v/>
      </c>
      <c r="G15" s="602" t="str">
        <f>IFERROR(VLOOKUP(A15,'[10]EQUIPOS TRANSPOR SALARIO'!$A$3:$G$42,6,FALSE),"")</f>
        <v/>
      </c>
      <c r="H15" s="601" t="str">
        <f>IFERROR(VLOOKUP(A15,'[10]EQUIPOS TRANSPOR SALARIO'!$A$3:$G$42,7,FALSE),"")</f>
        <v/>
      </c>
      <c r="I15" s="55"/>
      <c r="J15" s="55"/>
    </row>
    <row r="16" spans="1:10" s="593" customFormat="1" ht="13.9" customHeight="1" x14ac:dyDescent="0.25">
      <c r="A16" s="1571"/>
      <c r="B16" s="1572"/>
      <c r="C16" s="1572"/>
      <c r="D16" s="1573"/>
      <c r="E16" s="53"/>
      <c r="F16" s="601" t="str">
        <f>IFERROR(VLOOKUP(A16,'[10]EQUIPOS TRANSPOR SALARIO'!$A$3:$G$42,2,FALSE),"")</f>
        <v/>
      </c>
      <c r="G16" s="602" t="str">
        <f>IFERROR(VLOOKUP(A16,'[10]EQUIPOS TRANSPOR SALARIO'!$A$3:$G$42,6,FALSE),"")</f>
        <v/>
      </c>
      <c r="H16" s="601" t="str">
        <f>IFERROR(VLOOKUP(A16,'[10]EQUIPOS TRANSPOR SALARIO'!$A$3:$G$42,7,FALSE),"")</f>
        <v/>
      </c>
      <c r="I16" s="55"/>
      <c r="J16" s="55"/>
    </row>
    <row r="17" spans="1:14" s="593" customFormat="1" ht="13.9" customHeight="1" x14ac:dyDescent="0.25">
      <c r="A17" s="1571"/>
      <c r="B17" s="1572"/>
      <c r="C17" s="1572"/>
      <c r="D17" s="1573"/>
      <c r="E17" s="53"/>
      <c r="F17" s="601" t="str">
        <f>IFERROR(VLOOKUP(A17,'[10]EQUIPOS TRANSPOR SALARIO'!$A$3:$G$42,2,FALSE),"")</f>
        <v/>
      </c>
      <c r="G17" s="602" t="str">
        <f>IFERROR(VLOOKUP(A17,'[10]EQUIPOS TRANSPOR SALARIO'!$A$3:$G$42,6,FALSE),"")</f>
        <v/>
      </c>
      <c r="H17" s="601" t="str">
        <f>IFERROR(VLOOKUP(A17,'[10]EQUIPOS TRANSPOR SALARIO'!$A$3:$G$42,7,FALSE),"")</f>
        <v/>
      </c>
      <c r="I17" s="55"/>
      <c r="J17" s="55"/>
    </row>
    <row r="18" spans="1:14" s="593" customFormat="1" ht="13.9" customHeight="1" x14ac:dyDescent="0.25">
      <c r="I18" s="601" t="s">
        <v>257</v>
      </c>
      <c r="J18" s="605">
        <f>+SUM(J11:J17)</f>
        <v>340</v>
      </c>
    </row>
    <row r="19" spans="1:14" s="593" customFormat="1" ht="13.9" customHeight="1" x14ac:dyDescent="0.25"/>
    <row r="20" spans="1:14" s="593" customFormat="1" ht="13.9" customHeight="1" x14ac:dyDescent="0.25">
      <c r="A20" s="1673" t="s">
        <v>263</v>
      </c>
      <c r="B20" s="1673"/>
      <c r="C20" s="1673"/>
      <c r="D20" s="1673"/>
      <c r="E20" s="1673"/>
      <c r="F20" s="1673"/>
      <c r="G20" s="1673"/>
      <c r="H20" s="1673"/>
      <c r="I20" s="390"/>
    </row>
    <row r="21" spans="1:14" ht="13.9" customHeight="1" x14ac:dyDescent="0.25">
      <c r="A21" s="1677" t="s">
        <v>251</v>
      </c>
      <c r="B21" s="1678"/>
      <c r="C21" s="1678"/>
      <c r="D21" s="1678"/>
      <c r="E21" s="1678"/>
      <c r="F21" s="1679"/>
      <c r="G21" s="600" t="s">
        <v>252</v>
      </c>
      <c r="H21" s="600" t="s">
        <v>264</v>
      </c>
      <c r="I21" s="600" t="s">
        <v>256</v>
      </c>
      <c r="J21" s="600" t="s">
        <v>257</v>
      </c>
      <c r="N21" s="592">
        <f>1500*50*1.3</f>
        <v>97500</v>
      </c>
    </row>
    <row r="22" spans="1:14" ht="24.75" customHeight="1" x14ac:dyDescent="0.25">
      <c r="A22" s="1637" t="str">
        <f>+'INSUMOS '!B43</f>
        <v>ESTOPEROL PLÁSTICO DE 10 CM DE DIÁMETRO Y 2 CM DE ALTURA (NTC 4745)</v>
      </c>
      <c r="B22" s="1638"/>
      <c r="C22" s="1638"/>
      <c r="D22" s="1638"/>
      <c r="E22" s="1638"/>
      <c r="F22" s="1639"/>
      <c r="G22" s="53" t="s">
        <v>266</v>
      </c>
      <c r="H22" s="54">
        <v>1</v>
      </c>
      <c r="I22" s="33">
        <f>+IFERROR(VLOOKUP(A22,'INSUMOS '!$B$2:$AP$167,'INSUMOS '!$AO$2+1,FALSE),0)</f>
        <v>1915.8999999999999</v>
      </c>
      <c r="J22" s="55">
        <f>ROUND(I22*H22,0)</f>
        <v>1916</v>
      </c>
    </row>
    <row r="23" spans="1:14" ht="13.9" customHeight="1" x14ac:dyDescent="0.25">
      <c r="A23" s="1637" t="str">
        <f>+'INSUMOS '!B65</f>
        <v>PEGANTE EPOXICO</v>
      </c>
      <c r="B23" s="1638"/>
      <c r="C23" s="1638"/>
      <c r="D23" s="1638"/>
      <c r="E23" s="1638"/>
      <c r="F23" s="1639"/>
      <c r="G23" s="53" t="s">
        <v>6</v>
      </c>
      <c r="H23" s="54">
        <f>175/3780/4*2</f>
        <v>2.3148148148148147E-2</v>
      </c>
      <c r="I23" s="33">
        <f>+IFERROR(VLOOKUP(A23,'INSUMOS '!$B$2:$AP$167,'INSUMOS '!$AO$2+1,FALSE),0)</f>
        <v>146748</v>
      </c>
      <c r="J23" s="55">
        <f>ROUND(I23*H23,0)</f>
        <v>3397</v>
      </c>
    </row>
    <row r="24" spans="1:14" ht="13.9" customHeight="1" x14ac:dyDescent="0.25">
      <c r="A24" s="1637" t="str">
        <f>+'INSUMOS '!B114</f>
        <v>GASOLINA CORRIENTE</v>
      </c>
      <c r="B24" s="1638"/>
      <c r="C24" s="1638"/>
      <c r="D24" s="1638"/>
      <c r="E24" s="1638"/>
      <c r="F24" s="1639"/>
      <c r="G24" s="53" t="s">
        <v>114</v>
      </c>
      <c r="H24" s="54">
        <v>0.01</v>
      </c>
      <c r="I24" s="33">
        <f>+IFERROR(VLOOKUP(A24,'INSUMOS '!$B$2:$AP$167,'INSUMOS '!$AO$2+1,FALSE),0)</f>
        <v>15861</v>
      </c>
      <c r="J24" s="55">
        <f>ROUND(I24*H24,0)</f>
        <v>159</v>
      </c>
    </row>
    <row r="25" spans="1:14" ht="13.9" customHeight="1" x14ac:dyDescent="0.25">
      <c r="A25" s="1571"/>
      <c r="B25" s="1572"/>
      <c r="C25" s="1572"/>
      <c r="D25" s="1572"/>
      <c r="E25" s="1572"/>
      <c r="F25" s="1573"/>
      <c r="G25" s="53"/>
      <c r="H25" s="54"/>
      <c r="I25" s="55"/>
      <c r="J25" s="55"/>
    </row>
    <row r="26" spans="1:14" ht="13.9" customHeight="1" x14ac:dyDescent="0.25">
      <c r="A26" s="1571"/>
      <c r="B26" s="1572"/>
      <c r="C26" s="1572"/>
      <c r="D26" s="1572"/>
      <c r="E26" s="1572"/>
      <c r="F26" s="1573"/>
      <c r="G26" s="53"/>
      <c r="H26" s="54"/>
      <c r="I26" s="55"/>
      <c r="J26" s="55"/>
    </row>
    <row r="27" spans="1:14" ht="13.9" customHeight="1" x14ac:dyDescent="0.25">
      <c r="A27" s="1571"/>
      <c r="B27" s="1572"/>
      <c r="C27" s="1572"/>
      <c r="D27" s="1572"/>
      <c r="E27" s="1572"/>
      <c r="F27" s="1573"/>
      <c r="G27" s="53"/>
      <c r="H27" s="54"/>
      <c r="I27" s="55"/>
      <c r="J27" s="55"/>
    </row>
    <row r="28" spans="1:14" ht="13.9" customHeight="1" x14ac:dyDescent="0.25">
      <c r="A28" s="1571"/>
      <c r="B28" s="1572"/>
      <c r="C28" s="1572"/>
      <c r="D28" s="1572"/>
      <c r="E28" s="1572"/>
      <c r="F28" s="1573"/>
      <c r="G28" s="53"/>
      <c r="H28" s="54"/>
      <c r="I28" s="55"/>
      <c r="J28" s="55"/>
    </row>
    <row r="29" spans="1:14" ht="13.9" customHeight="1" x14ac:dyDescent="0.25">
      <c r="A29" s="1571"/>
      <c r="B29" s="1572"/>
      <c r="C29" s="1572"/>
      <c r="D29" s="1572"/>
      <c r="E29" s="1572"/>
      <c r="F29" s="1573"/>
      <c r="G29" s="53"/>
      <c r="H29" s="606"/>
      <c r="I29" s="55"/>
      <c r="J29" s="55"/>
    </row>
    <row r="30" spans="1:14" ht="13.9" customHeight="1" x14ac:dyDescent="0.25">
      <c r="A30" s="1571"/>
      <c r="B30" s="1572"/>
      <c r="C30" s="1572"/>
      <c r="D30" s="1572"/>
      <c r="E30" s="1572"/>
      <c r="F30" s="1573"/>
      <c r="G30" s="53"/>
      <c r="H30" s="54"/>
      <c r="I30" s="55"/>
      <c r="J30" s="55"/>
    </row>
    <row r="31" spans="1:14" ht="13.9" customHeight="1" x14ac:dyDescent="0.25">
      <c r="A31" s="1571"/>
      <c r="B31" s="1572"/>
      <c r="C31" s="1572"/>
      <c r="D31" s="1572"/>
      <c r="E31" s="1572"/>
      <c r="F31" s="1573"/>
      <c r="G31" s="53"/>
      <c r="H31" s="54"/>
      <c r="I31" s="55"/>
      <c r="J31" s="55"/>
    </row>
    <row r="32" spans="1:14" ht="13.9" customHeight="1" x14ac:dyDescent="0.25">
      <c r="A32" s="593"/>
      <c r="B32" s="593"/>
      <c r="C32" s="593"/>
      <c r="D32" s="593"/>
      <c r="E32" s="593"/>
      <c r="G32" s="593"/>
      <c r="H32" s="593"/>
      <c r="I32" s="601" t="s">
        <v>257</v>
      </c>
      <c r="J32" s="605">
        <f>+SUM(J22:J31)</f>
        <v>5472</v>
      </c>
    </row>
    <row r="33" spans="1:10" ht="13.9" customHeight="1" x14ac:dyDescent="0.25"/>
    <row r="34" spans="1:10" ht="13.9" customHeight="1" x14ac:dyDescent="0.25">
      <c r="A34" s="1673" t="s">
        <v>267</v>
      </c>
      <c r="B34" s="1673"/>
      <c r="C34" s="1673"/>
      <c r="D34" s="1673"/>
      <c r="E34" s="1673"/>
      <c r="F34" s="1673"/>
      <c r="G34" s="1673"/>
      <c r="H34" s="1673"/>
      <c r="I34" s="390"/>
    </row>
    <row r="35" spans="1:10" ht="13.9" customHeight="1" x14ac:dyDescent="0.25">
      <c r="A35" s="1674" t="s">
        <v>268</v>
      </c>
      <c r="B35" s="1675"/>
      <c r="C35" s="1675"/>
      <c r="D35" s="1675"/>
      <c r="E35" s="1675"/>
      <c r="F35" s="1676"/>
      <c r="G35" s="607" t="s">
        <v>255</v>
      </c>
      <c r="H35" s="600" t="s">
        <v>269</v>
      </c>
      <c r="I35" s="600" t="s">
        <v>256</v>
      </c>
      <c r="J35" s="600" t="s">
        <v>257</v>
      </c>
    </row>
    <row r="36" spans="1:10" ht="13.9" customHeight="1" x14ac:dyDescent="0.25">
      <c r="A36" s="1571" t="str">
        <f>+'EQUIPOS '!B6</f>
        <v>CAMION INCLUYE CONDUCTOR</v>
      </c>
      <c r="B36" s="1572"/>
      <c r="C36" s="1572"/>
      <c r="D36" s="1572"/>
      <c r="E36" s="1572"/>
      <c r="F36" s="1573"/>
      <c r="G36" s="53">
        <f>(0.3/1000)/12</f>
        <v>2.4999999999999998E-5</v>
      </c>
      <c r="H36" s="55">
        <f>+IFERROR(VLOOKUP(A36,'EQUIPOS '!$B$3:$M$78,12,FALSE),0)</f>
        <v>611492.5</v>
      </c>
      <c r="I36" s="55">
        <f>IFERROR(H36*G36,0)</f>
        <v>15.287312499999999</v>
      </c>
      <c r="J36" s="55">
        <f>ROUND(I36,0)</f>
        <v>15</v>
      </c>
    </row>
    <row r="37" spans="1:10" ht="13.9" customHeight="1" x14ac:dyDescent="0.25">
      <c r="A37" s="1571"/>
      <c r="B37" s="1572"/>
      <c r="C37" s="1572"/>
      <c r="D37" s="1572"/>
      <c r="E37" s="1572"/>
      <c r="F37" s="1573"/>
      <c r="G37" s="53"/>
      <c r="H37" s="55"/>
      <c r="I37" s="55"/>
      <c r="J37" s="55"/>
    </row>
    <row r="38" spans="1:10" ht="13.9" customHeight="1" x14ac:dyDescent="0.25">
      <c r="A38" s="1571"/>
      <c r="B38" s="1572"/>
      <c r="C38" s="1572"/>
      <c r="D38" s="1572"/>
      <c r="E38" s="1572"/>
      <c r="F38" s="1573"/>
      <c r="G38" s="53"/>
      <c r="H38" s="55"/>
      <c r="I38" s="55"/>
      <c r="J38" s="55"/>
    </row>
    <row r="39" spans="1:10" ht="13.9" customHeight="1" x14ac:dyDescent="0.25">
      <c r="G39" s="608"/>
      <c r="H39" s="608"/>
      <c r="I39" s="601" t="s">
        <v>257</v>
      </c>
      <c r="J39" s="55">
        <f>+SUM(J36:J38)</f>
        <v>15</v>
      </c>
    </row>
    <row r="40" spans="1:10" ht="13.9" customHeight="1" x14ac:dyDescent="0.25"/>
    <row r="41" spans="1:10" ht="13.9" customHeight="1" x14ac:dyDescent="0.25">
      <c r="A41" s="1673" t="s">
        <v>270</v>
      </c>
      <c r="B41" s="1673"/>
      <c r="C41" s="1673"/>
      <c r="D41" s="1673"/>
      <c r="E41" s="1673"/>
      <c r="F41" s="1673"/>
      <c r="G41" s="1673"/>
      <c r="H41" s="1673"/>
      <c r="I41" s="390"/>
    </row>
    <row r="42" spans="1:10" s="608" customFormat="1" ht="13.9" customHeight="1" x14ac:dyDescent="0.25">
      <c r="A42" s="1674" t="s">
        <v>271</v>
      </c>
      <c r="B42" s="1675"/>
      <c r="C42" s="1675"/>
      <c r="D42" s="1676"/>
      <c r="E42" s="600" t="s">
        <v>272</v>
      </c>
      <c r="F42" s="600" t="s">
        <v>264</v>
      </c>
      <c r="G42" s="600" t="s">
        <v>273</v>
      </c>
      <c r="H42" s="600" t="s">
        <v>255</v>
      </c>
      <c r="I42" s="600" t="s">
        <v>256</v>
      </c>
      <c r="J42" s="600" t="s">
        <v>257</v>
      </c>
    </row>
    <row r="43" spans="1:10" s="608" customFormat="1" ht="13.9" customHeight="1" x14ac:dyDescent="0.25">
      <c r="A43" s="1571" t="str">
        <f>+PERSONAL!B19</f>
        <v>JEFE DE CUADRILLA NOCTURNO</v>
      </c>
      <c r="B43" s="1572"/>
      <c r="C43" s="1572"/>
      <c r="D43" s="1573"/>
      <c r="E43" s="609">
        <f>+VLOOKUP(A43,PERSONAL!$B$3:$E$100,4,FALSE)</f>
        <v>213741</v>
      </c>
      <c r="F43" s="601">
        <v>1</v>
      </c>
      <c r="G43" s="609">
        <f>+E43*F43</f>
        <v>213741</v>
      </c>
      <c r="H43" s="54">
        <f>IFERROR(H11*8,0)</f>
        <v>800</v>
      </c>
      <c r="I43" s="55">
        <f>IFERROR(ROUND(G43/H43,0),0)</f>
        <v>267</v>
      </c>
      <c r="J43" s="55">
        <f>+I43</f>
        <v>267</v>
      </c>
    </row>
    <row r="44" spans="1:10" s="608" customFormat="1" ht="13.9" customHeight="1" x14ac:dyDescent="0.25">
      <c r="A44" s="1571" t="str">
        <f>+PERSONAL!B6</f>
        <v>AYUDANTE NOCTURNO</v>
      </c>
      <c r="B44" s="1572"/>
      <c r="C44" s="1572"/>
      <c r="D44" s="1573"/>
      <c r="E44" s="609">
        <f>+VLOOKUP(A44,PERSONAL!$B$3:$E$100,4,FALSE)</f>
        <v>83383</v>
      </c>
      <c r="F44" s="601">
        <v>2</v>
      </c>
      <c r="G44" s="609">
        <f>+E44*F44</f>
        <v>166766</v>
      </c>
      <c r="H44" s="54">
        <f>+H43</f>
        <v>800</v>
      </c>
      <c r="I44" s="55">
        <f>IFERROR(ROUND(G44/H44,0),0)</f>
        <v>208</v>
      </c>
      <c r="J44" s="55">
        <f>+I44</f>
        <v>208</v>
      </c>
    </row>
    <row r="45" spans="1:10" s="608" customFormat="1" ht="13.9" customHeight="1" x14ac:dyDescent="0.25">
      <c r="A45" s="1571" t="str">
        <f>+PERSONAL!B4</f>
        <v>AUXILIAR DE TRÁFICO NOCTURNO</v>
      </c>
      <c r="B45" s="1572"/>
      <c r="C45" s="1572"/>
      <c r="D45" s="1573"/>
      <c r="E45" s="609">
        <f>+VLOOKUP(A45,PERSONAL!$B$3:$E$100,4,FALSE)</f>
        <v>98122</v>
      </c>
      <c r="F45" s="601">
        <v>2</v>
      </c>
      <c r="G45" s="609">
        <f>+E45*F45</f>
        <v>196244</v>
      </c>
      <c r="H45" s="54">
        <f>+H44</f>
        <v>800</v>
      </c>
      <c r="I45" s="55">
        <f>IFERROR(ROUND(G45/H45,0),0)</f>
        <v>245</v>
      </c>
      <c r="J45" s="55">
        <f>+I45</f>
        <v>245</v>
      </c>
    </row>
    <row r="46" spans="1:10" s="608" customFormat="1" ht="13.9" customHeight="1" x14ac:dyDescent="0.25">
      <c r="A46" s="1571"/>
      <c r="B46" s="1572"/>
      <c r="C46" s="1572"/>
      <c r="D46" s="1573"/>
      <c r="E46" s="609"/>
      <c r="F46" s="601"/>
      <c r="G46" s="609"/>
      <c r="H46" s="54"/>
      <c r="I46" s="55"/>
      <c r="J46" s="55"/>
    </row>
    <row r="47" spans="1:10" s="608" customFormat="1" ht="13.9" customHeight="1" x14ac:dyDescent="0.25">
      <c r="A47" s="1571"/>
      <c r="B47" s="1572"/>
      <c r="C47" s="1572"/>
      <c r="D47" s="1573"/>
      <c r="E47" s="609"/>
      <c r="F47" s="601"/>
      <c r="G47" s="609"/>
      <c r="H47" s="54"/>
      <c r="I47" s="55"/>
      <c r="J47" s="55"/>
    </row>
    <row r="48" spans="1:10" s="608" customFormat="1" ht="13.9" customHeight="1" x14ac:dyDescent="0.25">
      <c r="A48" s="1571"/>
      <c r="B48" s="1572"/>
      <c r="C48" s="1572"/>
      <c r="D48" s="1573"/>
      <c r="E48" s="609"/>
      <c r="F48" s="601"/>
      <c r="G48" s="609"/>
      <c r="H48" s="54"/>
      <c r="I48" s="55"/>
      <c r="J48" s="55"/>
    </row>
    <row r="49" spans="1:10" ht="13.9" customHeight="1" x14ac:dyDescent="0.25">
      <c r="A49" s="593"/>
      <c r="B49" s="593"/>
      <c r="C49" s="593"/>
      <c r="E49" s="593"/>
      <c r="F49" s="593"/>
      <c r="G49" s="593"/>
      <c r="H49" s="593"/>
      <c r="I49" s="601" t="s">
        <v>257</v>
      </c>
      <c r="J49" s="605">
        <f>+SUM(J43:J48)</f>
        <v>720</v>
      </c>
    </row>
    <row r="50" spans="1:10" ht="13.9" customHeight="1" x14ac:dyDescent="0.25"/>
    <row r="51" spans="1:10" ht="13.9" customHeight="1" x14ac:dyDescent="0.25">
      <c r="E51" s="610" t="s">
        <v>276</v>
      </c>
      <c r="I51" s="611">
        <f>+J49+J39+J32+J18</f>
        <v>6547</v>
      </c>
      <c r="J51" s="612"/>
    </row>
    <row r="52" spans="1:10" ht="13.9" customHeight="1" x14ac:dyDescent="0.25"/>
    <row r="53" spans="1:10" ht="14.1" customHeight="1" x14ac:dyDescent="0.25"/>
    <row r="54" spans="1:10" ht="14.1" customHeight="1" x14ac:dyDescent="0.25"/>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Hoja77">
    <tabColor theme="5" tint="-0.499984740745262"/>
  </sheetPr>
  <dimension ref="A1:P56"/>
  <sheetViews>
    <sheetView topLeftCell="A34" workbookViewId="0">
      <selection activeCell="L41" sqref="L4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3" ht="29.25" customHeight="1" x14ac:dyDescent="0.25">
      <c r="A1" s="1574" t="s">
        <v>244</v>
      </c>
      <c r="B1" s="1575"/>
      <c r="C1" s="1575"/>
      <c r="D1" s="1575"/>
      <c r="E1" s="1575"/>
      <c r="F1" s="1575"/>
      <c r="G1" s="1575"/>
      <c r="H1" s="1575"/>
      <c r="I1" s="1575"/>
      <c r="J1" s="1575"/>
    </row>
    <row r="2" spans="1:13" ht="15" customHeight="1" x14ac:dyDescent="0.25">
      <c r="A2" s="1576" t="s">
        <v>245</v>
      </c>
      <c r="B2" s="1576"/>
      <c r="C2" s="1576"/>
      <c r="D2" s="1576"/>
      <c r="E2" s="1576"/>
      <c r="F2" s="1576"/>
      <c r="G2" s="1576"/>
      <c r="H2" s="1576"/>
      <c r="I2" s="1576"/>
      <c r="J2" s="1576"/>
    </row>
    <row r="4" spans="1:13" s="20" customFormat="1" ht="9.9499999999999993" customHeight="1" x14ac:dyDescent="0.25">
      <c r="A4" s="1577" t="s">
        <v>246</v>
      </c>
      <c r="B4" s="1577"/>
      <c r="C4" s="1577"/>
      <c r="D4" s="1577"/>
      <c r="E4" s="1577"/>
      <c r="F4" s="1577"/>
      <c r="G4" s="1577"/>
      <c r="H4" s="1577"/>
      <c r="I4" s="1577"/>
      <c r="J4" s="1577"/>
    </row>
    <row r="5" spans="1:13" s="20" customFormat="1" ht="9.9499999999999993" customHeight="1" x14ac:dyDescent="0.25">
      <c r="B5" s="21"/>
      <c r="C5" s="21"/>
      <c r="D5" s="21"/>
      <c r="E5" s="21"/>
      <c r="F5" s="21"/>
      <c r="G5" s="21"/>
    </row>
    <row r="6" spans="1:13" x14ac:dyDescent="0.25">
      <c r="A6" s="1558" t="s">
        <v>247</v>
      </c>
      <c r="B6" s="1560"/>
      <c r="C6" s="22">
        <v>70</v>
      </c>
      <c r="D6" s="23"/>
      <c r="E6" s="23"/>
      <c r="F6" s="23"/>
      <c r="G6" s="23"/>
      <c r="H6" s="24"/>
      <c r="I6" s="25" t="s">
        <v>248</v>
      </c>
      <c r="J6" s="305" t="str">
        <f>+VLOOKUP(C6,'ANEXO PLIEGO_1'!$A$7:$C$133,3,FALSE)</f>
        <v>UN</v>
      </c>
    </row>
    <row r="7" spans="1:13" ht="35.1" customHeight="1" x14ac:dyDescent="0.25">
      <c r="A7" s="1568" t="s">
        <v>249</v>
      </c>
      <c r="B7" s="1570"/>
      <c r="C7" s="1578" t="str">
        <f>+VLOOKUP(C6,'ANEXO PLIEGO_1'!$A$7:$B$133,2,FALSE)</f>
        <v xml:space="preserve">Suministro e instalación de tachas reflectivas según diseño con espigo de mínimo 5 cm. Cumpliendo con los coeficientes de intensidad luminosa de la NTC 4745 (Tabla 1). </v>
      </c>
      <c r="D7" s="1579"/>
      <c r="E7" s="1579"/>
      <c r="F7" s="1579"/>
      <c r="G7" s="1579"/>
      <c r="H7" s="1579"/>
      <c r="I7" s="1579"/>
      <c r="J7" s="1580"/>
    </row>
    <row r="9" spans="1:13" s="27" customFormat="1" ht="12.75" x14ac:dyDescent="0.25">
      <c r="A9" s="1561" t="s">
        <v>250</v>
      </c>
      <c r="B9" s="1561"/>
      <c r="C9" s="1561"/>
      <c r="D9" s="1561"/>
      <c r="E9" s="1561"/>
      <c r="F9" s="1561"/>
      <c r="G9" s="1561"/>
      <c r="H9" s="1561"/>
    </row>
    <row r="10" spans="1:13" s="20" customFormat="1" ht="13.9" customHeight="1" x14ac:dyDescent="0.25">
      <c r="A10" s="1562" t="s">
        <v>251</v>
      </c>
      <c r="B10" s="1563"/>
      <c r="C10" s="1563"/>
      <c r="D10" s="1564"/>
      <c r="E10" s="28" t="s">
        <v>252</v>
      </c>
      <c r="F10" s="28" t="s">
        <v>253</v>
      </c>
      <c r="G10" s="28" t="s">
        <v>254</v>
      </c>
      <c r="H10" s="28" t="s">
        <v>255</v>
      </c>
      <c r="I10" s="28" t="s">
        <v>256</v>
      </c>
      <c r="J10" s="28" t="s">
        <v>257</v>
      </c>
    </row>
    <row r="11" spans="1:13"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200</v>
      </c>
      <c r="I11" s="33">
        <f>IFERROR((G11/H11),"")</f>
        <v>39.999699999999997</v>
      </c>
      <c r="J11" s="33">
        <f>ROUND(I11,0)</f>
        <v>40</v>
      </c>
      <c r="M11" s="20">
        <f>1200/8</f>
        <v>150</v>
      </c>
    </row>
    <row r="12" spans="1:13"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200</v>
      </c>
      <c r="I12" s="33">
        <f>IFERROR((G12/H12),"")</f>
        <v>66.11</v>
      </c>
      <c r="J12" s="33">
        <f t="shared" ref="J12:J14" si="0">ROUND(I12,0)</f>
        <v>66</v>
      </c>
    </row>
    <row r="13" spans="1:13" s="20" customFormat="1" ht="13.9" customHeight="1" x14ac:dyDescent="0.25">
      <c r="A13" s="1558" t="str">
        <f>+'EQUIPOS '!B36</f>
        <v>PLANTA ELÉCTRICA</v>
      </c>
      <c r="B13" s="1559"/>
      <c r="C13" s="1559"/>
      <c r="D13" s="1560"/>
      <c r="E13" s="29" t="s">
        <v>202</v>
      </c>
      <c r="F13" s="30" t="str">
        <f>IFERROR(VLOOKUP(A13,'[10]EQUIPOS TRANSPOR SALARIO'!$A$3:$G$42,2,FALSE),"")</f>
        <v>Eléctrico</v>
      </c>
      <c r="G13" s="31">
        <f>+VLOOKUP(A13,'EQUIPOS '!$B$3:$M$64,12,FALSE)</f>
        <v>12771</v>
      </c>
      <c r="H13" s="30">
        <f>+$H$11</f>
        <v>200</v>
      </c>
      <c r="I13" s="33">
        <f>IFERROR((G13/H13),0)</f>
        <v>63.854999999999997</v>
      </c>
      <c r="J13" s="33">
        <f t="shared" si="0"/>
        <v>64</v>
      </c>
    </row>
    <row r="14" spans="1:13" s="20" customFormat="1" ht="13.9" customHeight="1" x14ac:dyDescent="0.25">
      <c r="A14" s="1558" t="str">
        <f>+'EQUIPOS '!B44</f>
        <v xml:space="preserve">TALADRO PERCUTOR  </v>
      </c>
      <c r="B14" s="1559"/>
      <c r="C14" s="1559"/>
      <c r="D14" s="1560"/>
      <c r="E14" s="29" t="s">
        <v>202</v>
      </c>
      <c r="F14" s="30" t="str">
        <f>IFERROR(VLOOKUP(A14,'[10]EQUIPOS TRANSPOR SALARIO'!$A$3:$G$42,2,FALSE),"")</f>
        <v/>
      </c>
      <c r="G14" s="31">
        <f>+VLOOKUP(A14,'EQUIPOS '!$B$3:$M$64,12,FALSE)</f>
        <v>3687.5</v>
      </c>
      <c r="H14" s="30">
        <f>+$H$11</f>
        <v>200</v>
      </c>
      <c r="I14" s="33">
        <f>IFERROR((G14/H14),0)</f>
        <v>18.4375</v>
      </c>
      <c r="J14" s="33">
        <f t="shared" si="0"/>
        <v>18</v>
      </c>
    </row>
    <row r="15" spans="1:13" s="20" customFormat="1" ht="13.9" customHeight="1" x14ac:dyDescent="0.25">
      <c r="A15" s="1558" t="str">
        <f>+'EQUIPOS '!B33</f>
        <v>HERRAMIENTA MENOR</v>
      </c>
      <c r="B15" s="1559"/>
      <c r="C15" s="1559"/>
      <c r="D15" s="1560"/>
      <c r="E15" s="29" t="s">
        <v>202</v>
      </c>
      <c r="F15" s="30" t="str">
        <f>IFERROR(VLOOKUP(A15,'[10]EQUIPOS TRANSPOR SALARIO'!$A$3:$G$42,2,FALSE),"")</f>
        <v>Global</v>
      </c>
      <c r="G15" s="74">
        <v>0.01</v>
      </c>
      <c r="H15" s="299">
        <f>+J50</f>
        <v>361</v>
      </c>
      <c r="I15" s="33">
        <f>IFERROR((G15*H15),0)</f>
        <v>3.61</v>
      </c>
      <c r="J15" s="33">
        <f>ROUND(I15,0)</f>
        <v>4</v>
      </c>
    </row>
    <row r="16" spans="1:13" s="20" customFormat="1" ht="13.9" customHeight="1" x14ac:dyDescent="0.25">
      <c r="A16" s="5"/>
      <c r="B16" s="6"/>
      <c r="C16" s="6"/>
      <c r="D16" s="7"/>
      <c r="E16" s="29"/>
      <c r="F16" s="30"/>
      <c r="G16" s="31"/>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192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s="20" customFormat="1" ht="13.9" customHeight="1" x14ac:dyDescent="0.25">
      <c r="A21" s="1565" t="s">
        <v>251</v>
      </c>
      <c r="B21" s="1566"/>
      <c r="C21" s="1566"/>
      <c r="D21" s="1566"/>
      <c r="E21" s="1566"/>
      <c r="F21" s="1567"/>
      <c r="G21" s="28" t="s">
        <v>252</v>
      </c>
      <c r="H21" s="28" t="s">
        <v>264</v>
      </c>
      <c r="I21" s="28" t="s">
        <v>256</v>
      </c>
      <c r="J21" s="28" t="s">
        <v>257</v>
      </c>
    </row>
    <row r="22" spans="1:10" ht="51" customHeight="1" x14ac:dyDescent="0.25">
      <c r="A22" s="1568" t="str">
        <f>+'INSUMOS '!B96</f>
        <v xml:space="preserve">TACHAS REFLECTIVAS BIDIRECCIONALES CON ESPIGO DE MINIMO 5 CM. CUMPLIENDO CON LOS COEFICIENTES DE INTENSIDAD LUMINOSA DE LA NTC 4745 (TABLA 1). </v>
      </c>
      <c r="B22" s="1569"/>
      <c r="C22" s="1569"/>
      <c r="D22" s="1569"/>
      <c r="E22" s="1569"/>
      <c r="F22" s="1570"/>
      <c r="G22" s="29" t="s">
        <v>266</v>
      </c>
      <c r="H22" s="35">
        <v>1</v>
      </c>
      <c r="I22" s="33">
        <f>+IFERROR(VLOOKUP(A22,'INSUMOS '!$B$2:$AP$167,'INSUMOS '!$AO$2+1,FALSE),0)</f>
        <v>9158</v>
      </c>
      <c r="J22" s="33">
        <f>ROUND(I22*H22,0)</f>
        <v>9158</v>
      </c>
    </row>
    <row r="23" spans="1:10" x14ac:dyDescent="0.25">
      <c r="A23" s="1558" t="str">
        <f>+'INSUMOS '!B65</f>
        <v>PEGANTE EPOXICO</v>
      </c>
      <c r="B23" s="1559"/>
      <c r="C23" s="1559"/>
      <c r="D23" s="1559"/>
      <c r="E23" s="1559"/>
      <c r="F23" s="1560"/>
      <c r="G23" s="29" t="s">
        <v>6</v>
      </c>
      <c r="H23" s="35">
        <f>175/3780/4</f>
        <v>1.1574074074074073E-2</v>
      </c>
      <c r="I23" s="33">
        <f>+IFERROR(VLOOKUP(A23,'INSUMOS '!$B$2:$AP$167,'INSUMOS '!$AO$2+1,FALSE),0)</f>
        <v>146748</v>
      </c>
      <c r="J23" s="33">
        <f t="shared" ref="J23:J25" si="1">ROUND(I23*H23,0)</f>
        <v>1698</v>
      </c>
    </row>
    <row r="24" spans="1:10" ht="13.9" customHeight="1" x14ac:dyDescent="0.25">
      <c r="A24" s="1558" t="str">
        <f>+'INSUMOS '!B114</f>
        <v>GASOLINA CORRIENTE</v>
      </c>
      <c r="B24" s="1559"/>
      <c r="C24" s="1559"/>
      <c r="D24" s="1559"/>
      <c r="E24" s="1559"/>
      <c r="F24" s="1560"/>
      <c r="G24" s="29" t="s">
        <v>114</v>
      </c>
      <c r="H24" s="35">
        <v>0.01</v>
      </c>
      <c r="I24" s="33">
        <f>+IFERROR(VLOOKUP(A24,'INSUMOS '!$B$2:$AP$167,'INSUMOS '!$AO$2+1,FALSE),0)</f>
        <v>15861</v>
      </c>
      <c r="J24" s="33">
        <f t="shared" si="1"/>
        <v>159</v>
      </c>
    </row>
    <row r="25" spans="1:10" ht="13.9" customHeight="1" x14ac:dyDescent="0.25">
      <c r="A25" s="1571" t="str">
        <f>+'INSUMOS '!B22</f>
        <v>BROCA TUNGSTENO DE 5/8"</v>
      </c>
      <c r="B25" s="1572"/>
      <c r="C25" s="1572"/>
      <c r="D25" s="1572"/>
      <c r="E25" s="1572"/>
      <c r="F25" s="1573"/>
      <c r="G25" s="29" t="s">
        <v>266</v>
      </c>
      <c r="H25" s="35">
        <v>0.01</v>
      </c>
      <c r="I25" s="33">
        <f>+IFERROR(VLOOKUP(A25,'INSUMOS '!$B$2:$AP$167,'INSUMOS '!$AO$2+1,FALSE),0)</f>
        <v>16445</v>
      </c>
      <c r="J25" s="33">
        <f t="shared" si="1"/>
        <v>164</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11179</v>
      </c>
    </row>
    <row r="33" spans="1:16" ht="13.9" customHeight="1" x14ac:dyDescent="0.25"/>
    <row r="34" spans="1:16" ht="13.9" customHeight="1" x14ac:dyDescent="0.25">
      <c r="A34" s="1561" t="s">
        <v>267</v>
      </c>
      <c r="B34" s="1561"/>
      <c r="C34" s="1561"/>
      <c r="D34" s="1561"/>
      <c r="E34" s="1561"/>
      <c r="F34" s="1561"/>
      <c r="G34" s="1561"/>
      <c r="H34" s="1561"/>
      <c r="I34" s="27"/>
    </row>
    <row r="35" spans="1:16" ht="13.9" customHeight="1" x14ac:dyDescent="0.25">
      <c r="A35" s="1562" t="s">
        <v>268</v>
      </c>
      <c r="B35" s="1563"/>
      <c r="C35" s="1563"/>
      <c r="D35" s="1563"/>
      <c r="E35" s="1563"/>
      <c r="F35" s="1564"/>
      <c r="G35" s="38" t="s">
        <v>255</v>
      </c>
      <c r="H35" s="28" t="s">
        <v>269</v>
      </c>
      <c r="I35" s="28" t="s">
        <v>256</v>
      </c>
      <c r="J35" s="28" t="s">
        <v>257</v>
      </c>
    </row>
    <row r="36" spans="1:16" ht="13.9" customHeight="1" x14ac:dyDescent="0.25">
      <c r="A36" s="1558" t="str">
        <f>+'EQUIPOS '!B6</f>
        <v>CAMION INCLUYE CONDUCTOR</v>
      </c>
      <c r="B36" s="1559"/>
      <c r="C36" s="1559"/>
      <c r="D36" s="1559"/>
      <c r="E36" s="1559"/>
      <c r="F36" s="1560"/>
      <c r="G36" s="1481">
        <f>(0.4/1000)/12</f>
        <v>3.3333333333333335E-5</v>
      </c>
      <c r="H36" s="33">
        <f>+IFERROR(VLOOKUP(A36,'EQUIPOS '!$B$3:$M$78,12,FALSE),0)</f>
        <v>611492.5</v>
      </c>
      <c r="I36" s="33">
        <f>IFERROR(H36*G36,0)</f>
        <v>20.383083333333335</v>
      </c>
      <c r="J36" s="33">
        <f>ROUND(I36,0)</f>
        <v>20</v>
      </c>
    </row>
    <row r="37" spans="1:16" ht="13.9" customHeight="1" x14ac:dyDescent="0.25">
      <c r="A37" s="1558"/>
      <c r="B37" s="1559"/>
      <c r="C37" s="1559"/>
      <c r="D37" s="1559"/>
      <c r="E37" s="1559"/>
      <c r="F37" s="1560"/>
      <c r="G37" s="29"/>
      <c r="H37" s="33"/>
      <c r="I37" s="33"/>
      <c r="J37" s="33"/>
    </row>
    <row r="38" spans="1:16" ht="13.9" customHeight="1" x14ac:dyDescent="0.25">
      <c r="A38" s="1558"/>
      <c r="B38" s="1559"/>
      <c r="C38" s="1559"/>
      <c r="D38" s="1559"/>
      <c r="E38" s="1559"/>
      <c r="F38" s="1560"/>
      <c r="G38" s="29"/>
      <c r="H38" s="33"/>
      <c r="I38" s="33"/>
      <c r="J38" s="33"/>
    </row>
    <row r="39" spans="1:16" ht="13.9" customHeight="1" x14ac:dyDescent="0.25">
      <c r="G39" s="39"/>
      <c r="H39" s="39"/>
      <c r="I39" s="30" t="s">
        <v>257</v>
      </c>
      <c r="J39" s="33">
        <f>+SUM(J36:J38)</f>
        <v>20</v>
      </c>
    </row>
    <row r="40" spans="1:16" ht="13.9" customHeight="1" x14ac:dyDescent="0.25">
      <c r="O40" s="19">
        <f>8*60</f>
        <v>480</v>
      </c>
      <c r="P40" s="19">
        <f>6400/5</f>
        <v>1280</v>
      </c>
    </row>
    <row r="41" spans="1:16" ht="13.9" customHeight="1" x14ac:dyDescent="0.25">
      <c r="A41" s="1561" t="s">
        <v>270</v>
      </c>
      <c r="B41" s="1561"/>
      <c r="C41" s="1561"/>
      <c r="D41" s="1561"/>
      <c r="E41" s="1561"/>
      <c r="F41" s="1561"/>
      <c r="G41" s="1561"/>
      <c r="H41" s="1561"/>
      <c r="I41" s="27"/>
      <c r="P41" s="19">
        <f>+P40/O40</f>
        <v>2.6666666666666665</v>
      </c>
    </row>
    <row r="42" spans="1:16" ht="13.9" customHeight="1" x14ac:dyDescent="0.25">
      <c r="A42" s="1562" t="s">
        <v>271</v>
      </c>
      <c r="B42" s="1563"/>
      <c r="C42" s="1563"/>
      <c r="D42" s="1564"/>
      <c r="E42" s="28" t="s">
        <v>272</v>
      </c>
      <c r="F42" s="28" t="s">
        <v>264</v>
      </c>
      <c r="G42" s="28" t="s">
        <v>273</v>
      </c>
      <c r="H42" s="28" t="s">
        <v>255</v>
      </c>
      <c r="I42" s="28" t="s">
        <v>256</v>
      </c>
      <c r="J42" s="28" t="s">
        <v>257</v>
      </c>
    </row>
    <row r="43" spans="1:16" s="39" customFormat="1" ht="13.9" customHeight="1" x14ac:dyDescent="0.25">
      <c r="A43" s="1558" t="str">
        <f>+PERSONAL!B19</f>
        <v>JEFE DE CUADRILLA NOCTURNO</v>
      </c>
      <c r="B43" s="1559"/>
      <c r="C43" s="1559"/>
      <c r="D43" s="1560"/>
      <c r="E43" s="40">
        <f>+VLOOKUP(A43,PERSONAL!$B$3:$E$100,4,FALSE)</f>
        <v>213741</v>
      </c>
      <c r="F43" s="30">
        <v>1</v>
      </c>
      <c r="G43" s="40">
        <f>+E43*F43</f>
        <v>213741</v>
      </c>
      <c r="H43" s="35">
        <f>+H11*8</f>
        <v>1600</v>
      </c>
      <c r="I43" s="33">
        <f>IFERROR(ROUND(G43/H43,0),0)</f>
        <v>134</v>
      </c>
      <c r="J43" s="33">
        <f>+I43</f>
        <v>134</v>
      </c>
    </row>
    <row r="44" spans="1:16" s="39" customFormat="1" ht="13.9" customHeight="1" x14ac:dyDescent="0.25">
      <c r="A44" s="1558" t="str">
        <f>+PERSONAL!B6</f>
        <v>AYUDANTE NOCTURNO</v>
      </c>
      <c r="B44" s="1559"/>
      <c r="C44" s="1559"/>
      <c r="D44" s="1560"/>
      <c r="E44" s="40">
        <f>+VLOOKUP(A44,PERSONAL!$B$3:$E$100,4,FALSE)</f>
        <v>83383</v>
      </c>
      <c r="F44" s="30">
        <v>2</v>
      </c>
      <c r="G44" s="40">
        <f>+E44*F44</f>
        <v>166766</v>
      </c>
      <c r="H44" s="35">
        <f>+H43</f>
        <v>1600</v>
      </c>
      <c r="I44" s="33">
        <f>IFERROR(ROUND(G44/H44,0),0)</f>
        <v>104</v>
      </c>
      <c r="J44" s="33">
        <f>+I44</f>
        <v>104</v>
      </c>
    </row>
    <row r="45" spans="1:16"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1600</v>
      </c>
      <c r="I45" s="33">
        <f>IFERROR(ROUND(G45/H45,0),0)</f>
        <v>123</v>
      </c>
      <c r="J45" s="33">
        <f>+I45</f>
        <v>123</v>
      </c>
    </row>
    <row r="46" spans="1:16" s="39" customFormat="1" ht="13.9" customHeight="1" x14ac:dyDescent="0.25">
      <c r="A46" s="1558"/>
      <c r="B46" s="1559"/>
      <c r="C46" s="1559"/>
      <c r="D46" s="1560"/>
      <c r="E46" s="40"/>
      <c r="F46" s="30"/>
      <c r="G46" s="40"/>
      <c r="H46" s="35"/>
      <c r="I46" s="33"/>
      <c r="J46" s="33"/>
    </row>
    <row r="47" spans="1:16" s="39" customFormat="1" ht="13.9" customHeight="1" x14ac:dyDescent="0.25">
      <c r="A47" s="1558"/>
      <c r="B47" s="1559"/>
      <c r="C47" s="1559"/>
      <c r="D47" s="1560"/>
      <c r="E47" s="40"/>
      <c r="F47" s="30"/>
      <c r="G47" s="40"/>
      <c r="H47" s="35"/>
      <c r="I47" s="33"/>
      <c r="J47" s="33"/>
    </row>
    <row r="48" spans="1:16"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20"/>
      <c r="B50" s="20"/>
      <c r="C50" s="20"/>
      <c r="D50" s="19"/>
      <c r="E50" s="20"/>
      <c r="F50" s="20"/>
      <c r="G50" s="20"/>
      <c r="H50" s="20"/>
      <c r="I50" s="30" t="s">
        <v>257</v>
      </c>
      <c r="J50" s="34">
        <f>+SUM(J43:J49)</f>
        <v>361</v>
      </c>
    </row>
    <row r="51" spans="1:10" ht="13.9" customHeight="1" x14ac:dyDescent="0.25"/>
    <row r="52" spans="1:10" ht="13.9" customHeight="1" x14ac:dyDescent="0.25">
      <c r="E52" s="41" t="s">
        <v>276</v>
      </c>
      <c r="I52" s="42">
        <f>+J50+J39+J32+J18</f>
        <v>11752</v>
      </c>
      <c r="J52" s="43"/>
    </row>
    <row r="53" spans="1:10" ht="13.9" customHeight="1" x14ac:dyDescent="0.25"/>
    <row r="54" spans="1:10" ht="13.9" customHeight="1" x14ac:dyDescent="0.25"/>
    <row r="55" spans="1:10" ht="14.1" customHeight="1" x14ac:dyDescent="0.25"/>
    <row r="56" spans="1:10" ht="14.1" customHeight="1" x14ac:dyDescent="0.25"/>
  </sheetData>
  <mergeCells count="40">
    <mergeCell ref="A9:H9"/>
    <mergeCell ref="A10:D10"/>
    <mergeCell ref="A11:D11"/>
    <mergeCell ref="A1:J1"/>
    <mergeCell ref="A2:J2"/>
    <mergeCell ref="A4:J4"/>
    <mergeCell ref="A6:B6"/>
    <mergeCell ref="A7:B7"/>
    <mergeCell ref="C7:J7"/>
    <mergeCell ref="A15:D15"/>
    <mergeCell ref="A12:D12"/>
    <mergeCell ref="A28:F28"/>
    <mergeCell ref="A14:D14"/>
    <mergeCell ref="A17:D17"/>
    <mergeCell ref="A20:H20"/>
    <mergeCell ref="A21:F21"/>
    <mergeCell ref="A22:F22"/>
    <mergeCell ref="A23:F23"/>
    <mergeCell ref="A24:F24"/>
    <mergeCell ref="A25:F25"/>
    <mergeCell ref="A26:F26"/>
    <mergeCell ref="A27:F27"/>
    <mergeCell ref="A13:D13"/>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Hoja76">
    <tabColor theme="5" tint="-0.499984740745262"/>
  </sheetPr>
  <dimension ref="A1:M54"/>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13" style="19" bestFit="1" customWidth="1"/>
    <col min="12"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69</v>
      </c>
      <c r="D6" s="23"/>
      <c r="E6" s="23"/>
      <c r="F6" s="23"/>
      <c r="G6" s="23"/>
      <c r="H6" s="24"/>
      <c r="I6" s="25" t="s">
        <v>248</v>
      </c>
      <c r="J6" s="305" t="str">
        <f>+VLOOKUP(C6,'ANEXO PLIEGO_1'!$A$7:$C$133,3,FALSE)</f>
        <v>UN</v>
      </c>
    </row>
    <row r="7" spans="1:10" ht="35.1" customHeight="1" x14ac:dyDescent="0.25">
      <c r="A7" s="1568" t="s">
        <v>249</v>
      </c>
      <c r="B7" s="1570"/>
      <c r="C7" s="1578" t="str">
        <f>+VLOOKUP(C6,'ANEXO PLIEGO_1'!$A$7:$B$133,2,FALSE)</f>
        <v xml:space="preserve">Suministro e instalación de tachas reflectivas segun diseño. Cumpliendo con los coeficientes de intensidad luminosa de la NTC 4745 (Tabla 1).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tr">
        <f>+VLOOKUP(A11,'EQUIPOS '!$B$3:$C$58,2,FALSE)</f>
        <v>HR</v>
      </c>
      <c r="F11" s="30" t="str">
        <f>IFERROR(VLOOKUP(A11,'[10]EQUIPOS TRANSPOR SALARIO'!$A$3:$G$42,2,FALSE),"")</f>
        <v>Eléctrico</v>
      </c>
      <c r="G11" s="31">
        <f>+VLOOKUP(A11,'EQUIPOS '!$B$3:$M$64,12,FALSE)</f>
        <v>7999.94</v>
      </c>
      <c r="H11" s="30">
        <v>200</v>
      </c>
      <c r="I11" s="33">
        <f>IFERROR((G11/H11),"")</f>
        <v>39.999699999999997</v>
      </c>
      <c r="J11" s="33">
        <f>ROUND(I11,0)</f>
        <v>40</v>
      </c>
    </row>
    <row r="12" spans="1:10" s="20" customFormat="1" ht="13.9" customHeight="1" x14ac:dyDescent="0.25">
      <c r="A12" s="1558" t="str">
        <f>+'EQUIPOS '!B46</f>
        <v xml:space="preserve"> PMT (KIT )</v>
      </c>
      <c r="B12" s="1559"/>
      <c r="C12" s="1559"/>
      <c r="D12" s="1560"/>
      <c r="E12" s="29" t="str">
        <f>+VLOOKUP(A12,'EQUIPOS '!$B$3:$C$58,2,FALSE)</f>
        <v>HR</v>
      </c>
      <c r="F12" s="30" t="str">
        <f>IFERROR(VLOOKUP(A12,'[10]EQUIPOS TRANSPOR SALARIO'!$A$3:$G$42,2,FALSE),"")</f>
        <v/>
      </c>
      <c r="G12" s="31">
        <f>+VLOOKUP(A12,'EQUIPOS '!$B$3:$M$64,12,FALSE)</f>
        <v>13222</v>
      </c>
      <c r="H12" s="30">
        <f>+$H$11</f>
        <v>200</v>
      </c>
      <c r="I12" s="33">
        <f>IFERROR((G12/H12),"")</f>
        <v>66.11</v>
      </c>
      <c r="J12" s="33">
        <f>ROUND(I12,0)</f>
        <v>66</v>
      </c>
    </row>
    <row r="13" spans="1:10" s="20" customFormat="1" ht="13.9" customHeight="1" x14ac:dyDescent="0.25">
      <c r="A13" s="1558" t="str">
        <f>+'EQUIPOS '!B36</f>
        <v>PLANTA ELÉCTRICA</v>
      </c>
      <c r="B13" s="1559"/>
      <c r="C13" s="1559"/>
      <c r="D13" s="1560"/>
      <c r="E13" s="29" t="str">
        <f>+VLOOKUP(A13,'EQUIPOS '!$B$3:$C$58,2,FALSE)</f>
        <v>HR</v>
      </c>
      <c r="F13" s="30" t="str">
        <f>IFERROR(VLOOKUP(A13,'[10]EQUIPOS TRANSPOR SALARIO'!$A$3:$G$42,2,FALSE),"")</f>
        <v>Eléctrico</v>
      </c>
      <c r="G13" s="31">
        <f>+VLOOKUP(A13,'EQUIPOS '!$B$3:$M$64,12,FALSE)</f>
        <v>12771</v>
      </c>
      <c r="H13" s="30">
        <f>+$H$11</f>
        <v>200</v>
      </c>
      <c r="I13" s="33">
        <f>IFERROR((G13/H13),0)</f>
        <v>63.854999999999997</v>
      </c>
      <c r="J13" s="33">
        <f>ROUND(I13,0)</f>
        <v>64</v>
      </c>
    </row>
    <row r="14" spans="1:10" s="20" customFormat="1" ht="13.9" customHeight="1" x14ac:dyDescent="0.25">
      <c r="A14" s="1558" t="str">
        <f>+'EQUIPOS '!B33</f>
        <v>HERRAMIENTA MENOR</v>
      </c>
      <c r="B14" s="1559"/>
      <c r="C14" s="1559"/>
      <c r="D14" s="1560"/>
      <c r="E14" s="29" t="str">
        <f>+VLOOKUP(A14,'EQUIPOS '!$B$3:$C$58,2,FALSE)</f>
        <v>%</v>
      </c>
      <c r="F14" s="30" t="str">
        <f>IFERROR(VLOOKUP(A14,'[10]EQUIPOS TRANSPOR SALARIO'!$A$3:$G$42,2,FALSE),"")</f>
        <v>Global</v>
      </c>
      <c r="G14" s="74">
        <v>0.01</v>
      </c>
      <c r="H14" s="299">
        <f>+J48</f>
        <v>361</v>
      </c>
      <c r="I14" s="33">
        <f>+G14*H14</f>
        <v>3.61</v>
      </c>
      <c r="J14" s="33">
        <f>ROUND(I14,0)</f>
        <v>4</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2" s="20" customFormat="1" ht="13.9" customHeight="1" x14ac:dyDescent="0.25">
      <c r="I17" s="30" t="s">
        <v>257</v>
      </c>
      <c r="J17" s="34">
        <f>+SUM(J11:J16)</f>
        <v>174</v>
      </c>
      <c r="K17" s="762">
        <f>42.17/J17</f>
        <v>0.24235632183908046</v>
      </c>
      <c r="L17" s="763">
        <f>100%-K17</f>
        <v>0.75764367816091949</v>
      </c>
    </row>
    <row r="18" spans="1:12" s="20" customFormat="1" ht="13.9" customHeight="1" x14ac:dyDescent="0.25"/>
    <row r="19" spans="1:12" s="20" customFormat="1" ht="13.9" customHeight="1" x14ac:dyDescent="0.25">
      <c r="A19" s="1561" t="s">
        <v>263</v>
      </c>
      <c r="B19" s="1561"/>
      <c r="C19" s="1561"/>
      <c r="D19" s="1561"/>
      <c r="E19" s="1561"/>
      <c r="F19" s="1561"/>
      <c r="G19" s="1561"/>
      <c r="H19" s="1561"/>
      <c r="I19" s="27"/>
    </row>
    <row r="20" spans="1:12" s="20" customFormat="1" ht="13.9" customHeight="1" x14ac:dyDescent="0.25">
      <c r="A20" s="1565" t="s">
        <v>251</v>
      </c>
      <c r="B20" s="1566"/>
      <c r="C20" s="1566"/>
      <c r="D20" s="1566"/>
      <c r="E20" s="1566"/>
      <c r="F20" s="1567"/>
      <c r="G20" s="28" t="s">
        <v>252</v>
      </c>
      <c r="H20" s="28" t="s">
        <v>264</v>
      </c>
      <c r="I20" s="28" t="s">
        <v>256</v>
      </c>
      <c r="J20" s="28" t="s">
        <v>257</v>
      </c>
      <c r="K20" s="19"/>
    </row>
    <row r="21" spans="1:12" ht="47.25" customHeight="1" x14ac:dyDescent="0.25">
      <c r="A21" s="1568" t="str">
        <f>+'INSUMOS '!B95</f>
        <v xml:space="preserve">TACHA REFLECTIVA BIDIRECCIONAL QUE CUMPLA CON LOS COEFICIENTES DE INTENSIDAD LUMINOSA DE LA NTC 4745 (TABLA 1) </v>
      </c>
      <c r="B21" s="1569"/>
      <c r="C21" s="1569"/>
      <c r="D21" s="1569"/>
      <c r="E21" s="1569"/>
      <c r="F21" s="1570"/>
      <c r="G21" s="29" t="s">
        <v>266</v>
      </c>
      <c r="H21" s="35">
        <v>1</v>
      </c>
      <c r="I21" s="33">
        <f>+IFERROR(VLOOKUP(A21,'INSUMOS '!$B$2:$AP$167,'INSUMOS '!$AO$2+1,FALSE),0)</f>
        <v>6018.666666666667</v>
      </c>
      <c r="J21" s="33">
        <f>ROUND(I21*H21,0)</f>
        <v>6019</v>
      </c>
    </row>
    <row r="22" spans="1:12" ht="38.25" customHeight="1" x14ac:dyDescent="0.25">
      <c r="A22" s="1558" t="str">
        <f>+'INSUMOS '!B65</f>
        <v>PEGANTE EPOXICO</v>
      </c>
      <c r="B22" s="1559"/>
      <c r="C22" s="1559"/>
      <c r="D22" s="1559"/>
      <c r="E22" s="1559"/>
      <c r="F22" s="1560"/>
      <c r="G22" s="29" t="s">
        <v>6</v>
      </c>
      <c r="H22" s="35">
        <f>175/3780/4</f>
        <v>1.1574074074074073E-2</v>
      </c>
      <c r="I22" s="33">
        <f>+IFERROR(VLOOKUP(A22,'INSUMOS '!$B$2:$AP$167,'INSUMOS '!$AO$2+1,FALSE),0)</f>
        <v>146748</v>
      </c>
      <c r="J22" s="33">
        <f>ROUND(I22*H22,0)</f>
        <v>1698</v>
      </c>
    </row>
    <row r="23" spans="1:12" ht="13.9" customHeight="1" x14ac:dyDescent="0.25">
      <c r="A23" s="1558" t="str">
        <f>+'INSUMOS '!B114</f>
        <v>GASOLINA CORRIENTE</v>
      </c>
      <c r="B23" s="1559"/>
      <c r="C23" s="1559"/>
      <c r="D23" s="1559"/>
      <c r="E23" s="1559"/>
      <c r="F23" s="1560"/>
      <c r="G23" s="29" t="s">
        <v>114</v>
      </c>
      <c r="H23" s="35">
        <v>0.01</v>
      </c>
      <c r="I23" s="33">
        <f>+IFERROR(VLOOKUP(A23,'INSUMOS '!$B$2:$AP$167,'INSUMOS '!$AO$2+1,FALSE),0)</f>
        <v>15861</v>
      </c>
      <c r="J23" s="33">
        <f>ROUND(I23*H23,0)</f>
        <v>159</v>
      </c>
    </row>
    <row r="24" spans="1:12" ht="13.9" customHeight="1" x14ac:dyDescent="0.25">
      <c r="A24" s="1558"/>
      <c r="B24" s="1559"/>
      <c r="C24" s="1559"/>
      <c r="D24" s="1559"/>
      <c r="E24" s="1559"/>
      <c r="F24" s="1560"/>
      <c r="G24" s="29"/>
      <c r="H24" s="35"/>
      <c r="I24" s="33"/>
      <c r="J24" s="33"/>
    </row>
    <row r="25" spans="1:12" ht="13.9" customHeight="1" x14ac:dyDescent="0.25">
      <c r="A25" s="1558"/>
      <c r="B25" s="1559"/>
      <c r="C25" s="1559"/>
      <c r="D25" s="1559"/>
      <c r="E25" s="1559"/>
      <c r="F25" s="1560"/>
      <c r="G25" s="29"/>
      <c r="H25" s="35"/>
      <c r="I25" s="33"/>
      <c r="J25" s="33"/>
    </row>
    <row r="26" spans="1:12" ht="13.9" customHeight="1" x14ac:dyDescent="0.25">
      <c r="A26" s="1558"/>
      <c r="B26" s="1559"/>
      <c r="C26" s="1559"/>
      <c r="D26" s="1559"/>
      <c r="E26" s="1559"/>
      <c r="F26" s="1560"/>
      <c r="G26" s="29"/>
      <c r="H26" s="35"/>
      <c r="I26" s="33"/>
      <c r="J26" s="33"/>
    </row>
    <row r="27" spans="1:12" ht="13.9" customHeight="1" x14ac:dyDescent="0.25">
      <c r="A27" s="1558"/>
      <c r="B27" s="1559"/>
      <c r="C27" s="1559"/>
      <c r="D27" s="1559"/>
      <c r="E27" s="1559"/>
      <c r="F27" s="1560"/>
      <c r="G27" s="29"/>
      <c r="H27" s="35"/>
      <c r="I27" s="33"/>
      <c r="J27" s="33"/>
    </row>
    <row r="28" spans="1:12" ht="13.9" customHeight="1" x14ac:dyDescent="0.25">
      <c r="A28" s="1558"/>
      <c r="B28" s="1559"/>
      <c r="C28" s="1559"/>
      <c r="D28" s="1559"/>
      <c r="E28" s="1559"/>
      <c r="F28" s="1560"/>
      <c r="G28" s="29"/>
      <c r="H28" s="37"/>
      <c r="I28" s="33"/>
      <c r="J28" s="33"/>
    </row>
    <row r="29" spans="1:12" ht="13.9" customHeight="1" x14ac:dyDescent="0.25">
      <c r="A29" s="1558"/>
      <c r="B29" s="1559"/>
      <c r="C29" s="1559"/>
      <c r="D29" s="1559"/>
      <c r="E29" s="1559"/>
      <c r="F29" s="1560"/>
      <c r="G29" s="29"/>
      <c r="H29" s="35"/>
      <c r="I29" s="33"/>
      <c r="J29" s="33"/>
    </row>
    <row r="30" spans="1:12" ht="13.9" customHeight="1" x14ac:dyDescent="0.25">
      <c r="A30" s="1558"/>
      <c r="B30" s="1559"/>
      <c r="C30" s="1559"/>
      <c r="D30" s="1559"/>
      <c r="E30" s="1559"/>
      <c r="F30" s="1560"/>
      <c r="G30" s="29"/>
      <c r="H30" s="35"/>
      <c r="I30" s="33"/>
      <c r="J30" s="33"/>
    </row>
    <row r="31" spans="1:12" ht="13.9" customHeight="1" x14ac:dyDescent="0.25">
      <c r="A31" s="20"/>
      <c r="B31" s="20"/>
      <c r="C31" s="20"/>
      <c r="D31" s="20"/>
      <c r="E31" s="20"/>
      <c r="G31" s="20"/>
      <c r="H31" s="20"/>
      <c r="I31" s="30" t="s">
        <v>257</v>
      </c>
      <c r="J31" s="34">
        <f>+SUM(J21:J30)</f>
        <v>7876</v>
      </c>
      <c r="K31" s="758">
        <f>4374.44/J31</f>
        <v>0.55541391569324527</v>
      </c>
      <c r="L31" s="761">
        <f>100%-K31</f>
        <v>0.44458608430675473</v>
      </c>
    </row>
    <row r="32" spans="1:12" ht="13.9" customHeight="1" x14ac:dyDescent="0.25"/>
    <row r="33" spans="1:13" ht="13.9" customHeight="1" x14ac:dyDescent="0.25">
      <c r="A33" s="1561" t="s">
        <v>267</v>
      </c>
      <c r="B33" s="1561"/>
      <c r="C33" s="1561"/>
      <c r="D33" s="1561"/>
      <c r="E33" s="1561"/>
      <c r="F33" s="1561"/>
      <c r="G33" s="1561"/>
      <c r="H33" s="1561"/>
      <c r="I33" s="27"/>
    </row>
    <row r="34" spans="1:13" ht="13.9" customHeight="1" x14ac:dyDescent="0.25">
      <c r="A34" s="1562" t="s">
        <v>268</v>
      </c>
      <c r="B34" s="1563"/>
      <c r="C34" s="1563"/>
      <c r="D34" s="1563"/>
      <c r="E34" s="1563"/>
      <c r="F34" s="1564"/>
      <c r="G34" s="38" t="s">
        <v>255</v>
      </c>
      <c r="H34" s="28" t="s">
        <v>269</v>
      </c>
      <c r="I34" s="28" t="s">
        <v>256</v>
      </c>
      <c r="J34" s="28" t="s">
        <v>257</v>
      </c>
    </row>
    <row r="35" spans="1:13" ht="13.9" customHeight="1" x14ac:dyDescent="0.25">
      <c r="A35" s="1558" t="str">
        <f>+'EQUIPOS '!B6</f>
        <v>CAMION INCLUYE CONDUCTOR</v>
      </c>
      <c r="B35" s="1559"/>
      <c r="C35" s="1559"/>
      <c r="D35" s="1559"/>
      <c r="E35" s="1559"/>
      <c r="F35" s="1560"/>
      <c r="G35" s="29">
        <f>(0.3/1000)/12</f>
        <v>2.4999999999999998E-5</v>
      </c>
      <c r="H35" s="33">
        <f>+IFERROR(VLOOKUP(A35,'EQUIPOS '!$B$3:$M$78,12,FALSE),0)</f>
        <v>611492.5</v>
      </c>
      <c r="I35" s="33">
        <f>IFERROR(H35*G35,0)</f>
        <v>15.287312499999999</v>
      </c>
      <c r="J35" s="33">
        <f>ROUND(I35,0)</f>
        <v>15</v>
      </c>
    </row>
    <row r="36" spans="1:13" ht="13.9" customHeight="1" x14ac:dyDescent="0.25">
      <c r="A36" s="1558"/>
      <c r="B36" s="1559"/>
      <c r="C36" s="1559"/>
      <c r="D36" s="1559"/>
      <c r="E36" s="1559"/>
      <c r="F36" s="1560"/>
      <c r="G36" s="29"/>
      <c r="H36" s="33"/>
      <c r="I36" s="33"/>
      <c r="J36" s="33"/>
    </row>
    <row r="37" spans="1:13" ht="13.9" customHeight="1" x14ac:dyDescent="0.25">
      <c r="A37" s="1558"/>
      <c r="B37" s="1559"/>
      <c r="C37" s="1559"/>
      <c r="D37" s="1559"/>
      <c r="E37" s="1559"/>
      <c r="F37" s="1560"/>
      <c r="G37" s="29"/>
      <c r="H37" s="33"/>
      <c r="I37" s="33"/>
      <c r="J37" s="33"/>
    </row>
    <row r="38" spans="1:13" ht="13.9" customHeight="1" x14ac:dyDescent="0.25">
      <c r="G38" s="39"/>
      <c r="H38" s="39"/>
      <c r="I38" s="30" t="s">
        <v>257</v>
      </c>
      <c r="J38" s="33">
        <f>+SUM(J35:J37)</f>
        <v>15</v>
      </c>
    </row>
    <row r="39" spans="1:13" ht="13.9" customHeight="1" x14ac:dyDescent="0.25"/>
    <row r="40" spans="1:13" ht="13.9" customHeight="1" x14ac:dyDescent="0.25">
      <c r="A40" s="1561" t="s">
        <v>270</v>
      </c>
      <c r="B40" s="1561"/>
      <c r="C40" s="1561"/>
      <c r="D40" s="1561"/>
      <c r="E40" s="1561"/>
      <c r="F40" s="1561"/>
      <c r="G40" s="1561"/>
      <c r="H40" s="1561"/>
      <c r="I40" s="27"/>
      <c r="M40" s="19">
        <f>1500/8</f>
        <v>187.5</v>
      </c>
    </row>
    <row r="41" spans="1:13" ht="13.9" customHeight="1" x14ac:dyDescent="0.25">
      <c r="A41" s="1562" t="s">
        <v>271</v>
      </c>
      <c r="B41" s="1563"/>
      <c r="C41" s="1563"/>
      <c r="D41" s="1564"/>
      <c r="E41" s="28" t="s">
        <v>272</v>
      </c>
      <c r="F41" s="28" t="s">
        <v>264</v>
      </c>
      <c r="G41" s="28" t="s">
        <v>273</v>
      </c>
      <c r="H41" s="28" t="s">
        <v>255</v>
      </c>
      <c r="I41" s="28" t="s">
        <v>256</v>
      </c>
      <c r="J41" s="28" t="s">
        <v>257</v>
      </c>
      <c r="K41" s="39"/>
    </row>
    <row r="42" spans="1:13" s="39" customFormat="1" ht="13.9" customHeight="1" x14ac:dyDescent="0.25">
      <c r="A42" s="1558" t="str">
        <f>+PERSONAL!B19</f>
        <v>JEFE DE CUADRILLA NOCTURNO</v>
      </c>
      <c r="B42" s="1559"/>
      <c r="C42" s="1559"/>
      <c r="D42" s="1560"/>
      <c r="E42" s="40">
        <f>+VLOOKUP(A42,PERSONAL!$B$3:$E$100,4,FALSE)</f>
        <v>213741</v>
      </c>
      <c r="F42" s="30">
        <v>1</v>
      </c>
      <c r="G42" s="40">
        <f>+E42*F42</f>
        <v>213741</v>
      </c>
      <c r="H42" s="35">
        <f>+H11*8</f>
        <v>1600</v>
      </c>
      <c r="I42" s="33">
        <f>IFERROR(ROUND(G42/H42,0),0)</f>
        <v>134</v>
      </c>
      <c r="J42" s="33">
        <f>+I42</f>
        <v>134</v>
      </c>
    </row>
    <row r="43" spans="1:13" s="39" customFormat="1" ht="13.9" customHeight="1" x14ac:dyDescent="0.25">
      <c r="A43" s="1558" t="str">
        <f>+PERSONAL!B6</f>
        <v>AYUDANTE NOCTURNO</v>
      </c>
      <c r="B43" s="1559"/>
      <c r="C43" s="1559"/>
      <c r="D43" s="1560"/>
      <c r="E43" s="40">
        <f>+VLOOKUP(A43,PERSONAL!$B$3:$E$100,4,FALSE)</f>
        <v>83383</v>
      </c>
      <c r="F43" s="30">
        <v>2</v>
      </c>
      <c r="G43" s="40">
        <f>+E43*F43</f>
        <v>166766</v>
      </c>
      <c r="H43" s="35">
        <f>+H42</f>
        <v>1600</v>
      </c>
      <c r="I43" s="33">
        <f>IFERROR(ROUND(G43/H43,0),0)</f>
        <v>104</v>
      </c>
      <c r="J43" s="33">
        <f>+I43</f>
        <v>104</v>
      </c>
    </row>
    <row r="44" spans="1:13" s="39" customFormat="1" ht="13.9" customHeight="1" x14ac:dyDescent="0.25">
      <c r="A44" s="1558" t="str">
        <f>+PERSONAL!B4</f>
        <v>AUXILIAR DE TRÁFICO NOCTURNO</v>
      </c>
      <c r="B44" s="1559"/>
      <c r="C44" s="1559"/>
      <c r="D44" s="1560"/>
      <c r="E44" s="40">
        <f>+VLOOKUP(A44,PERSONAL!$B$3:$E$100,4,FALSE)</f>
        <v>98122</v>
      </c>
      <c r="F44" s="30">
        <v>2</v>
      </c>
      <c r="G44" s="40">
        <f>+E44*F44</f>
        <v>196244</v>
      </c>
      <c r="H44" s="35">
        <f>+H43</f>
        <v>1600</v>
      </c>
      <c r="I44" s="33">
        <f>IFERROR(ROUND(G44/H44,0),0)</f>
        <v>123</v>
      </c>
      <c r="J44" s="33">
        <f>+I44</f>
        <v>123</v>
      </c>
    </row>
    <row r="45" spans="1:13" s="39" customFormat="1" ht="13.9" customHeight="1" x14ac:dyDescent="0.25">
      <c r="A45" s="1558"/>
      <c r="B45" s="1559"/>
      <c r="C45" s="1559"/>
      <c r="D45" s="1560"/>
      <c r="E45" s="40"/>
      <c r="F45" s="30"/>
      <c r="G45" s="40"/>
      <c r="H45" s="35"/>
      <c r="I45" s="33"/>
      <c r="J45" s="33"/>
    </row>
    <row r="46" spans="1:13" s="39" customFormat="1" ht="13.9" customHeight="1" x14ac:dyDescent="0.25">
      <c r="A46" s="1558"/>
      <c r="B46" s="1559"/>
      <c r="C46" s="1559"/>
      <c r="D46" s="1560"/>
      <c r="E46" s="40"/>
      <c r="F46" s="30"/>
      <c r="G46" s="40"/>
      <c r="H46" s="35"/>
      <c r="I46" s="33"/>
      <c r="J46" s="33"/>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20"/>
      <c r="B48" s="20"/>
      <c r="C48" s="20"/>
      <c r="D48" s="19"/>
      <c r="E48" s="20"/>
      <c r="F48" s="20"/>
      <c r="G48" s="20"/>
      <c r="H48" s="20"/>
      <c r="I48" s="30" t="s">
        <v>257</v>
      </c>
      <c r="J48" s="34">
        <f>+SUM(J42:J47)</f>
        <v>361</v>
      </c>
      <c r="K48" s="19"/>
    </row>
    <row r="49" spans="5:12" ht="13.9" customHeight="1" x14ac:dyDescent="0.25"/>
    <row r="50" spans="5:12" ht="13.9" customHeight="1" x14ac:dyDescent="0.25">
      <c r="E50" s="41" t="s">
        <v>276</v>
      </c>
      <c r="I50" s="42">
        <f>+J48+J38+J31+J17</f>
        <v>8426</v>
      </c>
      <c r="J50" s="43"/>
      <c r="K50" s="758">
        <f>5726.72/I50</f>
        <v>0.67964870638499886</v>
      </c>
      <c r="L50" s="761">
        <f>100%-K50</f>
        <v>0.32035129361500114</v>
      </c>
    </row>
    <row r="51" spans="5:12" ht="13.9" customHeight="1" x14ac:dyDescent="0.25"/>
    <row r="52" spans="5:12" ht="13.9" customHeight="1" x14ac:dyDescent="0.25"/>
    <row r="53" spans="5:12" ht="14.1" customHeight="1" x14ac:dyDescent="0.25"/>
    <row r="54" spans="5:12" ht="14.1" customHeight="1" x14ac:dyDescent="0.25"/>
  </sheetData>
  <mergeCells count="39">
    <mergeCell ref="A1:J1"/>
    <mergeCell ref="A2:J2"/>
    <mergeCell ref="A4:J4"/>
    <mergeCell ref="A6:B6"/>
    <mergeCell ref="A7:B7"/>
    <mergeCell ref="C7:J7"/>
    <mergeCell ref="A21:F21"/>
    <mergeCell ref="A9:H9"/>
    <mergeCell ref="A10:D10"/>
    <mergeCell ref="A11:D11"/>
    <mergeCell ref="A14:D14"/>
    <mergeCell ref="A12:D12"/>
    <mergeCell ref="A13:D13"/>
    <mergeCell ref="A15:D15"/>
    <mergeCell ref="A16:D16"/>
    <mergeCell ref="A19:H19"/>
    <mergeCell ref="A20:F20"/>
    <mergeCell ref="A35:F35"/>
    <mergeCell ref="A22:F22"/>
    <mergeCell ref="A23:F23"/>
    <mergeCell ref="A24:F24"/>
    <mergeCell ref="A25:F25"/>
    <mergeCell ref="A26:F26"/>
    <mergeCell ref="A27:F27"/>
    <mergeCell ref="A28:F28"/>
    <mergeCell ref="A29:F29"/>
    <mergeCell ref="A30:F30"/>
    <mergeCell ref="A33:H33"/>
    <mergeCell ref="A34:F34"/>
    <mergeCell ref="A44:D44"/>
    <mergeCell ref="A45:D45"/>
    <mergeCell ref="A46:D46"/>
    <mergeCell ref="A47:D47"/>
    <mergeCell ref="A36:F36"/>
    <mergeCell ref="A37:F37"/>
    <mergeCell ref="A40:H40"/>
    <mergeCell ref="A41:D41"/>
    <mergeCell ref="A42:D42"/>
    <mergeCell ref="A43:D43"/>
  </mergeCells>
  <pageMargins left="0.70866141732283472" right="0.70866141732283472" top="0.78740157480314965" bottom="0.78740157480314965" header="0.31496062992125984" footer="0.31496062992125984"/>
  <pageSetup scale="85" orientation="portrait" r:id="rId1"/>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Hoja75">
    <tabColor theme="5" tint="-0.499984740745262"/>
  </sheetPr>
  <dimension ref="A1:L55"/>
  <sheetViews>
    <sheetView topLeftCell="A37"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7" width="13.28515625" style="19" customWidth="1"/>
    <col min="8" max="8" width="11" style="19" bestFit="1" customWidth="1"/>
    <col min="9" max="9" width="12.85546875" style="19" bestFit="1" customWidth="1"/>
    <col min="10" max="10" width="12" style="19" customWidth="1"/>
    <col min="11" max="11" width="11.85546875" style="19" bestFit="1" customWidth="1"/>
    <col min="12"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68</v>
      </c>
      <c r="D6" s="8"/>
      <c r="E6" s="8"/>
      <c r="F6" s="8"/>
      <c r="G6" s="8"/>
      <c r="H6" s="46"/>
      <c r="I6" s="29" t="s">
        <v>248</v>
      </c>
      <c r="J6" s="305" t="str">
        <f>+VLOOKUP(C6,'ANEXO PLIEGO_1'!$A$7:$C$133,3,FALSE)</f>
        <v>M2</v>
      </c>
    </row>
    <row r="7" spans="1:10" ht="35.1" customHeight="1" x14ac:dyDescent="0.25">
      <c r="A7" s="1568" t="s">
        <v>249</v>
      </c>
      <c r="B7" s="1570"/>
      <c r="C7" s="1578" t="str">
        <f>+VLOOKUP(C6,'ANEXO PLIEGO_1'!$A$7:$B$133,2,FALSE)</f>
        <v>Suministro y aplicación de antideslizante para marcas viales según norma NTC 2072</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'!B49</f>
        <v>EQUIPO DE APLICACION ALUMINA ANTIDESLIZANTE</v>
      </c>
      <c r="B11" s="1559"/>
      <c r="C11" s="1559"/>
      <c r="D11" s="1560"/>
      <c r="E11" s="29" t="s">
        <v>266</v>
      </c>
      <c r="F11" s="30" t="s">
        <v>287</v>
      </c>
      <c r="G11" s="31">
        <f>+VLOOKUP(A11,'EQUIPOS '!$B$3:$M$64,12,FALSE)</f>
        <v>15883.05</v>
      </c>
      <c r="H11" s="30">
        <v>200</v>
      </c>
      <c r="I11" s="33">
        <f>IFERROR((G11/H11),0)</f>
        <v>79.41525</v>
      </c>
      <c r="J11" s="33">
        <f>ROUND(I11,0)</f>
        <v>79</v>
      </c>
    </row>
    <row r="12" spans="1:10" s="20" customFormat="1" ht="13.9" customHeight="1" x14ac:dyDescent="0.25">
      <c r="A12" s="1558" t="str">
        <f>+'EQUIPOS '!B46</f>
        <v xml:space="preserve"> PMT (KIT )</v>
      </c>
      <c r="B12" s="1559"/>
      <c r="C12" s="1559"/>
      <c r="D12" s="1560"/>
      <c r="E12" s="29" t="s">
        <v>279</v>
      </c>
      <c r="F12" s="30" t="str">
        <f>IFERROR(VLOOKUP(A12,'[10]EQUIPOS TRANSPOR SALARIO'!$A$3:$G$42,2,FALSE),"")</f>
        <v/>
      </c>
      <c r="G12" s="31">
        <f>+VLOOKUP(A12,'EQUIPOS '!$B$3:$M$64,12,FALSE)</f>
        <v>13222</v>
      </c>
      <c r="H12" s="30">
        <v>200</v>
      </c>
      <c r="I12" s="33">
        <f>IFERROR((G12/H12),0)</f>
        <v>66.11</v>
      </c>
      <c r="J12" s="33">
        <f>ROUND(I12,0)</f>
        <v>66</v>
      </c>
    </row>
    <row r="13" spans="1:10" s="20" customFormat="1" ht="13.9" customHeight="1" x14ac:dyDescent="0.25">
      <c r="A13" s="1558"/>
      <c r="B13" s="1559"/>
      <c r="C13" s="1559"/>
      <c r="D13" s="1560"/>
      <c r="E13" s="29"/>
      <c r="F13" s="30"/>
      <c r="G13" s="31"/>
      <c r="H13" s="30"/>
      <c r="I13" s="33"/>
      <c r="J13" s="33"/>
    </row>
    <row r="14" spans="1:10" s="20" customFormat="1" ht="13.9" customHeight="1" x14ac:dyDescent="0.25">
      <c r="A14" s="1558"/>
      <c r="B14" s="1559"/>
      <c r="C14" s="1559"/>
      <c r="D14" s="1560"/>
      <c r="E14" s="29"/>
      <c r="F14" s="30"/>
      <c r="G14" s="31"/>
      <c r="H14" s="30"/>
      <c r="I14" s="33"/>
      <c r="J14" s="33"/>
    </row>
    <row r="15" spans="1:10" s="20" customFormat="1" ht="13.9" customHeight="1" x14ac:dyDescent="0.25">
      <c r="A15" s="1558"/>
      <c r="B15" s="1559"/>
      <c r="C15" s="1559"/>
      <c r="D15" s="1560"/>
      <c r="E15" s="29"/>
      <c r="F15" s="30"/>
      <c r="G15" s="31"/>
      <c r="H15" s="30"/>
      <c r="I15" s="33"/>
      <c r="J15" s="33"/>
    </row>
    <row r="16" spans="1:10" s="20" customFormat="1" ht="13.9" customHeight="1" x14ac:dyDescent="0.25">
      <c r="A16" s="1558"/>
      <c r="B16" s="1559"/>
      <c r="C16" s="1559"/>
      <c r="D16" s="1560"/>
      <c r="E16" s="29"/>
      <c r="F16" s="30"/>
      <c r="G16" s="31"/>
      <c r="H16" s="30"/>
      <c r="I16" s="33"/>
      <c r="J16" s="33"/>
    </row>
    <row r="17" spans="1:11" s="20" customFormat="1" ht="13.9" customHeight="1" x14ac:dyDescent="0.25">
      <c r="A17" s="1558"/>
      <c r="B17" s="1559"/>
      <c r="C17" s="1559"/>
      <c r="D17" s="1560"/>
      <c r="E17" s="29"/>
      <c r="F17" s="30"/>
      <c r="G17" s="31"/>
      <c r="H17" s="30"/>
      <c r="I17" s="33"/>
      <c r="J17" s="33"/>
    </row>
    <row r="18" spans="1:11" s="20" customFormat="1" ht="13.9" customHeight="1" x14ac:dyDescent="0.25">
      <c r="I18" s="30" t="s">
        <v>257</v>
      </c>
      <c r="J18" s="34">
        <f>+SUM(J11:J17)</f>
        <v>145</v>
      </c>
    </row>
    <row r="19" spans="1:11" s="20" customFormat="1" ht="13.9" customHeight="1" x14ac:dyDescent="0.25"/>
    <row r="20" spans="1:11" s="20" customFormat="1" ht="13.9" customHeight="1" x14ac:dyDescent="0.25">
      <c r="A20" s="1561" t="s">
        <v>263</v>
      </c>
      <c r="B20" s="1561"/>
      <c r="C20" s="1561"/>
      <c r="D20" s="1561"/>
      <c r="E20" s="1561"/>
      <c r="F20" s="1561"/>
      <c r="G20" s="1561"/>
      <c r="H20" s="1561"/>
      <c r="I20" s="27"/>
    </row>
    <row r="21" spans="1:11" ht="13.9" customHeight="1" x14ac:dyDescent="0.25">
      <c r="A21" s="1565" t="s">
        <v>251</v>
      </c>
      <c r="B21" s="1566"/>
      <c r="C21" s="1566"/>
      <c r="D21" s="1566"/>
      <c r="E21" s="1566"/>
      <c r="F21" s="1567"/>
      <c r="G21" s="28" t="s">
        <v>252</v>
      </c>
      <c r="H21" s="28" t="s">
        <v>264</v>
      </c>
      <c r="I21" s="28" t="s">
        <v>256</v>
      </c>
      <c r="J21" s="28" t="s">
        <v>257</v>
      </c>
    </row>
    <row r="22" spans="1:11" x14ac:dyDescent="0.25">
      <c r="A22" s="1568" t="str">
        <f>+'INSUMOS '!B9</f>
        <v>ANTIDESLIZANTE – SUPER GRIP</v>
      </c>
      <c r="B22" s="1569"/>
      <c r="C22" s="1569"/>
      <c r="D22" s="1569"/>
      <c r="E22" s="1569"/>
      <c r="F22" s="1570"/>
      <c r="G22" s="29" t="s">
        <v>6</v>
      </c>
      <c r="H22" s="37">
        <v>0.2</v>
      </c>
      <c r="I22" s="33">
        <f>+IFERROR(VLOOKUP(A22,'INSUMOS '!$B$2:$AP$167,'INSUMOS '!$AO$2+1,FALSE),0)</f>
        <v>39270</v>
      </c>
      <c r="J22" s="33">
        <f>ROUND(I22*H22,0)</f>
        <v>7854</v>
      </c>
    </row>
    <row r="23" spans="1:11" ht="13.9" customHeight="1" x14ac:dyDescent="0.25">
      <c r="A23" s="1558"/>
      <c r="B23" s="1559"/>
      <c r="C23" s="1559"/>
      <c r="D23" s="1559"/>
      <c r="E23" s="1559"/>
      <c r="F23" s="1560"/>
      <c r="G23" s="29"/>
      <c r="H23" s="47"/>
      <c r="I23" s="33"/>
      <c r="J23" s="33"/>
    </row>
    <row r="24" spans="1:11" ht="13.9" customHeight="1" x14ac:dyDescent="0.25">
      <c r="A24" s="1558"/>
      <c r="B24" s="1559"/>
      <c r="C24" s="1559"/>
      <c r="D24" s="1559"/>
      <c r="E24" s="1559"/>
      <c r="F24" s="1560"/>
      <c r="G24" s="29"/>
      <c r="H24" s="35"/>
      <c r="I24" s="33"/>
      <c r="J24" s="33"/>
    </row>
    <row r="25" spans="1:11" ht="13.9" customHeight="1" x14ac:dyDescent="0.25">
      <c r="A25" s="1558"/>
      <c r="B25" s="1559"/>
      <c r="C25" s="1559"/>
      <c r="D25" s="1559"/>
      <c r="E25" s="1559"/>
      <c r="F25" s="1560"/>
      <c r="G25" s="29"/>
      <c r="H25" s="35"/>
      <c r="I25" s="33"/>
      <c r="J25" s="33"/>
    </row>
    <row r="26" spans="1:11" ht="13.9" customHeight="1" x14ac:dyDescent="0.25">
      <c r="A26" s="1558" t="s">
        <v>333</v>
      </c>
      <c r="B26" s="1559"/>
      <c r="C26" s="1559"/>
      <c r="D26" s="1559"/>
      <c r="E26" s="1559"/>
      <c r="F26" s="1560"/>
      <c r="G26" s="29"/>
      <c r="H26" s="35">
        <v>0.05</v>
      </c>
      <c r="I26" s="33">
        <f>+SUM(J22:J25)</f>
        <v>7854</v>
      </c>
      <c r="J26" s="33">
        <f>ROUND(I26*H26,0)</f>
        <v>393</v>
      </c>
    </row>
    <row r="27" spans="1:11" ht="13.9" customHeight="1" x14ac:dyDescent="0.25">
      <c r="A27" s="1558"/>
      <c r="B27" s="1559"/>
      <c r="C27" s="1559"/>
      <c r="D27" s="1559"/>
      <c r="E27" s="1559"/>
      <c r="F27" s="1560"/>
      <c r="G27" s="29"/>
      <c r="H27" s="35"/>
      <c r="I27" s="33"/>
      <c r="J27" s="33"/>
    </row>
    <row r="28" spans="1:11" ht="13.9" customHeight="1" x14ac:dyDescent="0.25">
      <c r="A28" s="1558"/>
      <c r="B28" s="1559"/>
      <c r="C28" s="1559"/>
      <c r="D28" s="1559"/>
      <c r="E28" s="1559"/>
      <c r="F28" s="1560"/>
      <c r="G28" s="29"/>
      <c r="H28" s="35"/>
      <c r="I28" s="33"/>
      <c r="J28" s="33"/>
    </row>
    <row r="29" spans="1:11" ht="13.9" customHeight="1" x14ac:dyDescent="0.25">
      <c r="A29" s="1558"/>
      <c r="B29" s="1559"/>
      <c r="C29" s="1559"/>
      <c r="D29" s="1559"/>
      <c r="E29" s="1559"/>
      <c r="F29" s="1560"/>
      <c r="G29" s="29"/>
      <c r="H29" s="37"/>
      <c r="I29" s="33"/>
      <c r="J29" s="33"/>
    </row>
    <row r="30" spans="1:11" ht="13.9" customHeight="1" x14ac:dyDescent="0.25">
      <c r="A30" s="1558"/>
      <c r="B30" s="1559"/>
      <c r="C30" s="1559"/>
      <c r="D30" s="1559"/>
      <c r="E30" s="1559"/>
      <c r="F30" s="1560"/>
      <c r="G30" s="29"/>
      <c r="H30" s="35"/>
      <c r="I30" s="33"/>
      <c r="J30" s="33"/>
    </row>
    <row r="31" spans="1:11" ht="13.9" customHeight="1" x14ac:dyDescent="0.25">
      <c r="A31" s="1558"/>
      <c r="B31" s="1559"/>
      <c r="C31" s="1559"/>
      <c r="D31" s="1559"/>
      <c r="E31" s="1559"/>
      <c r="F31" s="1560"/>
      <c r="G31" s="29"/>
      <c r="H31" s="35"/>
      <c r="I31" s="33"/>
      <c r="J31" s="33"/>
    </row>
    <row r="32" spans="1:11" ht="13.9" customHeight="1" x14ac:dyDescent="0.25">
      <c r="A32" s="20"/>
      <c r="B32" s="20"/>
      <c r="C32" s="20"/>
      <c r="D32" s="20"/>
      <c r="E32" s="20"/>
      <c r="G32" s="20"/>
      <c r="H32" s="20"/>
      <c r="I32" s="30" t="s">
        <v>257</v>
      </c>
      <c r="J32" s="34">
        <f>+SUM(J22:J31)</f>
        <v>8247</v>
      </c>
      <c r="K32" s="758">
        <f>416/J32</f>
        <v>5.0442585182490604E-2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38">
        <f>(0.25/1000)/12</f>
        <v>2.0833333333333333E-5</v>
      </c>
      <c r="H36" s="33">
        <f>+IFERROR(VLOOKUP(A36,'EQUIPOS '!$B$3:$M$78,12,FALSE),0)</f>
        <v>611492.5</v>
      </c>
      <c r="I36" s="33">
        <f>IFERROR(H36*G36,0)</f>
        <v>12.739427083333332</v>
      </c>
      <c r="J36" s="33">
        <f>ROUND(I36,0)</f>
        <v>13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c r="B43" s="1559"/>
      <c r="C43" s="1559"/>
      <c r="D43" s="1560"/>
      <c r="E43" s="40"/>
      <c r="F43" s="30"/>
      <c r="G43" s="40"/>
      <c r="H43" s="35"/>
      <c r="I43" s="33"/>
      <c r="J43" s="33"/>
    </row>
    <row r="44" spans="1:10" s="39" customFormat="1" ht="13.9" customHeight="1" x14ac:dyDescent="0.25">
      <c r="A44" s="1558" t="str">
        <f>+PERSONAL!B6</f>
        <v>AYUDANTE NOCTURNO</v>
      </c>
      <c r="B44" s="1559"/>
      <c r="C44" s="1559"/>
      <c r="D44" s="1560"/>
      <c r="E44" s="40">
        <f>+VLOOKUP(A44,PERSONAL!$B$3:$E$100,4,FALSE)</f>
        <v>83383</v>
      </c>
      <c r="F44" s="30">
        <v>1</v>
      </c>
      <c r="G44" s="40">
        <f>+E44*F44</f>
        <v>83383</v>
      </c>
      <c r="H44" s="35">
        <v>200</v>
      </c>
      <c r="I44" s="33">
        <f>IFERROR(ROUND(G44/H44,0),0)</f>
        <v>417</v>
      </c>
      <c r="J44" s="33">
        <f>+I44</f>
        <v>417</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t="s">
        <v>3116</v>
      </c>
    </row>
    <row r="49" spans="1:12" s="39" customFormat="1" ht="13.9" customHeight="1" x14ac:dyDescent="0.25">
      <c r="A49" s="1558"/>
      <c r="B49" s="1559"/>
      <c r="C49" s="1559"/>
      <c r="D49" s="1560"/>
      <c r="E49" s="40"/>
      <c r="F49" s="30"/>
      <c r="G49" s="40"/>
      <c r="H49" s="35"/>
      <c r="I49" s="33"/>
      <c r="J49" s="33"/>
    </row>
    <row r="50" spans="1:12" ht="13.9" customHeight="1" x14ac:dyDescent="0.25">
      <c r="A50" s="20"/>
      <c r="B50" s="20"/>
      <c r="C50" s="20"/>
      <c r="E50" s="20"/>
      <c r="F50" s="20"/>
      <c r="G50" s="20"/>
      <c r="H50" s="20"/>
      <c r="I50" s="30" t="s">
        <v>257</v>
      </c>
      <c r="J50" s="34">
        <f>+SUM(J43:J49)</f>
        <v>417</v>
      </c>
    </row>
    <row r="51" spans="1:12" ht="13.9" customHeight="1" x14ac:dyDescent="0.25"/>
    <row r="52" spans="1:12" ht="13.9" customHeight="1" x14ac:dyDescent="0.25">
      <c r="E52" s="41" t="s">
        <v>276</v>
      </c>
      <c r="I52" s="42">
        <f>+J50+J39+J32+J18</f>
        <v>8822</v>
      </c>
      <c r="J52" s="43"/>
      <c r="K52" s="758">
        <f>2121.7/I52</f>
        <v>0.24050102017683064</v>
      </c>
      <c r="L52" s="761">
        <f>100%-K52</f>
        <v>0.75949897982316938</v>
      </c>
    </row>
    <row r="53" spans="1:12" ht="13.9" customHeight="1" x14ac:dyDescent="0.25"/>
    <row r="54" spans="1:12" ht="14.1" customHeight="1" x14ac:dyDescent="0.25">
      <c r="I54" s="44"/>
      <c r="J54" s="44"/>
    </row>
    <row r="55" spans="1:12" ht="14.1" customHeight="1" x14ac:dyDescent="0.25">
      <c r="I55" s="44"/>
    </row>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Hoja73">
    <tabColor theme="5" tint="-0.499984740745262"/>
  </sheetPr>
  <dimension ref="A1:J54"/>
  <sheetViews>
    <sheetView topLeftCell="A31" workbookViewId="0">
      <selection activeCell="G35" sqref="G3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67</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Suministro y aplicación manual (método llana) de pintura de plástico en frio metilmetacrilato  pigmentada (multicolor según 3.7.3. Color de las demarcaciones planas para urbanismos tácticos u otras intervenciones tácticas urbanas) sin microesferas, con antideslizante,  para marcas viales de espesor seco de 50 mils según norma NTC 4744,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4</v>
      </c>
      <c r="I11" s="33">
        <f>IFERROR((G11/H11),0)</f>
        <v>1999.9849999999999</v>
      </c>
      <c r="J11" s="33">
        <f>ROUND(I11,0)</f>
        <v>2000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4</v>
      </c>
      <c r="I12" s="33">
        <f>IFERROR((G12/H12),0)</f>
        <v>3305.5</v>
      </c>
      <c r="J12" s="33">
        <f>ROUND(I12,0)</f>
        <v>3306</v>
      </c>
    </row>
    <row r="13" spans="1:10" s="20" customFormat="1" ht="13.9" customHeight="1" x14ac:dyDescent="0.25">
      <c r="A13" s="1571" t="str">
        <f>+'EQUIPOS '!B50</f>
        <v>EQUIPO DE CONTROL DE OBRA</v>
      </c>
      <c r="B13" s="1572"/>
      <c r="C13" s="1572"/>
      <c r="D13" s="1573"/>
      <c r="E13" s="29" t="s">
        <v>202</v>
      </c>
      <c r="F13" s="30"/>
      <c r="G13" s="31">
        <f>+VLOOKUP(A13,'EQUIPOS '!$B$3:$M$64,12,FALSE)</f>
        <v>1708.75</v>
      </c>
      <c r="H13" s="30">
        <f>+$H$11</f>
        <v>4</v>
      </c>
      <c r="I13" s="33">
        <f>IFERROR((G13/H13),0)</f>
        <v>427.1875</v>
      </c>
      <c r="J13" s="33">
        <f>ROUND(I13,0)</f>
        <v>427</v>
      </c>
    </row>
    <row r="14" spans="1:10" s="20" customFormat="1" ht="13.9" customHeight="1" x14ac:dyDescent="0.25">
      <c r="A14" s="1558" t="s">
        <v>330</v>
      </c>
      <c r="B14" s="1559"/>
      <c r="C14" s="1559"/>
      <c r="D14" s="1560"/>
      <c r="E14" s="29"/>
      <c r="F14" s="30" t="str">
        <f>IFERROR(VLOOKUP(A14,'[10]EQUIPOS TRANSPOR SALARIO'!$A$3:$G$42,2,FALSE),"")</f>
        <v/>
      </c>
      <c r="G14" s="131">
        <v>5.0000000000000001E-3</v>
      </c>
      <c r="H14" s="299">
        <f>+J48</f>
        <v>23235</v>
      </c>
      <c r="I14" s="33">
        <f>+G14*H14</f>
        <v>116.175</v>
      </c>
      <c r="J14" s="33">
        <f>ROUND(I14,0)</f>
        <v>116</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I17" s="30" t="s">
        <v>257</v>
      </c>
      <c r="J17" s="34">
        <f>+SUM(J11:J16)</f>
        <v>5894</v>
      </c>
    </row>
    <row r="18" spans="1:10" s="20" customFormat="1" ht="13.9" customHeight="1" x14ac:dyDescent="0.25"/>
    <row r="19" spans="1:10" s="20" customFormat="1" ht="13.9" customHeight="1" x14ac:dyDescent="0.25">
      <c r="A19" s="1561" t="s">
        <v>263</v>
      </c>
      <c r="B19" s="1561"/>
      <c r="C19" s="1561"/>
      <c r="D19" s="1561"/>
      <c r="E19" s="1561"/>
      <c r="F19" s="1561"/>
      <c r="G19" s="1561"/>
      <c r="H19" s="1561"/>
      <c r="I19" s="27"/>
    </row>
    <row r="20" spans="1:10" s="20" customFormat="1" ht="13.9" customHeight="1" x14ac:dyDescent="0.25">
      <c r="A20" s="1565" t="s">
        <v>251</v>
      </c>
      <c r="B20" s="1566"/>
      <c r="C20" s="1566"/>
      <c r="D20" s="1566"/>
      <c r="E20" s="1566"/>
      <c r="F20" s="1567"/>
      <c r="G20" s="28" t="s">
        <v>252</v>
      </c>
      <c r="H20" s="28" t="s">
        <v>264</v>
      </c>
      <c r="I20" s="28" t="s">
        <v>256</v>
      </c>
      <c r="J20" s="28" t="s">
        <v>257</v>
      </c>
    </row>
    <row r="21" spans="1:10" ht="32.450000000000003" customHeight="1" x14ac:dyDescent="0.25">
      <c r="A21" s="1568" t="str">
        <f>+'INSUMOS '!B78</f>
        <v>PINTURA PLÁSTICO EN FRIO METIL METACRILATO PIGMENTADA (NARANJA - VERDE - ROJO - AZUL) - PARA APLICACIÓN CON LLANA (98:2), INCLUYE CATALIZADOR</v>
      </c>
      <c r="B21" s="1569"/>
      <c r="C21" s="1569"/>
      <c r="D21" s="1569"/>
      <c r="E21" s="1569"/>
      <c r="F21" s="1570"/>
      <c r="G21" s="29" t="s">
        <v>114</v>
      </c>
      <c r="H21" s="37">
        <v>0.33</v>
      </c>
      <c r="I21" s="33">
        <f>+IFERROR(VLOOKUP(A21,'INSUMOS '!$B$2:$AP$167,'INSUMOS '!$AO$2+1,FALSE),0)</f>
        <v>141372</v>
      </c>
      <c r="J21" s="33">
        <f>ROUND(I21*H21,0)</f>
        <v>46653</v>
      </c>
    </row>
    <row r="22" spans="1:10" ht="28.5" customHeight="1" x14ac:dyDescent="0.25">
      <c r="A22" s="1558" t="str">
        <f>+'INSUMOS '!B40</f>
        <v>DISOLVENTE AJUSTADOR LENTO XILOL</v>
      </c>
      <c r="B22" s="1559"/>
      <c r="C22" s="1559"/>
      <c r="D22" s="1559"/>
      <c r="E22" s="1559"/>
      <c r="F22" s="1560"/>
      <c r="G22" s="29" t="s">
        <v>114</v>
      </c>
      <c r="H22" s="47">
        <v>0.01</v>
      </c>
      <c r="I22" s="33">
        <f>+IFERROR(VLOOKUP(A22,'INSUMOS '!$B$2:$AP$167,'INSUMOS '!$AO$2+1,FALSE),0)</f>
        <v>73200</v>
      </c>
      <c r="J22" s="33">
        <f t="shared" ref="J22:J26" si="1">ROUND(I22*H22,0)</f>
        <v>732</v>
      </c>
    </row>
    <row r="23" spans="1:10" ht="13.9" customHeight="1" x14ac:dyDescent="0.25">
      <c r="A23" s="1568" t="s">
        <v>59</v>
      </c>
      <c r="B23" s="1569"/>
      <c r="C23" s="1569"/>
      <c r="D23" s="1569"/>
      <c r="E23" s="1569"/>
      <c r="F23" s="1570"/>
      <c r="G23" s="29" t="s">
        <v>6</v>
      </c>
      <c r="H23" s="35">
        <f>0.35</f>
        <v>0.35</v>
      </c>
      <c r="I23" s="33">
        <f>+IFERROR(VLOOKUP(A23,'INSUMOS '!$B$2:$AP$167,'INSUMOS '!$AO$2+1,FALSE),0)</f>
        <v>39270</v>
      </c>
      <c r="J23" s="33">
        <f>ROUND(I23*H23,0)</f>
        <v>13745</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1372">
        <f>J21+J22+J23</f>
        <v>61130</v>
      </c>
      <c r="J26" s="33">
        <f t="shared" si="1"/>
        <v>3057</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7"/>
      <c r="I28" s="33"/>
      <c r="J28" s="33"/>
    </row>
    <row r="29" spans="1:10" ht="13.9" customHeight="1" x14ac:dyDescent="0.25">
      <c r="A29" s="1558"/>
      <c r="B29" s="1559"/>
      <c r="C29" s="1559"/>
      <c r="D29" s="1559"/>
      <c r="E29" s="1559"/>
      <c r="F29" s="1560"/>
      <c r="G29" s="29"/>
      <c r="H29" s="35"/>
      <c r="I29" s="33"/>
      <c r="J29" s="33"/>
    </row>
    <row r="30" spans="1:10" ht="13.9" customHeight="1" x14ac:dyDescent="0.25">
      <c r="A30" s="1558"/>
      <c r="B30" s="1559"/>
      <c r="C30" s="1559"/>
      <c r="D30" s="1559"/>
      <c r="E30" s="1559"/>
      <c r="F30" s="1560"/>
      <c r="G30" s="29"/>
      <c r="H30" s="35"/>
      <c r="I30" s="33"/>
      <c r="J30" s="33"/>
    </row>
    <row r="31" spans="1:10" ht="13.9" customHeight="1" x14ac:dyDescent="0.25">
      <c r="A31" s="20"/>
      <c r="B31" s="20"/>
      <c r="C31" s="20"/>
      <c r="D31" s="20"/>
      <c r="E31" s="20"/>
      <c r="G31" s="20"/>
      <c r="H31" s="20"/>
      <c r="I31" s="30" t="s">
        <v>257</v>
      </c>
      <c r="J31" s="34">
        <f>+SUM(J21:J30)</f>
        <v>64187</v>
      </c>
    </row>
    <row r="32" spans="1:10" ht="13.9" customHeight="1" x14ac:dyDescent="0.25"/>
    <row r="33" spans="1:10" ht="13.9" customHeight="1" x14ac:dyDescent="0.25">
      <c r="A33" s="1561" t="s">
        <v>267</v>
      </c>
      <c r="B33" s="1561"/>
      <c r="C33" s="1561"/>
      <c r="D33" s="1561"/>
      <c r="E33" s="1561"/>
      <c r="F33" s="1561"/>
      <c r="G33" s="1561"/>
      <c r="H33" s="1561"/>
      <c r="I33" s="27"/>
    </row>
    <row r="34" spans="1:10" ht="13.9" customHeight="1" x14ac:dyDescent="0.25">
      <c r="A34" s="1562" t="s">
        <v>268</v>
      </c>
      <c r="B34" s="1563"/>
      <c r="C34" s="1563"/>
      <c r="D34" s="1563"/>
      <c r="E34" s="1563"/>
      <c r="F34" s="1564"/>
      <c r="G34" s="38" t="s">
        <v>255</v>
      </c>
      <c r="H34" s="28" t="s">
        <v>269</v>
      </c>
      <c r="I34" s="28" t="s">
        <v>256</v>
      </c>
      <c r="J34" s="28" t="s">
        <v>257</v>
      </c>
    </row>
    <row r="35" spans="1:10" ht="13.9" customHeight="1" x14ac:dyDescent="0.25">
      <c r="A35" s="1558" t="str">
        <f>+'EQUIPOS '!B6</f>
        <v>CAMION INCLUYE CONDUCTOR</v>
      </c>
      <c r="B35" s="1559"/>
      <c r="C35" s="1559"/>
      <c r="D35" s="1559"/>
      <c r="E35" s="1559"/>
      <c r="F35" s="1560"/>
      <c r="G35" s="1484">
        <f>(1/(+H11*8))/12</f>
        <v>2.6041666666666665E-3</v>
      </c>
      <c r="H35" s="33">
        <f>+IFERROR(VLOOKUP(A35,'EQUIPOS '!$B$3:$M$78,12,FALSE),0)</f>
        <v>611492.5</v>
      </c>
      <c r="I35" s="33">
        <f>IFERROR(H35*G35,0)</f>
        <v>1592.4283854166665</v>
      </c>
      <c r="J35" s="33">
        <f>ROUND(I35,0)</f>
        <v>1592</v>
      </c>
    </row>
    <row r="36" spans="1:10" ht="13.9" customHeight="1" x14ac:dyDescent="0.25">
      <c r="A36" s="1558"/>
      <c r="B36" s="1559"/>
      <c r="C36" s="1559"/>
      <c r="D36" s="1559"/>
      <c r="E36" s="1559"/>
      <c r="F36" s="1560"/>
      <c r="G36" s="29"/>
      <c r="H36" s="33"/>
      <c r="I36" s="33"/>
      <c r="J36" s="33"/>
    </row>
    <row r="37" spans="1:10" ht="13.9" customHeight="1" x14ac:dyDescent="0.25">
      <c r="A37" s="1558"/>
      <c r="B37" s="1559"/>
      <c r="C37" s="1559"/>
      <c r="D37" s="1559"/>
      <c r="E37" s="1559"/>
      <c r="F37" s="1560"/>
      <c r="G37" s="29"/>
      <c r="H37" s="33"/>
      <c r="I37" s="33"/>
      <c r="J37" s="33"/>
    </row>
    <row r="38" spans="1:10" ht="13.9" customHeight="1" x14ac:dyDescent="0.25">
      <c r="G38" s="39"/>
      <c r="H38" s="39"/>
      <c r="I38" s="30" t="s">
        <v>257</v>
      </c>
      <c r="J38" s="33">
        <f>+SUM(J35:J37)</f>
        <v>1592</v>
      </c>
    </row>
    <row r="39" spans="1:10" ht="13.9" customHeight="1" x14ac:dyDescent="0.25"/>
    <row r="40" spans="1:10" ht="13.9" customHeight="1" x14ac:dyDescent="0.25">
      <c r="A40" s="1561" t="s">
        <v>270</v>
      </c>
      <c r="B40" s="1561"/>
      <c r="C40" s="1561"/>
      <c r="D40" s="1561"/>
      <c r="E40" s="1561"/>
      <c r="F40" s="1561"/>
      <c r="G40" s="1561"/>
      <c r="H40" s="1561"/>
      <c r="I40" s="27"/>
    </row>
    <row r="41" spans="1:10" ht="13.9" customHeight="1" x14ac:dyDescent="0.25">
      <c r="A41" s="1562" t="s">
        <v>271</v>
      </c>
      <c r="B41" s="1563"/>
      <c r="C41" s="1563"/>
      <c r="D41" s="1564"/>
      <c r="E41" s="28" t="s">
        <v>272</v>
      </c>
      <c r="F41" s="28" t="s">
        <v>264</v>
      </c>
      <c r="G41" s="28" t="s">
        <v>273</v>
      </c>
      <c r="H41" s="28" t="s">
        <v>255</v>
      </c>
      <c r="I41" s="28" t="s">
        <v>256</v>
      </c>
      <c r="J41" s="28" t="s">
        <v>257</v>
      </c>
    </row>
    <row r="42" spans="1:10" s="39" customFormat="1" ht="13.9" customHeight="1" x14ac:dyDescent="0.25">
      <c r="A42" s="1558" t="str">
        <f>+PERSONAL!B6</f>
        <v>AYUDANTE NOCTURNO</v>
      </c>
      <c r="B42" s="1559"/>
      <c r="C42" s="1559"/>
      <c r="D42" s="1560"/>
      <c r="E42" s="40">
        <f>+VLOOKUP(A42,PERSONAL!$B$3:$E$100,4,FALSE)</f>
        <v>83383</v>
      </c>
      <c r="F42" s="30">
        <v>4</v>
      </c>
      <c r="G42" s="40">
        <f>+E42*F42</f>
        <v>333532</v>
      </c>
      <c r="H42" s="35">
        <f>IFERROR(H11*8,0)</f>
        <v>32</v>
      </c>
      <c r="I42" s="33">
        <f>IFERROR(ROUND(G42/H42,0),0)</f>
        <v>10423</v>
      </c>
      <c r="J42" s="33">
        <f>+I42</f>
        <v>10423</v>
      </c>
    </row>
    <row r="43" spans="1:10" s="39" customFormat="1" ht="13.9" customHeight="1" x14ac:dyDescent="0.25">
      <c r="A43" s="1558" t="str">
        <f>+PERSONAL!B4</f>
        <v>AUXILIAR DE TRÁFICO NOCTURNO</v>
      </c>
      <c r="B43" s="1559"/>
      <c r="C43" s="1559"/>
      <c r="D43" s="1560"/>
      <c r="E43" s="40">
        <f>+VLOOKUP(A43,PERSONAL!$B$3:$E$100,4,FALSE)</f>
        <v>98122</v>
      </c>
      <c r="F43" s="30">
        <v>2</v>
      </c>
      <c r="G43" s="40">
        <f>+E43*F43</f>
        <v>196244</v>
      </c>
      <c r="H43" s="35">
        <f>IFERROR(H11*8,0)</f>
        <v>32</v>
      </c>
      <c r="I43" s="33">
        <f>IFERROR(ROUND(G43/H43,0),0)</f>
        <v>6133</v>
      </c>
      <c r="J43" s="33">
        <f>+I43</f>
        <v>6133</v>
      </c>
    </row>
    <row r="44" spans="1:10" s="39" customFormat="1" ht="13.9" customHeight="1" x14ac:dyDescent="0.25">
      <c r="A44" s="1558" t="str">
        <f>+PERSONAL!B19</f>
        <v>JEFE DE CUADRILLA NOCTURNO</v>
      </c>
      <c r="B44" s="1559"/>
      <c r="C44" s="1559"/>
      <c r="D44" s="1560"/>
      <c r="E44" s="40">
        <f>+VLOOKUP(A44,PERSONAL!$B$3:$E$100,4,FALSE)</f>
        <v>213741</v>
      </c>
      <c r="F44" s="30">
        <v>1</v>
      </c>
      <c r="G44" s="40">
        <f>+E44*F44</f>
        <v>213741</v>
      </c>
      <c r="H44" s="35">
        <f>+H43</f>
        <v>32</v>
      </c>
      <c r="I44" s="33">
        <f>IFERROR(ROUND(G44/H44,0),0)</f>
        <v>6679</v>
      </c>
      <c r="J44" s="33">
        <f>+I44</f>
        <v>6679</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20"/>
      <c r="B48" s="20"/>
      <c r="C48" s="20"/>
      <c r="D48" s="19"/>
      <c r="E48" s="20"/>
      <c r="F48" s="20"/>
      <c r="G48" s="20"/>
      <c r="H48" s="20"/>
      <c r="I48" s="30" t="s">
        <v>257</v>
      </c>
      <c r="J48" s="34">
        <f>+SUM(J42:J47)</f>
        <v>23235</v>
      </c>
    </row>
    <row r="49" spans="5:10" ht="13.9" customHeight="1" x14ac:dyDescent="0.25"/>
    <row r="50" spans="5:10" ht="13.9" customHeight="1" x14ac:dyDescent="0.25">
      <c r="E50" s="41" t="s">
        <v>276</v>
      </c>
      <c r="I50" s="42">
        <f>+J48+J38+J31+J17</f>
        <v>94908</v>
      </c>
      <c r="J50" s="43"/>
    </row>
    <row r="51" spans="5:10" ht="13.9" customHeight="1" x14ac:dyDescent="0.25"/>
    <row r="52" spans="5:10" ht="13.9" customHeight="1" x14ac:dyDescent="0.25"/>
    <row r="53" spans="5:10" ht="14.1" customHeight="1" x14ac:dyDescent="0.25"/>
    <row r="54" spans="5:10" ht="14.1" customHeight="1" x14ac:dyDescent="0.25"/>
  </sheetData>
  <mergeCells count="39">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9:H19"/>
    <mergeCell ref="A20:F20"/>
    <mergeCell ref="A21:F21"/>
    <mergeCell ref="A36:F36"/>
    <mergeCell ref="A23:F23"/>
    <mergeCell ref="A24:F24"/>
    <mergeCell ref="A25:F25"/>
    <mergeCell ref="A26:F26"/>
    <mergeCell ref="A27:F27"/>
    <mergeCell ref="A28:F28"/>
    <mergeCell ref="A29:F29"/>
    <mergeCell ref="A30:F30"/>
    <mergeCell ref="A33:H33"/>
    <mergeCell ref="A34:F34"/>
    <mergeCell ref="A35:F35"/>
    <mergeCell ref="A45:D45"/>
    <mergeCell ref="A46:D46"/>
    <mergeCell ref="A47:D47"/>
    <mergeCell ref="A37:F37"/>
    <mergeCell ref="A40:H40"/>
    <mergeCell ref="A41:D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Hoja74">
    <tabColor theme="5" tint="-0.499984740745262"/>
  </sheetPr>
  <dimension ref="A1:J54"/>
  <sheetViews>
    <sheetView topLeftCell="A37" workbookViewId="0">
      <selection activeCell="G35" sqref="G3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66</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Suministro y aplicación manual (método llana) de pintura de plástico en frio metilmetacrilato sin microesferas, con antideslizante, para marcas viales de espesor seco de 50 mils según norma NTC 4744,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4</v>
      </c>
      <c r="I11" s="33">
        <f>IFERROR((G11/H11),0)</f>
        <v>1999.9849999999999</v>
      </c>
      <c r="J11" s="33">
        <f>ROUND(I11,0)</f>
        <v>2000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4</v>
      </c>
      <c r="I12" s="33">
        <f>IFERROR((G12/H12),0)</f>
        <v>3305.5</v>
      </c>
      <c r="J12" s="33">
        <f>ROUND(I12,0)</f>
        <v>3306</v>
      </c>
    </row>
    <row r="13" spans="1:10" s="20" customFormat="1" ht="13.9" customHeight="1" x14ac:dyDescent="0.25">
      <c r="A13" s="1558" t="str">
        <f>+'EQUIPOS '!B50</f>
        <v>EQUIPO DE CONTROL DE OBRA</v>
      </c>
      <c r="B13" s="1559"/>
      <c r="C13" s="1559"/>
      <c r="D13" s="1560"/>
      <c r="E13" s="29" t="s">
        <v>202</v>
      </c>
      <c r="F13" s="30"/>
      <c r="G13" s="31">
        <f>+VLOOKUP(A13,'EQUIPOS '!$B$3:$M$64,12,FALSE)</f>
        <v>1708.75</v>
      </c>
      <c r="H13" s="30">
        <f>+H12</f>
        <v>4</v>
      </c>
      <c r="I13" s="33">
        <f>IFERROR((G13/H13),0)</f>
        <v>427.1875</v>
      </c>
      <c r="J13" s="33">
        <f>ROUND(I13,0)</f>
        <v>427</v>
      </c>
    </row>
    <row r="14" spans="1:10" s="20" customFormat="1" ht="13.9" customHeight="1" x14ac:dyDescent="0.25">
      <c r="A14" s="1558" t="s">
        <v>330</v>
      </c>
      <c r="B14" s="1559"/>
      <c r="C14" s="1559"/>
      <c r="D14" s="1560"/>
      <c r="E14" s="29"/>
      <c r="F14" s="30" t="str">
        <f>IFERROR(VLOOKUP(A14,'[10]EQUIPOS TRANSPOR SALARIO'!$A$3:$G$42,2,FALSE),"")</f>
        <v/>
      </c>
      <c r="G14" s="131">
        <v>5.0000000000000001E-3</v>
      </c>
      <c r="H14" s="299">
        <f>+J48</f>
        <v>23235</v>
      </c>
      <c r="I14" s="33">
        <f>+G14*H14</f>
        <v>116.175</v>
      </c>
      <c r="J14" s="33">
        <f>ROUND(I14,0)</f>
        <v>116</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I17" s="30" t="s">
        <v>257</v>
      </c>
      <c r="J17" s="34">
        <f>+SUM(J11:J16)</f>
        <v>5894</v>
      </c>
    </row>
    <row r="18" spans="1:10" s="20" customFormat="1" ht="13.9" customHeight="1" x14ac:dyDescent="0.25"/>
    <row r="19" spans="1:10" s="20" customFormat="1" ht="13.9" customHeight="1" x14ac:dyDescent="0.25">
      <c r="A19" s="1561" t="s">
        <v>263</v>
      </c>
      <c r="B19" s="1561"/>
      <c r="C19" s="1561"/>
      <c r="D19" s="1561"/>
      <c r="E19" s="1561"/>
      <c r="F19" s="1561"/>
      <c r="G19" s="1561"/>
      <c r="H19" s="1561"/>
      <c r="I19" s="27"/>
    </row>
    <row r="20" spans="1:10" s="20" customFormat="1" ht="13.9" customHeight="1" x14ac:dyDescent="0.25">
      <c r="A20" s="1565" t="s">
        <v>251</v>
      </c>
      <c r="B20" s="1566"/>
      <c r="C20" s="1566"/>
      <c r="D20" s="1566"/>
      <c r="E20" s="1566"/>
      <c r="F20" s="1567"/>
      <c r="G20" s="28" t="s">
        <v>252</v>
      </c>
      <c r="H20" s="28" t="s">
        <v>264</v>
      </c>
      <c r="I20" s="28" t="s">
        <v>256</v>
      </c>
      <c r="J20" s="28" t="s">
        <v>257</v>
      </c>
    </row>
    <row r="21" spans="1:10" ht="23.25" customHeight="1" x14ac:dyDescent="0.25">
      <c r="A21" s="1568" t="str">
        <f>+'INSUMOS '!B76</f>
        <v>PINTURA PLÁSTICO EN FRIO METIL METACRILATO BLANCA O AMARILLA - PARA APLICACIÓN CON LLANA (98:2), INCLUYE CATALIZADOR</v>
      </c>
      <c r="B21" s="1569"/>
      <c r="C21" s="1569"/>
      <c r="D21" s="1569"/>
      <c r="E21" s="1569"/>
      <c r="F21" s="1570"/>
      <c r="G21" s="29" t="s">
        <v>114</v>
      </c>
      <c r="H21" s="37">
        <v>0.33</v>
      </c>
      <c r="I21" s="33">
        <f>+IFERROR(VLOOKUP(A21,'INSUMOS '!$B$2:$AP$167,'INSUMOS '!$AO$2+1,FALSE),0)</f>
        <v>137445</v>
      </c>
      <c r="J21" s="33">
        <f>ROUND(I21*H21,0)</f>
        <v>45357</v>
      </c>
    </row>
    <row r="22" spans="1:10" ht="28.5" customHeight="1" x14ac:dyDescent="0.25">
      <c r="A22" s="1568" t="s">
        <v>59</v>
      </c>
      <c r="B22" s="1569"/>
      <c r="C22" s="1569"/>
      <c r="D22" s="1569"/>
      <c r="E22" s="1569"/>
      <c r="F22" s="1570"/>
      <c r="G22" s="29" t="s">
        <v>6</v>
      </c>
      <c r="H22" s="35">
        <f>0.35</f>
        <v>0.35</v>
      </c>
      <c r="I22" s="33">
        <f>+IFERROR(VLOOKUP(A22,'INSUMOS '!$B$2:$AP$167,'INSUMOS '!$AO$2+1,FALSE),0)</f>
        <v>39270</v>
      </c>
      <c r="J22" s="33">
        <f>ROUND(I22*H22,0)</f>
        <v>13745</v>
      </c>
    </row>
    <row r="23" spans="1:10" ht="13.9" customHeight="1" x14ac:dyDescent="0.25">
      <c r="A23" s="1558" t="str">
        <f>+'INSUMOS '!B40</f>
        <v>DISOLVENTE AJUSTADOR LENTO XILOL</v>
      </c>
      <c r="B23" s="1559"/>
      <c r="C23" s="1559"/>
      <c r="D23" s="1559"/>
      <c r="E23" s="1559"/>
      <c r="F23" s="1560"/>
      <c r="G23" s="29" t="s">
        <v>114</v>
      </c>
      <c r="H23" s="47">
        <v>0.01</v>
      </c>
      <c r="I23" s="33">
        <f>+IFERROR(VLOOKUP(A23,'INSUMOS '!$B$2:$AP$167,'INSUMOS '!$AO$2+1,FALSE),0)</f>
        <v>73200</v>
      </c>
      <c r="J23" s="33">
        <f>ROUND(I23*H23,0)</f>
        <v>732</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35">
        <v>0.05</v>
      </c>
      <c r="I26" s="33">
        <f>+SUM(J21:J25)</f>
        <v>59834</v>
      </c>
      <c r="J26" s="33">
        <f>ROUND(I26*H26,0)</f>
        <v>2992</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7"/>
      <c r="I28" s="33"/>
      <c r="J28" s="33"/>
    </row>
    <row r="29" spans="1:10" ht="13.9" customHeight="1" x14ac:dyDescent="0.25">
      <c r="A29" s="1558"/>
      <c r="B29" s="1559"/>
      <c r="C29" s="1559"/>
      <c r="D29" s="1559"/>
      <c r="E29" s="1559"/>
      <c r="F29" s="1560"/>
      <c r="G29" s="29"/>
      <c r="H29" s="35"/>
      <c r="I29" s="33"/>
      <c r="J29" s="33"/>
    </row>
    <row r="30" spans="1:10" ht="13.9" customHeight="1" x14ac:dyDescent="0.25">
      <c r="A30" s="1558"/>
      <c r="B30" s="1559"/>
      <c r="C30" s="1559"/>
      <c r="D30" s="1559"/>
      <c r="E30" s="1559"/>
      <c r="F30" s="1560"/>
      <c r="G30" s="29"/>
      <c r="H30" s="35"/>
      <c r="I30" s="33"/>
      <c r="J30" s="33"/>
    </row>
    <row r="31" spans="1:10" ht="13.9" customHeight="1" x14ac:dyDescent="0.25">
      <c r="A31" s="20"/>
      <c r="B31" s="20"/>
      <c r="C31" s="20"/>
      <c r="D31" s="20"/>
      <c r="E31" s="20"/>
      <c r="G31" s="20"/>
      <c r="H31" s="20"/>
      <c r="I31" s="30" t="s">
        <v>257</v>
      </c>
      <c r="J31" s="34">
        <f>+SUM(J21:J30)</f>
        <v>62826</v>
      </c>
    </row>
    <row r="32" spans="1:10" ht="13.9" customHeight="1" x14ac:dyDescent="0.25"/>
    <row r="33" spans="1:10" ht="13.9" customHeight="1" x14ac:dyDescent="0.25">
      <c r="A33" s="1561" t="s">
        <v>267</v>
      </c>
      <c r="B33" s="1561"/>
      <c r="C33" s="1561"/>
      <c r="D33" s="1561"/>
      <c r="E33" s="1561"/>
      <c r="F33" s="1561"/>
      <c r="G33" s="1561"/>
      <c r="H33" s="1561"/>
      <c r="I33" s="27"/>
    </row>
    <row r="34" spans="1:10" ht="13.9" customHeight="1" x14ac:dyDescent="0.25">
      <c r="A34" s="1562" t="s">
        <v>268</v>
      </c>
      <c r="B34" s="1563"/>
      <c r="C34" s="1563"/>
      <c r="D34" s="1563"/>
      <c r="E34" s="1563"/>
      <c r="F34" s="1564"/>
      <c r="G34" s="38" t="s">
        <v>255</v>
      </c>
      <c r="H34" s="28" t="s">
        <v>269</v>
      </c>
      <c r="I34" s="28" t="s">
        <v>256</v>
      </c>
      <c r="J34" s="28" t="s">
        <v>257</v>
      </c>
    </row>
    <row r="35" spans="1:10" ht="13.9" customHeight="1" x14ac:dyDescent="0.25">
      <c r="A35" s="1558" t="str">
        <f>+'EQUIPOS '!B6</f>
        <v>CAMION INCLUYE CONDUCTOR</v>
      </c>
      <c r="B35" s="1559"/>
      <c r="C35" s="1559"/>
      <c r="D35" s="1559"/>
      <c r="E35" s="1559"/>
      <c r="F35" s="1560"/>
      <c r="G35" s="1484">
        <f>(1/(H11*8))/12</f>
        <v>2.6041666666666665E-3</v>
      </c>
      <c r="H35" s="33">
        <f>+IFERROR(VLOOKUP(A35,'EQUIPOS '!$B$3:$M$78,12,FALSE),0)</f>
        <v>611492.5</v>
      </c>
      <c r="I35" s="33">
        <f>IFERROR(H35*G35,0)</f>
        <v>1592.4283854166665</v>
      </c>
      <c r="J35" s="33">
        <f>ROUND(I35,0)</f>
        <v>1592</v>
      </c>
    </row>
    <row r="36" spans="1:10" ht="13.9" customHeight="1" x14ac:dyDescent="0.25">
      <c r="A36" s="1558"/>
      <c r="B36" s="1559"/>
      <c r="C36" s="1559"/>
      <c r="D36" s="1559"/>
      <c r="E36" s="1559"/>
      <c r="F36" s="1560"/>
      <c r="G36" s="29"/>
      <c r="H36" s="33"/>
      <c r="I36" s="33"/>
      <c r="J36" s="33"/>
    </row>
    <row r="37" spans="1:10" ht="13.9" customHeight="1" x14ac:dyDescent="0.25">
      <c r="A37" s="1558"/>
      <c r="B37" s="1559"/>
      <c r="C37" s="1559"/>
      <c r="D37" s="1559"/>
      <c r="E37" s="1559"/>
      <c r="F37" s="1560"/>
      <c r="G37" s="29"/>
      <c r="H37" s="33"/>
      <c r="I37" s="33"/>
      <c r="J37" s="33"/>
    </row>
    <row r="38" spans="1:10" ht="13.9" customHeight="1" x14ac:dyDescent="0.25">
      <c r="G38" s="39"/>
      <c r="H38" s="39"/>
      <c r="I38" s="30" t="s">
        <v>257</v>
      </c>
      <c r="J38" s="33">
        <f>+SUM(J35:J37)</f>
        <v>1592</v>
      </c>
    </row>
    <row r="39" spans="1:10" ht="13.9" customHeight="1" x14ac:dyDescent="0.25"/>
    <row r="40" spans="1:10" ht="13.9" customHeight="1" x14ac:dyDescent="0.25">
      <c r="A40" s="1561" t="s">
        <v>270</v>
      </c>
      <c r="B40" s="1561"/>
      <c r="C40" s="1561"/>
      <c r="D40" s="1561"/>
      <c r="E40" s="1561"/>
      <c r="F40" s="1561"/>
      <c r="G40" s="1561"/>
      <c r="H40" s="1561"/>
      <c r="I40" s="27"/>
    </row>
    <row r="41" spans="1:10" ht="13.9" customHeight="1" x14ac:dyDescent="0.25">
      <c r="A41" s="1562" t="s">
        <v>271</v>
      </c>
      <c r="B41" s="1563"/>
      <c r="C41" s="1563"/>
      <c r="D41" s="1564"/>
      <c r="E41" s="28" t="s">
        <v>272</v>
      </c>
      <c r="F41" s="28" t="s">
        <v>264</v>
      </c>
      <c r="G41" s="28" t="s">
        <v>273</v>
      </c>
      <c r="H41" s="28" t="s">
        <v>255</v>
      </c>
      <c r="I41" s="28" t="s">
        <v>256</v>
      </c>
      <c r="J41" s="28" t="s">
        <v>257</v>
      </c>
    </row>
    <row r="42" spans="1:10" s="39" customFormat="1" ht="13.9" customHeight="1" x14ac:dyDescent="0.25">
      <c r="A42" s="1558" t="str">
        <f>+PERSONAL!B6</f>
        <v>AYUDANTE NOCTURNO</v>
      </c>
      <c r="B42" s="1559"/>
      <c r="C42" s="1559"/>
      <c r="D42" s="1560"/>
      <c r="E42" s="40">
        <f>+VLOOKUP(A42,PERSONAL!$B$3:$E$100,4,FALSE)</f>
        <v>83383</v>
      </c>
      <c r="F42" s="30">
        <v>4</v>
      </c>
      <c r="G42" s="40">
        <f>+E42*F42</f>
        <v>333532</v>
      </c>
      <c r="H42" s="35">
        <f>IFERROR(H11*8,0)</f>
        <v>32</v>
      </c>
      <c r="I42" s="33">
        <f>IFERROR(ROUND(G42/H42,0),0)</f>
        <v>10423</v>
      </c>
      <c r="J42" s="33">
        <f>+I42</f>
        <v>10423</v>
      </c>
    </row>
    <row r="43" spans="1:10" s="39" customFormat="1" ht="13.9" customHeight="1" x14ac:dyDescent="0.25">
      <c r="A43" s="1558" t="str">
        <f>+PERSONAL!B4</f>
        <v>AUXILIAR DE TRÁFICO NOCTURNO</v>
      </c>
      <c r="B43" s="1559"/>
      <c r="C43" s="1559"/>
      <c r="D43" s="1560"/>
      <c r="E43" s="40">
        <f>+VLOOKUP(A43,PERSONAL!$B$3:$E$100,4,FALSE)</f>
        <v>98122</v>
      </c>
      <c r="F43" s="30">
        <v>2</v>
      </c>
      <c r="G43" s="40">
        <f>+E43*F43</f>
        <v>196244</v>
      </c>
      <c r="H43" s="35">
        <f>IFERROR(H11*8,0)</f>
        <v>32</v>
      </c>
      <c r="I43" s="33">
        <f>IFERROR(ROUND(G43/H43,0),0)</f>
        <v>6133</v>
      </c>
      <c r="J43" s="33">
        <f>+I43</f>
        <v>6133</v>
      </c>
    </row>
    <row r="44" spans="1:10" s="39" customFormat="1" ht="13.9" customHeight="1" x14ac:dyDescent="0.25">
      <c r="A44" s="1558" t="str">
        <f>+PERSONAL!B19</f>
        <v>JEFE DE CUADRILLA NOCTURNO</v>
      </c>
      <c r="B44" s="1559"/>
      <c r="C44" s="1559"/>
      <c r="D44" s="1560"/>
      <c r="E44" s="40">
        <f>+VLOOKUP(A44,PERSONAL!$B$3:$E$100,4,FALSE)</f>
        <v>213741</v>
      </c>
      <c r="F44" s="30">
        <v>1</v>
      </c>
      <c r="G44" s="40">
        <f>+E44*F44</f>
        <v>213741</v>
      </c>
      <c r="H44" s="35">
        <f>IFERROR(H12*8,0)</f>
        <v>32</v>
      </c>
      <c r="I44" s="33">
        <f>IFERROR(ROUND(G44/H44,0),0)</f>
        <v>6679</v>
      </c>
      <c r="J44" s="33">
        <f>+I44</f>
        <v>6679</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20"/>
      <c r="B48" s="20"/>
      <c r="C48" s="20"/>
      <c r="D48" s="19"/>
      <c r="E48" s="20"/>
      <c r="F48" s="20"/>
      <c r="G48" s="20"/>
      <c r="H48" s="20"/>
      <c r="I48" s="30" t="s">
        <v>257</v>
      </c>
      <c r="J48" s="34">
        <f>+SUM(J42:J47)</f>
        <v>23235</v>
      </c>
    </row>
    <row r="49" spans="5:10" ht="13.9" customHeight="1" x14ac:dyDescent="0.25"/>
    <row r="50" spans="5:10" ht="13.9" customHeight="1" x14ac:dyDescent="0.25">
      <c r="E50" s="41" t="s">
        <v>276</v>
      </c>
      <c r="I50" s="42">
        <f>+J48+J38+J31+J17</f>
        <v>93547</v>
      </c>
      <c r="J50" s="43"/>
    </row>
    <row r="51" spans="5:10" ht="13.9" customHeight="1" x14ac:dyDescent="0.25"/>
    <row r="52" spans="5:10" ht="13.9" customHeight="1" x14ac:dyDescent="0.25"/>
    <row r="53" spans="5:10" ht="14.1" customHeight="1" x14ac:dyDescent="0.25"/>
    <row r="54" spans="5:10" ht="14.1" customHeight="1" x14ac:dyDescent="0.25"/>
  </sheetData>
  <mergeCells count="39">
    <mergeCell ref="A45:D45"/>
    <mergeCell ref="A46:D46"/>
    <mergeCell ref="A47:D47"/>
    <mergeCell ref="A37:F37"/>
    <mergeCell ref="A40:H40"/>
    <mergeCell ref="A41:D41"/>
    <mergeCell ref="A42:D42"/>
    <mergeCell ref="A43:D43"/>
    <mergeCell ref="A44:D44"/>
    <mergeCell ref="A36:F36"/>
    <mergeCell ref="A23:F23"/>
    <mergeCell ref="A24:F24"/>
    <mergeCell ref="A25:F25"/>
    <mergeCell ref="A26:F26"/>
    <mergeCell ref="A27:F27"/>
    <mergeCell ref="A28:F28"/>
    <mergeCell ref="A29:F29"/>
    <mergeCell ref="A30:F30"/>
    <mergeCell ref="A33:H33"/>
    <mergeCell ref="A34:F34"/>
    <mergeCell ref="A35:F35"/>
    <mergeCell ref="A22:F22"/>
    <mergeCell ref="A9:H9"/>
    <mergeCell ref="A10:D10"/>
    <mergeCell ref="A11:D11"/>
    <mergeCell ref="A12:D12"/>
    <mergeCell ref="A13:D13"/>
    <mergeCell ref="A14:D14"/>
    <mergeCell ref="A15:D15"/>
    <mergeCell ref="A16:D16"/>
    <mergeCell ref="A19:H19"/>
    <mergeCell ref="A20:F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Hoja72">
    <tabColor theme="5" tint="-0.499984740745262"/>
  </sheetPr>
  <dimension ref="A1:J54"/>
  <sheetViews>
    <sheetView topLeftCell="A35" workbookViewId="0">
      <selection activeCell="G35" sqref="G3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65</v>
      </c>
      <c r="D6" s="23"/>
      <c r="E6" s="23"/>
      <c r="F6" s="23"/>
      <c r="G6" s="23"/>
      <c r="H6" s="24"/>
      <c r="I6" s="25" t="s">
        <v>248</v>
      </c>
      <c r="J6" s="26" t="str">
        <f>+VLOOKUP(C6,'ANEXO PLIEGO_1'!$A$7:$C$133,3,FALSE)</f>
        <v>M2</v>
      </c>
    </row>
    <row r="7" spans="1:10" ht="35.1" customHeight="1" x14ac:dyDescent="0.25">
      <c r="A7" s="1568" t="s">
        <v>249</v>
      </c>
      <c r="B7" s="1570"/>
      <c r="C7" s="1578" t="str">
        <f>+VLOOKUP(C6,'ANEXO PLIEGO_1'!$A$7:$B$133,2,FALSE)</f>
        <v>Suministro y aplicación manual (método llana) de pintura de plástico en frio metilmetacrilato con microesferas, con antideslizante, para marcas viales de espesor seco de 50 mils según norma NTC 4744,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'!B9</f>
        <v>COMPRESOR</v>
      </c>
      <c r="B11" s="1559"/>
      <c r="C11" s="1559"/>
      <c r="D11" s="1560"/>
      <c r="E11" s="29" t="s">
        <v>202</v>
      </c>
      <c r="F11" s="30" t="str">
        <f>IFERROR(VLOOKUP(A11,'[10]EQUIPOS TRANSPOR SALARIO'!$A$3:$G$42,2,FALSE),"")</f>
        <v>Eléctrico</v>
      </c>
      <c r="G11" s="31">
        <f>+VLOOKUP(A11,'EQUIPOS '!$B$3:$M$64,12,FALSE)</f>
        <v>7999.94</v>
      </c>
      <c r="H11" s="30">
        <v>4</v>
      </c>
      <c r="I11" s="33">
        <f>IFERROR((G11/H11),0)</f>
        <v>1999.9849999999999</v>
      </c>
      <c r="J11" s="33">
        <f>ROUND(I11,0)</f>
        <v>2000</v>
      </c>
    </row>
    <row r="12" spans="1:10" s="20" customFormat="1" ht="13.9" customHeight="1" x14ac:dyDescent="0.25">
      <c r="A12" s="1558" t="str">
        <f>+'EQUIPOS '!B46</f>
        <v xml:space="preserve"> PMT (KIT )</v>
      </c>
      <c r="B12" s="1559"/>
      <c r="C12" s="1559"/>
      <c r="D12" s="1560"/>
      <c r="E12" s="29" t="s">
        <v>202</v>
      </c>
      <c r="F12" s="30" t="str">
        <f>IFERROR(VLOOKUP(A12,'[10]EQUIPOS TRANSPOR SALARIO'!$A$3:$G$42,2,FALSE),"")</f>
        <v/>
      </c>
      <c r="G12" s="31">
        <f>+VLOOKUP(A12,'EQUIPOS '!$B$3:$M$64,12,FALSE)</f>
        <v>13222</v>
      </c>
      <c r="H12" s="30">
        <f>+$H$11</f>
        <v>4</v>
      </c>
      <c r="I12" s="33">
        <f>IFERROR((G12/H12),0)</f>
        <v>3305.5</v>
      </c>
      <c r="J12" s="33">
        <f>ROUND(I12,0)</f>
        <v>3306</v>
      </c>
    </row>
    <row r="13" spans="1:10" s="20" customFormat="1" ht="13.9" customHeight="1" x14ac:dyDescent="0.25">
      <c r="A13" s="1558" t="str">
        <f>+'EQUIPOS '!B50</f>
        <v>EQUIPO DE CONTROL DE OBRA</v>
      </c>
      <c r="B13" s="1559"/>
      <c r="C13" s="1559"/>
      <c r="D13" s="1560"/>
      <c r="E13" s="29" t="s">
        <v>202</v>
      </c>
      <c r="F13" s="30"/>
      <c r="G13" s="31">
        <f>+VLOOKUP(A13,'EQUIPOS '!$B$3:$M$64,12,FALSE)</f>
        <v>1708.75</v>
      </c>
      <c r="H13" s="30">
        <f>+$H$11</f>
        <v>4</v>
      </c>
      <c r="I13" s="33">
        <f>IFERROR((G13/H13),0)</f>
        <v>427.1875</v>
      </c>
      <c r="J13" s="33">
        <f>ROUND(I13,0)</f>
        <v>427</v>
      </c>
    </row>
    <row r="14" spans="1:10" s="20" customFormat="1" ht="13.9" customHeight="1" x14ac:dyDescent="0.25">
      <c r="A14" s="1558" t="s">
        <v>330</v>
      </c>
      <c r="B14" s="1559"/>
      <c r="C14" s="1559"/>
      <c r="D14" s="1560"/>
      <c r="E14" s="29"/>
      <c r="F14" s="30" t="str">
        <f>IFERROR(VLOOKUP(A14,'[10]EQUIPOS TRANSPOR SALARIO'!$A$3:$G$42,2,FALSE),"")</f>
        <v/>
      </c>
      <c r="G14" s="131">
        <v>5.0000000000000001E-3</v>
      </c>
      <c r="H14" s="299">
        <f>+J48</f>
        <v>23235</v>
      </c>
      <c r="I14" s="33">
        <f>+G14*H14</f>
        <v>116.175</v>
      </c>
      <c r="J14" s="33">
        <f>ROUND(I14,0)</f>
        <v>116</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I17" s="30" t="s">
        <v>257</v>
      </c>
      <c r="J17" s="34">
        <f>+SUM(J11:J16)</f>
        <v>5928</v>
      </c>
    </row>
    <row r="18" spans="1:10" s="20" customFormat="1" ht="13.9" customHeight="1" x14ac:dyDescent="0.25"/>
    <row r="19" spans="1:10" s="20" customFormat="1" ht="13.9" customHeight="1" x14ac:dyDescent="0.25">
      <c r="A19" s="1561" t="s">
        <v>263</v>
      </c>
      <c r="B19" s="1561"/>
      <c r="C19" s="1561"/>
      <c r="D19" s="1561"/>
      <c r="E19" s="1561"/>
      <c r="F19" s="1561"/>
      <c r="G19" s="1561"/>
      <c r="H19" s="1561"/>
      <c r="I19" s="27"/>
    </row>
    <row r="20" spans="1:10" s="20" customFormat="1" ht="13.9" customHeight="1" x14ac:dyDescent="0.25">
      <c r="A20" s="1565" t="s">
        <v>251</v>
      </c>
      <c r="B20" s="1566"/>
      <c r="C20" s="1566"/>
      <c r="D20" s="1566"/>
      <c r="E20" s="1566"/>
      <c r="F20" s="1567"/>
      <c r="G20" s="28" t="s">
        <v>252</v>
      </c>
      <c r="H20" s="28" t="s">
        <v>264</v>
      </c>
      <c r="I20" s="28" t="s">
        <v>256</v>
      </c>
      <c r="J20" s="28" t="s">
        <v>257</v>
      </c>
    </row>
    <row r="21" spans="1:10" ht="23.25" customHeight="1" x14ac:dyDescent="0.25">
      <c r="A21" s="1568" t="str">
        <f>+'INSUMOS '!B76</f>
        <v>PINTURA PLÁSTICO EN FRIO METIL METACRILATO BLANCA O AMARILLA - PARA APLICACIÓN CON LLANA (98:2), INCLUYE CATALIZADOR</v>
      </c>
      <c r="B21" s="1569"/>
      <c r="C21" s="1569"/>
      <c r="D21" s="1569"/>
      <c r="E21" s="1569"/>
      <c r="F21" s="1570"/>
      <c r="G21" s="29" t="s">
        <v>114</v>
      </c>
      <c r="H21" s="37">
        <v>0.33</v>
      </c>
      <c r="I21" s="33">
        <f>+IFERROR(VLOOKUP(A21,'INSUMOS '!$B$2:$AP$167,'INSUMOS '!$AO$2+1,FALSE),0)</f>
        <v>137445</v>
      </c>
      <c r="J21" s="33">
        <f>ROUND(I21*H21,0)</f>
        <v>45357</v>
      </c>
    </row>
    <row r="22" spans="1:10" ht="28.5" customHeight="1" x14ac:dyDescent="0.25">
      <c r="A22" s="1558" t="str">
        <f>+'INSUMOS '!B59</f>
        <v>MICROESFERA DE VIDRIO  (ESFERICIDAD MAYOR A 80%)</v>
      </c>
      <c r="B22" s="1559"/>
      <c r="C22" s="1559"/>
      <c r="D22" s="1559"/>
      <c r="E22" s="1559"/>
      <c r="F22" s="1560"/>
      <c r="G22" s="29" t="s">
        <v>6</v>
      </c>
      <c r="H22" s="47">
        <v>0.37</v>
      </c>
      <c r="I22" s="33">
        <f>+IFERROR(VLOOKUP(A22,'INSUMOS '!$B$2:$AP$167,'INSUMOS '!$AO$2+1,FALSE),0)</f>
        <v>7449</v>
      </c>
      <c r="J22" s="33">
        <f>ROUND(I22*H22,0)</f>
        <v>2756</v>
      </c>
    </row>
    <row r="23" spans="1:10" ht="13.9" customHeight="1" x14ac:dyDescent="0.25">
      <c r="A23" s="1558" t="str">
        <f>+'INSUMOS '!B40</f>
        <v>DISOLVENTE AJUSTADOR LENTO XILOL</v>
      </c>
      <c r="B23" s="1559"/>
      <c r="C23" s="1559"/>
      <c r="D23" s="1559"/>
      <c r="E23" s="1559"/>
      <c r="F23" s="1560"/>
      <c r="G23" s="29" t="s">
        <v>114</v>
      </c>
      <c r="H23" s="47">
        <v>0.01</v>
      </c>
      <c r="I23" s="33">
        <f>+IFERROR(VLOOKUP(A23,'INSUMOS '!$B$2:$AP$167,'INSUMOS '!$AO$2+1,FALSE),0)</f>
        <v>73200</v>
      </c>
      <c r="J23" s="33">
        <f>ROUND(I23*H23,0)</f>
        <v>732</v>
      </c>
    </row>
    <row r="24" spans="1:10" ht="13.9" customHeight="1" x14ac:dyDescent="0.25">
      <c r="A24" s="1568" t="s">
        <v>59</v>
      </c>
      <c r="B24" s="1569"/>
      <c r="C24" s="1569"/>
      <c r="D24" s="1569"/>
      <c r="E24" s="1569"/>
      <c r="F24" s="1570"/>
      <c r="G24" s="29" t="s">
        <v>6</v>
      </c>
      <c r="H24" s="35">
        <f>0.2</f>
        <v>0.2</v>
      </c>
      <c r="I24" s="33">
        <f>+IFERROR(VLOOKUP(A24,'INSUMOS '!$B$2:$AP$167,'INSUMOS '!$AO$2+1,FALSE),0)</f>
        <v>39270</v>
      </c>
      <c r="J24" s="33">
        <f>ROUND(I24*H24,0)</f>
        <v>7854</v>
      </c>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35">
        <v>0.05</v>
      </c>
      <c r="I26" s="33">
        <f>+SUM(J21:J25)</f>
        <v>56699</v>
      </c>
      <c r="J26" s="33">
        <f>ROUND(I26*H26,0)</f>
        <v>2835</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7"/>
      <c r="I28" s="33"/>
      <c r="J28" s="33"/>
    </row>
    <row r="29" spans="1:10" ht="13.9" customHeight="1" x14ac:dyDescent="0.25">
      <c r="A29" s="1558"/>
      <c r="B29" s="1559"/>
      <c r="C29" s="1559"/>
      <c r="D29" s="1559"/>
      <c r="E29" s="1559"/>
      <c r="F29" s="1560"/>
      <c r="G29" s="29"/>
      <c r="H29" s="35"/>
      <c r="I29" s="33"/>
      <c r="J29" s="33"/>
    </row>
    <row r="30" spans="1:10" ht="13.9" customHeight="1" x14ac:dyDescent="0.25">
      <c r="A30" s="1558"/>
      <c r="B30" s="1559"/>
      <c r="C30" s="1559"/>
      <c r="D30" s="1559"/>
      <c r="E30" s="1559"/>
      <c r="F30" s="1560"/>
      <c r="G30" s="29"/>
      <c r="H30" s="35"/>
      <c r="I30" s="33"/>
      <c r="J30" s="33"/>
    </row>
    <row r="31" spans="1:10" ht="13.9" customHeight="1" x14ac:dyDescent="0.25">
      <c r="A31" s="20"/>
      <c r="B31" s="20"/>
      <c r="C31" s="20"/>
      <c r="D31" s="20"/>
      <c r="E31" s="20"/>
      <c r="G31" s="20"/>
      <c r="H31" s="20"/>
      <c r="I31" s="30" t="s">
        <v>257</v>
      </c>
      <c r="J31" s="34">
        <f>+SUM(J21:J30)</f>
        <v>59534</v>
      </c>
    </row>
    <row r="32" spans="1:10" ht="13.9" customHeight="1" x14ac:dyDescent="0.25"/>
    <row r="33" spans="1:10" ht="13.9" customHeight="1" x14ac:dyDescent="0.25">
      <c r="A33" s="1561" t="s">
        <v>267</v>
      </c>
      <c r="B33" s="1561"/>
      <c r="C33" s="1561"/>
      <c r="D33" s="1561"/>
      <c r="E33" s="1561"/>
      <c r="F33" s="1561"/>
      <c r="G33" s="1561"/>
      <c r="H33" s="1561"/>
      <c r="I33" s="27"/>
    </row>
    <row r="34" spans="1:10" ht="13.9" customHeight="1" x14ac:dyDescent="0.25">
      <c r="A34" s="1562" t="s">
        <v>268</v>
      </c>
      <c r="B34" s="1563"/>
      <c r="C34" s="1563"/>
      <c r="D34" s="1563"/>
      <c r="E34" s="1563"/>
      <c r="F34" s="1564"/>
      <c r="G34" s="38" t="s">
        <v>255</v>
      </c>
      <c r="H34" s="28" t="s">
        <v>269</v>
      </c>
      <c r="I34" s="28" t="s">
        <v>256</v>
      </c>
      <c r="J34" s="28" t="s">
        <v>257</v>
      </c>
    </row>
    <row r="35" spans="1:10" ht="13.9" customHeight="1" x14ac:dyDescent="0.25">
      <c r="A35" s="1558" t="str">
        <f>+'EQUIPOS '!B6</f>
        <v>CAMION INCLUYE CONDUCTOR</v>
      </c>
      <c r="B35" s="1559"/>
      <c r="C35" s="1559"/>
      <c r="D35" s="1559"/>
      <c r="E35" s="1559"/>
      <c r="F35" s="1560"/>
      <c r="G35" s="1481">
        <f>(1/(H11*8))/12</f>
        <v>2.6041666666666665E-3</v>
      </c>
      <c r="H35" s="33">
        <f>+IFERROR(VLOOKUP(A35,'EQUIPOS '!$B$3:$M$78,12,FALSE),0)</f>
        <v>611492.5</v>
      </c>
      <c r="I35" s="33">
        <f>IFERROR(H35*G35,0)</f>
        <v>1592.4283854166665</v>
      </c>
      <c r="J35" s="33">
        <f>ROUND(I35,0)</f>
        <v>1592</v>
      </c>
    </row>
    <row r="36" spans="1:10" ht="13.9" customHeight="1" x14ac:dyDescent="0.25">
      <c r="A36" s="1558"/>
      <c r="B36" s="1559"/>
      <c r="C36" s="1559"/>
      <c r="D36" s="1559"/>
      <c r="E36" s="1559"/>
      <c r="F36" s="1560"/>
      <c r="G36" s="29"/>
      <c r="H36" s="33"/>
      <c r="I36" s="33"/>
      <c r="J36" s="33"/>
    </row>
    <row r="37" spans="1:10" ht="13.9" customHeight="1" x14ac:dyDescent="0.25">
      <c r="A37" s="1558"/>
      <c r="B37" s="1559"/>
      <c r="C37" s="1559"/>
      <c r="D37" s="1559"/>
      <c r="E37" s="1559"/>
      <c r="F37" s="1560"/>
      <c r="G37" s="29"/>
      <c r="H37" s="33"/>
      <c r="I37" s="33"/>
      <c r="J37" s="33"/>
    </row>
    <row r="38" spans="1:10" ht="13.9" customHeight="1" x14ac:dyDescent="0.25">
      <c r="G38" s="39"/>
      <c r="H38" s="39"/>
      <c r="I38" s="30" t="s">
        <v>257</v>
      </c>
      <c r="J38" s="33">
        <f>+SUM(J35:J37)</f>
        <v>1592</v>
      </c>
    </row>
    <row r="39" spans="1:10" ht="13.9" customHeight="1" x14ac:dyDescent="0.25"/>
    <row r="40" spans="1:10" ht="13.9" customHeight="1" x14ac:dyDescent="0.25">
      <c r="A40" s="1561" t="s">
        <v>270</v>
      </c>
      <c r="B40" s="1561"/>
      <c r="C40" s="1561"/>
      <c r="D40" s="1561"/>
      <c r="E40" s="1561"/>
      <c r="F40" s="1561"/>
      <c r="G40" s="1561"/>
      <c r="H40" s="1561"/>
      <c r="I40" s="27"/>
    </row>
    <row r="41" spans="1:10" ht="13.9" customHeight="1" x14ac:dyDescent="0.25">
      <c r="A41" s="1562" t="s">
        <v>271</v>
      </c>
      <c r="B41" s="1563"/>
      <c r="C41" s="1563"/>
      <c r="D41" s="1564"/>
      <c r="E41" s="28" t="s">
        <v>272</v>
      </c>
      <c r="F41" s="28" t="s">
        <v>264</v>
      </c>
      <c r="G41" s="28" t="s">
        <v>273</v>
      </c>
      <c r="H41" s="28" t="s">
        <v>255</v>
      </c>
      <c r="I41" s="28" t="s">
        <v>256</v>
      </c>
      <c r="J41" s="28" t="s">
        <v>257</v>
      </c>
    </row>
    <row r="42" spans="1:10" s="39" customFormat="1" ht="13.9" customHeight="1" x14ac:dyDescent="0.25">
      <c r="A42" s="1558" t="str">
        <f>+PERSONAL!B6</f>
        <v>AYUDANTE NOCTURNO</v>
      </c>
      <c r="B42" s="1559"/>
      <c r="C42" s="1559"/>
      <c r="D42" s="1560"/>
      <c r="E42" s="40">
        <f>+VLOOKUP(A42,PERSONAL!$B$3:$E$100,4,FALSE)</f>
        <v>83383</v>
      </c>
      <c r="F42" s="30">
        <v>4</v>
      </c>
      <c r="G42" s="40">
        <f>+E42*F42</f>
        <v>333532</v>
      </c>
      <c r="H42" s="35">
        <f>IFERROR(H11*8,0)</f>
        <v>32</v>
      </c>
      <c r="I42" s="33">
        <f>IFERROR(ROUND(G42/H42,0),0)</f>
        <v>10423</v>
      </c>
      <c r="J42" s="33">
        <f>+I42</f>
        <v>10423</v>
      </c>
    </row>
    <row r="43" spans="1:10" s="39" customFormat="1" ht="13.9" customHeight="1" x14ac:dyDescent="0.25">
      <c r="A43" s="1558" t="str">
        <f>+PERSONAL!B4</f>
        <v>AUXILIAR DE TRÁFICO NOCTURNO</v>
      </c>
      <c r="B43" s="1559"/>
      <c r="C43" s="1559"/>
      <c r="D43" s="1560"/>
      <c r="E43" s="40">
        <f>+VLOOKUP(A43,PERSONAL!$B$3:$E$100,4,FALSE)</f>
        <v>98122</v>
      </c>
      <c r="F43" s="30">
        <v>2</v>
      </c>
      <c r="G43" s="40">
        <f>+E43*F43</f>
        <v>196244</v>
      </c>
      <c r="H43" s="35">
        <f>IFERROR(H11*8,0)</f>
        <v>32</v>
      </c>
      <c r="I43" s="33">
        <f>IFERROR(ROUND(G43/H43,0),0)</f>
        <v>6133</v>
      </c>
      <c r="J43" s="33">
        <f>+I43</f>
        <v>6133</v>
      </c>
    </row>
    <row r="44" spans="1:10" s="39" customFormat="1" ht="13.9" customHeight="1" x14ac:dyDescent="0.25">
      <c r="A44" s="1558" t="str">
        <f>+PERSONAL!B19</f>
        <v>JEFE DE CUADRILLA NOCTURNO</v>
      </c>
      <c r="B44" s="1559"/>
      <c r="C44" s="1559"/>
      <c r="D44" s="1560"/>
      <c r="E44" s="40">
        <f>+VLOOKUP(A44,PERSONAL!$B$3:$E$100,4,FALSE)</f>
        <v>213741</v>
      </c>
      <c r="F44" s="30">
        <v>1</v>
      </c>
      <c r="G44" s="40">
        <f>+E44*F44</f>
        <v>213741</v>
      </c>
      <c r="H44" s="35">
        <f>IFERROR(H12*8,0)</f>
        <v>32</v>
      </c>
      <c r="I44" s="33">
        <f>IFERROR(ROUND(G44/H44,0),0)</f>
        <v>6679</v>
      </c>
      <c r="J44" s="33">
        <f>+I44</f>
        <v>6679</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20"/>
      <c r="B48" s="20"/>
      <c r="C48" s="20"/>
      <c r="D48" s="19"/>
      <c r="E48" s="20"/>
      <c r="F48" s="20"/>
      <c r="G48" s="20"/>
      <c r="H48" s="20"/>
      <c r="I48" s="30" t="s">
        <v>257</v>
      </c>
      <c r="J48" s="34">
        <f>+SUM(J42:J47)</f>
        <v>23235</v>
      </c>
    </row>
    <row r="49" spans="5:10" ht="13.9" customHeight="1" x14ac:dyDescent="0.25"/>
    <row r="50" spans="5:10" ht="13.9" customHeight="1" x14ac:dyDescent="0.25">
      <c r="E50" s="41" t="s">
        <v>276</v>
      </c>
      <c r="I50" s="42">
        <f>+J48+J38+J31+J17</f>
        <v>90289</v>
      </c>
      <c r="J50" s="43"/>
    </row>
    <row r="51" spans="5:10" ht="13.9" customHeight="1" x14ac:dyDescent="0.25"/>
    <row r="52" spans="5:10" ht="13.9" customHeight="1" x14ac:dyDescent="0.25"/>
    <row r="53" spans="5:10" ht="14.1" customHeight="1" x14ac:dyDescent="0.25"/>
    <row r="54" spans="5:10" ht="14.1" customHeight="1" x14ac:dyDescent="0.25"/>
  </sheetData>
  <mergeCells count="39">
    <mergeCell ref="A1:J1"/>
    <mergeCell ref="A2:J2"/>
    <mergeCell ref="A4:J4"/>
    <mergeCell ref="A6:B6"/>
    <mergeCell ref="A7:B7"/>
    <mergeCell ref="C7:J7"/>
    <mergeCell ref="A21:F21"/>
    <mergeCell ref="A9:H9"/>
    <mergeCell ref="A10:D10"/>
    <mergeCell ref="A11:D11"/>
    <mergeCell ref="A12:D12"/>
    <mergeCell ref="A13:D13"/>
    <mergeCell ref="A14:D14"/>
    <mergeCell ref="A15:D15"/>
    <mergeCell ref="A16:D16"/>
    <mergeCell ref="A19:H19"/>
    <mergeCell ref="A20:F20"/>
    <mergeCell ref="A35:F35"/>
    <mergeCell ref="A22:F22"/>
    <mergeCell ref="A23:F23"/>
    <mergeCell ref="A24:F24"/>
    <mergeCell ref="A25:F25"/>
    <mergeCell ref="A26:F26"/>
    <mergeCell ref="A27:F27"/>
    <mergeCell ref="A28:F28"/>
    <mergeCell ref="A29:F29"/>
    <mergeCell ref="A30:F30"/>
    <mergeCell ref="A33:H33"/>
    <mergeCell ref="A34:F34"/>
    <mergeCell ref="A44:D44"/>
    <mergeCell ref="A45:D45"/>
    <mergeCell ref="A46:D46"/>
    <mergeCell ref="A47:D47"/>
    <mergeCell ref="A36:F36"/>
    <mergeCell ref="A37:F37"/>
    <mergeCell ref="A40:H40"/>
    <mergeCell ref="A41:D41"/>
    <mergeCell ref="A42:D42"/>
    <mergeCell ref="A43:D43"/>
  </mergeCells>
  <pageMargins left="0.70866141732283472" right="0.70866141732283472" top="0.78740157480314965" bottom="0.78740157480314965" header="0.31496062992125984" footer="0.31496062992125984"/>
  <pageSetup scale="85" orientation="portrait" r:id="rId1"/>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Hoja124">
    <tabColor theme="5" tint="-0.499984740745262"/>
  </sheetPr>
  <dimension ref="A1:M55"/>
  <sheetViews>
    <sheetView topLeftCell="A34"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64</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de plástico en frio metilmetacrilato para marcas viales sin microesfera, con antideslizante, y espesor seco de 50 mils (extruible) según norma NTC 4744,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5.5" customHeight="1" x14ac:dyDescent="0.25">
      <c r="A11" s="1568" t="str">
        <f>+'EQUIPOS '!B21</f>
        <v>EQUIPO MANUAL DE PINTURA PLÁSTICO EN FRIO (POR EXTRUSIÓN)</v>
      </c>
      <c r="B11" s="1569"/>
      <c r="C11" s="1569"/>
      <c r="D11" s="1570"/>
      <c r="E11" s="29" t="s">
        <v>202</v>
      </c>
      <c r="F11" s="48" t="str">
        <f>IFERROR(VLOOKUP(A11,'[10]EQUIPOS TRANSPOR SALARIO'!$A$3:$G$42,2,FALSE),"")</f>
        <v/>
      </c>
      <c r="G11" s="31">
        <f>+VLOOKUP(A11,'EQUIPOS '!$B$3:$M$64,12,FALSE)</f>
        <v>50810.93</v>
      </c>
      <c r="H11" s="30">
        <v>10</v>
      </c>
      <c r="I11" s="33">
        <f>IFERROR((G11/H11),"")</f>
        <v>5081.0929999999998</v>
      </c>
      <c r="J11" s="33">
        <f>ROUND(I11,0)</f>
        <v>5081</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10</v>
      </c>
      <c r="I12" s="33">
        <f>IFERROR((G12/H12),0)</f>
        <v>799.99399999999991</v>
      </c>
      <c r="J12" s="33">
        <f>ROUND(I12,0)</f>
        <v>800</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10</v>
      </c>
      <c r="I13" s="33">
        <f>IFERROR((G13/H13),0)</f>
        <v>1322.2</v>
      </c>
      <c r="J13" s="33">
        <f>ROUND(I13,0)</f>
        <v>1322</v>
      </c>
    </row>
    <row r="14" spans="1:10" s="20" customFormat="1" ht="13.9" customHeight="1" x14ac:dyDescent="0.25">
      <c r="A14" s="1558" t="str">
        <f>+'EQUIPOS '!B50</f>
        <v>EQUIPO DE CONTROL DE OBRA</v>
      </c>
      <c r="B14" s="1559"/>
      <c r="C14" s="1559"/>
      <c r="D14" s="1560"/>
      <c r="E14" s="29" t="s">
        <v>202</v>
      </c>
      <c r="F14" s="30"/>
      <c r="G14" s="31">
        <f>+VLOOKUP(A14,'EQUIPOS '!$B$3:$M$64,12,FALSE)</f>
        <v>1708.75</v>
      </c>
      <c r="H14" s="30">
        <f>+$H$11</f>
        <v>10</v>
      </c>
      <c r="I14" s="33">
        <f>IFERROR((G14/H14),0)</f>
        <v>170.875</v>
      </c>
      <c r="J14" s="33">
        <f>ROUND(I14,0)</f>
        <v>171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7419</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3" customHeight="1" x14ac:dyDescent="0.25">
      <c r="A22" s="1568" t="str">
        <f>+'INSUMOS '!B75</f>
        <v>PINTURA PLÁSTICO EN FRIO METIL METACRILATO BLANCA O AMARILLA -  EXTRUSIÓN (98:2)</v>
      </c>
      <c r="B22" s="1569"/>
      <c r="C22" s="1569"/>
      <c r="D22" s="1569"/>
      <c r="E22" s="1569"/>
      <c r="F22" s="1570"/>
      <c r="G22" s="29" t="s">
        <v>114</v>
      </c>
      <c r="H22" s="37">
        <f>2.45/7.25</f>
        <v>0.33793103448275863</v>
      </c>
      <c r="I22" s="33">
        <f>+IFERROR(VLOOKUP(A22,'INSUMOS '!$B$2:$AP$167,'INSUMOS '!$AO$2+1,FALSE),0)</f>
        <v>160575</v>
      </c>
      <c r="J22" s="33">
        <f>ROUND(I22*H22,0)</f>
        <v>54263</v>
      </c>
    </row>
    <row r="23" spans="1:10" ht="13.9" customHeight="1" x14ac:dyDescent="0.25">
      <c r="A23" s="1568" t="s">
        <v>59</v>
      </c>
      <c r="B23" s="1569"/>
      <c r="C23" s="1569"/>
      <c r="D23" s="1569"/>
      <c r="E23" s="1569"/>
      <c r="F23" s="1570"/>
      <c r="G23" s="29" t="s">
        <v>6</v>
      </c>
      <c r="H23" s="35">
        <f>0.35</f>
        <v>0.35</v>
      </c>
      <c r="I23" s="33">
        <f>+IFERROR(VLOOKUP(A23,'INSUMOS '!$B$2:$AP$167,'INSUMOS '!$AO$2+1,FALSE),0)</f>
        <v>39270</v>
      </c>
      <c r="J23" s="33">
        <f>ROUND(I23*H23,0)</f>
        <v>13745</v>
      </c>
    </row>
    <row r="24" spans="1:10"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35">
        <v>0.05</v>
      </c>
      <c r="I26" s="33">
        <f>+SUM(J22:J25)</f>
        <v>68252</v>
      </c>
      <c r="J26" s="33">
        <f>ROUND(I26*H26,0)</f>
        <v>3413</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71665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1.0416666666666667E-3</v>
      </c>
      <c r="H36" s="33">
        <f>+IFERROR(VLOOKUP(A36,'EQUIPOS '!$B$3:$M$78,12,FALSE),0)</f>
        <v>611492.5</v>
      </c>
      <c r="I36" s="33">
        <f>IFERROR(H36*G36,0)</f>
        <v>636.97135416666663</v>
      </c>
      <c r="J36" s="33">
        <f>ROUND(I36,0)</f>
        <v>637</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637</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80</v>
      </c>
      <c r="I43" s="33">
        <f>IFERROR(ROUND(G43/H43,0),0)</f>
        <v>1788</v>
      </c>
      <c r="J43" s="33">
        <f>+I43</f>
        <v>1788</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80</v>
      </c>
      <c r="I44" s="33">
        <f>IFERROR(ROUND(G44/H44,0),0)</f>
        <v>3127</v>
      </c>
      <c r="J44" s="33">
        <f>+I44</f>
        <v>3127</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v>
      </c>
      <c r="I45" s="33">
        <f>IFERROR(ROUND(G45/H45,0),0)</f>
        <v>2453</v>
      </c>
      <c r="J45" s="33">
        <f>+I45</f>
        <v>2453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80</v>
      </c>
      <c r="I46" s="33">
        <f>IFERROR(ROUND(G46/H46,0),0)</f>
        <v>2672</v>
      </c>
      <c r="J46" s="33">
        <f>+I46</f>
        <v>2672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3" ht="13.9" customHeight="1" x14ac:dyDescent="0.25">
      <c r="A49" s="20"/>
      <c r="B49" s="20"/>
      <c r="C49" s="20"/>
      <c r="E49" s="20"/>
      <c r="F49" s="20"/>
      <c r="G49" s="20"/>
      <c r="H49" s="20"/>
      <c r="I49" s="30" t="s">
        <v>257</v>
      </c>
      <c r="J49" s="34">
        <f>+SUM(J43:J48)</f>
        <v>10040</v>
      </c>
    </row>
    <row r="50" spans="1:13" ht="13.9" customHeight="1" x14ac:dyDescent="0.25"/>
    <row r="51" spans="1:13" ht="13.9" customHeight="1" x14ac:dyDescent="0.25">
      <c r="E51" s="41" t="s">
        <v>276</v>
      </c>
      <c r="I51" s="42">
        <f>+J49+J39+J32+J18</f>
        <v>89761</v>
      </c>
      <c r="J51" s="43"/>
      <c r="M51" s="19">
        <f>+I51*0.2</f>
        <v>17952.2</v>
      </c>
    </row>
    <row r="52" spans="1:13" ht="13.9" customHeight="1" x14ac:dyDescent="0.25"/>
    <row r="53" spans="1:13" ht="14.1" customHeight="1" x14ac:dyDescent="0.25">
      <c r="I53" s="44"/>
      <c r="J53" s="44"/>
    </row>
    <row r="54" spans="1:13" ht="14.1" customHeight="1" x14ac:dyDescent="0.25">
      <c r="I54" s="44"/>
    </row>
    <row r="55" spans="1:13" x14ac:dyDescent="0.25">
      <c r="I55" s="44"/>
    </row>
  </sheetData>
  <mergeCells count="40">
    <mergeCell ref="A45:D45"/>
    <mergeCell ref="A46:D46"/>
    <mergeCell ref="A47:D47"/>
    <mergeCell ref="A48:D48"/>
    <mergeCell ref="A37:F37"/>
    <mergeCell ref="A38:F38"/>
    <mergeCell ref="A41:H41"/>
    <mergeCell ref="A42:D42"/>
    <mergeCell ref="A43:D43"/>
    <mergeCell ref="A44:D44"/>
    <mergeCell ref="A36:F36"/>
    <mergeCell ref="A23:F23"/>
    <mergeCell ref="A24:F24"/>
    <mergeCell ref="A25:F25"/>
    <mergeCell ref="A26:F26"/>
    <mergeCell ref="A27:F27"/>
    <mergeCell ref="A28:F28"/>
    <mergeCell ref="A29:F29"/>
    <mergeCell ref="A30:F30"/>
    <mergeCell ref="A31:F31"/>
    <mergeCell ref="A34:H34"/>
    <mergeCell ref="A35:F35"/>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Hoja70">
    <tabColor theme="5" tint="-0.499984740745262"/>
  </sheetPr>
  <dimension ref="A1:M55"/>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63</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de plástico en frio metilmetacrilato para marcas viales, con antideslizante, con microesfera y espesor seco de 50 mils (extruible) según norma NTC 4744,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5.5" customHeight="1" x14ac:dyDescent="0.25">
      <c r="A11" s="1568" t="str">
        <f>+'EQUIPOS '!B21</f>
        <v>EQUIPO MANUAL DE PINTURA PLÁSTICO EN FRIO (POR EXTRUSIÓN)</v>
      </c>
      <c r="B11" s="1569"/>
      <c r="C11" s="1569"/>
      <c r="D11" s="1570"/>
      <c r="E11" s="29" t="s">
        <v>202</v>
      </c>
      <c r="F11" s="48" t="str">
        <f>IFERROR(VLOOKUP(A11,'[10]EQUIPOS TRANSPOR SALARIO'!$A$3:$G$42,2,FALSE),"")</f>
        <v/>
      </c>
      <c r="G11" s="31">
        <f>+VLOOKUP(A11,'EQUIPOS '!$B$3:$M$64,12,FALSE)</f>
        <v>50810.93</v>
      </c>
      <c r="H11" s="30">
        <v>10</v>
      </c>
      <c r="I11" s="33">
        <f>IFERROR((G11/H11),"")</f>
        <v>5081.0929999999998</v>
      </c>
      <c r="J11" s="33">
        <f>ROUND(I11,0)</f>
        <v>5081</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10</v>
      </c>
      <c r="I12" s="33">
        <f>IFERROR((G12/H12),0)</f>
        <v>799.99399999999991</v>
      </c>
      <c r="J12" s="33">
        <f>ROUND(I12,0)</f>
        <v>800</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10</v>
      </c>
      <c r="I13" s="33">
        <f>IFERROR((G13/H13),0)</f>
        <v>1322.2</v>
      </c>
      <c r="J13" s="33">
        <f>ROUND(I13,0)</f>
        <v>1322</v>
      </c>
    </row>
    <row r="14" spans="1:10" s="20" customFormat="1" ht="13.9" customHeight="1" x14ac:dyDescent="0.25">
      <c r="A14" s="1558" t="str">
        <f>+'EQUIPOS '!B50</f>
        <v>EQUIPO DE CONTROL DE OBRA</v>
      </c>
      <c r="B14" s="1559"/>
      <c r="C14" s="1559"/>
      <c r="D14" s="1560"/>
      <c r="E14" s="29" t="s">
        <v>202</v>
      </c>
      <c r="F14" s="30"/>
      <c r="G14" s="31">
        <f>+VLOOKUP(A14,'EQUIPOS '!$B$3:$M$64,12,FALSE)</f>
        <v>1708.75</v>
      </c>
      <c r="H14" s="30">
        <f>+$H$11</f>
        <v>10</v>
      </c>
      <c r="I14" s="33">
        <f>IFERROR((G14/H14),0)</f>
        <v>170.875</v>
      </c>
      <c r="J14" s="33">
        <f>ROUND(I14,0)</f>
        <v>171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7453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3" customHeight="1" x14ac:dyDescent="0.25">
      <c r="A22" s="1568" t="str">
        <f>+'INSUMOS '!B75</f>
        <v>PINTURA PLÁSTICO EN FRIO METIL METACRILATO BLANCA O AMARILLA -  EXTRUSIÓN (98:2)</v>
      </c>
      <c r="B22" s="1569"/>
      <c r="C22" s="1569"/>
      <c r="D22" s="1569"/>
      <c r="E22" s="1569"/>
      <c r="F22" s="1570"/>
      <c r="G22" s="29" t="s">
        <v>114</v>
      </c>
      <c r="H22" s="37">
        <f>2.45/7.25</f>
        <v>0.33793103448275863</v>
      </c>
      <c r="I22" s="33">
        <f>+IFERROR(VLOOKUP(A22,'INSUMOS '!$B$2:$AP$167,'INSUMOS '!$AO$2+1,FALSE),0)</f>
        <v>160575</v>
      </c>
      <c r="J22" s="33">
        <f>ROUND(I22*H22,0)</f>
        <v>54263</v>
      </c>
    </row>
    <row r="23" spans="1:10" ht="13.9" customHeight="1" x14ac:dyDescent="0.25">
      <c r="A23" s="1558" t="str">
        <f>+'INSUMOS '!B59</f>
        <v>MICROESFERA DE VIDRIO  (ESFERICIDAD MAYOR A 80%)</v>
      </c>
      <c r="B23" s="1559"/>
      <c r="C23" s="1559"/>
      <c r="D23" s="1559"/>
      <c r="E23" s="1559"/>
      <c r="F23" s="1560"/>
      <c r="G23" s="29" t="s">
        <v>6</v>
      </c>
      <c r="H23" s="47">
        <f>370/1000</f>
        <v>0.37</v>
      </c>
      <c r="I23" s="33">
        <f>+IFERROR(VLOOKUP(A23,'INSUMOS '!$B$2:$AP$167,'INSUMOS '!$AO$2+1,FALSE),0)</f>
        <v>7449</v>
      </c>
      <c r="J23" s="33">
        <f>ROUND(I23*H23,0)</f>
        <v>2756</v>
      </c>
    </row>
    <row r="24" spans="1:10"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0" ht="13.9" customHeight="1" x14ac:dyDescent="0.25">
      <c r="A25" s="1568" t="s">
        <v>59</v>
      </c>
      <c r="B25" s="1569"/>
      <c r="C25" s="1569"/>
      <c r="D25" s="1569"/>
      <c r="E25" s="1569"/>
      <c r="F25" s="1570"/>
      <c r="G25" s="29" t="s">
        <v>6</v>
      </c>
      <c r="H25" s="35">
        <f>0.2</f>
        <v>0.2</v>
      </c>
      <c r="I25" s="33">
        <f>+IFERROR(VLOOKUP(A25,'INSUMOS '!$B$2:$AP$167,'INSUMOS '!$AO$2+1,FALSE),0)</f>
        <v>39270</v>
      </c>
      <c r="J25" s="33">
        <f>ROUND(I25*H25,0)</f>
        <v>7854</v>
      </c>
    </row>
    <row r="26" spans="1:10" ht="13.9" customHeight="1" x14ac:dyDescent="0.25">
      <c r="A26" s="1558" t="s">
        <v>333</v>
      </c>
      <c r="B26" s="1559"/>
      <c r="C26" s="1559"/>
      <c r="D26" s="1559"/>
      <c r="E26" s="1559"/>
      <c r="F26" s="1560"/>
      <c r="G26" s="29"/>
      <c r="H26" s="35">
        <v>0.05</v>
      </c>
      <c r="I26" s="33">
        <f>+SUM(J22:J25)</f>
        <v>65117</v>
      </c>
      <c r="J26" s="33">
        <f>ROUND(I26*H26,0)</f>
        <v>3256</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68373</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1.0416666666666667E-3</v>
      </c>
      <c r="H36" s="33">
        <f>+IFERROR(VLOOKUP(A36,'EQUIPOS '!$B$3:$M$78,12,FALSE),0)</f>
        <v>611492.5</v>
      </c>
      <c r="I36" s="33">
        <f>IFERROR(H36*G36,0)</f>
        <v>636.97135416666663</v>
      </c>
      <c r="J36" s="33">
        <f>ROUND(I36,0)</f>
        <v>637</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637</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80</v>
      </c>
      <c r="I43" s="33">
        <f>IFERROR(ROUND(G43/H43,0),0)</f>
        <v>1788</v>
      </c>
      <c r="J43" s="33">
        <f>+I43</f>
        <v>1788</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80</v>
      </c>
      <c r="I44" s="33">
        <f>IFERROR(ROUND(G44/H44,0),0)</f>
        <v>2085</v>
      </c>
      <c r="J44" s="33">
        <f>+I44</f>
        <v>2085</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v>
      </c>
      <c r="I45" s="33">
        <f>IFERROR(ROUND(G45/H45,0),0)</f>
        <v>2453</v>
      </c>
      <c r="J45" s="33">
        <f>+I45</f>
        <v>2453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80</v>
      </c>
      <c r="I46" s="33">
        <f>IFERROR(ROUND(G46/H46,0),0)</f>
        <v>2672</v>
      </c>
      <c r="J46" s="33">
        <f>+I46</f>
        <v>2672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3" ht="13.9" customHeight="1" x14ac:dyDescent="0.25">
      <c r="A49" s="20"/>
      <c r="B49" s="20"/>
      <c r="C49" s="20"/>
      <c r="E49" s="20"/>
      <c r="F49" s="20"/>
      <c r="G49" s="20"/>
      <c r="H49" s="20"/>
      <c r="I49" s="30" t="s">
        <v>257</v>
      </c>
      <c r="J49" s="34">
        <f>+SUM(J43:J48)</f>
        <v>8998</v>
      </c>
    </row>
    <row r="50" spans="1:13" ht="13.9" customHeight="1" x14ac:dyDescent="0.25"/>
    <row r="51" spans="1:13" ht="13.9" customHeight="1" x14ac:dyDescent="0.25">
      <c r="E51" s="41" t="s">
        <v>276</v>
      </c>
      <c r="I51" s="42">
        <f>+J49+J39+J32+J18</f>
        <v>85461</v>
      </c>
      <c r="J51" s="43"/>
      <c r="M51" s="19">
        <f>+I51*0.2</f>
        <v>17092.2</v>
      </c>
    </row>
    <row r="52" spans="1:13" ht="13.9" customHeight="1" x14ac:dyDescent="0.25"/>
    <row r="53" spans="1:13" ht="14.1" customHeight="1" x14ac:dyDescent="0.25">
      <c r="I53" s="44"/>
      <c r="J53" s="44"/>
    </row>
    <row r="54" spans="1:13" ht="14.1" customHeight="1" x14ac:dyDescent="0.25">
      <c r="I54" s="44"/>
    </row>
    <row r="55" spans="1:13"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Hoja69">
    <tabColor theme="5" tint="-0.499984740745262"/>
  </sheetPr>
  <dimension ref="A1:J55"/>
  <sheetViews>
    <sheetView topLeftCell="A28"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62</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en plástico en frio metilmetacrilato de 20 cm para líneas de demarcación, con microesfera, con antideslizante, y espesor seco de 50 mils (extruible) según norma NTC 4744</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2.5" customHeight="1" x14ac:dyDescent="0.25">
      <c r="A11" s="1568" t="str">
        <f>+'EQUIPOS '!B21</f>
        <v>EQUIPO MANUAL DE PINTURA PLÁSTICO EN FRIO (POR EXTRUSIÓN)</v>
      </c>
      <c r="B11" s="1569"/>
      <c r="C11" s="1569"/>
      <c r="D11" s="1570"/>
      <c r="E11" s="29" t="s">
        <v>202</v>
      </c>
      <c r="F11" s="48" t="str">
        <f>IFERROR(VLOOKUP(A11,'[10]EQUIPOS TRANSPOR SALARIO'!$A$3:$G$42,2,FALSE),"")</f>
        <v/>
      </c>
      <c r="G11" s="31">
        <f>+VLOOKUP(A11,'EQUIPOS '!$B$3:$M$64,12,FALSE)</f>
        <v>50810.93</v>
      </c>
      <c r="H11" s="30">
        <v>120</v>
      </c>
      <c r="I11" s="33">
        <f>IFERROR((G11/H11),"")</f>
        <v>423.42441666666667</v>
      </c>
      <c r="J11" s="33">
        <f>ROUND(I11,0)</f>
        <v>423</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120</v>
      </c>
      <c r="I12" s="33">
        <f>IFERROR((G12/H12),0)</f>
        <v>66.666166666666669</v>
      </c>
      <c r="J12" s="33">
        <f>ROUND(I12,0)</f>
        <v>67</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120</v>
      </c>
      <c r="I13" s="33">
        <f>IFERROR((G13/H13),0)</f>
        <v>110.18333333333334</v>
      </c>
      <c r="J13" s="33">
        <f>ROUND(I13,0)</f>
        <v>110</v>
      </c>
    </row>
    <row r="14" spans="1:10" s="20" customFormat="1" ht="13.9" customHeight="1" x14ac:dyDescent="0.25">
      <c r="A14" s="1558" t="str">
        <f>+'EQUIPOS '!B50</f>
        <v>EQUIPO DE CONTROL DE OBRA</v>
      </c>
      <c r="B14" s="1559"/>
      <c r="C14" s="1559"/>
      <c r="D14" s="1560"/>
      <c r="E14" s="29" t="s">
        <v>202</v>
      </c>
      <c r="F14" s="30"/>
      <c r="G14" s="31">
        <f>+VLOOKUP(A14,'EQUIPOS '!$B$3:$M$64,12,FALSE)</f>
        <v>1708.75</v>
      </c>
      <c r="H14" s="30">
        <f>+$H$11</f>
        <v>120</v>
      </c>
      <c r="I14" s="33">
        <f>IFERROR((G14/H14),0)</f>
        <v>14.239583333333334</v>
      </c>
      <c r="J14" s="33">
        <f>ROUND(I14,0)</f>
        <v>14</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0" s="20" customFormat="1" ht="13.9" customHeight="1" x14ac:dyDescent="0.25">
      <c r="A16" s="1558"/>
      <c r="B16" s="1559"/>
      <c r="C16" s="1559"/>
      <c r="D16" s="1560"/>
      <c r="E16" s="29"/>
      <c r="F16" s="30"/>
      <c r="G16" s="31"/>
      <c r="H16" s="30"/>
      <c r="I16" s="33"/>
      <c r="J16" s="33"/>
    </row>
    <row r="17" spans="1:10" s="20" customFormat="1" ht="13.9" customHeight="1" x14ac:dyDescent="0.25">
      <c r="A17" s="1558"/>
      <c r="B17" s="1559"/>
      <c r="C17" s="1559"/>
      <c r="D17" s="1560"/>
      <c r="E17" s="29"/>
      <c r="F17" s="30"/>
      <c r="G17" s="31"/>
      <c r="H17" s="30"/>
      <c r="I17" s="33"/>
      <c r="J17" s="33"/>
    </row>
    <row r="18" spans="1:10" s="20" customFormat="1" ht="13.9" customHeight="1" x14ac:dyDescent="0.25">
      <c r="I18" s="30" t="s">
        <v>257</v>
      </c>
      <c r="J18" s="34">
        <f>+SUM(J11:J17)</f>
        <v>693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1.75" customHeight="1" x14ac:dyDescent="0.25">
      <c r="A22" s="1568" t="str">
        <f>+'INSUMOS '!B75</f>
        <v>PINTURA PLÁSTICO EN FRIO METIL METACRILATO BLANCA O AMARILLA -  EXTRUSIÓN (98:2)</v>
      </c>
      <c r="B22" s="1569"/>
      <c r="C22" s="1569"/>
      <c r="D22" s="1569"/>
      <c r="E22" s="1569"/>
      <c r="F22" s="1570"/>
      <c r="G22" s="29" t="s">
        <v>114</v>
      </c>
      <c r="H22" s="37">
        <f>2.45/7.25*0.2</f>
        <v>6.7586206896551732E-2</v>
      </c>
      <c r="I22" s="33">
        <f>+IFERROR(VLOOKUP(A22,'INSUMOS '!$B$2:$AP$167,'INSUMOS '!$AO$2+1,FALSE),0)</f>
        <v>160575</v>
      </c>
      <c r="J22" s="33">
        <f>ROUND(I22*H22,0)</f>
        <v>10853</v>
      </c>
    </row>
    <row r="23" spans="1:10" ht="13.9" customHeight="1" x14ac:dyDescent="0.25">
      <c r="A23" s="1558" t="str">
        <f>+'INSUMOS '!B59</f>
        <v>MICROESFERA DE VIDRIO  (ESFERICIDAD MAYOR A 80%)</v>
      </c>
      <c r="B23" s="1559"/>
      <c r="C23" s="1559"/>
      <c r="D23" s="1559"/>
      <c r="E23" s="1559"/>
      <c r="F23" s="1560"/>
      <c r="G23" s="29" t="s">
        <v>6</v>
      </c>
      <c r="H23" s="47">
        <f>370*0.2/1000</f>
        <v>7.3999999999999996E-2</v>
      </c>
      <c r="I23" s="33">
        <f>+IFERROR(VLOOKUP(A23,'INSUMOS '!$B$2:$AP$167,'INSUMOS '!$AO$2+1,FALSE),0)</f>
        <v>7449</v>
      </c>
      <c r="J23" s="33">
        <f>ROUND(I23*H23,0)</f>
        <v>551</v>
      </c>
    </row>
    <row r="24" spans="1:10"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0" ht="13.9" customHeight="1" x14ac:dyDescent="0.25">
      <c r="A25" s="1568" t="s">
        <v>59</v>
      </c>
      <c r="B25" s="1569"/>
      <c r="C25" s="1569"/>
      <c r="D25" s="1569"/>
      <c r="E25" s="1569"/>
      <c r="F25" s="1570"/>
      <c r="G25" s="29" t="s">
        <v>6</v>
      </c>
      <c r="H25" s="35">
        <f>0.04</f>
        <v>0.04</v>
      </c>
      <c r="I25" s="33">
        <f>+IFERROR(VLOOKUP(A25,'INSUMOS '!$B$2:$AP$167,'INSUMOS '!$AO$2+1,FALSE),0)</f>
        <v>39270</v>
      </c>
      <c r="J25" s="33">
        <f>ROUND(I25*H25,0)</f>
        <v>1571</v>
      </c>
    </row>
    <row r="26" spans="1:10" ht="13.9" customHeight="1" x14ac:dyDescent="0.25">
      <c r="A26" s="1558" t="s">
        <v>333</v>
      </c>
      <c r="B26" s="1559"/>
      <c r="C26" s="1559"/>
      <c r="D26" s="1559"/>
      <c r="E26" s="1559"/>
      <c r="F26" s="1560"/>
      <c r="G26" s="29"/>
      <c r="H26" s="35">
        <v>0.05</v>
      </c>
      <c r="I26" s="33">
        <f>+SUM(J22:J25)</f>
        <v>13219</v>
      </c>
      <c r="J26" s="33">
        <f>ROUND(I26*H26,0)</f>
        <v>661</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13880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8.6805555555555559E-5</v>
      </c>
      <c r="H36" s="33">
        <f>+IFERROR(VLOOKUP(A36,'EQUIPOS '!$B$3:$M$78,12,FALSE),0)</f>
        <v>611492.5</v>
      </c>
      <c r="I36" s="33">
        <f>IFERROR(H36*G36,0)</f>
        <v>53.080946180555557</v>
      </c>
      <c r="J36" s="33">
        <f>ROUND(I36,0)</f>
        <v>53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960</v>
      </c>
      <c r="I43" s="33">
        <f>IFERROR(ROUND(G43/H43,0),0)</f>
        <v>298</v>
      </c>
      <c r="J43" s="33">
        <f>+I43</f>
        <v>298</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960</v>
      </c>
      <c r="I44" s="33">
        <f>IFERROR(ROUND(G44/H44,0),0)</f>
        <v>261</v>
      </c>
      <c r="J44" s="33">
        <f>+I44</f>
        <v>261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960</v>
      </c>
      <c r="I45" s="33">
        <f>IFERROR(ROUND(G45/H45,0),0)</f>
        <v>204</v>
      </c>
      <c r="J45" s="33">
        <f>+I45</f>
        <v>204</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960</v>
      </c>
      <c r="I46" s="33">
        <f>IFERROR(ROUND(G46/H46,0),0)</f>
        <v>223</v>
      </c>
      <c r="J46" s="33">
        <f>+I46</f>
        <v>223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986</v>
      </c>
    </row>
    <row r="50" spans="1:10" ht="13.9" customHeight="1" x14ac:dyDescent="0.25"/>
    <row r="51" spans="1:10" ht="13.9" customHeight="1" x14ac:dyDescent="0.25">
      <c r="E51" s="41" t="s">
        <v>276</v>
      </c>
      <c r="I51" s="42">
        <f>+J49+J39+J32+J18</f>
        <v>15612</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Hoja68">
    <tabColor theme="5" tint="-0.499984740745262"/>
  </sheetPr>
  <dimension ref="A1:J55"/>
  <sheetViews>
    <sheetView topLeftCell="A37"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61</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en plástico en frio metilmetacrilato de 15 cm para líneas de demarcación, con antideslizante, con microesfera y espesor seco de 50 mils (extruible) según norma NTC 4744</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2.5" customHeight="1" x14ac:dyDescent="0.25">
      <c r="A11" s="1568" t="str">
        <f>+'EQUIPOS '!B21</f>
        <v>EQUIPO MANUAL DE PINTURA PLÁSTICO EN FRIO (POR EXTRUSIÓN)</v>
      </c>
      <c r="B11" s="1569"/>
      <c r="C11" s="1569"/>
      <c r="D11" s="1570"/>
      <c r="E11" s="29" t="s">
        <v>202</v>
      </c>
      <c r="F11" s="48" t="str">
        <f>IFERROR(VLOOKUP(A11,'[10]EQUIPOS TRANSPOR SALARIO'!$A$3:$G$42,2,FALSE),"")</f>
        <v/>
      </c>
      <c r="G11" s="31">
        <f>+VLOOKUP(A11,'EQUIPOS '!$B$3:$M$64,12,FALSE)</f>
        <v>50810.93</v>
      </c>
      <c r="H11" s="30">
        <v>120</v>
      </c>
      <c r="I11" s="33">
        <f>IFERROR((G11/H11),"")</f>
        <v>423.42441666666667</v>
      </c>
      <c r="J11" s="33">
        <f>ROUND(I11,0)</f>
        <v>423</v>
      </c>
    </row>
    <row r="12" spans="1:10" s="20" customFormat="1" ht="13.9" customHeight="1" x14ac:dyDescent="0.25">
      <c r="A12" s="1568" t="str">
        <f>+'EQUIPOS '!B9</f>
        <v>COMPRESOR</v>
      </c>
      <c r="B12" s="1569"/>
      <c r="C12" s="1569"/>
      <c r="D12" s="1570"/>
      <c r="E12" s="29" t="s">
        <v>202</v>
      </c>
      <c r="F12" s="30" t="str">
        <f>IFERROR(VLOOKUP(A12,'[10]EQUIPOS TRANSPOR SALARIO'!$A$3:$G$42,2,FALSE),"")</f>
        <v>Eléctrico</v>
      </c>
      <c r="G12" s="31">
        <f>+VLOOKUP(A12,'EQUIPOS '!$B$3:$M$64,12,FALSE)</f>
        <v>7999.94</v>
      </c>
      <c r="H12" s="30">
        <f>+$H$11</f>
        <v>120</v>
      </c>
      <c r="I12" s="33">
        <f t="shared" ref="I12:I14" si="0">IFERROR((G12/H12),0)</f>
        <v>66.666166666666669</v>
      </c>
      <c r="J12" s="33">
        <f t="shared" ref="J12:J15" si="1">ROUND(I12,0)</f>
        <v>67</v>
      </c>
    </row>
    <row r="13" spans="1:10" s="20" customFormat="1" ht="13.9" customHeight="1" x14ac:dyDescent="0.25">
      <c r="A13" s="1568" t="str">
        <f>+'EQUIPOS '!B46</f>
        <v xml:space="preserve"> PMT (KIT )</v>
      </c>
      <c r="B13" s="1569"/>
      <c r="C13" s="1569"/>
      <c r="D13" s="1570"/>
      <c r="E13" s="29" t="s">
        <v>202</v>
      </c>
      <c r="F13" s="30" t="str">
        <f>IFERROR(VLOOKUP(A13,'[10]EQUIPOS TRANSPOR SALARIO'!$A$3:$G$42,2,FALSE),"")</f>
        <v/>
      </c>
      <c r="G13" s="31">
        <f>+VLOOKUP(A13,'EQUIPOS '!$B$3:$M$64,12,FALSE)</f>
        <v>13222</v>
      </c>
      <c r="H13" s="30">
        <f>+$H$11</f>
        <v>120</v>
      </c>
      <c r="I13" s="33">
        <f t="shared" si="0"/>
        <v>110.18333333333334</v>
      </c>
      <c r="J13" s="33">
        <f t="shared" si="1"/>
        <v>110</v>
      </c>
    </row>
    <row r="14" spans="1:10" s="20" customFormat="1" ht="13.9" customHeight="1" x14ac:dyDescent="0.25">
      <c r="A14" s="1568" t="str">
        <f>+'EQUIPOS '!B50</f>
        <v>EQUIPO DE CONTROL DE OBRA</v>
      </c>
      <c r="B14" s="1569"/>
      <c r="C14" s="1569"/>
      <c r="D14" s="1570"/>
      <c r="E14" s="29" t="s">
        <v>202</v>
      </c>
      <c r="F14" s="30"/>
      <c r="G14" s="31">
        <f>+VLOOKUP(A14,'EQUIPOS '!$B$3:$M$64,12,FALSE)</f>
        <v>1708.75</v>
      </c>
      <c r="H14" s="30">
        <f>+$H$11</f>
        <v>120</v>
      </c>
      <c r="I14" s="33">
        <f t="shared" si="0"/>
        <v>14.239583333333334</v>
      </c>
      <c r="J14" s="33">
        <f t="shared" si="1"/>
        <v>14</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693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9.25" customHeight="1" x14ac:dyDescent="0.25">
      <c r="A22" s="1568" t="str">
        <f>+'INSUMOS '!B75</f>
        <v>PINTURA PLÁSTICO EN FRIO METIL METACRILATO BLANCA O AMARILLA -  EXTRUSIÓN (98:2)</v>
      </c>
      <c r="B22" s="1569"/>
      <c r="C22" s="1569"/>
      <c r="D22" s="1569"/>
      <c r="E22" s="1569"/>
      <c r="F22" s="1570"/>
      <c r="G22" s="29" t="s">
        <v>114</v>
      </c>
      <c r="H22" s="37">
        <f>2.45/7.25*0.15</f>
        <v>5.0689655172413792E-2</v>
      </c>
      <c r="I22" s="33">
        <f>+IFERROR(VLOOKUP(A22,'INSUMOS '!$B$2:$AP$167,'INSUMOS '!$AO$2+1,FALSE),0)</f>
        <v>160575</v>
      </c>
      <c r="J22" s="33">
        <f>ROUND(I22*H22,0)</f>
        <v>8139</v>
      </c>
    </row>
    <row r="23" spans="1:10" ht="13.9" customHeight="1" x14ac:dyDescent="0.25">
      <c r="A23" s="1558" t="str">
        <f>+'INSUMOS '!B59</f>
        <v>MICROESFERA DE VIDRIO  (ESFERICIDAD MAYOR A 80%)</v>
      </c>
      <c r="B23" s="1559"/>
      <c r="C23" s="1559"/>
      <c r="D23" s="1559"/>
      <c r="E23" s="1559"/>
      <c r="F23" s="1560"/>
      <c r="G23" s="29" t="s">
        <v>6</v>
      </c>
      <c r="H23" s="47">
        <f>370*0.15/1000</f>
        <v>5.5500000000000001E-2</v>
      </c>
      <c r="I23" s="33">
        <f>+IFERROR(VLOOKUP(A23,'INSUMOS '!$B$2:$AP$167,'INSUMOS '!$AO$2+1,FALSE),0)</f>
        <v>7449</v>
      </c>
      <c r="J23" s="33">
        <f>ROUND(I23*H23,0)</f>
        <v>413</v>
      </c>
    </row>
    <row r="24" spans="1:10"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0" ht="13.9" customHeight="1" x14ac:dyDescent="0.25">
      <c r="A25" s="1568" t="s">
        <v>59</v>
      </c>
      <c r="B25" s="1569"/>
      <c r="C25" s="1569"/>
      <c r="D25" s="1569"/>
      <c r="E25" s="1569"/>
      <c r="F25" s="1570"/>
      <c r="G25" s="29" t="s">
        <v>6</v>
      </c>
      <c r="H25" s="35">
        <f>0.03</f>
        <v>0.03</v>
      </c>
      <c r="I25" s="33">
        <f>+IFERROR(VLOOKUP(A25,'INSUMOS '!$B$2:$AP$167,'INSUMOS '!$AO$2+1,FALSE),0)</f>
        <v>39270</v>
      </c>
      <c r="J25" s="33">
        <f>ROUND(I25*H25,0)</f>
        <v>1178</v>
      </c>
    </row>
    <row r="26" spans="1:10" ht="13.9" customHeight="1" x14ac:dyDescent="0.25">
      <c r="A26" s="1558" t="s">
        <v>333</v>
      </c>
      <c r="B26" s="1559"/>
      <c r="C26" s="1559"/>
      <c r="D26" s="1559"/>
      <c r="E26" s="1559"/>
      <c r="F26" s="1560"/>
      <c r="G26" s="29"/>
      <c r="H26" s="35">
        <v>0.05</v>
      </c>
      <c r="I26" s="33">
        <f>+SUM(J22:J25)</f>
        <v>9974</v>
      </c>
      <c r="J26" s="33">
        <f>ROUND(I26*H26,0)</f>
        <v>499</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10473</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8.6805555555555559E-5</v>
      </c>
      <c r="H36" s="33">
        <f>+IFERROR(VLOOKUP(A36,'EQUIPOS '!$B$3:$M$78,12,FALSE),0)</f>
        <v>611492.5</v>
      </c>
      <c r="I36" s="33">
        <f>IFERROR(H36*G36,0)</f>
        <v>53.080946180555557</v>
      </c>
      <c r="J36" s="33">
        <f>ROUND(I36,0)</f>
        <v>53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960</v>
      </c>
      <c r="I43" s="33">
        <f>IFERROR(ROUND(G43/H43,0),0)</f>
        <v>298</v>
      </c>
      <c r="J43" s="33">
        <f>+I43</f>
        <v>298</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960</v>
      </c>
      <c r="I44" s="33">
        <f>IFERROR(ROUND(G44/H44,0),0)</f>
        <v>261</v>
      </c>
      <c r="J44" s="33">
        <f>+I44</f>
        <v>261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960</v>
      </c>
      <c r="I45" s="33">
        <f>IFERROR(ROUND(G45/H45,0),0)</f>
        <v>204</v>
      </c>
      <c r="J45" s="33">
        <f>+I45</f>
        <v>204</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960</v>
      </c>
      <c r="I46" s="33">
        <f>IFERROR(ROUND(G46/H46,0),0)</f>
        <v>223</v>
      </c>
      <c r="J46" s="33">
        <f>+I46</f>
        <v>223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986</v>
      </c>
    </row>
    <row r="50" spans="1:10" ht="13.9" customHeight="1" x14ac:dyDescent="0.25"/>
    <row r="51" spans="1:10" ht="13.9" customHeight="1" x14ac:dyDescent="0.25">
      <c r="E51" s="41" t="s">
        <v>276</v>
      </c>
      <c r="I51" s="42">
        <f>+J49+J39+J32+J18</f>
        <v>12205</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Hoja67">
    <tabColor theme="5" tint="-0.499984740745262"/>
  </sheetPr>
  <dimension ref="A1:N55"/>
  <sheetViews>
    <sheetView topLeftCell="A3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4" ht="29.25" customHeight="1" x14ac:dyDescent="0.25">
      <c r="A1" s="1574" t="s">
        <v>244</v>
      </c>
      <c r="B1" s="1575"/>
      <c r="C1" s="1575"/>
      <c r="D1" s="1575"/>
      <c r="E1" s="1575"/>
      <c r="F1" s="1575"/>
      <c r="G1" s="1575"/>
      <c r="H1" s="1575"/>
      <c r="I1" s="1575"/>
      <c r="J1" s="1575"/>
    </row>
    <row r="2" spans="1:14" ht="15" customHeight="1" x14ac:dyDescent="0.25">
      <c r="A2" s="1576" t="s">
        <v>245</v>
      </c>
      <c r="B2" s="1576"/>
      <c r="C2" s="1576"/>
      <c r="D2" s="1576"/>
      <c r="E2" s="1576"/>
      <c r="F2" s="1576"/>
      <c r="G2" s="1576"/>
      <c r="H2" s="1576"/>
      <c r="I2" s="1576"/>
      <c r="J2" s="1576"/>
    </row>
    <row r="4" spans="1:14" s="20" customFormat="1" ht="9.9499999999999993" customHeight="1" x14ac:dyDescent="0.25">
      <c r="A4" s="1577" t="s">
        <v>246</v>
      </c>
      <c r="B4" s="1577"/>
      <c r="C4" s="1577"/>
      <c r="D4" s="1577"/>
      <c r="E4" s="1577"/>
      <c r="F4" s="1577"/>
      <c r="G4" s="1577"/>
      <c r="H4" s="1577"/>
      <c r="I4" s="1577"/>
      <c r="J4" s="1577"/>
    </row>
    <row r="5" spans="1:14" s="20" customFormat="1" ht="9.9499999999999993" customHeight="1" x14ac:dyDescent="0.25">
      <c r="B5" s="21"/>
      <c r="C5" s="21"/>
      <c r="D5" s="21"/>
      <c r="E5" s="21"/>
      <c r="F5" s="21"/>
      <c r="G5" s="21"/>
    </row>
    <row r="6" spans="1:14" x14ac:dyDescent="0.25">
      <c r="A6" s="1558" t="s">
        <v>247</v>
      </c>
      <c r="B6" s="1560"/>
      <c r="C6" s="45">
        <v>60</v>
      </c>
      <c r="D6" s="8"/>
      <c r="E6" s="8"/>
      <c r="F6" s="8"/>
      <c r="G6" s="8"/>
      <c r="H6" s="46"/>
      <c r="I6" s="29" t="s">
        <v>248</v>
      </c>
      <c r="J6" s="26" t="str">
        <f>+VLOOKUP(C6,'ANEXO PLIEGO_1'!$A$7:$C$133,3,FALSE)</f>
        <v>M</v>
      </c>
    </row>
    <row r="7" spans="1:14" ht="35.1" customHeight="1" x14ac:dyDescent="0.25">
      <c r="A7" s="1568" t="s">
        <v>249</v>
      </c>
      <c r="B7" s="1570"/>
      <c r="C7" s="1578" t="str">
        <f>+VLOOKUP(C6,'ANEXO PLIEGO_1'!$A$7:$B$133,2,FALSE)</f>
        <v>Suministro y Aplicación de pintura en plástico en frio metilmetacrilato de 12 cm para líneas de demarcación, con microesfera, con antideslizante, y espesor seco de 50 mils (extruible) según norma NTC 4744</v>
      </c>
      <c r="D7" s="1579"/>
      <c r="E7" s="1579"/>
      <c r="F7" s="1579"/>
      <c r="G7" s="1579"/>
      <c r="H7" s="1579"/>
      <c r="I7" s="1579"/>
      <c r="J7" s="1580"/>
    </row>
    <row r="9" spans="1:14" s="27" customFormat="1" ht="12.75" x14ac:dyDescent="0.25">
      <c r="A9" s="1561" t="s">
        <v>250</v>
      </c>
      <c r="B9" s="1561"/>
      <c r="C9" s="1561"/>
      <c r="D9" s="1561"/>
      <c r="E9" s="1561"/>
      <c r="F9" s="1561"/>
      <c r="G9" s="1561"/>
      <c r="H9" s="1561"/>
    </row>
    <row r="10" spans="1:14" s="20" customFormat="1" ht="13.9" customHeight="1" x14ac:dyDescent="0.25">
      <c r="A10" s="1562" t="s">
        <v>251</v>
      </c>
      <c r="B10" s="1563"/>
      <c r="C10" s="1563"/>
      <c r="D10" s="1564"/>
      <c r="E10" s="28" t="s">
        <v>252</v>
      </c>
      <c r="F10" s="28" t="s">
        <v>253</v>
      </c>
      <c r="G10" s="28" t="s">
        <v>254</v>
      </c>
      <c r="H10" s="28" t="s">
        <v>255</v>
      </c>
      <c r="I10" s="28" t="s">
        <v>256</v>
      </c>
      <c r="J10" s="28" t="s">
        <v>257</v>
      </c>
    </row>
    <row r="11" spans="1:14" s="20" customFormat="1" ht="31.5" customHeight="1" x14ac:dyDescent="0.25">
      <c r="A11" s="1568" t="str">
        <f>+'EQUIPOS '!B21</f>
        <v>EQUIPO MANUAL DE PINTURA PLÁSTICO EN FRIO (POR EXTRUSIÓN)</v>
      </c>
      <c r="B11" s="1569"/>
      <c r="C11" s="1569"/>
      <c r="D11" s="1570"/>
      <c r="E11" s="29" t="s">
        <v>202</v>
      </c>
      <c r="F11" s="48" t="str">
        <f>IFERROR(VLOOKUP(A11,'[10]EQUIPOS TRANSPOR SALARIO'!$A$3:$G$42,2,FALSE),"")</f>
        <v/>
      </c>
      <c r="G11" s="31">
        <f>+VLOOKUP(A11,'EQUIPOS '!$B$3:$M$64,12,FALSE)</f>
        <v>50810.93</v>
      </c>
      <c r="H11" s="30">
        <v>120</v>
      </c>
      <c r="I11" s="33">
        <f>IFERROR((G11/H11),"")</f>
        <v>423.42441666666667</v>
      </c>
      <c r="J11" s="33">
        <f>ROUND(I11,0)</f>
        <v>423</v>
      </c>
    </row>
    <row r="12" spans="1:14" s="20" customFormat="1" ht="13.9" customHeight="1" x14ac:dyDescent="0.25">
      <c r="A12" s="1568" t="str">
        <f>+'EQUIPOS '!B9</f>
        <v>COMPRESOR</v>
      </c>
      <c r="B12" s="1569"/>
      <c r="C12" s="1569"/>
      <c r="D12" s="1570"/>
      <c r="E12" s="29" t="s">
        <v>202</v>
      </c>
      <c r="F12" s="30" t="str">
        <f>IFERROR(VLOOKUP(A12,'[10]EQUIPOS TRANSPOR SALARIO'!$A$3:$G$42,2,FALSE),"")</f>
        <v>Eléctrico</v>
      </c>
      <c r="G12" s="31">
        <f>+VLOOKUP(A12,'EQUIPOS '!$B$3:$M$64,12,FALSE)</f>
        <v>7999.94</v>
      </c>
      <c r="H12" s="30">
        <f>+$H$11</f>
        <v>120</v>
      </c>
      <c r="I12" s="33">
        <f>IFERROR((G12/H12),0)</f>
        <v>66.666166666666669</v>
      </c>
      <c r="J12" s="33">
        <f>ROUND(I12,0)</f>
        <v>67</v>
      </c>
    </row>
    <row r="13" spans="1:14" s="20" customFormat="1" ht="13.9" customHeight="1" x14ac:dyDescent="0.25">
      <c r="A13" s="1568" t="str">
        <f>+'EQUIPOS '!B46</f>
        <v xml:space="preserve"> PMT (KIT )</v>
      </c>
      <c r="B13" s="1569"/>
      <c r="C13" s="1569"/>
      <c r="D13" s="1570"/>
      <c r="E13" s="29" t="s">
        <v>202</v>
      </c>
      <c r="F13" s="30" t="str">
        <f>IFERROR(VLOOKUP(A13,'[10]EQUIPOS TRANSPOR SALARIO'!$A$3:$G$42,2,FALSE),"")</f>
        <v/>
      </c>
      <c r="G13" s="31">
        <f>+VLOOKUP(A13,'EQUIPOS '!$B$3:$M$64,12,FALSE)</f>
        <v>13222</v>
      </c>
      <c r="H13" s="30">
        <f>+$H$11</f>
        <v>120</v>
      </c>
      <c r="I13" s="33">
        <f>IFERROR((G13/H13),0)</f>
        <v>110.18333333333334</v>
      </c>
      <c r="J13" s="33">
        <f>ROUND(I13,0)</f>
        <v>110</v>
      </c>
    </row>
    <row r="14" spans="1:14" s="20" customFormat="1" ht="13.9" customHeight="1" x14ac:dyDescent="0.25">
      <c r="A14" s="1568" t="str">
        <f>+'EQUIPOS '!B50</f>
        <v>EQUIPO DE CONTROL DE OBRA</v>
      </c>
      <c r="B14" s="1569"/>
      <c r="C14" s="1569"/>
      <c r="D14" s="1570"/>
      <c r="E14" s="29" t="s">
        <v>202</v>
      </c>
      <c r="F14" s="30"/>
      <c r="G14" s="31">
        <f>+VLOOKUP(A14,'EQUIPOS '!$B$3:$M$64,12,FALSE)</f>
        <v>1708.75</v>
      </c>
      <c r="H14" s="30">
        <f>+$H$11</f>
        <v>120</v>
      </c>
      <c r="I14" s="33">
        <f>IFERROR((G14/H14),0)</f>
        <v>14.239583333333334</v>
      </c>
      <c r="J14" s="33">
        <f>ROUND(I14,0)</f>
        <v>14</v>
      </c>
      <c r="N14" s="20">
        <f>2.45/7.25*0.12</f>
        <v>4.0551724137931032E-2</v>
      </c>
    </row>
    <row r="15" spans="1:14"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4" s="20" customFormat="1" ht="13.9" customHeight="1" x14ac:dyDescent="0.25">
      <c r="A16" s="1558"/>
      <c r="B16" s="1559"/>
      <c r="C16" s="1559"/>
      <c r="D16" s="1560"/>
      <c r="E16" s="29"/>
      <c r="F16" s="30"/>
      <c r="G16" s="31"/>
      <c r="H16" s="30"/>
      <c r="I16" s="33"/>
      <c r="J16" s="33"/>
    </row>
    <row r="17" spans="1:12" s="20" customFormat="1" ht="13.9" customHeight="1" x14ac:dyDescent="0.25">
      <c r="A17" s="1558"/>
      <c r="B17" s="1559"/>
      <c r="C17" s="1559"/>
      <c r="D17" s="1560"/>
      <c r="E17" s="29"/>
      <c r="F17" s="30"/>
      <c r="G17" s="31"/>
      <c r="H17" s="30"/>
      <c r="I17" s="33"/>
      <c r="J17" s="33"/>
    </row>
    <row r="18" spans="1:12" s="20" customFormat="1" ht="13.9" customHeight="1" x14ac:dyDescent="0.25">
      <c r="I18" s="30" t="s">
        <v>257</v>
      </c>
      <c r="J18" s="34">
        <f>+SUM(J11:J17)</f>
        <v>693</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ht="26.25" customHeight="1" x14ac:dyDescent="0.25">
      <c r="A22" s="1568" t="str">
        <f>+'INSUMOS '!B75</f>
        <v>PINTURA PLÁSTICO EN FRIO METIL METACRILATO BLANCA O AMARILLA -  EXTRUSIÓN (98:2)</v>
      </c>
      <c r="B22" s="1569"/>
      <c r="C22" s="1569"/>
      <c r="D22" s="1569"/>
      <c r="E22" s="1569"/>
      <c r="F22" s="1570"/>
      <c r="G22" s="29" t="s">
        <v>114</v>
      </c>
      <c r="H22" s="37">
        <f>2.45/7.25*0.12</f>
        <v>4.0551724137931032E-2</v>
      </c>
      <c r="I22" s="33">
        <f>+IFERROR(VLOOKUP(A22,'INSUMOS '!$B$2:$AP$167,'INSUMOS '!$AO$2+1,FALSE),0)</f>
        <v>160575</v>
      </c>
      <c r="J22" s="33">
        <f>ROUND(I22*H22,0)</f>
        <v>6512</v>
      </c>
      <c r="L22" s="19">
        <f>0.17*0.12</f>
        <v>2.0400000000000001E-2</v>
      </c>
    </row>
    <row r="23" spans="1:12" ht="13.9" customHeight="1" x14ac:dyDescent="0.25">
      <c r="A23" s="1558" t="str">
        <f>+'INSUMOS '!B59</f>
        <v>MICROESFERA DE VIDRIO  (ESFERICIDAD MAYOR A 80%)</v>
      </c>
      <c r="B23" s="1559"/>
      <c r="C23" s="1559"/>
      <c r="D23" s="1559"/>
      <c r="E23" s="1559"/>
      <c r="F23" s="1560"/>
      <c r="G23" s="29" t="s">
        <v>6</v>
      </c>
      <c r="H23" s="47">
        <f>370*0.12/1000</f>
        <v>4.4400000000000002E-2</v>
      </c>
      <c r="I23" s="33">
        <f>+IFERROR(VLOOKUP(A23,'INSUMOS '!$B$2:$AP$167,'INSUMOS '!$AO$2+1,FALSE),0)</f>
        <v>7449</v>
      </c>
      <c r="J23" s="33">
        <f>ROUND(I23*H23,0)</f>
        <v>331</v>
      </c>
    </row>
    <row r="24" spans="1:12"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2" ht="13.9" customHeight="1" x14ac:dyDescent="0.25">
      <c r="A25" s="1568" t="s">
        <v>59</v>
      </c>
      <c r="B25" s="1569"/>
      <c r="C25" s="1569"/>
      <c r="D25" s="1569"/>
      <c r="E25" s="1569"/>
      <c r="F25" s="1570"/>
      <c r="G25" s="29" t="s">
        <v>6</v>
      </c>
      <c r="H25" s="35">
        <f>0.024</f>
        <v>2.4E-2</v>
      </c>
      <c r="I25" s="33">
        <f>+IFERROR(VLOOKUP(A25,'INSUMOS '!$B$2:$AP$167,'INSUMOS '!$AO$2+1,FALSE),0)</f>
        <v>39270</v>
      </c>
      <c r="J25" s="33">
        <f>ROUND(I25*H25,0)</f>
        <v>942</v>
      </c>
    </row>
    <row r="26" spans="1:12" ht="13.9" customHeight="1" x14ac:dyDescent="0.25">
      <c r="A26" s="1558" t="s">
        <v>333</v>
      </c>
      <c r="B26" s="1559"/>
      <c r="C26" s="1559"/>
      <c r="D26" s="1559"/>
      <c r="E26" s="1559"/>
      <c r="F26" s="1560"/>
      <c r="G26" s="29"/>
      <c r="H26" s="35">
        <v>0.05</v>
      </c>
      <c r="I26" s="33">
        <f>+SUM(J22:J25)</f>
        <v>8029</v>
      </c>
      <c r="J26" s="33">
        <f>ROUND(I26*H26,0)</f>
        <v>401</v>
      </c>
    </row>
    <row r="27" spans="1:12" ht="13.9" customHeight="1" x14ac:dyDescent="0.25">
      <c r="A27" s="1558"/>
      <c r="B27" s="1559"/>
      <c r="C27" s="1559"/>
      <c r="D27" s="1559"/>
      <c r="E27" s="1559"/>
      <c r="F27" s="1560"/>
      <c r="G27" s="29"/>
      <c r="H27" s="35"/>
      <c r="I27" s="33"/>
      <c r="J27" s="33"/>
    </row>
    <row r="28" spans="1:12" ht="13.9" customHeight="1" x14ac:dyDescent="0.25">
      <c r="A28" s="1558"/>
      <c r="B28" s="1559"/>
      <c r="C28" s="1559"/>
      <c r="D28" s="1559"/>
      <c r="E28" s="1559"/>
      <c r="F28" s="1560"/>
      <c r="G28" s="29"/>
      <c r="H28" s="35"/>
      <c r="I28" s="33"/>
      <c r="J28" s="33"/>
    </row>
    <row r="29" spans="1:12" ht="13.9" customHeight="1" x14ac:dyDescent="0.25">
      <c r="A29" s="1558"/>
      <c r="B29" s="1559"/>
      <c r="C29" s="1559"/>
      <c r="D29" s="1559"/>
      <c r="E29" s="1559"/>
      <c r="F29" s="1560"/>
      <c r="G29" s="29"/>
      <c r="H29" s="37"/>
      <c r="I29" s="33"/>
      <c r="J29" s="33"/>
    </row>
    <row r="30" spans="1:12" ht="13.9" customHeight="1" x14ac:dyDescent="0.25">
      <c r="A30" s="1558"/>
      <c r="B30" s="1559"/>
      <c r="C30" s="1559"/>
      <c r="D30" s="1559"/>
      <c r="E30" s="1559"/>
      <c r="F30" s="1560"/>
      <c r="G30" s="29"/>
      <c r="H30" s="35"/>
      <c r="I30" s="33"/>
      <c r="J30" s="33"/>
    </row>
    <row r="31" spans="1:12" ht="13.9" customHeight="1" x14ac:dyDescent="0.25">
      <c r="A31" s="1558"/>
      <c r="B31" s="1559"/>
      <c r="C31" s="1559"/>
      <c r="D31" s="1559"/>
      <c r="E31" s="1559"/>
      <c r="F31" s="1560"/>
      <c r="G31" s="29"/>
      <c r="H31" s="35"/>
      <c r="I31" s="33"/>
      <c r="J31" s="33"/>
    </row>
    <row r="32" spans="1:12" ht="13.9" customHeight="1" x14ac:dyDescent="0.25">
      <c r="A32" s="20"/>
      <c r="B32" s="20"/>
      <c r="C32" s="20"/>
      <c r="D32" s="20"/>
      <c r="E32" s="20"/>
      <c r="G32" s="20"/>
      <c r="H32" s="20"/>
      <c r="I32" s="30" t="s">
        <v>257</v>
      </c>
      <c r="J32" s="34">
        <f>+SUM(J22:J31)</f>
        <v>8430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8.6805555555555559E-5</v>
      </c>
      <c r="H36" s="33">
        <f>+IFERROR(VLOOKUP(A36,'EQUIPOS '!$B$3:$M$78,12,FALSE),0)</f>
        <v>611492.5</v>
      </c>
      <c r="I36" s="33">
        <f>IFERROR(H36*G36,0)</f>
        <v>53.080946180555557</v>
      </c>
      <c r="J36" s="33">
        <f>ROUND(I36,0)</f>
        <v>53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960</v>
      </c>
      <c r="I43" s="33">
        <f>IFERROR(ROUND(G43/H43,0),0)</f>
        <v>298</v>
      </c>
      <c r="J43" s="33">
        <f>+I43</f>
        <v>298</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960</v>
      </c>
      <c r="I44" s="33">
        <f>IFERROR(ROUND(G44/H44,0),0)</f>
        <v>261</v>
      </c>
      <c r="J44" s="33">
        <f>+I44</f>
        <v>261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960</v>
      </c>
      <c r="I45" s="33">
        <f>IFERROR(ROUND(G45/H45,0),0)</f>
        <v>204</v>
      </c>
      <c r="J45" s="33">
        <f>+I45</f>
        <v>204</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960</v>
      </c>
      <c r="I46" s="33">
        <f>IFERROR(ROUND(G46/H46,0),0)</f>
        <v>223</v>
      </c>
      <c r="J46" s="33">
        <f>+I46</f>
        <v>223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986</v>
      </c>
    </row>
    <row r="50" spans="1:10" ht="13.9" customHeight="1" x14ac:dyDescent="0.25"/>
    <row r="51" spans="1:10" ht="13.9" customHeight="1" x14ac:dyDescent="0.25">
      <c r="E51" s="41" t="s">
        <v>276</v>
      </c>
      <c r="I51" s="42">
        <f>+J49+J39+J32+J18</f>
        <v>10162</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Hoja66">
    <tabColor theme="5" tint="-0.499984740745262"/>
  </sheetPr>
  <dimension ref="A1:Q54"/>
  <sheetViews>
    <sheetView topLeftCell="A32" workbookViewId="0">
      <selection activeCell="G35" sqref="G3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7" ht="29.25" customHeight="1" x14ac:dyDescent="0.25">
      <c r="A1" s="1574" t="s">
        <v>244</v>
      </c>
      <c r="B1" s="1575"/>
      <c r="C1" s="1575"/>
      <c r="D1" s="1575"/>
      <c r="E1" s="1575"/>
      <c r="F1" s="1575"/>
      <c r="G1" s="1575"/>
      <c r="H1" s="1575"/>
      <c r="I1" s="1575"/>
      <c r="J1" s="1575"/>
    </row>
    <row r="2" spans="1:17" ht="15" customHeight="1" x14ac:dyDescent="0.25">
      <c r="A2" s="1576" t="s">
        <v>245</v>
      </c>
      <c r="B2" s="1576"/>
      <c r="C2" s="1576"/>
      <c r="D2" s="1576"/>
      <c r="E2" s="1576"/>
      <c r="F2" s="1576"/>
      <c r="G2" s="1576"/>
      <c r="H2" s="1576"/>
      <c r="I2" s="1576"/>
      <c r="J2" s="1576"/>
    </row>
    <row r="4" spans="1:17" s="20" customFormat="1" ht="9.9499999999999993" customHeight="1" x14ac:dyDescent="0.25">
      <c r="A4" s="1577" t="s">
        <v>246</v>
      </c>
      <c r="B4" s="1577"/>
      <c r="C4" s="1577"/>
      <c r="D4" s="1577"/>
      <c r="E4" s="1577"/>
      <c r="F4" s="1577"/>
      <c r="G4" s="1577"/>
      <c r="H4" s="1577"/>
      <c r="I4" s="1577"/>
      <c r="J4" s="1577"/>
    </row>
    <row r="5" spans="1:17" s="20" customFormat="1" ht="9.9499999999999993" customHeight="1" x14ac:dyDescent="0.25">
      <c r="B5" s="21"/>
      <c r="C5" s="21"/>
      <c r="D5" s="21"/>
      <c r="E5" s="21"/>
      <c r="F5" s="21"/>
      <c r="G5" s="21"/>
    </row>
    <row r="6" spans="1:17" x14ac:dyDescent="0.25">
      <c r="A6" s="1558" t="s">
        <v>247</v>
      </c>
      <c r="B6" s="1560"/>
      <c r="C6" s="45">
        <v>59</v>
      </c>
      <c r="D6" s="8"/>
      <c r="E6" s="8"/>
      <c r="F6" s="8"/>
      <c r="G6" s="8"/>
      <c r="H6" s="46"/>
      <c r="I6" s="29" t="s">
        <v>248</v>
      </c>
      <c r="J6" s="26" t="str">
        <f>+VLOOKUP(C6,'ANEXO PLIEGO_1'!$A$7:$C$133,3,FALSE)</f>
        <v>M2</v>
      </c>
    </row>
    <row r="7" spans="1:17" ht="35.1" customHeight="1" x14ac:dyDescent="0.25">
      <c r="A7" s="1568" t="s">
        <v>249</v>
      </c>
      <c r="B7" s="1570"/>
      <c r="C7" s="1578" t="str">
        <f>+VLOOKUP(C6,'ANEXO PLIEGO_1'!$A$7:$B$133,2,FALSE)</f>
        <v>Suministro y aplicación de pintura de plástico en frio metilmetacrilato para marcas viales sin microesfera,con antideslizante, y espesor seco de mínimo de 22 mils (por pulverización o spray) según norma NTC 4744, incluye pictogramas</v>
      </c>
      <c r="D7" s="1579"/>
      <c r="E7" s="1579"/>
      <c r="F7" s="1579"/>
      <c r="G7" s="1579"/>
      <c r="H7" s="1579"/>
      <c r="I7" s="1579"/>
      <c r="J7" s="1580"/>
    </row>
    <row r="9" spans="1:17" s="27" customFormat="1" ht="12.75" x14ac:dyDescent="0.25">
      <c r="A9" s="1561" t="s">
        <v>250</v>
      </c>
      <c r="B9" s="1561"/>
      <c r="C9" s="1561"/>
      <c r="D9" s="1561"/>
      <c r="E9" s="1561"/>
      <c r="F9" s="1561"/>
      <c r="G9" s="1561"/>
      <c r="H9" s="1561"/>
    </row>
    <row r="10" spans="1:17" s="20" customFormat="1" ht="13.9" customHeight="1" x14ac:dyDescent="0.25">
      <c r="A10" s="1562" t="s">
        <v>251</v>
      </c>
      <c r="B10" s="1563"/>
      <c r="C10" s="1563"/>
      <c r="D10" s="1564"/>
      <c r="E10" s="28" t="s">
        <v>252</v>
      </c>
      <c r="F10" s="28" t="s">
        <v>253</v>
      </c>
      <c r="G10" s="28" t="s">
        <v>254</v>
      </c>
      <c r="H10" s="28" t="s">
        <v>255</v>
      </c>
      <c r="I10" s="28" t="s">
        <v>256</v>
      </c>
      <c r="J10" s="28" t="s">
        <v>257</v>
      </c>
    </row>
    <row r="11" spans="1:17" s="52" customFormat="1" ht="24" customHeight="1" x14ac:dyDescent="0.25">
      <c r="A11" s="1568" t="str">
        <f>+'EQUIPOS '!B20</f>
        <v>EQUIPO MANUAL DE PINTURA PLÁSTICO EN FRIO (POR PULVERIZACIÓN)</v>
      </c>
      <c r="B11" s="1569"/>
      <c r="C11" s="1569"/>
      <c r="D11" s="1570"/>
      <c r="E11" s="49" t="s">
        <v>202</v>
      </c>
      <c r="F11" s="48" t="str">
        <f>IFERROR(VLOOKUP(A11,'[10]EQUIPOS TRANSPOR SALARIO'!$A$3:$G$42,2,FALSE),"")</f>
        <v>Airless</v>
      </c>
      <c r="G11" s="50">
        <f>+VLOOKUP(A11,'EQUIPOS '!$B$3:$M$64,12,FALSE)</f>
        <v>50810.93</v>
      </c>
      <c r="H11" s="48">
        <v>17</v>
      </c>
      <c r="I11" s="51">
        <f>IFERROR((G11/H11),"")</f>
        <v>2988.8782352941175</v>
      </c>
      <c r="J11" s="51">
        <f>ROUND(I11,0)</f>
        <v>2989</v>
      </c>
      <c r="P11" s="52">
        <v>1.2</v>
      </c>
      <c r="Q11" s="52" t="s">
        <v>3097</v>
      </c>
    </row>
    <row r="12" spans="1:17" s="20" customFormat="1" ht="13.9" customHeight="1" x14ac:dyDescent="0.25">
      <c r="A12" s="1558" t="str">
        <f>+'EQUIPOS '!B9</f>
        <v>COMPRESOR</v>
      </c>
      <c r="B12" s="1559"/>
      <c r="C12" s="1559"/>
      <c r="D12" s="1560"/>
      <c r="E12" s="49" t="s">
        <v>202</v>
      </c>
      <c r="F12" s="30" t="str">
        <f>IFERROR(VLOOKUP(A12,'[10]EQUIPOS TRANSPOR SALARIO'!$A$3:$G$42,2,FALSE),"")</f>
        <v>Eléctrico</v>
      </c>
      <c r="G12" s="50">
        <f>+VLOOKUP(A12,'EQUIPOS '!$B$3:$M$64,12,FALSE)</f>
        <v>7999.94</v>
      </c>
      <c r="H12" s="30">
        <f>+H11</f>
        <v>17</v>
      </c>
      <c r="I12" s="33">
        <f>IFERROR((G12/H12),0)</f>
        <v>470.58470588235292</v>
      </c>
      <c r="J12" s="33">
        <f>ROUND(I12,0)</f>
        <v>471</v>
      </c>
    </row>
    <row r="13" spans="1:17" s="20" customFormat="1" ht="13.9" customHeight="1" x14ac:dyDescent="0.25">
      <c r="A13" s="1558" t="str">
        <f>+'EQUIPOS '!B46</f>
        <v xml:space="preserve"> PMT (KIT )</v>
      </c>
      <c r="B13" s="1559"/>
      <c r="C13" s="1559"/>
      <c r="D13" s="1560"/>
      <c r="E13" s="49" t="s">
        <v>202</v>
      </c>
      <c r="F13" s="30" t="str">
        <f>IFERROR(VLOOKUP(A13,'[10]EQUIPOS TRANSPOR SALARIO'!$A$3:$G$42,2,FALSE),"")</f>
        <v/>
      </c>
      <c r="G13" s="50">
        <f>+VLOOKUP(A13,'EQUIPOS '!$B$3:$M$64,12,FALSE)</f>
        <v>13222</v>
      </c>
      <c r="H13" s="30">
        <f>+H12</f>
        <v>17</v>
      </c>
      <c r="I13" s="33">
        <f>IFERROR((G13/H13),0)</f>
        <v>777.76470588235293</v>
      </c>
      <c r="J13" s="33">
        <f>ROUND(I13,0)</f>
        <v>778</v>
      </c>
    </row>
    <row r="14" spans="1:17" s="20" customFormat="1" ht="13.9" customHeight="1" x14ac:dyDescent="0.25">
      <c r="A14" s="1558" t="str">
        <f>+'EQUIPOS '!B50</f>
        <v>EQUIPO DE CONTROL DE OBRA</v>
      </c>
      <c r="B14" s="1559"/>
      <c r="C14" s="1559"/>
      <c r="D14" s="1560"/>
      <c r="E14" s="49" t="s">
        <v>202</v>
      </c>
      <c r="F14" s="30"/>
      <c r="G14" s="50">
        <f>+VLOOKUP(A14,'EQUIPOS '!$B$3:$M$64,12,FALSE)</f>
        <v>1708.75</v>
      </c>
      <c r="H14" s="30">
        <f>+H13</f>
        <v>17</v>
      </c>
      <c r="I14" s="33">
        <f>IFERROR((G14/H14),0)</f>
        <v>100.51470588235294</v>
      </c>
      <c r="J14" s="33">
        <f>ROUND(I14,0)</f>
        <v>101</v>
      </c>
      <c r="N14" s="20">
        <f>1.2/3.78</f>
        <v>0.31746031746031744</v>
      </c>
    </row>
    <row r="15" spans="1:17"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7" s="20" customFormat="1" ht="13.9" customHeight="1" x14ac:dyDescent="0.25">
      <c r="A16" s="1558"/>
      <c r="B16" s="1559"/>
      <c r="C16" s="1559"/>
      <c r="D16" s="1560"/>
      <c r="E16" s="29"/>
      <c r="F16" s="30"/>
      <c r="G16" s="31"/>
      <c r="H16" s="30"/>
      <c r="I16" s="33"/>
      <c r="J16" s="33"/>
    </row>
    <row r="17" spans="1:10" s="20" customFormat="1" ht="13.9" customHeight="1" x14ac:dyDescent="0.25">
      <c r="A17" s="1558"/>
      <c r="B17" s="1559"/>
      <c r="C17" s="1559"/>
      <c r="D17" s="1560"/>
      <c r="E17" s="29"/>
      <c r="F17" s="30"/>
      <c r="G17" s="31"/>
      <c r="H17" s="30"/>
      <c r="I17" s="33"/>
      <c r="J17" s="33"/>
    </row>
    <row r="18" spans="1:10" s="20" customFormat="1" ht="13.9" customHeight="1" x14ac:dyDescent="0.25">
      <c r="I18" s="30" t="s">
        <v>257</v>
      </c>
      <c r="J18" s="34">
        <f>+SUM(J11:J17)</f>
        <v>4384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30" customHeight="1" x14ac:dyDescent="0.25">
      <c r="A22" s="1568" t="str">
        <f>+'INSUMOS '!B77</f>
        <v>PINTURA PLÁSTICO EN FRIO METIL METACRILATO BLANCA O AMARILLA - SPRAY (1:1)</v>
      </c>
      <c r="B22" s="1569"/>
      <c r="C22" s="1569"/>
      <c r="D22" s="1569"/>
      <c r="E22" s="1569"/>
      <c r="F22" s="1570"/>
      <c r="G22" s="29" t="s">
        <v>114</v>
      </c>
      <c r="H22" s="37">
        <v>0.17</v>
      </c>
      <c r="I22" s="33">
        <f>+IFERROR(VLOOKUP(A22,'INSUMOS '!$B$2:$AP$167,'INSUMOS '!$AO$2+1,FALSE),0)</f>
        <v>169694</v>
      </c>
      <c r="J22" s="33">
        <f>ROUND(I22*H22,0)</f>
        <v>28848</v>
      </c>
    </row>
    <row r="23" spans="1:10" ht="13.9" customHeight="1" x14ac:dyDescent="0.25">
      <c r="A23" s="1558" t="str">
        <f>+'INSUMOS '!B40</f>
        <v>DISOLVENTE AJUSTADOR LENTO XILOL</v>
      </c>
      <c r="B23" s="1559"/>
      <c r="C23" s="1559"/>
      <c r="D23" s="1559"/>
      <c r="E23" s="1559"/>
      <c r="F23" s="1560"/>
      <c r="G23" s="29" t="s">
        <v>114</v>
      </c>
      <c r="H23" s="47">
        <f>10/3000</f>
        <v>3.3333333333333335E-3</v>
      </c>
      <c r="I23" s="33">
        <f>+IFERROR(VLOOKUP(A23,'INSUMOS '!$B$2:$AP$167,'INSUMOS '!$AO$2+1,FALSE),0)</f>
        <v>73200</v>
      </c>
      <c r="J23" s="33">
        <f>ROUND(I23*H23,0)</f>
        <v>244</v>
      </c>
    </row>
    <row r="24" spans="1:10" ht="13.9" customHeight="1" x14ac:dyDescent="0.25">
      <c r="A24" s="1568" t="s">
        <v>59</v>
      </c>
      <c r="B24" s="1569"/>
      <c r="C24" s="1569"/>
      <c r="D24" s="1569"/>
      <c r="E24" s="1569"/>
      <c r="F24" s="1570"/>
      <c r="G24" s="29" t="s">
        <v>6</v>
      </c>
      <c r="H24" s="35">
        <f>0.35</f>
        <v>0.35</v>
      </c>
      <c r="I24" s="33">
        <f>+IFERROR(VLOOKUP(A24,'INSUMOS '!$B$2:$AP$167,'INSUMOS '!$AO$2+1,FALSE),0)</f>
        <v>39270</v>
      </c>
      <c r="J24" s="33">
        <f>ROUND(I24*H24,0)</f>
        <v>13745</v>
      </c>
    </row>
    <row r="25" spans="1:10" ht="13.9" customHeight="1" x14ac:dyDescent="0.25">
      <c r="A25" s="1558" t="s">
        <v>333</v>
      </c>
      <c r="B25" s="1559"/>
      <c r="C25" s="1559"/>
      <c r="D25" s="1559"/>
      <c r="E25" s="1559"/>
      <c r="F25" s="1560"/>
      <c r="G25" s="29"/>
      <c r="H25" s="35">
        <v>0.05</v>
      </c>
      <c r="I25" s="33">
        <f>+SUM(J22:J24)</f>
        <v>42837</v>
      </c>
      <c r="J25" s="33">
        <f>ROUND(I25*H25,0)</f>
        <v>2142</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7"/>
      <c r="I28" s="33"/>
      <c r="J28" s="33"/>
    </row>
    <row r="29" spans="1:10" ht="13.9" customHeight="1" x14ac:dyDescent="0.25">
      <c r="A29" s="1558"/>
      <c r="B29" s="1559"/>
      <c r="C29" s="1559"/>
      <c r="D29" s="1559"/>
      <c r="E29" s="1559"/>
      <c r="F29" s="1560"/>
      <c r="G29" s="29"/>
      <c r="H29" s="35"/>
      <c r="I29" s="33"/>
      <c r="J29" s="33"/>
    </row>
    <row r="30" spans="1:10" ht="13.9" customHeight="1" x14ac:dyDescent="0.25">
      <c r="A30" s="1558"/>
      <c r="B30" s="1559"/>
      <c r="C30" s="1559"/>
      <c r="D30" s="1559"/>
      <c r="E30" s="1559"/>
      <c r="F30" s="1560"/>
      <c r="G30" s="29"/>
      <c r="H30" s="35"/>
      <c r="I30" s="33"/>
      <c r="J30" s="33"/>
    </row>
    <row r="31" spans="1:10" ht="13.9" customHeight="1" x14ac:dyDescent="0.25">
      <c r="A31" s="20"/>
      <c r="B31" s="20"/>
      <c r="C31" s="20"/>
      <c r="D31" s="20"/>
      <c r="E31" s="20"/>
      <c r="G31" s="20"/>
      <c r="H31" s="20"/>
      <c r="I31" s="30" t="s">
        <v>257</v>
      </c>
      <c r="J31" s="34">
        <f>+SUM(J22:J30)</f>
        <v>44979</v>
      </c>
    </row>
    <row r="32" spans="1:10" ht="13.9" customHeight="1" x14ac:dyDescent="0.25"/>
    <row r="33" spans="1:10" ht="13.9" customHeight="1" x14ac:dyDescent="0.25">
      <c r="A33" s="1561" t="s">
        <v>267</v>
      </c>
      <c r="B33" s="1561"/>
      <c r="C33" s="1561"/>
      <c r="D33" s="1561"/>
      <c r="E33" s="1561"/>
      <c r="F33" s="1561"/>
      <c r="G33" s="1561"/>
      <c r="H33" s="1561"/>
      <c r="I33" s="27"/>
    </row>
    <row r="34" spans="1:10" ht="13.9" customHeight="1" x14ac:dyDescent="0.25">
      <c r="A34" s="1562" t="s">
        <v>268</v>
      </c>
      <c r="B34" s="1563"/>
      <c r="C34" s="1563"/>
      <c r="D34" s="1563"/>
      <c r="E34" s="1563"/>
      <c r="F34" s="1564"/>
      <c r="G34" s="38" t="s">
        <v>255</v>
      </c>
      <c r="H34" s="28" t="s">
        <v>269</v>
      </c>
      <c r="I34" s="28" t="s">
        <v>256</v>
      </c>
      <c r="J34" s="28" t="s">
        <v>257</v>
      </c>
    </row>
    <row r="35" spans="1:10" ht="13.9" customHeight="1" x14ac:dyDescent="0.25">
      <c r="A35" s="1558" t="str">
        <f>+'EQUIPOS '!B6</f>
        <v>CAMION INCLUYE CONDUCTOR</v>
      </c>
      <c r="B35" s="1559"/>
      <c r="C35" s="1559"/>
      <c r="D35" s="1559"/>
      <c r="E35" s="1559"/>
      <c r="F35" s="1560"/>
      <c r="G35" s="1481">
        <f>(1/(H11*8))/12</f>
        <v>6.1274509803921568E-4</v>
      </c>
      <c r="H35" s="33">
        <f>+IFERROR(VLOOKUP(A35,'EQUIPOS '!$B$3:$M$78,12,FALSE),0)</f>
        <v>611492.5</v>
      </c>
      <c r="I35" s="33">
        <f>IFERROR(H35*G35,0)</f>
        <v>374.68903186274508</v>
      </c>
      <c r="J35" s="33">
        <f>ROUND(I35,0)</f>
        <v>375</v>
      </c>
    </row>
    <row r="36" spans="1:10" ht="13.9" customHeight="1" x14ac:dyDescent="0.25">
      <c r="A36" s="1558"/>
      <c r="B36" s="1559"/>
      <c r="C36" s="1559"/>
      <c r="D36" s="1559"/>
      <c r="E36" s="1559"/>
      <c r="F36" s="1560"/>
      <c r="G36" s="29"/>
      <c r="H36" s="33"/>
      <c r="I36" s="33"/>
      <c r="J36" s="33"/>
    </row>
    <row r="37" spans="1:10" ht="13.9" customHeight="1" x14ac:dyDescent="0.25">
      <c r="A37" s="1558"/>
      <c r="B37" s="1559"/>
      <c r="C37" s="1559"/>
      <c r="D37" s="1559"/>
      <c r="E37" s="1559"/>
      <c r="F37" s="1560"/>
      <c r="G37" s="29"/>
      <c r="H37" s="33"/>
      <c r="I37" s="33"/>
      <c r="J37" s="33"/>
    </row>
    <row r="38" spans="1:10" ht="13.9" customHeight="1" x14ac:dyDescent="0.25">
      <c r="G38" s="39"/>
      <c r="H38" s="39"/>
      <c r="I38" s="30" t="s">
        <v>257</v>
      </c>
      <c r="J38" s="33">
        <f>+SUM(J35:J37)</f>
        <v>375</v>
      </c>
    </row>
    <row r="39" spans="1:10" ht="13.9" customHeight="1" x14ac:dyDescent="0.25"/>
    <row r="40" spans="1:10" ht="13.9" customHeight="1" x14ac:dyDescent="0.25">
      <c r="A40" s="1561" t="s">
        <v>270</v>
      </c>
      <c r="B40" s="1561"/>
      <c r="C40" s="1561"/>
      <c r="D40" s="1561"/>
      <c r="E40" s="1561"/>
      <c r="F40" s="1561"/>
      <c r="G40" s="1561"/>
      <c r="H40" s="1561"/>
      <c r="I40" s="27"/>
    </row>
    <row r="41" spans="1:10" s="39" customFormat="1" ht="13.9" customHeight="1" x14ac:dyDescent="0.25">
      <c r="A41" s="1562" t="s">
        <v>271</v>
      </c>
      <c r="B41" s="1563"/>
      <c r="C41" s="1563"/>
      <c r="D41" s="1564"/>
      <c r="E41" s="28" t="s">
        <v>272</v>
      </c>
      <c r="F41" s="28" t="s">
        <v>264</v>
      </c>
      <c r="G41" s="28" t="s">
        <v>273</v>
      </c>
      <c r="H41" s="28" t="s">
        <v>255</v>
      </c>
      <c r="I41" s="28" t="s">
        <v>256</v>
      </c>
      <c r="J41" s="28" t="s">
        <v>257</v>
      </c>
    </row>
    <row r="42" spans="1:10" s="39" customFormat="1" ht="13.9" customHeight="1" x14ac:dyDescent="0.25">
      <c r="A42" s="1558" t="str">
        <f>+PERSONAL!B26</f>
        <v>OPERADOR DE EQUIPO NOCTURNO</v>
      </c>
      <c r="B42" s="1559"/>
      <c r="C42" s="1559"/>
      <c r="D42" s="1560"/>
      <c r="E42" s="40">
        <f>+VLOOKUP(A42,PERSONAL!$B$3:$E$100,4,FALSE)</f>
        <v>143049</v>
      </c>
      <c r="F42" s="30">
        <v>1</v>
      </c>
      <c r="G42" s="40">
        <f>+E42*F42</f>
        <v>143049</v>
      </c>
      <c r="H42" s="35">
        <f>IFERROR(H11*8,0)</f>
        <v>136</v>
      </c>
      <c r="I42" s="33">
        <f>IFERROR(ROUND(G42/H42,0),0)</f>
        <v>1052</v>
      </c>
      <c r="J42" s="33">
        <f>+I42</f>
        <v>1052</v>
      </c>
    </row>
    <row r="43" spans="1:10" s="39" customFormat="1" ht="13.9" customHeight="1" x14ac:dyDescent="0.25">
      <c r="A43" s="1558" t="str">
        <f>+PERSONAL!B6</f>
        <v>AYUDANTE NOCTURNO</v>
      </c>
      <c r="B43" s="1559"/>
      <c r="C43" s="1559"/>
      <c r="D43" s="1560"/>
      <c r="E43" s="40">
        <f>+VLOOKUP(A43,PERSONAL!$B$3:$E$100,4,FALSE)</f>
        <v>83383</v>
      </c>
      <c r="F43" s="30">
        <v>2</v>
      </c>
      <c r="G43" s="40">
        <f>+E43*F43</f>
        <v>166766</v>
      </c>
      <c r="H43" s="35">
        <f>+H42</f>
        <v>136</v>
      </c>
      <c r="I43" s="33">
        <f>IFERROR(ROUND(G43/H43,0),0)</f>
        <v>1226</v>
      </c>
      <c r="J43" s="33">
        <f>+I43</f>
        <v>1226</v>
      </c>
    </row>
    <row r="44" spans="1:10" s="39" customFormat="1" ht="13.9" customHeight="1" x14ac:dyDescent="0.25">
      <c r="A44" s="1558" t="str">
        <f>+PERSONAL!B4</f>
        <v>AUXILIAR DE TRÁFICO NOCTURNO</v>
      </c>
      <c r="B44" s="1559"/>
      <c r="C44" s="1559"/>
      <c r="D44" s="1560"/>
      <c r="E44" s="40">
        <f>+VLOOKUP(A44,PERSONAL!$B$3:$E$100,4,FALSE)</f>
        <v>98122</v>
      </c>
      <c r="F44" s="30">
        <v>2</v>
      </c>
      <c r="G44" s="40">
        <f>+E44*F44</f>
        <v>196244</v>
      </c>
      <c r="H44" s="35">
        <f>+H43</f>
        <v>136</v>
      </c>
      <c r="I44" s="33">
        <f>IFERROR(ROUND(G44/H44,0),0)</f>
        <v>1443</v>
      </c>
      <c r="J44" s="33">
        <f>+I44</f>
        <v>1443</v>
      </c>
    </row>
    <row r="45" spans="1:10" s="39" customFormat="1" ht="13.9" customHeight="1" x14ac:dyDescent="0.25">
      <c r="A45" s="1558" t="str">
        <f>+PERSONAL!B19</f>
        <v>JEFE DE CUADRILLA NOCTURNO</v>
      </c>
      <c r="B45" s="1559"/>
      <c r="C45" s="1559"/>
      <c r="D45" s="1560"/>
      <c r="E45" s="40">
        <f>+VLOOKUP(A45,PERSONAL!$B$3:$E$100,4,FALSE)</f>
        <v>213741</v>
      </c>
      <c r="F45" s="30">
        <v>1</v>
      </c>
      <c r="G45" s="40">
        <f>+E45*F45</f>
        <v>213741</v>
      </c>
      <c r="H45" s="35">
        <f>+H44</f>
        <v>136</v>
      </c>
      <c r="I45" s="33">
        <f>IFERROR(ROUND(G45/H45,0),0)</f>
        <v>1572</v>
      </c>
      <c r="J45" s="33">
        <f>+I45</f>
        <v>1572</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ht="13.9" customHeight="1" x14ac:dyDescent="0.25">
      <c r="A48" s="20"/>
      <c r="B48" s="20"/>
      <c r="C48" s="20"/>
      <c r="E48" s="20"/>
      <c r="F48" s="20"/>
      <c r="G48" s="20"/>
      <c r="H48" s="20"/>
      <c r="I48" s="30" t="s">
        <v>257</v>
      </c>
      <c r="J48" s="34">
        <f>+SUM(J42:J47)</f>
        <v>5293</v>
      </c>
    </row>
    <row r="49" spans="5:10" ht="13.9" customHeight="1" x14ac:dyDescent="0.25"/>
    <row r="50" spans="5:10" ht="13.9" customHeight="1" x14ac:dyDescent="0.25">
      <c r="E50" s="41" t="s">
        <v>276</v>
      </c>
      <c r="I50" s="42">
        <f>+J48+J38+J31+J18</f>
        <v>55031</v>
      </c>
      <c r="J50" s="43"/>
    </row>
    <row r="51" spans="5:10" ht="13.9" customHeight="1" x14ac:dyDescent="0.25"/>
    <row r="52" spans="5:10" ht="14.1" customHeight="1" x14ac:dyDescent="0.25">
      <c r="I52" s="44"/>
      <c r="J52" s="44"/>
    </row>
    <row r="53" spans="5:10" ht="14.1" customHeight="1" x14ac:dyDescent="0.25">
      <c r="I53" s="44"/>
    </row>
    <row r="54" spans="5:10" x14ac:dyDescent="0.25">
      <c r="I54" s="44"/>
    </row>
  </sheetData>
  <mergeCells count="39">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5:F35"/>
    <mergeCell ref="A23:F23"/>
    <mergeCell ref="A24:F24"/>
    <mergeCell ref="A25:F25"/>
    <mergeCell ref="A26:F26"/>
    <mergeCell ref="A27:F27"/>
    <mergeCell ref="A28:F28"/>
    <mergeCell ref="A29:F29"/>
    <mergeCell ref="A30:F30"/>
    <mergeCell ref="A33:H33"/>
    <mergeCell ref="A34:F34"/>
    <mergeCell ref="A44:D44"/>
    <mergeCell ref="A45:D45"/>
    <mergeCell ref="A46:D46"/>
    <mergeCell ref="A47:D47"/>
    <mergeCell ref="A36:F36"/>
    <mergeCell ref="A37:F37"/>
    <mergeCell ref="A40:H40"/>
    <mergeCell ref="A41:D41"/>
    <mergeCell ref="A42:D42"/>
    <mergeCell ref="A43:D43"/>
  </mergeCells>
  <pageMargins left="0.70866141732283472" right="0.70866141732283472" top="0.78740157480314965" bottom="0.78740157480314965" header="0.31496062992125984" footer="0.31496062992125984"/>
  <pageSetup scale="85" orientation="portrait" r:id="rId1"/>
  <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Hoja65">
    <tabColor theme="5" tint="-0.499984740745262"/>
  </sheetPr>
  <dimension ref="A1:L55"/>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45">
        <v>58</v>
      </c>
      <c r="D6" s="8"/>
      <c r="E6" s="8"/>
      <c r="F6" s="8"/>
      <c r="G6" s="8"/>
      <c r="H6" s="46"/>
      <c r="I6" s="29" t="s">
        <v>248</v>
      </c>
      <c r="J6" s="26" t="str">
        <f>+VLOOKUP(C6,'ANEXO PLIEGO_1'!$A$7:$C$133,3,FALSE)</f>
        <v>M2</v>
      </c>
    </row>
    <row r="7" spans="1:12" ht="35.1" customHeight="1" x14ac:dyDescent="0.25">
      <c r="A7" s="1568" t="s">
        <v>249</v>
      </c>
      <c r="B7" s="1570"/>
      <c r="C7" s="1578" t="str">
        <f>+VLOOKUP(C6,'ANEXO PLIEGO_1'!$A$7:$B$133,2,FALSE)</f>
        <v>Suministro y aplicación de pintura de plástico en frio metilmetacrilato para marcas viales,con antideslizante, con microesfera y espesor seco mínimo de 22 mils (por pulverización o spray) según norma NTC 4744, incluye pictogramas</v>
      </c>
      <c r="D7" s="1579"/>
      <c r="E7" s="1579"/>
      <c r="F7" s="1579"/>
      <c r="G7" s="1579"/>
      <c r="H7" s="1579"/>
      <c r="I7" s="1579"/>
      <c r="J7" s="1580"/>
    </row>
    <row r="9" spans="1:12" s="27" customFormat="1" ht="12.75" x14ac:dyDescent="0.25">
      <c r="A9" s="1561" t="s">
        <v>250</v>
      </c>
      <c r="B9" s="1561"/>
      <c r="C9" s="1561"/>
      <c r="D9" s="1561"/>
      <c r="E9" s="1561"/>
      <c r="F9" s="1561"/>
      <c r="G9" s="1561"/>
      <c r="H9" s="1561"/>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25.5" customHeight="1" x14ac:dyDescent="0.25">
      <c r="A11" s="1568" t="str">
        <f>+'EQUIPOS '!B20</f>
        <v>EQUIPO MANUAL DE PINTURA PLÁSTICO EN FRIO (POR PULVERIZACIÓN)</v>
      </c>
      <c r="B11" s="1569"/>
      <c r="C11" s="1569"/>
      <c r="D11" s="1570"/>
      <c r="E11" s="29" t="s">
        <v>202</v>
      </c>
      <c r="F11" s="30" t="str">
        <f>IFERROR(VLOOKUP(A11,'[10]EQUIPOS TRANSPOR SALARIO'!$A$3:$G$42,2,FALSE),"")</f>
        <v>Airless</v>
      </c>
      <c r="G11" s="31">
        <f>+VLOOKUP(A11,'EQUIPOS '!$B$3:$M$64,12,FALSE)</f>
        <v>50810.93</v>
      </c>
      <c r="H11" s="30">
        <v>17</v>
      </c>
      <c r="I11" s="33">
        <f>IFERROR((G11/H11),"")</f>
        <v>2988.8782352941175</v>
      </c>
      <c r="J11" s="33">
        <f>ROUND(I11,0)</f>
        <v>2989</v>
      </c>
      <c r="L11" s="20">
        <f>375*0.2</f>
        <v>75</v>
      </c>
    </row>
    <row r="12" spans="1:12"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17</v>
      </c>
      <c r="I12" s="33">
        <f t="shared" ref="I12:I14" si="0">IFERROR((G12/H12),0)</f>
        <v>470.58470588235292</v>
      </c>
      <c r="J12" s="33">
        <f t="shared" ref="J12:J15" si="1">ROUND(I12,0)</f>
        <v>471</v>
      </c>
    </row>
    <row r="13" spans="1:12"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17</v>
      </c>
      <c r="I13" s="33">
        <f t="shared" si="0"/>
        <v>777.76470588235293</v>
      </c>
      <c r="J13" s="33">
        <f t="shared" si="1"/>
        <v>778</v>
      </c>
    </row>
    <row r="14" spans="1:12" s="20" customFormat="1" ht="13.9" customHeight="1" x14ac:dyDescent="0.25">
      <c r="A14" s="1558" t="str">
        <f>+'EQUIPOS '!B50</f>
        <v>EQUIPO DE CONTROL DE OBRA</v>
      </c>
      <c r="B14" s="1559"/>
      <c r="C14" s="1559"/>
      <c r="D14" s="1560"/>
      <c r="E14" s="29" t="s">
        <v>202</v>
      </c>
      <c r="F14" s="30"/>
      <c r="G14" s="31">
        <f>+VLOOKUP(A14,'EQUIPOS '!$B$3:$M$64,12,FALSE)</f>
        <v>1708.75</v>
      </c>
      <c r="H14" s="30">
        <f>+$H$11</f>
        <v>17</v>
      </c>
      <c r="I14" s="33">
        <f t="shared" si="0"/>
        <v>100.51470588235294</v>
      </c>
      <c r="J14" s="33">
        <f t="shared" si="1"/>
        <v>101</v>
      </c>
    </row>
    <row r="15" spans="1:12"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2"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4418</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4.75" customHeight="1" x14ac:dyDescent="0.25">
      <c r="A22" s="1568" t="str">
        <f>+'INSUMOS '!B77</f>
        <v>PINTURA PLÁSTICO EN FRIO METIL METACRILATO BLANCA O AMARILLA - SPRAY (1:1)</v>
      </c>
      <c r="B22" s="1569"/>
      <c r="C22" s="1569"/>
      <c r="D22" s="1569"/>
      <c r="E22" s="1569"/>
      <c r="F22" s="1570"/>
      <c r="G22" s="29" t="s">
        <v>114</v>
      </c>
      <c r="H22" s="37">
        <v>0.17</v>
      </c>
      <c r="I22" s="33">
        <f>+IFERROR(VLOOKUP(A22,'INSUMOS '!$B$2:$AP$167,'INSUMOS '!$AO$2+1,FALSE),0)</f>
        <v>169694</v>
      </c>
      <c r="J22" s="33">
        <f>ROUND(I22*H22,0)</f>
        <v>28848</v>
      </c>
    </row>
    <row r="23" spans="1:10" ht="13.9" customHeight="1" x14ac:dyDescent="0.25">
      <c r="A23" s="1558" t="str">
        <f>+'INSUMOS '!B59</f>
        <v>MICROESFERA DE VIDRIO  (ESFERICIDAD MAYOR A 80%)</v>
      </c>
      <c r="B23" s="1559"/>
      <c r="C23" s="1559"/>
      <c r="D23" s="1559"/>
      <c r="E23" s="1559"/>
      <c r="F23" s="1560"/>
      <c r="G23" s="29" t="s">
        <v>6</v>
      </c>
      <c r="H23" s="47">
        <f>0.55</f>
        <v>0.55000000000000004</v>
      </c>
      <c r="I23" s="33">
        <f>+IFERROR(VLOOKUP(A23,'INSUMOS '!$B$2:$AP$167,'INSUMOS '!$AO$2+1,FALSE),0)</f>
        <v>7449</v>
      </c>
      <c r="J23" s="33">
        <f t="shared" ref="J23:J26" si="2">ROUND(I23*H23,0)</f>
        <v>4097</v>
      </c>
    </row>
    <row r="24" spans="1:10"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 t="shared" si="2"/>
        <v>244</v>
      </c>
    </row>
    <row r="25" spans="1:10" ht="13.9" customHeight="1" x14ac:dyDescent="0.25">
      <c r="A25" s="1568" t="s">
        <v>59</v>
      </c>
      <c r="B25" s="1569"/>
      <c r="C25" s="1569"/>
      <c r="D25" s="1569"/>
      <c r="E25" s="1569"/>
      <c r="F25" s="1570"/>
      <c r="G25" s="29" t="s">
        <v>6</v>
      </c>
      <c r="H25" s="35">
        <f>0.2</f>
        <v>0.2</v>
      </c>
      <c r="I25" s="33">
        <f>+IFERROR(VLOOKUP(A25,'INSUMOS '!$B$2:$AP$167,'INSUMOS '!$AO$2+1,FALSE),0)</f>
        <v>39270</v>
      </c>
      <c r="J25" s="33">
        <f>ROUND(I25*H25,0)</f>
        <v>7854</v>
      </c>
    </row>
    <row r="26" spans="1:10" ht="13.9" customHeight="1" x14ac:dyDescent="0.25">
      <c r="A26" s="1558" t="s">
        <v>333</v>
      </c>
      <c r="B26" s="1559"/>
      <c r="C26" s="1559"/>
      <c r="D26" s="1559"/>
      <c r="E26" s="1559"/>
      <c r="F26" s="1560"/>
      <c r="G26" s="29"/>
      <c r="H26" s="35">
        <v>0.05</v>
      </c>
      <c r="I26" s="33">
        <f>+SUM(J22:J25)</f>
        <v>41043</v>
      </c>
      <c r="J26" s="33">
        <f t="shared" si="2"/>
        <v>2052</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43095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(1/(H12*8))/12</f>
        <v>6.1274509803921568E-4</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136</v>
      </c>
      <c r="I43" s="33">
        <f>IFERROR(ROUND(G43/H43,0),0)</f>
        <v>1052</v>
      </c>
      <c r="J43" s="33">
        <f>+I43</f>
        <v>1052</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136</v>
      </c>
      <c r="I44" s="33">
        <f>IFERROR(ROUND(G44/H44,0),0)</f>
        <v>1226</v>
      </c>
      <c r="J44" s="33">
        <f>+I44</f>
        <v>1226</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136</v>
      </c>
      <c r="I45" s="33">
        <f>IFERROR(ROUND(G45/H45,0),0)</f>
        <v>1443</v>
      </c>
      <c r="J45" s="33">
        <f>+I45</f>
        <v>1443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136</v>
      </c>
      <c r="I46" s="33">
        <f>IFERROR(ROUND(G46/H46,0),0)</f>
        <v>1572</v>
      </c>
      <c r="J46" s="33">
        <f>+I46</f>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53181</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Hoja64">
    <tabColor theme="5" tint="-0.499984740745262"/>
  </sheetPr>
  <dimension ref="A1:N55"/>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4" ht="29.25" customHeight="1" x14ac:dyDescent="0.25">
      <c r="A1" s="1574" t="s">
        <v>244</v>
      </c>
      <c r="B1" s="1575"/>
      <c r="C1" s="1575"/>
      <c r="D1" s="1575"/>
      <c r="E1" s="1575"/>
      <c r="F1" s="1575"/>
      <c r="G1" s="1575"/>
      <c r="H1" s="1575"/>
      <c r="I1" s="1575"/>
      <c r="J1" s="1575"/>
    </row>
    <row r="2" spans="1:14" ht="15" customHeight="1" x14ac:dyDescent="0.25">
      <c r="A2" s="1576" t="s">
        <v>245</v>
      </c>
      <c r="B2" s="1576"/>
      <c r="C2" s="1576"/>
      <c r="D2" s="1576"/>
      <c r="E2" s="1576"/>
      <c r="F2" s="1576"/>
      <c r="G2" s="1576"/>
      <c r="H2" s="1576"/>
      <c r="I2" s="1576"/>
      <c r="J2" s="1576"/>
    </row>
    <row r="4" spans="1:14" s="20" customFormat="1" ht="9.9499999999999993" customHeight="1" x14ac:dyDescent="0.25">
      <c r="A4" s="1577" t="s">
        <v>246</v>
      </c>
      <c r="B4" s="1577"/>
      <c r="C4" s="1577"/>
      <c r="D4" s="1577"/>
      <c r="E4" s="1577"/>
      <c r="F4" s="1577"/>
      <c r="G4" s="1577"/>
      <c r="H4" s="1577"/>
      <c r="I4" s="1577"/>
      <c r="J4" s="1577"/>
    </row>
    <row r="5" spans="1:14" s="20" customFormat="1" ht="9.9499999999999993" customHeight="1" x14ac:dyDescent="0.25">
      <c r="B5" s="21"/>
      <c r="C5" s="21"/>
      <c r="D5" s="21"/>
      <c r="E5" s="21"/>
      <c r="F5" s="21"/>
      <c r="G5" s="21"/>
    </row>
    <row r="6" spans="1:14" x14ac:dyDescent="0.25">
      <c r="A6" s="1558" t="s">
        <v>247</v>
      </c>
      <c r="B6" s="1560"/>
      <c r="C6" s="45">
        <v>57</v>
      </c>
      <c r="D6" s="8"/>
      <c r="E6" s="8"/>
      <c r="F6" s="8"/>
      <c r="G6" s="8"/>
      <c r="H6" s="46"/>
      <c r="I6" s="29" t="s">
        <v>248</v>
      </c>
      <c r="J6" s="26" t="str">
        <f>+VLOOKUP(C6,'ANEXO PLIEGO_1'!$A$7:$C$133,3,FALSE)</f>
        <v>M</v>
      </c>
    </row>
    <row r="7" spans="1:14" ht="35.1" customHeight="1" x14ac:dyDescent="0.25">
      <c r="A7" s="1568" t="s">
        <v>249</v>
      </c>
      <c r="B7" s="1570"/>
      <c r="C7" s="1578" t="str">
        <f>+VLOOKUP(C6,'ANEXO PLIEGO_1'!$A$7:$B$133,2,FALSE)</f>
        <v>Suministro y Aplicación de pintura en plástico en frio metilmetacrilato de 20 cm para líneas de demarcación, con antideslizante, con microesfera y espesor seco mínimo de 22 mils (por pulverización o spray) según norma NTC 4744</v>
      </c>
      <c r="D7" s="1579"/>
      <c r="E7" s="1579"/>
      <c r="F7" s="1579"/>
      <c r="G7" s="1579"/>
      <c r="H7" s="1579"/>
      <c r="I7" s="1579"/>
      <c r="J7" s="1580"/>
    </row>
    <row r="9" spans="1:14" s="27" customFormat="1" ht="12.75" x14ac:dyDescent="0.25">
      <c r="A9" s="1561" t="s">
        <v>250</v>
      </c>
      <c r="B9" s="1561"/>
      <c r="C9" s="1561"/>
      <c r="D9" s="1561"/>
      <c r="E9" s="1561"/>
      <c r="F9" s="1561"/>
      <c r="G9" s="1561"/>
      <c r="H9" s="1561"/>
    </row>
    <row r="10" spans="1:14" s="20" customFormat="1" ht="13.9" customHeight="1" x14ac:dyDescent="0.25">
      <c r="A10" s="1562" t="s">
        <v>251</v>
      </c>
      <c r="B10" s="1563"/>
      <c r="C10" s="1563"/>
      <c r="D10" s="1564"/>
      <c r="E10" s="28" t="s">
        <v>252</v>
      </c>
      <c r="F10" s="28" t="s">
        <v>253</v>
      </c>
      <c r="G10" s="28" t="s">
        <v>254</v>
      </c>
      <c r="H10" s="28" t="s">
        <v>255</v>
      </c>
      <c r="I10" s="28" t="s">
        <v>256</v>
      </c>
      <c r="J10" s="28" t="s">
        <v>257</v>
      </c>
      <c r="L10" s="20" t="s">
        <v>165</v>
      </c>
    </row>
    <row r="11" spans="1:14" s="20" customFormat="1" ht="22.5" x14ac:dyDescent="0.25">
      <c r="A11" s="1568" t="str">
        <f>+'EQUIPOS '!B16</f>
        <v>EQUIPO DELINEADOR DE PINTURA PLÁSTICO EN FRIO (POR PULVERIZACIÓN)</v>
      </c>
      <c r="B11" s="1569"/>
      <c r="C11" s="1569"/>
      <c r="D11" s="1570"/>
      <c r="E11" s="29" t="s">
        <v>202</v>
      </c>
      <c r="F11" s="48" t="str">
        <f>IFERROR(VLOOKUP(A11,'[10]EQUIPOS TRANSPOR SALARIO'!$A$3:$G$42,2,FALSE),"")</f>
        <v>Autopropulsado o Montado</v>
      </c>
      <c r="G11" s="31">
        <f>+VLOOKUP(A11,'EQUIPOS '!$B$3:$M$64,12,FALSE)</f>
        <v>297881.7</v>
      </c>
      <c r="H11" s="30">
        <v>120</v>
      </c>
      <c r="I11" s="33">
        <f>IFERROR((G11/H11),"")</f>
        <v>2482.3475000000003</v>
      </c>
      <c r="J11" s="33">
        <f>ROUND(I11,0)</f>
        <v>2482</v>
      </c>
      <c r="N11" s="20">
        <f>375*0.15</f>
        <v>56.25</v>
      </c>
    </row>
    <row r="12" spans="1:14"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120</v>
      </c>
      <c r="I12" s="33">
        <f>IFERROR((G12/H12),0)</f>
        <v>66.666166666666669</v>
      </c>
      <c r="J12" s="33">
        <f>ROUND(I12,0)</f>
        <v>67</v>
      </c>
      <c r="N12" s="20">
        <f>+H11*0.2</f>
        <v>24</v>
      </c>
    </row>
    <row r="13" spans="1:14"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+H12</f>
        <v>120</v>
      </c>
      <c r="I13" s="33">
        <f>IFERROR((G13/H13),0)</f>
        <v>110.18333333333334</v>
      </c>
      <c r="J13" s="33">
        <f>ROUND(I13,0)</f>
        <v>110</v>
      </c>
    </row>
    <row r="14" spans="1:14" s="20" customFormat="1" ht="13.9" customHeight="1" x14ac:dyDescent="0.25">
      <c r="A14" s="1558" t="str">
        <f>+'EQUIPOS '!B50</f>
        <v>EQUIPO DE CONTROL DE OBRA</v>
      </c>
      <c r="B14" s="1559"/>
      <c r="C14" s="1559"/>
      <c r="D14" s="1560"/>
      <c r="E14" s="29" t="s">
        <v>202</v>
      </c>
      <c r="F14" s="30"/>
      <c r="G14" s="31">
        <f>+VLOOKUP(A14,'EQUIPOS '!$B$3:$M$64,12,FALSE)</f>
        <v>1708.75</v>
      </c>
      <c r="H14" s="30">
        <f>+H13</f>
        <v>120</v>
      </c>
      <c r="I14" s="33">
        <f>IFERROR((G14/H14),0)</f>
        <v>14.239583333333334</v>
      </c>
      <c r="J14" s="33">
        <f>ROUND(I14,0)</f>
        <v>14</v>
      </c>
    </row>
    <row r="15" spans="1:14"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4" s="20" customFormat="1" ht="13.9" customHeight="1" x14ac:dyDescent="0.25">
      <c r="A16" s="1558"/>
      <c r="B16" s="1559"/>
      <c r="C16" s="1559"/>
      <c r="D16" s="1560"/>
      <c r="E16" s="29"/>
      <c r="F16" s="30"/>
      <c r="G16" s="31"/>
      <c r="H16" s="30"/>
      <c r="I16" s="33"/>
      <c r="J16" s="33"/>
    </row>
    <row r="17" spans="1:12" s="20" customFormat="1" ht="13.9" customHeight="1" x14ac:dyDescent="0.25">
      <c r="A17" s="1558"/>
      <c r="B17" s="1559"/>
      <c r="C17" s="1559"/>
      <c r="D17" s="1560"/>
      <c r="E17" s="29"/>
      <c r="F17" s="30"/>
      <c r="G17" s="31"/>
      <c r="H17" s="30"/>
      <c r="I17" s="33"/>
      <c r="J17" s="33"/>
    </row>
    <row r="18" spans="1:12" s="20" customFormat="1" ht="13.9" customHeight="1" x14ac:dyDescent="0.25">
      <c r="I18" s="30" t="s">
        <v>257</v>
      </c>
      <c r="J18" s="34">
        <f>+SUM(J11:J17)</f>
        <v>2752</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ht="20.25" customHeight="1" x14ac:dyDescent="0.25">
      <c r="A22" s="1568" t="str">
        <f>+'INSUMOS '!B77</f>
        <v>PINTURA PLÁSTICO EN FRIO METIL METACRILATO BLANCA O AMARILLA - SPRAY (1:1)</v>
      </c>
      <c r="B22" s="1569"/>
      <c r="C22" s="1569"/>
      <c r="D22" s="1569"/>
      <c r="E22" s="1569"/>
      <c r="F22" s="1570"/>
      <c r="G22" s="29" t="s">
        <v>114</v>
      </c>
      <c r="H22" s="37">
        <f>0.17*0.2</f>
        <v>3.4000000000000002E-2</v>
      </c>
      <c r="I22" s="33">
        <f>+IFERROR(VLOOKUP(A22,'INSUMOS '!$B$2:$AP$167,'INSUMOS '!$AO$2+1,FALSE),0)</f>
        <v>169694</v>
      </c>
      <c r="J22" s="33">
        <f>ROUND(I22*H22,0)</f>
        <v>5770</v>
      </c>
      <c r="L22" s="19">
        <f>1.2/3.78*0.2</f>
        <v>6.3492063492063489E-2</v>
      </c>
    </row>
    <row r="23" spans="1:12" ht="13.9" customHeight="1" x14ac:dyDescent="0.25">
      <c r="A23" s="1558" t="str">
        <f>+'INSUMOS '!B59</f>
        <v>MICROESFERA DE VIDRIO  (ESFERICIDAD MAYOR A 80%)</v>
      </c>
      <c r="B23" s="1559"/>
      <c r="C23" s="1559"/>
      <c r="D23" s="1559"/>
      <c r="E23" s="1559"/>
      <c r="F23" s="1560"/>
      <c r="G23" s="29" t="s">
        <v>6</v>
      </c>
      <c r="H23" s="47">
        <f>0.55*0.2</f>
        <v>0.11000000000000001</v>
      </c>
      <c r="I23" s="33">
        <f>+IFERROR(VLOOKUP(A23,'INSUMOS '!$B$2:$AP$167,'INSUMOS '!$AO$2+1,FALSE),0)</f>
        <v>7449</v>
      </c>
      <c r="J23" s="33">
        <f>ROUND(I23*H23,0)</f>
        <v>819</v>
      </c>
    </row>
    <row r="24" spans="1:12"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c r="L24" s="19">
        <f>0.08*H22</f>
        <v>2.7200000000000002E-3</v>
      </c>
    </row>
    <row r="25" spans="1:12" ht="13.9" customHeight="1" x14ac:dyDescent="0.25">
      <c r="A25" s="1568" t="s">
        <v>59</v>
      </c>
      <c r="B25" s="1569"/>
      <c r="C25" s="1569"/>
      <c r="D25" s="1569"/>
      <c r="E25" s="1569"/>
      <c r="F25" s="1570"/>
      <c r="G25" s="29" t="s">
        <v>6</v>
      </c>
      <c r="H25" s="35">
        <f>0.04</f>
        <v>0.04</v>
      </c>
      <c r="I25" s="33">
        <f>+IFERROR(VLOOKUP(A25,'INSUMOS '!$B$2:$AP$167,'INSUMOS '!$AO$2+1,FALSE),0)</f>
        <v>39270</v>
      </c>
      <c r="J25" s="33">
        <f>ROUND(I25*H25,0)</f>
        <v>1571</v>
      </c>
    </row>
    <row r="26" spans="1:12" ht="13.9" customHeight="1" x14ac:dyDescent="0.25">
      <c r="A26" s="1558" t="s">
        <v>333</v>
      </c>
      <c r="B26" s="1559"/>
      <c r="C26" s="1559"/>
      <c r="D26" s="1559"/>
      <c r="E26" s="1559"/>
      <c r="F26" s="1560"/>
      <c r="G26" s="29"/>
      <c r="H26" s="35">
        <v>0.05</v>
      </c>
      <c r="I26" s="33">
        <f>+SUM(J22:J25)</f>
        <v>8404</v>
      </c>
      <c r="J26" s="33">
        <f>ROUND(I26*H26,0)</f>
        <v>420</v>
      </c>
    </row>
    <row r="27" spans="1:12" ht="13.9" customHeight="1" x14ac:dyDescent="0.25">
      <c r="A27" s="1558"/>
      <c r="B27" s="1559"/>
      <c r="C27" s="1559"/>
      <c r="D27" s="1559"/>
      <c r="E27" s="1559"/>
      <c r="F27" s="1560"/>
      <c r="G27" s="29"/>
      <c r="H27" s="35"/>
      <c r="I27" s="33"/>
      <c r="J27" s="33"/>
    </row>
    <row r="28" spans="1:12" ht="13.9" customHeight="1" x14ac:dyDescent="0.25">
      <c r="A28" s="1558"/>
      <c r="B28" s="1559"/>
      <c r="C28" s="1559"/>
      <c r="D28" s="1559"/>
      <c r="E28" s="1559"/>
      <c r="F28" s="1560"/>
      <c r="G28" s="29"/>
      <c r="H28" s="35"/>
      <c r="I28" s="33"/>
      <c r="J28" s="33"/>
    </row>
    <row r="29" spans="1:12" ht="13.9" customHeight="1" x14ac:dyDescent="0.25">
      <c r="A29" s="1558"/>
      <c r="B29" s="1559"/>
      <c r="C29" s="1559"/>
      <c r="D29" s="1559"/>
      <c r="E29" s="1559"/>
      <c r="F29" s="1560"/>
      <c r="G29" s="29"/>
      <c r="H29" s="37"/>
      <c r="I29" s="33"/>
      <c r="J29" s="33"/>
    </row>
    <row r="30" spans="1:12" ht="13.9" customHeight="1" x14ac:dyDescent="0.25">
      <c r="A30" s="1558"/>
      <c r="B30" s="1559"/>
      <c r="C30" s="1559"/>
      <c r="D30" s="1559"/>
      <c r="E30" s="1559"/>
      <c r="F30" s="1560"/>
      <c r="G30" s="29"/>
      <c r="H30" s="35"/>
      <c r="I30" s="33"/>
      <c r="J30" s="33"/>
    </row>
    <row r="31" spans="1:12" ht="13.9" customHeight="1" x14ac:dyDescent="0.25">
      <c r="A31" s="1558"/>
      <c r="B31" s="1559"/>
      <c r="C31" s="1559"/>
      <c r="D31" s="1559"/>
      <c r="E31" s="1559"/>
      <c r="F31" s="1560"/>
      <c r="G31" s="29"/>
      <c r="H31" s="35"/>
      <c r="I31" s="33"/>
      <c r="J31" s="33"/>
    </row>
    <row r="32" spans="1:12" ht="13.9" customHeight="1" x14ac:dyDescent="0.25">
      <c r="A32" s="20"/>
      <c r="B32" s="20"/>
      <c r="C32" s="20"/>
      <c r="D32" s="20"/>
      <c r="E32" s="20"/>
      <c r="G32" s="20"/>
      <c r="H32" s="20"/>
      <c r="I32" s="30" t="s">
        <v>257</v>
      </c>
      <c r="J32" s="34">
        <f>+SUM(J22:J31)</f>
        <v>8824</v>
      </c>
      <c r="K32" s="758">
        <f>3450.94/J32</f>
        <v>0.39108567543064371</v>
      </c>
      <c r="L32" s="761">
        <f>100%-K32</f>
        <v>0.60891432456935624</v>
      </c>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c r="L35" s="19">
        <f>3000*H22</f>
        <v>102.00000000000001</v>
      </c>
      <c r="M35" s="19">
        <f>+H36/L35</f>
        <v>5995.0245098039204</v>
      </c>
    </row>
    <row r="36" spans="1:13" ht="13.9" customHeight="1" x14ac:dyDescent="0.25">
      <c r="A36" s="1558" t="str">
        <f>+'EQUIPOS '!B6</f>
        <v>CAMION INCLUYE CONDUCTOR</v>
      </c>
      <c r="B36" s="1559"/>
      <c r="C36" s="1559"/>
      <c r="D36" s="1559"/>
      <c r="E36" s="1559"/>
      <c r="F36" s="1560"/>
      <c r="G36" s="1481">
        <f>(1/(H11*8))/12</f>
        <v>8.6805555555555559E-5</v>
      </c>
      <c r="H36" s="33">
        <f>+IFERROR(VLOOKUP(A36,'EQUIPOS '!$B$3:$M$78,12,FALSE),0)</f>
        <v>611492.5</v>
      </c>
      <c r="I36" s="33">
        <f>IFERROR(H36*G36,0)</f>
        <v>53.080946180555557</v>
      </c>
      <c r="J36" s="33">
        <f>ROUND(I36,0)</f>
        <v>53</v>
      </c>
    </row>
    <row r="37" spans="1:13" ht="13.9" customHeight="1" x14ac:dyDescent="0.25">
      <c r="A37" s="1558"/>
      <c r="B37" s="1559"/>
      <c r="C37" s="1559"/>
      <c r="D37" s="1559"/>
      <c r="E37" s="1559"/>
      <c r="F37" s="1560"/>
      <c r="G37" s="29"/>
      <c r="H37" s="33"/>
      <c r="I37" s="33"/>
      <c r="J37" s="33"/>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53</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960</v>
      </c>
      <c r="I43" s="33">
        <f>IFERROR(ROUND(G43/H43,0),0)</f>
        <v>298</v>
      </c>
      <c r="J43" s="33">
        <f>+I43</f>
        <v>298</v>
      </c>
    </row>
    <row r="44" spans="1:13" s="39" customFormat="1" ht="13.9" customHeight="1" x14ac:dyDescent="0.25">
      <c r="A44" s="1558" t="str">
        <f>+PERSONAL!B6</f>
        <v>AYUDANTE NOCTURNO</v>
      </c>
      <c r="B44" s="1559"/>
      <c r="C44" s="1559"/>
      <c r="D44" s="1560"/>
      <c r="E44" s="40">
        <f>+VLOOKUP(A44,PERSONAL!$B$3:$E$100,4,FALSE)</f>
        <v>83383</v>
      </c>
      <c r="F44" s="30">
        <v>3</v>
      </c>
      <c r="G44" s="40">
        <f>+E44*F44</f>
        <v>250149</v>
      </c>
      <c r="H44" s="35">
        <f>+H43</f>
        <v>960</v>
      </c>
      <c r="I44" s="33">
        <f>IFERROR(ROUND(G44/H44,0),0)</f>
        <v>261</v>
      </c>
      <c r="J44" s="33">
        <f>+I44</f>
        <v>261</v>
      </c>
    </row>
    <row r="45" spans="1:13"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960</v>
      </c>
      <c r="I45" s="33">
        <f>IFERROR(ROUND(G45/H45,0),0)</f>
        <v>204</v>
      </c>
      <c r="J45" s="33">
        <f>+I45</f>
        <v>204</v>
      </c>
    </row>
    <row r="46" spans="1:13"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960</v>
      </c>
      <c r="I46" s="33">
        <f>IFERROR(ROUND(G46/H46,0),0)</f>
        <v>223</v>
      </c>
      <c r="J46" s="33">
        <f>+I46</f>
        <v>223</v>
      </c>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2" ht="13.9" customHeight="1" x14ac:dyDescent="0.25">
      <c r="A49" s="20"/>
      <c r="B49" s="20"/>
      <c r="C49" s="20"/>
      <c r="E49" s="20"/>
      <c r="F49" s="20"/>
      <c r="G49" s="20"/>
      <c r="H49" s="20"/>
      <c r="I49" s="30" t="s">
        <v>257</v>
      </c>
      <c r="J49" s="34">
        <f>+SUM(J43:J48)</f>
        <v>986</v>
      </c>
    </row>
    <row r="50" spans="1:12" ht="13.9" customHeight="1" x14ac:dyDescent="0.25"/>
    <row r="51" spans="1:12" ht="13.9" customHeight="1" x14ac:dyDescent="0.25">
      <c r="E51" s="41" t="s">
        <v>276</v>
      </c>
      <c r="I51" s="42">
        <f>+J49+J39+J32+J18</f>
        <v>12615</v>
      </c>
      <c r="J51" s="43"/>
      <c r="K51" s="758">
        <f>4357.58/I51</f>
        <v>0.34542845818470075</v>
      </c>
      <c r="L51" s="761">
        <f>100%-K51</f>
        <v>0.65457154181529931</v>
      </c>
    </row>
    <row r="52" spans="1:12" ht="13.9" customHeight="1" x14ac:dyDescent="0.25"/>
    <row r="53" spans="1:12" ht="14.1" customHeight="1" x14ac:dyDescent="0.25">
      <c r="I53" s="44"/>
      <c r="J53" s="44"/>
    </row>
    <row r="54" spans="1:12" ht="14.1" customHeight="1" x14ac:dyDescent="0.25">
      <c r="I54" s="44"/>
    </row>
    <row r="55" spans="1:12"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Hoja63">
    <tabColor theme="5" tint="-0.499984740745262"/>
  </sheetPr>
  <dimension ref="A1:L55"/>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56</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en plástico en frio metilmetacrilato de 15 cm para líneas de demarcación, con antideslizante, con microesfera y espesor seco mínimo de 22 mils (por pulverización o spray) según norma NTC 4744</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699" t="s">
        <v>251</v>
      </c>
      <c r="B10" s="1700"/>
      <c r="C10" s="1700"/>
      <c r="D10" s="1701"/>
      <c r="E10" s="28" t="s">
        <v>252</v>
      </c>
      <c r="F10" s="28" t="s">
        <v>253</v>
      </c>
      <c r="G10" s="28" t="s">
        <v>254</v>
      </c>
      <c r="H10" s="28" t="s">
        <v>255</v>
      </c>
      <c r="I10" s="28" t="s">
        <v>256</v>
      </c>
      <c r="J10" s="28" t="s">
        <v>257</v>
      </c>
    </row>
    <row r="11" spans="1:10" s="20" customFormat="1" ht="22.5" x14ac:dyDescent="0.25">
      <c r="A11" s="1568" t="str">
        <f>+'EQUIPOS '!B16</f>
        <v>EQUIPO DELINEADOR DE PINTURA PLÁSTICO EN FRIO (POR PULVERIZACIÓN)</v>
      </c>
      <c r="B11" s="1569"/>
      <c r="C11" s="1569"/>
      <c r="D11" s="1570"/>
      <c r="E11" s="29" t="s">
        <v>202</v>
      </c>
      <c r="F11" s="48" t="str">
        <f>IFERROR(VLOOKUP(A11,'[10]EQUIPOS TRANSPOR SALARIO'!$A$3:$G$42,2,FALSE),"")</f>
        <v>Autopropulsado o Montado</v>
      </c>
      <c r="G11" s="31">
        <f>+VLOOKUP(A11,'EQUIPOS '!$B$3:$M$64,12,FALSE)</f>
        <v>297881.7</v>
      </c>
      <c r="H11" s="30">
        <v>120</v>
      </c>
      <c r="I11" s="33">
        <f>IFERROR((G11/H11),"")</f>
        <v>2482.3475000000003</v>
      </c>
      <c r="J11" s="33">
        <f>ROUND(I11,0)</f>
        <v>2482</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120</v>
      </c>
      <c r="I12" s="33">
        <f t="shared" ref="I12:I14" si="0">IFERROR((G12/H12),0)</f>
        <v>66.666166666666669</v>
      </c>
      <c r="J12" s="33">
        <f t="shared" ref="J12:J15" si="1">ROUND(I12,0)</f>
        <v>67</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120</v>
      </c>
      <c r="I13" s="33">
        <f t="shared" si="0"/>
        <v>110.18333333333334</v>
      </c>
      <c r="J13" s="33">
        <f t="shared" si="1"/>
        <v>110</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120</v>
      </c>
      <c r="I14" s="33">
        <f t="shared" si="0"/>
        <v>14.239583333333334</v>
      </c>
      <c r="J14" s="33">
        <f t="shared" si="1"/>
        <v>14</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2"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2" s="20" customFormat="1" ht="13.9" customHeight="1" x14ac:dyDescent="0.25">
      <c r="I18" s="30" t="s">
        <v>257</v>
      </c>
      <c r="J18" s="34">
        <f>+SUM(J11:J17)</f>
        <v>2752</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ht="26.25" customHeight="1" x14ac:dyDescent="0.25">
      <c r="A22" s="1568" t="str">
        <f>+'INSUMOS '!B77</f>
        <v>PINTURA PLÁSTICO EN FRIO METIL METACRILATO BLANCA O AMARILLA - SPRAY (1:1)</v>
      </c>
      <c r="B22" s="1569"/>
      <c r="C22" s="1569"/>
      <c r="D22" s="1569"/>
      <c r="E22" s="1569"/>
      <c r="F22" s="1570"/>
      <c r="G22" s="29" t="s">
        <v>114</v>
      </c>
      <c r="H22" s="37">
        <f>0.17*0.15</f>
        <v>2.5500000000000002E-2</v>
      </c>
      <c r="I22" s="1005">
        <f>+IFERROR(VLOOKUP(A22,'INSUMOS '!$B$2:$AP$167,'INSUMOS '!$AO$2+1,FALSE),0)</f>
        <v>169694</v>
      </c>
      <c r="J22" s="33">
        <f>ROUND(I22*H22,0)</f>
        <v>4327</v>
      </c>
    </row>
    <row r="23" spans="1:12" ht="13.9" customHeight="1" x14ac:dyDescent="0.25">
      <c r="A23" s="1558" t="str">
        <f>+'INSUMOS '!B59</f>
        <v>MICROESFERA DE VIDRIO  (ESFERICIDAD MAYOR A 80%)</v>
      </c>
      <c r="B23" s="1559"/>
      <c r="C23" s="1559"/>
      <c r="D23" s="1559"/>
      <c r="E23" s="1559"/>
      <c r="F23" s="1560"/>
      <c r="G23" s="29" t="s">
        <v>6</v>
      </c>
      <c r="H23" s="47">
        <f>0.55*0.15</f>
        <v>8.2500000000000004E-2</v>
      </c>
      <c r="I23" s="33">
        <f>+IFERROR(VLOOKUP(A23,'INSUMOS '!$B$2:$AP$167,'INSUMOS '!$AO$2+1,FALSE),0)</f>
        <v>7449</v>
      </c>
      <c r="J23" s="33">
        <f>ROUND(I23*H23,0)</f>
        <v>615</v>
      </c>
    </row>
    <row r="24" spans="1:12"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2" ht="13.9" customHeight="1" x14ac:dyDescent="0.25">
      <c r="A25" s="1568" t="s">
        <v>59</v>
      </c>
      <c r="B25" s="1569"/>
      <c r="C25" s="1569"/>
      <c r="D25" s="1569"/>
      <c r="E25" s="1569"/>
      <c r="F25" s="1570"/>
      <c r="G25" s="29" t="s">
        <v>6</v>
      </c>
      <c r="H25" s="35">
        <f>0.03</f>
        <v>0.03</v>
      </c>
      <c r="I25" s="33">
        <f>+IFERROR(VLOOKUP(A25,'INSUMOS '!$B$2:$AP$167,'INSUMOS '!$AO$2+1,FALSE),0)</f>
        <v>39270</v>
      </c>
      <c r="J25" s="33">
        <f>ROUND(I25*H25,0)</f>
        <v>1178</v>
      </c>
    </row>
    <row r="26" spans="1:12" ht="13.9" customHeight="1" x14ac:dyDescent="0.25">
      <c r="A26" s="1558" t="s">
        <v>333</v>
      </c>
      <c r="B26" s="1559"/>
      <c r="C26" s="1559"/>
      <c r="D26" s="1559"/>
      <c r="E26" s="1559"/>
      <c r="F26" s="1560"/>
      <c r="G26" s="29"/>
      <c r="H26" s="35">
        <v>0.05</v>
      </c>
      <c r="I26" s="33">
        <f>+SUM(J22:J25)</f>
        <v>6364</v>
      </c>
      <c r="J26" s="33">
        <f>ROUND(I26*H26,0)</f>
        <v>318</v>
      </c>
    </row>
    <row r="27" spans="1:12" ht="13.9" customHeight="1" x14ac:dyDescent="0.25">
      <c r="A27" s="1558"/>
      <c r="B27" s="1559"/>
      <c r="C27" s="1559"/>
      <c r="D27" s="1559"/>
      <c r="E27" s="1559"/>
      <c r="F27" s="1560"/>
      <c r="G27" s="29"/>
      <c r="H27" s="35"/>
      <c r="I27" s="33"/>
      <c r="J27" s="33"/>
    </row>
    <row r="28" spans="1:12" ht="13.9" customHeight="1" x14ac:dyDescent="0.25">
      <c r="A28" s="1558"/>
      <c r="B28" s="1559"/>
      <c r="C28" s="1559"/>
      <c r="D28" s="1559"/>
      <c r="E28" s="1559"/>
      <c r="F28" s="1560"/>
      <c r="G28" s="29"/>
      <c r="H28" s="35"/>
      <c r="I28" s="33"/>
      <c r="J28" s="33"/>
    </row>
    <row r="29" spans="1:12" ht="13.9" customHeight="1" x14ac:dyDescent="0.25">
      <c r="A29" s="1558"/>
      <c r="B29" s="1559"/>
      <c r="C29" s="1559"/>
      <c r="D29" s="1559"/>
      <c r="E29" s="1559"/>
      <c r="F29" s="1560"/>
      <c r="G29" s="29"/>
      <c r="H29" s="37"/>
      <c r="I29" s="33"/>
      <c r="J29" s="33"/>
    </row>
    <row r="30" spans="1:12" ht="13.9" customHeight="1" x14ac:dyDescent="0.25">
      <c r="A30" s="1558"/>
      <c r="B30" s="1559"/>
      <c r="C30" s="1559"/>
      <c r="D30" s="1559"/>
      <c r="E30" s="1559"/>
      <c r="F30" s="1560"/>
      <c r="G30" s="29"/>
      <c r="H30" s="35"/>
      <c r="I30" s="33"/>
      <c r="J30" s="33"/>
    </row>
    <row r="31" spans="1:12" ht="13.9" customHeight="1" x14ac:dyDescent="0.25">
      <c r="A31" s="1558"/>
      <c r="B31" s="1559"/>
      <c r="C31" s="1559"/>
      <c r="D31" s="1559"/>
      <c r="E31" s="1559"/>
      <c r="F31" s="1560"/>
      <c r="G31" s="29"/>
      <c r="H31" s="35"/>
      <c r="I31" s="33"/>
      <c r="J31" s="33"/>
    </row>
    <row r="32" spans="1:12" ht="13.9" customHeight="1" x14ac:dyDescent="0.25">
      <c r="A32" s="20"/>
      <c r="B32" s="20"/>
      <c r="C32" s="20"/>
      <c r="D32" s="20"/>
      <c r="E32" s="20"/>
      <c r="G32" s="20"/>
      <c r="H32" s="20"/>
      <c r="I32" s="30" t="s">
        <v>257</v>
      </c>
      <c r="J32" s="34">
        <f>+SUM(J22:J31)</f>
        <v>6682</v>
      </c>
      <c r="K32" s="758">
        <f>2592.08/J32</f>
        <v>0.38791978449565995</v>
      </c>
      <c r="L32" s="761">
        <f>100%-K32</f>
        <v>0.61208021550434011</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8.6805555555555559E-5</v>
      </c>
      <c r="H36" s="33">
        <f>+IFERROR(VLOOKUP(A36,'EQUIPOS '!$B$3:$M$78,12,FALSE),0)</f>
        <v>611492.5</v>
      </c>
      <c r="I36" s="33">
        <f>IFERROR(H36*G36,0)</f>
        <v>53.080946180555557</v>
      </c>
      <c r="J36" s="33">
        <f>ROUND(I36,0)</f>
        <v>53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960</v>
      </c>
      <c r="I43" s="33">
        <f>IFERROR(ROUND(G43/H43,0),0)</f>
        <v>298</v>
      </c>
      <c r="J43" s="33">
        <f>+I43</f>
        <v>298</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960</v>
      </c>
      <c r="I44" s="33">
        <f>IFERROR(ROUND(G44/H44,0),0)</f>
        <v>261</v>
      </c>
      <c r="J44" s="33">
        <f>+I44</f>
        <v>261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960</v>
      </c>
      <c r="I45" s="33">
        <f>IFERROR(ROUND(G45/H45,0),0)</f>
        <v>204</v>
      </c>
      <c r="J45" s="33">
        <f>+I45</f>
        <v>204</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960</v>
      </c>
      <c r="I46" s="33">
        <f>IFERROR(ROUND(G46/H46,0),0)</f>
        <v>223</v>
      </c>
      <c r="J46" s="33">
        <f>+I46</f>
        <v>223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2" ht="13.9" customHeight="1" x14ac:dyDescent="0.25">
      <c r="A49" s="20"/>
      <c r="B49" s="20"/>
      <c r="C49" s="20"/>
      <c r="E49" s="20"/>
      <c r="F49" s="20"/>
      <c r="G49" s="20"/>
      <c r="H49" s="20"/>
      <c r="I49" s="30" t="s">
        <v>257</v>
      </c>
      <c r="J49" s="34">
        <f>+SUM(J43:J48)</f>
        <v>986</v>
      </c>
    </row>
    <row r="50" spans="1:12" ht="13.9" customHeight="1" x14ac:dyDescent="0.25"/>
    <row r="51" spans="1:12" ht="13.9" customHeight="1" x14ac:dyDescent="0.25">
      <c r="E51" s="41" t="s">
        <v>276</v>
      </c>
      <c r="I51" s="42">
        <f>+J49+J39+J32+J18</f>
        <v>10473</v>
      </c>
      <c r="J51" s="43"/>
      <c r="K51" s="758">
        <f>3307.4/I51</f>
        <v>0.31580253986441326</v>
      </c>
      <c r="L51" s="761">
        <f>100%-K51</f>
        <v>0.68419746013558669</v>
      </c>
    </row>
    <row r="52" spans="1:12" ht="13.9" customHeight="1" x14ac:dyDescent="0.25"/>
    <row r="53" spans="1:12" ht="14.1" customHeight="1" x14ac:dyDescent="0.25">
      <c r="I53" s="44"/>
      <c r="J53" s="44"/>
    </row>
    <row r="54" spans="1:12" ht="14.1" customHeight="1" x14ac:dyDescent="0.25">
      <c r="I54" s="44"/>
    </row>
    <row r="55" spans="1:12"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Hoja62">
    <tabColor theme="5" tint="-0.499984740745262"/>
  </sheetPr>
  <dimension ref="A1:R55"/>
  <sheetViews>
    <sheetView topLeftCell="A34"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8" ht="29.25" customHeight="1" x14ac:dyDescent="0.25">
      <c r="A1" s="1574" t="s">
        <v>244</v>
      </c>
      <c r="B1" s="1575"/>
      <c r="C1" s="1575"/>
      <c r="D1" s="1575"/>
      <c r="E1" s="1575"/>
      <c r="F1" s="1575"/>
      <c r="G1" s="1575"/>
      <c r="H1" s="1575"/>
      <c r="I1" s="1575"/>
      <c r="J1" s="1575"/>
    </row>
    <row r="2" spans="1:18" ht="15" customHeight="1" x14ac:dyDescent="0.25">
      <c r="A2" s="1576" t="s">
        <v>245</v>
      </c>
      <c r="B2" s="1576"/>
      <c r="C2" s="1576"/>
      <c r="D2" s="1576"/>
      <c r="E2" s="1576"/>
      <c r="F2" s="1576"/>
      <c r="G2" s="1576"/>
      <c r="H2" s="1576"/>
      <c r="I2" s="1576"/>
      <c r="J2" s="1576"/>
    </row>
    <row r="4" spans="1:18" s="20" customFormat="1" ht="9.9499999999999993" customHeight="1" x14ac:dyDescent="0.25">
      <c r="A4" s="1577" t="s">
        <v>246</v>
      </c>
      <c r="B4" s="1577"/>
      <c r="C4" s="1577"/>
      <c r="D4" s="1577"/>
      <c r="E4" s="1577"/>
      <c r="F4" s="1577"/>
      <c r="G4" s="1577"/>
      <c r="H4" s="1577"/>
      <c r="I4" s="1577"/>
      <c r="J4" s="1577"/>
    </row>
    <row r="5" spans="1:18" s="20" customFormat="1" ht="9.9499999999999993" customHeight="1" x14ac:dyDescent="0.25">
      <c r="B5" s="21"/>
      <c r="C5" s="21"/>
      <c r="D5" s="21"/>
      <c r="E5" s="21"/>
      <c r="F5" s="21"/>
      <c r="G5" s="21"/>
    </row>
    <row r="6" spans="1:18" x14ac:dyDescent="0.25">
      <c r="A6" s="1558" t="s">
        <v>247</v>
      </c>
      <c r="B6" s="1560"/>
      <c r="C6" s="45">
        <v>55</v>
      </c>
      <c r="D6" s="8"/>
      <c r="E6" s="8"/>
      <c r="F6" s="8"/>
      <c r="G6" s="8"/>
      <c r="H6" s="46"/>
      <c r="I6" s="29" t="s">
        <v>248</v>
      </c>
      <c r="J6" s="26" t="str">
        <f>+VLOOKUP(C6,'ANEXO PLIEGO_1'!$A$7:$C$133,3,FALSE)</f>
        <v>M</v>
      </c>
    </row>
    <row r="7" spans="1:18" ht="35.1" customHeight="1" x14ac:dyDescent="0.25">
      <c r="A7" s="1568" t="s">
        <v>249</v>
      </c>
      <c r="B7" s="1570"/>
      <c r="C7" s="1578" t="str">
        <f>+VLOOKUP(C6,'ANEXO PLIEGO_1'!$A$7:$B$133,2,FALSE)</f>
        <v>Suministro y Aplicación de pintura en plástico en frio metilmetacrilato de 12 cm para líneas de demarcación, con microesfera, con antideslizante, y espesor seco mínimo de 22 mils (por pulverización o spray)según norma NTC 4744</v>
      </c>
      <c r="D7" s="1579"/>
      <c r="E7" s="1579"/>
      <c r="F7" s="1579"/>
      <c r="G7" s="1579"/>
      <c r="H7" s="1579"/>
      <c r="I7" s="1579"/>
      <c r="J7" s="1580"/>
    </row>
    <row r="9" spans="1:18" s="27" customFormat="1" ht="12.75" x14ac:dyDescent="0.25">
      <c r="A9" s="1561" t="s">
        <v>250</v>
      </c>
      <c r="B9" s="1561"/>
      <c r="C9" s="1561"/>
      <c r="D9" s="1561"/>
      <c r="E9" s="1561"/>
      <c r="F9" s="1561"/>
      <c r="G9" s="1561"/>
      <c r="H9" s="1561"/>
    </row>
    <row r="10" spans="1:18" s="20" customFormat="1" ht="13.9" customHeight="1" x14ac:dyDescent="0.25">
      <c r="A10" s="1562" t="s">
        <v>251</v>
      </c>
      <c r="B10" s="1563"/>
      <c r="C10" s="1563"/>
      <c r="D10" s="1564"/>
      <c r="E10" s="28" t="s">
        <v>252</v>
      </c>
      <c r="F10" s="28" t="s">
        <v>253</v>
      </c>
      <c r="G10" s="28" t="s">
        <v>254</v>
      </c>
      <c r="H10" s="28" t="s">
        <v>255</v>
      </c>
      <c r="I10" s="28" t="s">
        <v>256</v>
      </c>
      <c r="J10" s="28" t="s">
        <v>257</v>
      </c>
      <c r="M10" s="258" t="s">
        <v>3090</v>
      </c>
    </row>
    <row r="11" spans="1:18" s="20" customFormat="1" ht="22.5" x14ac:dyDescent="0.25">
      <c r="A11" s="1568" t="str">
        <f>+'EQUIPOS '!B16</f>
        <v>EQUIPO DELINEADOR DE PINTURA PLÁSTICO EN FRIO (POR PULVERIZACIÓN)</v>
      </c>
      <c r="B11" s="1569"/>
      <c r="C11" s="1569"/>
      <c r="D11" s="1570"/>
      <c r="E11" s="29" t="s">
        <v>202</v>
      </c>
      <c r="F11" s="48" t="str">
        <f>IFERROR(VLOOKUP(A11,'[10]EQUIPOS TRANSPOR SALARIO'!$A$3:$G$42,2,FALSE),"")</f>
        <v>Autopropulsado o Montado</v>
      </c>
      <c r="G11" s="31">
        <f>+VLOOKUP(A11,'EQUIPOS '!$B$3:$M$64,12,FALSE)</f>
        <v>297881.7</v>
      </c>
      <c r="H11" s="30">
        <v>1000</v>
      </c>
      <c r="I11" s="33">
        <f>IFERROR((G11/H11),"")</f>
        <v>297.88170000000002</v>
      </c>
      <c r="J11" s="33">
        <f>ROUND(I11,0)</f>
        <v>298</v>
      </c>
      <c r="O11" s="1702" t="s">
        <v>3091</v>
      </c>
      <c r="P11" s="1702"/>
      <c r="Q11" s="20">
        <f>ROUND(1/3,2)</f>
        <v>0.33</v>
      </c>
      <c r="R11" s="20" t="s">
        <v>3092</v>
      </c>
    </row>
    <row r="12" spans="1:18"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1000</v>
      </c>
      <c r="I12" s="33">
        <f>IFERROR((G12/H12),0)</f>
        <v>7.9999399999999996</v>
      </c>
      <c r="J12" s="33">
        <f>ROUND(I12,0)</f>
        <v>8</v>
      </c>
      <c r="P12" s="20">
        <f>0.33*0.12</f>
        <v>3.9600000000000003E-2</v>
      </c>
    </row>
    <row r="13" spans="1:18"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1000</v>
      </c>
      <c r="I13" s="33">
        <f>IFERROR((G13/H13),0)</f>
        <v>13.222</v>
      </c>
      <c r="J13" s="33">
        <f>ROUND(I13,0)</f>
        <v>13</v>
      </c>
    </row>
    <row r="14" spans="1:18"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1000</v>
      </c>
      <c r="I14" s="33">
        <f>IFERROR((G14/H14),0)</f>
        <v>1.70875</v>
      </c>
      <c r="J14" s="33">
        <f>ROUND(I14,0)</f>
        <v>2</v>
      </c>
      <c r="M14" t="s">
        <v>3093</v>
      </c>
    </row>
    <row r="15" spans="1:18"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8" s="20" customFormat="1" ht="13.9" customHeight="1" x14ac:dyDescent="0.25">
      <c r="A16" s="1558"/>
      <c r="B16" s="1559"/>
      <c r="C16" s="1559"/>
      <c r="D16" s="1560"/>
      <c r="E16" s="29"/>
      <c r="F16" s="30"/>
      <c r="G16" s="31"/>
      <c r="H16" s="30"/>
      <c r="I16" s="33"/>
      <c r="J16" s="33"/>
      <c r="M16" t="s">
        <v>3095</v>
      </c>
      <c r="Q16" s="20" t="s">
        <v>3094</v>
      </c>
      <c r="R16" s="20">
        <f>1100/2</f>
        <v>550</v>
      </c>
    </row>
    <row r="17" spans="1:14" s="20" customFormat="1" ht="13.9" customHeight="1" x14ac:dyDescent="0.25">
      <c r="A17" s="1558"/>
      <c r="B17" s="1559"/>
      <c r="C17" s="1559"/>
      <c r="D17" s="1560"/>
      <c r="E17" s="29"/>
      <c r="F17" s="30"/>
      <c r="G17" s="31"/>
      <c r="H17" s="30"/>
      <c r="I17" s="33"/>
      <c r="J17" s="33"/>
      <c r="N17" s="20">
        <f>22*25.4</f>
        <v>558.79999999999995</v>
      </c>
    </row>
    <row r="18" spans="1:14" s="20" customFormat="1" ht="13.9" customHeight="1" x14ac:dyDescent="0.25">
      <c r="I18" s="30" t="s">
        <v>257</v>
      </c>
      <c r="J18" s="34">
        <f>+SUM(J11:J17)</f>
        <v>400</v>
      </c>
    </row>
    <row r="19" spans="1:14" s="20" customFormat="1" ht="13.9" customHeight="1" x14ac:dyDescent="0.25">
      <c r="M19" t="s">
        <v>3096</v>
      </c>
    </row>
    <row r="20" spans="1:14" s="20" customFormat="1" ht="13.9" customHeight="1" x14ac:dyDescent="0.25">
      <c r="A20" s="1561" t="s">
        <v>263</v>
      </c>
      <c r="B20" s="1561"/>
      <c r="C20" s="1561"/>
      <c r="D20" s="1561"/>
      <c r="E20" s="1561"/>
      <c r="F20" s="1561"/>
      <c r="G20" s="1561"/>
      <c r="H20" s="1561"/>
      <c r="I20" s="27"/>
    </row>
    <row r="21" spans="1:14" ht="13.9" customHeight="1" x14ac:dyDescent="0.25">
      <c r="A21" s="1565" t="s">
        <v>251</v>
      </c>
      <c r="B21" s="1566"/>
      <c r="C21" s="1566"/>
      <c r="D21" s="1566"/>
      <c r="E21" s="1566"/>
      <c r="F21" s="1567"/>
      <c r="G21" s="28" t="s">
        <v>252</v>
      </c>
      <c r="H21" s="28" t="s">
        <v>264</v>
      </c>
      <c r="I21" s="28" t="s">
        <v>256</v>
      </c>
      <c r="J21" s="28" t="s">
        <v>257</v>
      </c>
    </row>
    <row r="22" spans="1:14" ht="28.5" customHeight="1" x14ac:dyDescent="0.25">
      <c r="A22" s="1568" t="str">
        <f>+'INSUMOS '!B77</f>
        <v>PINTURA PLÁSTICO EN FRIO METIL METACRILATO BLANCA O AMARILLA - SPRAY (1:1)</v>
      </c>
      <c r="B22" s="1569"/>
      <c r="C22" s="1569"/>
      <c r="D22" s="1569"/>
      <c r="E22" s="1569"/>
      <c r="F22" s="1570"/>
      <c r="G22" s="29" t="s">
        <v>114</v>
      </c>
      <c r="H22" s="37">
        <f>0.17*0.12</f>
        <v>2.0400000000000001E-2</v>
      </c>
      <c r="I22" s="33">
        <f>+IFERROR(VLOOKUP(A22,'INSUMOS '!$B$2:$AP$167,'INSUMOS '!$AO$2+1,FALSE),0)</f>
        <v>169694</v>
      </c>
      <c r="J22" s="33">
        <f>ROUND(I22*H22,0)</f>
        <v>3462</v>
      </c>
    </row>
    <row r="23" spans="1:14" ht="13.9" customHeight="1" x14ac:dyDescent="0.25">
      <c r="A23" s="1558" t="str">
        <f>+'INSUMOS '!B59</f>
        <v>MICROESFERA DE VIDRIO  (ESFERICIDAD MAYOR A 80%)</v>
      </c>
      <c r="B23" s="1559"/>
      <c r="C23" s="1559"/>
      <c r="D23" s="1559"/>
      <c r="E23" s="1559"/>
      <c r="F23" s="1560"/>
      <c r="G23" s="29" t="s">
        <v>6</v>
      </c>
      <c r="H23" s="47">
        <f>0.55*0.12</f>
        <v>6.6000000000000003E-2</v>
      </c>
      <c r="I23" s="33">
        <f>+IFERROR(VLOOKUP(A23,'INSUMOS '!$B$2:$AP$167,'INSUMOS '!$AO$2+1,FALSE),0)</f>
        <v>7449</v>
      </c>
      <c r="J23" s="33">
        <f>ROUND(I23*H23,0)</f>
        <v>492</v>
      </c>
    </row>
    <row r="24" spans="1:14" ht="13.9" customHeight="1" x14ac:dyDescent="0.25">
      <c r="A24" s="1558" t="str">
        <f>+'INSUMOS '!B40</f>
        <v>DISOLVENTE AJUSTADOR LENTO XILOL</v>
      </c>
      <c r="B24" s="1559"/>
      <c r="C24" s="1559"/>
      <c r="D24" s="1559"/>
      <c r="E24" s="1559"/>
      <c r="F24" s="1560"/>
      <c r="G24" s="29" t="s">
        <v>114</v>
      </c>
      <c r="H24" s="47">
        <f>10/3000</f>
        <v>3.3333333333333335E-3</v>
      </c>
      <c r="I24" s="33">
        <f>+IFERROR(VLOOKUP(A24,'INSUMOS '!$B$2:$AP$167,'INSUMOS '!$AO$2+1,FALSE),0)</f>
        <v>73200</v>
      </c>
      <c r="J24" s="33">
        <f>ROUND(I24*H24,0)</f>
        <v>244</v>
      </c>
    </row>
    <row r="25" spans="1:14" ht="13.9" customHeight="1" x14ac:dyDescent="0.25">
      <c r="A25" s="1568" t="s">
        <v>59</v>
      </c>
      <c r="B25" s="1569"/>
      <c r="C25" s="1569"/>
      <c r="D25" s="1569"/>
      <c r="E25" s="1569"/>
      <c r="F25" s="1570"/>
      <c r="G25" s="29" t="s">
        <v>6</v>
      </c>
      <c r="H25" s="35">
        <f>0.024</f>
        <v>2.4E-2</v>
      </c>
      <c r="I25" s="33">
        <f>+IFERROR(VLOOKUP(A25,'INSUMOS '!$B$2:$AP$167,'INSUMOS '!$AO$2+1,FALSE),0)</f>
        <v>39270</v>
      </c>
      <c r="J25" s="33">
        <f>ROUND(I25*H25,0)</f>
        <v>942</v>
      </c>
    </row>
    <row r="26" spans="1:14" ht="13.9" customHeight="1" x14ac:dyDescent="0.25">
      <c r="A26" s="1558" t="s">
        <v>333</v>
      </c>
      <c r="B26" s="1559"/>
      <c r="C26" s="1559"/>
      <c r="D26" s="1559"/>
      <c r="E26" s="1559"/>
      <c r="F26" s="1560"/>
      <c r="G26" s="29"/>
      <c r="H26" s="35">
        <v>0.05</v>
      </c>
      <c r="I26" s="33">
        <f>+SUM(J22:J25)</f>
        <v>5140</v>
      </c>
      <c r="J26" s="33">
        <f>ROUND(I26*H26,0)</f>
        <v>257</v>
      </c>
    </row>
    <row r="27" spans="1:14" ht="13.9" customHeight="1" x14ac:dyDescent="0.25">
      <c r="A27" s="1558"/>
      <c r="B27" s="1559"/>
      <c r="C27" s="1559"/>
      <c r="D27" s="1559"/>
      <c r="E27" s="1559"/>
      <c r="F27" s="1560"/>
      <c r="G27" s="29"/>
      <c r="H27" s="35"/>
      <c r="I27" s="33"/>
      <c r="J27" s="33"/>
    </row>
    <row r="28" spans="1:14" ht="13.9" customHeight="1" x14ac:dyDescent="0.25">
      <c r="A28" s="1558"/>
      <c r="B28" s="1559"/>
      <c r="C28" s="1559"/>
      <c r="D28" s="1559"/>
      <c r="E28" s="1559"/>
      <c r="F28" s="1560"/>
      <c r="G28" s="29"/>
      <c r="H28" s="35"/>
      <c r="I28" s="33"/>
      <c r="J28" s="33"/>
    </row>
    <row r="29" spans="1:14" ht="13.9" customHeight="1" x14ac:dyDescent="0.25">
      <c r="A29" s="1558"/>
      <c r="B29" s="1559"/>
      <c r="C29" s="1559"/>
      <c r="D29" s="1559"/>
      <c r="E29" s="1559"/>
      <c r="F29" s="1560"/>
      <c r="G29" s="29"/>
      <c r="H29" s="37"/>
      <c r="I29" s="33"/>
      <c r="J29" s="33"/>
    </row>
    <row r="30" spans="1:14" ht="13.9" customHeight="1" x14ac:dyDescent="0.25">
      <c r="A30" s="1558"/>
      <c r="B30" s="1559"/>
      <c r="C30" s="1559"/>
      <c r="D30" s="1559"/>
      <c r="E30" s="1559"/>
      <c r="F30" s="1560"/>
      <c r="G30" s="29"/>
      <c r="H30" s="35"/>
      <c r="I30" s="33"/>
      <c r="J30" s="33"/>
    </row>
    <row r="31" spans="1:14" ht="13.9" customHeight="1" x14ac:dyDescent="0.25">
      <c r="A31" s="1558"/>
      <c r="B31" s="1559"/>
      <c r="C31" s="1559"/>
      <c r="D31" s="1559"/>
      <c r="E31" s="1559"/>
      <c r="F31" s="1560"/>
      <c r="G31" s="29"/>
      <c r="H31" s="35"/>
      <c r="I31" s="33"/>
      <c r="J31" s="33"/>
    </row>
    <row r="32" spans="1:14" ht="13.9" customHeight="1" x14ac:dyDescent="0.25">
      <c r="A32" s="20"/>
      <c r="B32" s="20"/>
      <c r="C32" s="20"/>
      <c r="D32" s="20"/>
      <c r="E32" s="20"/>
      <c r="G32" s="20"/>
      <c r="H32" s="20"/>
      <c r="I32" s="30" t="s">
        <v>257</v>
      </c>
      <c r="J32" s="34">
        <f>+SUM(J22:J31)</f>
        <v>5397</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1.0416666666666666E-5</v>
      </c>
      <c r="H36" s="33">
        <f>+IFERROR(VLOOKUP(A36,'EQUIPOS '!$B$3:$M$78,12,FALSE),0)</f>
        <v>611492.5</v>
      </c>
      <c r="I36" s="33">
        <f>IFERROR(H36*G36,0)</f>
        <v>6.3697135416666661</v>
      </c>
      <c r="J36" s="33">
        <f>ROUND(I36,0)</f>
        <v>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8000</v>
      </c>
      <c r="I43" s="33">
        <f>IFERROR(ROUND(G43/H43,0),0)</f>
        <v>36</v>
      </c>
      <c r="J43" s="33">
        <f>+I43</f>
        <v>36</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8000</v>
      </c>
      <c r="I44" s="33">
        <f>IFERROR(ROUND(G44/H44,0),0)</f>
        <v>31</v>
      </c>
      <c r="J44" s="33">
        <f>+I44</f>
        <v>31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8000</v>
      </c>
      <c r="I45" s="33">
        <f>IFERROR(ROUND(G45/H45,0),0)</f>
        <v>25</v>
      </c>
      <c r="J45" s="33">
        <f>+I45</f>
        <v>25</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8000</v>
      </c>
      <c r="I46" s="33">
        <f>IFERROR(ROUND(G46/H46,0),0)</f>
        <v>27</v>
      </c>
      <c r="J46" s="33">
        <f>+I46</f>
        <v>27</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119</v>
      </c>
    </row>
    <row r="50" spans="1:10" ht="13.9" customHeight="1" x14ac:dyDescent="0.25"/>
    <row r="51" spans="1:10" ht="13.9" customHeight="1" x14ac:dyDescent="0.25">
      <c r="E51" s="41" t="s">
        <v>276</v>
      </c>
      <c r="I51" s="42">
        <f>+J49+J39+J32+J18</f>
        <v>5922</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1">
    <mergeCell ref="O11:P11"/>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Hoja61">
    <tabColor theme="5" tint="-0.499984740745262"/>
  </sheetPr>
  <dimension ref="A1:N55"/>
  <sheetViews>
    <sheetView topLeftCell="A34"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54</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resina Termoplástica para marcas viales, con antideslizante, con microesfera y espesor seco de 90 mils (2.3mm),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2.5" x14ac:dyDescent="0.25">
      <c r="A11" s="1558" t="str">
        <f>+'EQUIPOS '!B22</f>
        <v>EQUIPO MANUAL DE PINTURA TERMOPLÁSTICA</v>
      </c>
      <c r="B11" s="1559"/>
      <c r="C11" s="1559"/>
      <c r="D11" s="1560"/>
      <c r="E11" s="29" t="s">
        <v>202</v>
      </c>
      <c r="F11" s="48" t="str">
        <f>IFERROR(VLOOKUP(A11,'[10]EQUIPOS TRANSPOR SALARIO'!$A$3:$G$42,2,FALSE),"")</f>
        <v>Mecánico por sión</v>
      </c>
      <c r="G11" s="31">
        <f>+VLOOKUP(A11,'EQUIPOS '!$B$3:$M$64,12,FALSE)</f>
        <v>31581.75</v>
      </c>
      <c r="H11" s="30">
        <v>8</v>
      </c>
      <c r="I11" s="33">
        <f>IFERROR((G11/H11),"")</f>
        <v>3947.71875</v>
      </c>
      <c r="J11" s="33">
        <f>ROUND(I11,0)</f>
        <v>3948</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8</v>
      </c>
      <c r="I12" s="33">
        <f>IFERROR((G12/H12),0)</f>
        <v>999.99249999999995</v>
      </c>
      <c r="J12" s="33">
        <f>ROUND(I12,0)</f>
        <v>1000</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8</v>
      </c>
      <c r="I13" s="33">
        <f>IFERROR((G13/H13),0)</f>
        <v>1652.75</v>
      </c>
      <c r="J13" s="33">
        <f>ROUND(I13,0)</f>
        <v>1653</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8</v>
      </c>
      <c r="I14" s="33">
        <f>IFERROR((G14/H14),0)</f>
        <v>213.59375</v>
      </c>
      <c r="J14" s="33">
        <f>ROUND(I14,0)</f>
        <v>214</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0" s="20" customFormat="1" ht="13.9" customHeight="1" x14ac:dyDescent="0.25">
      <c r="A16" s="1558"/>
      <c r="B16" s="1559"/>
      <c r="C16" s="1559"/>
      <c r="D16" s="1560"/>
      <c r="E16" s="29"/>
      <c r="F16" s="30"/>
      <c r="G16" s="31"/>
      <c r="H16" s="30"/>
      <c r="I16" s="33"/>
      <c r="J16" s="33"/>
    </row>
    <row r="17" spans="1:14" s="20" customFormat="1" ht="13.9" customHeight="1" x14ac:dyDescent="0.25">
      <c r="A17" s="1558"/>
      <c r="B17" s="1559"/>
      <c r="C17" s="1559"/>
      <c r="D17" s="1560"/>
      <c r="E17" s="29"/>
      <c r="F17" s="30"/>
      <c r="G17" s="31"/>
      <c r="H17" s="30"/>
      <c r="I17" s="33"/>
      <c r="J17" s="33"/>
    </row>
    <row r="18" spans="1:14" s="20" customFormat="1" ht="13.9" customHeight="1" x14ac:dyDescent="0.25">
      <c r="I18" s="30" t="s">
        <v>257</v>
      </c>
      <c r="J18" s="34">
        <f>+SUM(J11:J17)</f>
        <v>6894</v>
      </c>
    </row>
    <row r="19" spans="1:14" s="20" customFormat="1" ht="13.9" customHeight="1" x14ac:dyDescent="0.25"/>
    <row r="20" spans="1:14" s="20" customFormat="1" ht="13.9" customHeight="1" x14ac:dyDescent="0.25">
      <c r="A20" s="1561" t="s">
        <v>263</v>
      </c>
      <c r="B20" s="1561"/>
      <c r="C20" s="1561"/>
      <c r="D20" s="1561"/>
      <c r="E20" s="1561"/>
      <c r="F20" s="1561"/>
      <c r="G20" s="1561"/>
      <c r="H20" s="1561"/>
      <c r="I20" s="27"/>
    </row>
    <row r="21" spans="1:14" ht="13.9" customHeight="1" x14ac:dyDescent="0.25">
      <c r="A21" s="1565" t="s">
        <v>251</v>
      </c>
      <c r="B21" s="1566"/>
      <c r="C21" s="1566"/>
      <c r="D21" s="1566"/>
      <c r="E21" s="1566"/>
      <c r="F21" s="1567"/>
      <c r="G21" s="28" t="s">
        <v>252</v>
      </c>
      <c r="H21" s="28" t="s">
        <v>264</v>
      </c>
      <c r="I21" s="28" t="s">
        <v>256</v>
      </c>
      <c r="J21" s="28" t="s">
        <v>257</v>
      </c>
    </row>
    <row r="22" spans="1:14" x14ac:dyDescent="0.25">
      <c r="A22" s="1568" t="str">
        <f>+'INSUMOS '!B74</f>
        <v xml:space="preserve">PINTURA O RESINA TERMOPLÁSTICA </v>
      </c>
      <c r="B22" s="1569"/>
      <c r="C22" s="1569"/>
      <c r="D22" s="1569"/>
      <c r="E22" s="1569"/>
      <c r="F22" s="1570"/>
      <c r="G22" s="29" t="s">
        <v>6</v>
      </c>
      <c r="H22" s="35">
        <v>5.21</v>
      </c>
      <c r="I22" s="33">
        <f>+IFERROR(VLOOKUP(A22,'INSUMOS '!$B$2:$AP$167,'INSUMOS '!$AO$2+1,FALSE),0)</f>
        <v>20020</v>
      </c>
      <c r="J22" s="33">
        <f>ROUND(I22*H22,0)</f>
        <v>104304</v>
      </c>
    </row>
    <row r="23" spans="1:14" ht="13.9" customHeight="1" x14ac:dyDescent="0.25">
      <c r="A23" s="1558" t="str">
        <f>+'INSUMOS '!B59</f>
        <v>MICROESFERA DE VIDRIO  (ESFERICIDAD MAYOR A 80%)</v>
      </c>
      <c r="B23" s="1559"/>
      <c r="C23" s="1559"/>
      <c r="D23" s="1559"/>
      <c r="E23" s="1559"/>
      <c r="F23" s="1560"/>
      <c r="G23" s="29" t="s">
        <v>6</v>
      </c>
      <c r="H23" s="47">
        <f>0.1*H22</f>
        <v>0.52100000000000002</v>
      </c>
      <c r="I23" s="33">
        <f>+IFERROR(VLOOKUP(A23,'INSUMOS '!$B$2:$AP$167,'INSUMOS '!$AO$2+1,FALSE),0)</f>
        <v>7449</v>
      </c>
      <c r="J23" s="33">
        <f>ROUND(I23*H23,0)</f>
        <v>3881</v>
      </c>
    </row>
    <row r="24" spans="1:14" ht="13.9" customHeight="1" x14ac:dyDescent="0.25">
      <c r="A24" s="1568" t="s">
        <v>59</v>
      </c>
      <c r="B24" s="1569"/>
      <c r="C24" s="1569"/>
      <c r="D24" s="1569"/>
      <c r="E24" s="1569"/>
      <c r="F24" s="1570"/>
      <c r="G24" s="29" t="s">
        <v>6</v>
      </c>
      <c r="H24" s="35">
        <f>0.2</f>
        <v>0.2</v>
      </c>
      <c r="I24" s="33">
        <f>+IFERROR(VLOOKUP(A24,'INSUMOS '!$B$2:$AP$167,'INSUMOS '!$AO$2+1,FALSE),0)</f>
        <v>39270</v>
      </c>
      <c r="J24" s="33">
        <f>ROUND(I24*H24,0)</f>
        <v>7854</v>
      </c>
    </row>
    <row r="25" spans="1:14" ht="13.9" customHeight="1" x14ac:dyDescent="0.25">
      <c r="A25" s="1568"/>
      <c r="B25" s="1569"/>
      <c r="C25" s="1569"/>
      <c r="D25" s="1569"/>
      <c r="E25" s="1569"/>
      <c r="F25" s="1570"/>
      <c r="G25" s="29"/>
      <c r="H25" s="35"/>
      <c r="I25" s="33"/>
      <c r="J25" s="33"/>
    </row>
    <row r="26" spans="1:14" ht="13.9" customHeight="1" x14ac:dyDescent="0.25">
      <c r="A26" s="1558" t="s">
        <v>333</v>
      </c>
      <c r="B26" s="1559"/>
      <c r="C26" s="1559"/>
      <c r="D26" s="1559"/>
      <c r="E26" s="1559"/>
      <c r="F26" s="1560"/>
      <c r="G26" s="29"/>
      <c r="H26" s="35">
        <v>0.05</v>
      </c>
      <c r="I26" s="33">
        <f>+SUM(J22:J25)</f>
        <v>116039</v>
      </c>
      <c r="J26" s="33">
        <f>ROUND(I26*H26,0)</f>
        <v>5802</v>
      </c>
    </row>
    <row r="27" spans="1:14" ht="13.9" customHeight="1" x14ac:dyDescent="0.25">
      <c r="A27" s="1558"/>
      <c r="B27" s="1559"/>
      <c r="C27" s="1559"/>
      <c r="D27" s="1559"/>
      <c r="E27" s="1559"/>
      <c r="F27" s="1560"/>
      <c r="G27" s="29"/>
      <c r="H27" s="35"/>
      <c r="I27" s="33"/>
      <c r="J27" s="33"/>
    </row>
    <row r="28" spans="1:14" ht="13.9" customHeight="1" x14ac:dyDescent="0.25">
      <c r="A28" s="1558"/>
      <c r="B28" s="1559"/>
      <c r="C28" s="1559"/>
      <c r="D28" s="1559"/>
      <c r="E28" s="1559"/>
      <c r="F28" s="1560"/>
      <c r="G28" s="29"/>
      <c r="H28" s="35"/>
      <c r="I28" s="33"/>
      <c r="J28" s="33"/>
    </row>
    <row r="29" spans="1:14" ht="13.9" customHeight="1" x14ac:dyDescent="0.25">
      <c r="A29" s="1558"/>
      <c r="B29" s="1559"/>
      <c r="C29" s="1559"/>
      <c r="D29" s="1559"/>
      <c r="E29" s="1559"/>
      <c r="F29" s="1560"/>
      <c r="G29" s="29"/>
      <c r="H29" s="37"/>
      <c r="I29" s="33"/>
      <c r="J29" s="33"/>
    </row>
    <row r="30" spans="1:14" ht="13.9" customHeight="1" x14ac:dyDescent="0.25">
      <c r="A30" s="1558"/>
      <c r="B30" s="1559"/>
      <c r="C30" s="1559"/>
      <c r="D30" s="1559"/>
      <c r="E30" s="1559"/>
      <c r="F30" s="1560"/>
      <c r="G30" s="29"/>
      <c r="H30" s="35"/>
      <c r="I30" s="33"/>
      <c r="J30" s="33"/>
      <c r="N30" s="19">
        <v>0</v>
      </c>
    </row>
    <row r="31" spans="1:14" ht="13.9" customHeight="1" x14ac:dyDescent="0.25">
      <c r="A31" s="1558"/>
      <c r="B31" s="1559"/>
      <c r="C31" s="1559"/>
      <c r="D31" s="1559"/>
      <c r="E31" s="1559"/>
      <c r="F31" s="1560"/>
      <c r="G31" s="29"/>
      <c r="H31" s="35"/>
      <c r="I31" s="33"/>
      <c r="J31" s="33"/>
    </row>
    <row r="32" spans="1:14" ht="13.9" customHeight="1" x14ac:dyDescent="0.25">
      <c r="A32" s="20"/>
      <c r="B32" s="20"/>
      <c r="C32" s="20"/>
      <c r="D32" s="20"/>
      <c r="E32" s="20"/>
      <c r="G32" s="20"/>
      <c r="H32" s="20"/>
      <c r="I32" s="30" t="s">
        <v>257</v>
      </c>
      <c r="J32" s="34">
        <f>+SUM(J22:J31)</f>
        <v>121841</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4">
        <f>(1/(H11*8))/12</f>
        <v>1.3020833333333333E-3</v>
      </c>
      <c r="H36" s="33">
        <f>+IFERROR(VLOOKUP(A36,'EQUIPOS '!$B$3:$M$78,12,FALSE),0)</f>
        <v>611492.5</v>
      </c>
      <c r="I36" s="33">
        <f>IFERROR(H36*G36,0)</f>
        <v>796.21419270833326</v>
      </c>
      <c r="J36" s="33">
        <f>ROUND(I36,0)</f>
        <v>796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796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64</v>
      </c>
      <c r="I43" s="33">
        <f>IFERROR(ROUND(G43/H43,0),0)</f>
        <v>2235</v>
      </c>
      <c r="J43" s="33">
        <f>+I43</f>
        <v>2235</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64</v>
      </c>
      <c r="I44" s="33">
        <f>IFERROR(ROUND(G44/H44,0),0)</f>
        <v>3909</v>
      </c>
      <c r="J44" s="33">
        <f>+I44</f>
        <v>3909</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64</v>
      </c>
      <c r="I45" s="33">
        <f>IFERROR(ROUND(G45/H45,0),0)</f>
        <v>3066</v>
      </c>
      <c r="J45" s="33">
        <f>+I45</f>
        <v>3066</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64</v>
      </c>
      <c r="I46" s="33">
        <f>IFERROR(ROUND(G46/H46,0),0)</f>
        <v>3340</v>
      </c>
      <c r="J46" s="33">
        <f>+I46</f>
        <v>3340</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12550</v>
      </c>
    </row>
    <row r="50" spans="1:10" ht="13.9" customHeight="1" x14ac:dyDescent="0.25"/>
    <row r="51" spans="1:10" ht="13.9" customHeight="1" x14ac:dyDescent="0.25">
      <c r="E51" s="41" t="s">
        <v>276</v>
      </c>
      <c r="I51" s="42">
        <f>+J49+J39+J32+J18</f>
        <v>142081</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Hoja60">
    <tabColor theme="5" tint="-0.499984740745262"/>
  </sheetPr>
  <dimension ref="A1:L55"/>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53</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resina Termoplástica para marcas viales, sin microesfera, con antideslizante, y espesor seco de 90 mils (2.3mm),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22.5" x14ac:dyDescent="0.25">
      <c r="A11" s="1558" t="str">
        <f>+'EQUIPOS '!B22</f>
        <v>EQUIPO MANUAL DE PINTURA TERMOPLÁSTICA</v>
      </c>
      <c r="B11" s="1559"/>
      <c r="C11" s="1559"/>
      <c r="D11" s="1560"/>
      <c r="E11" s="29" t="s">
        <v>202</v>
      </c>
      <c r="F11" s="48" t="str">
        <f>IFERROR(VLOOKUP(A11,'[10]EQUIPOS TRANSPOR SALARIO'!$A$3:$G$42,2,FALSE),"")</f>
        <v>Mecánico por sión</v>
      </c>
      <c r="G11" s="31">
        <f>+VLOOKUP(A11,'EQUIPOS '!$B$3:$M$64,12,FALSE)</f>
        <v>31581.75</v>
      </c>
      <c r="H11" s="30">
        <v>9</v>
      </c>
      <c r="I11" s="33">
        <f>IFERROR((G11/H11),"")</f>
        <v>3509.0833333333335</v>
      </c>
      <c r="J11" s="33">
        <f>ROUND(I11,0)</f>
        <v>3509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9</v>
      </c>
      <c r="I12" s="33">
        <f t="shared" ref="I12:I14" si="0">IFERROR((G12/H12),0)</f>
        <v>888.88222222222214</v>
      </c>
      <c r="J12" s="33">
        <f t="shared" ref="J12:J15" si="1">ROUND(I12,0)</f>
        <v>889</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9</v>
      </c>
      <c r="I13" s="33">
        <f t="shared" si="0"/>
        <v>1469.1111111111111</v>
      </c>
      <c r="J13" s="33">
        <f t="shared" si="1"/>
        <v>1469</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9</v>
      </c>
      <c r="I14" s="33">
        <f t="shared" si="0"/>
        <v>189.86111111111111</v>
      </c>
      <c r="J14" s="33">
        <f t="shared" si="1"/>
        <v>190</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si="1"/>
        <v>45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2"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2" s="20" customFormat="1" ht="13.9" customHeight="1" x14ac:dyDescent="0.25">
      <c r="I18" s="30" t="s">
        <v>257</v>
      </c>
      <c r="J18" s="34">
        <f>+SUM(J11:J17)</f>
        <v>6102</v>
      </c>
    </row>
    <row r="19" spans="1:12" s="20" customFormat="1" ht="13.9" customHeight="1" x14ac:dyDescent="0.25"/>
    <row r="20" spans="1:12" s="20" customFormat="1" ht="13.9" customHeight="1" x14ac:dyDescent="0.25">
      <c r="A20" s="1561" t="s">
        <v>263</v>
      </c>
      <c r="B20" s="1561"/>
      <c r="C20" s="1561"/>
      <c r="D20" s="1561"/>
      <c r="E20" s="1561"/>
      <c r="F20" s="1561"/>
      <c r="G20" s="1561"/>
      <c r="H20" s="1561"/>
      <c r="I20" s="27"/>
    </row>
    <row r="21" spans="1:12" ht="13.9" customHeight="1" x14ac:dyDescent="0.25">
      <c r="A21" s="1565" t="s">
        <v>251</v>
      </c>
      <c r="B21" s="1566"/>
      <c r="C21" s="1566"/>
      <c r="D21" s="1566"/>
      <c r="E21" s="1566"/>
      <c r="F21" s="1567"/>
      <c r="G21" s="28" t="s">
        <v>252</v>
      </c>
      <c r="H21" s="28" t="s">
        <v>264</v>
      </c>
      <c r="I21" s="28" t="s">
        <v>256</v>
      </c>
      <c r="J21" s="28" t="s">
        <v>257</v>
      </c>
    </row>
    <row r="22" spans="1:12" x14ac:dyDescent="0.25">
      <c r="A22" s="1568" t="str">
        <f>+'INSUMOS '!B74</f>
        <v xml:space="preserve">PINTURA O RESINA TERMOPLÁSTICA </v>
      </c>
      <c r="B22" s="1569"/>
      <c r="C22" s="1569"/>
      <c r="D22" s="1569"/>
      <c r="E22" s="1569"/>
      <c r="F22" s="1570"/>
      <c r="G22" s="29" t="s">
        <v>6</v>
      </c>
      <c r="H22" s="37">
        <v>5.21</v>
      </c>
      <c r="I22" s="33">
        <f>+IFERROR(VLOOKUP(A22,'INSUMOS '!$B$2:$AP$167,'INSUMOS '!$AO$2+1,FALSE),0)</f>
        <v>20020</v>
      </c>
      <c r="J22" s="33">
        <f>ROUND(I22*H22,0)</f>
        <v>104304</v>
      </c>
      <c r="K22" s="36">
        <f>7616/I22</f>
        <v>0.38041958041958041</v>
      </c>
    </row>
    <row r="23" spans="1:12" ht="13.9" customHeight="1" x14ac:dyDescent="0.25">
      <c r="A23" s="1568" t="str">
        <f>+'INSUMOS '!B9</f>
        <v>ANTIDESLIZANTE – SUPER GRIP</v>
      </c>
      <c r="B23" s="1569"/>
      <c r="C23" s="1569"/>
      <c r="D23" s="1569"/>
      <c r="E23" s="1569"/>
      <c r="F23" s="1570"/>
      <c r="G23" s="29" t="s">
        <v>6</v>
      </c>
      <c r="H23" s="35">
        <f>0.35</f>
        <v>0.35</v>
      </c>
      <c r="I23" s="33">
        <f>+IFERROR(VLOOKUP(A23,'INSUMOS '!$B$2:$AP$167,'INSUMOS '!$AO$2+1,FALSE),0)</f>
        <v>39270</v>
      </c>
      <c r="J23" s="33">
        <f t="shared" ref="J23" si="2">ROUND(I23*H23,0)</f>
        <v>13745</v>
      </c>
    </row>
    <row r="24" spans="1:12" ht="13.9" customHeight="1" x14ac:dyDescent="0.25">
      <c r="A24" s="1558"/>
      <c r="B24" s="1559"/>
      <c r="C24" s="1559"/>
      <c r="D24" s="1559"/>
      <c r="E24" s="1559"/>
      <c r="F24" s="1560"/>
      <c r="G24" s="29"/>
      <c r="H24" s="35"/>
      <c r="I24" s="33"/>
      <c r="J24" s="33"/>
    </row>
    <row r="25" spans="1:12" ht="13.9" customHeight="1" x14ac:dyDescent="0.25">
      <c r="A25" s="1558"/>
      <c r="B25" s="1559"/>
      <c r="C25" s="1559"/>
      <c r="D25" s="1559"/>
      <c r="E25" s="1559"/>
      <c r="F25" s="1560"/>
      <c r="G25" s="29"/>
      <c r="H25" s="35"/>
      <c r="I25" s="33"/>
      <c r="J25" s="33"/>
    </row>
    <row r="26" spans="1:12" ht="13.9" customHeight="1" x14ac:dyDescent="0.25">
      <c r="A26" s="1558" t="s">
        <v>333</v>
      </c>
      <c r="B26" s="1559"/>
      <c r="C26" s="1559"/>
      <c r="D26" s="1559"/>
      <c r="E26" s="1559"/>
      <c r="F26" s="1560"/>
      <c r="G26" s="29"/>
      <c r="H26" s="35">
        <v>0.05</v>
      </c>
      <c r="I26" s="33">
        <f>+SUM(J22:J25)</f>
        <v>118049</v>
      </c>
      <c r="J26" s="33">
        <f>ROUND(I26*H26,0)</f>
        <v>5902</v>
      </c>
    </row>
    <row r="27" spans="1:12" ht="13.9" customHeight="1" x14ac:dyDescent="0.25">
      <c r="A27" s="1558"/>
      <c r="B27" s="1559"/>
      <c r="C27" s="1559"/>
      <c r="D27" s="1559"/>
      <c r="E27" s="1559"/>
      <c r="F27" s="1560"/>
      <c r="G27" s="29"/>
      <c r="H27" s="35"/>
      <c r="I27" s="33"/>
      <c r="J27" s="33"/>
    </row>
    <row r="28" spans="1:12" ht="13.9" customHeight="1" x14ac:dyDescent="0.25">
      <c r="A28" s="1558"/>
      <c r="B28" s="1559"/>
      <c r="C28" s="1559"/>
      <c r="D28" s="1559"/>
      <c r="E28" s="1559"/>
      <c r="F28" s="1560"/>
      <c r="G28" s="29"/>
      <c r="H28" s="35"/>
      <c r="I28" s="33"/>
      <c r="J28" s="33"/>
    </row>
    <row r="29" spans="1:12" ht="13.9" customHeight="1" x14ac:dyDescent="0.25">
      <c r="A29" s="1558"/>
      <c r="B29" s="1559"/>
      <c r="C29" s="1559"/>
      <c r="D29" s="1559"/>
      <c r="E29" s="1559"/>
      <c r="F29" s="1560"/>
      <c r="G29" s="29"/>
      <c r="H29" s="37"/>
      <c r="I29" s="33"/>
      <c r="J29" s="33"/>
    </row>
    <row r="30" spans="1:12" ht="13.9" customHeight="1" x14ac:dyDescent="0.25">
      <c r="A30" s="1558"/>
      <c r="B30" s="1559"/>
      <c r="C30" s="1559"/>
      <c r="D30" s="1559"/>
      <c r="E30" s="1559"/>
      <c r="F30" s="1560"/>
      <c r="G30" s="29"/>
      <c r="H30" s="35"/>
      <c r="I30" s="33"/>
      <c r="J30" s="33"/>
    </row>
    <row r="31" spans="1:12" ht="13.9" customHeight="1" x14ac:dyDescent="0.25">
      <c r="A31" s="1558"/>
      <c r="B31" s="1559"/>
      <c r="C31" s="1559"/>
      <c r="D31" s="1559"/>
      <c r="E31" s="1559"/>
      <c r="F31" s="1560"/>
      <c r="G31" s="29"/>
      <c r="H31" s="35"/>
      <c r="I31" s="33"/>
      <c r="J31" s="33"/>
    </row>
    <row r="32" spans="1:12" ht="13.9" customHeight="1" x14ac:dyDescent="0.25">
      <c r="A32" s="20"/>
      <c r="B32" s="20"/>
      <c r="C32" s="20"/>
      <c r="D32" s="20"/>
      <c r="E32" s="20"/>
      <c r="G32" s="20"/>
      <c r="H32" s="20"/>
      <c r="I32" s="30" t="s">
        <v>257</v>
      </c>
      <c r="J32" s="34">
        <f>+SUM(J22:J31)</f>
        <v>123951</v>
      </c>
      <c r="K32" s="758">
        <f>39924.5/J32</f>
        <v>0.32209905527184129</v>
      </c>
      <c r="L32" s="761">
        <f>100%-K32</f>
        <v>0.67790094472815876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1.1574074074074073E-3</v>
      </c>
      <c r="H36" s="33">
        <f>+IFERROR(VLOOKUP(A36,'EQUIPOS '!$B$3:$M$78,12,FALSE),0)</f>
        <v>611492.5</v>
      </c>
      <c r="I36" s="33">
        <f>IFERROR(H36*G36,0)</f>
        <v>707.74594907407402</v>
      </c>
      <c r="J36" s="33">
        <f>ROUND(I36,0)</f>
        <v>708</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708</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72</v>
      </c>
      <c r="I43" s="33">
        <f>IFERROR(ROUND(G43/H43,0),0)</f>
        <v>1987</v>
      </c>
      <c r="J43" s="33">
        <f>+I43</f>
        <v>1987</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72</v>
      </c>
      <c r="I44" s="33">
        <f>IFERROR(ROUND(G44/H44,0),0)</f>
        <v>3474</v>
      </c>
      <c r="J44" s="33">
        <f>+I44</f>
        <v>3474</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72</v>
      </c>
      <c r="I45" s="33">
        <f>IFERROR(ROUND(G45/H45,0),0)</f>
        <v>2726</v>
      </c>
      <c r="J45" s="33">
        <f>+I45</f>
        <v>2726</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72</v>
      </c>
      <c r="I46" s="33">
        <f>IFERROR(ROUND(G46/H46,0),0)</f>
        <v>2969</v>
      </c>
      <c r="J46" s="33">
        <f>+I46</f>
        <v>2969</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2" ht="13.9" customHeight="1" x14ac:dyDescent="0.25">
      <c r="A49" s="20"/>
      <c r="B49" s="20"/>
      <c r="C49" s="20"/>
      <c r="E49" s="20"/>
      <c r="F49" s="20"/>
      <c r="G49" s="20"/>
      <c r="H49" s="20"/>
      <c r="I49" s="30" t="s">
        <v>257</v>
      </c>
      <c r="J49" s="34">
        <f>+SUM(J43:J48)</f>
        <v>11156</v>
      </c>
    </row>
    <row r="50" spans="1:12" ht="13.9" customHeight="1" x14ac:dyDescent="0.25"/>
    <row r="51" spans="1:12" ht="13.9" customHeight="1" x14ac:dyDescent="0.25">
      <c r="E51" s="41" t="s">
        <v>276</v>
      </c>
      <c r="I51" s="42">
        <f>+J49+J39+J32+J18</f>
        <v>141917</v>
      </c>
      <c r="J51" s="43"/>
      <c r="K51" s="758">
        <f>64692.47/I51</f>
        <v>0.45584722055849547</v>
      </c>
      <c r="L51" s="761">
        <f>100%-K51</f>
        <v>0.54415277944150453</v>
      </c>
    </row>
    <row r="52" spans="1:12" ht="13.9" customHeight="1" x14ac:dyDescent="0.25"/>
    <row r="53" spans="1:12" ht="14.1" customHeight="1" x14ac:dyDescent="0.25">
      <c r="I53" s="44"/>
      <c r="J53" s="44"/>
    </row>
    <row r="54" spans="1:12" ht="14.1" customHeight="1" x14ac:dyDescent="0.25">
      <c r="I54" s="44"/>
    </row>
    <row r="55" spans="1:12"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Hoja59">
    <tabColor theme="5" tint="-0.499984740745262"/>
  </sheetPr>
  <dimension ref="A1:Q55"/>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7" ht="29.25" customHeight="1" x14ac:dyDescent="0.25">
      <c r="A1" s="1574" t="s">
        <v>244</v>
      </c>
      <c r="B1" s="1575"/>
      <c r="C1" s="1575"/>
      <c r="D1" s="1575"/>
      <c r="E1" s="1575"/>
      <c r="F1" s="1575"/>
      <c r="G1" s="1575"/>
      <c r="H1" s="1575"/>
      <c r="I1" s="1575"/>
      <c r="J1" s="1575"/>
    </row>
    <row r="2" spans="1:17" ht="15" customHeight="1" x14ac:dyDescent="0.25">
      <c r="A2" s="1576" t="s">
        <v>245</v>
      </c>
      <c r="B2" s="1576"/>
      <c r="C2" s="1576"/>
      <c r="D2" s="1576"/>
      <c r="E2" s="1576"/>
      <c r="F2" s="1576"/>
      <c r="G2" s="1576"/>
      <c r="H2" s="1576"/>
      <c r="I2" s="1576"/>
      <c r="J2" s="1576"/>
    </row>
    <row r="4" spans="1:17" s="20" customFormat="1" ht="9.9499999999999993" customHeight="1" x14ac:dyDescent="0.25">
      <c r="A4" s="1577" t="s">
        <v>246</v>
      </c>
      <c r="B4" s="1577"/>
      <c r="C4" s="1577"/>
      <c r="D4" s="1577"/>
      <c r="E4" s="1577"/>
      <c r="F4" s="1577"/>
      <c r="G4" s="1577"/>
      <c r="H4" s="1577"/>
      <c r="I4" s="1577"/>
      <c r="J4" s="1577"/>
    </row>
    <row r="5" spans="1:17" s="20" customFormat="1" ht="9.9499999999999993" customHeight="1" x14ac:dyDescent="0.25">
      <c r="B5" s="21"/>
      <c r="C5" s="21"/>
      <c r="D5" s="21"/>
      <c r="E5" s="21"/>
      <c r="F5" s="21"/>
      <c r="G5" s="21"/>
    </row>
    <row r="6" spans="1:17" ht="15" x14ac:dyDescent="0.25">
      <c r="A6" s="1558" t="s">
        <v>247</v>
      </c>
      <c r="B6" s="1560"/>
      <c r="C6" s="45">
        <v>52</v>
      </c>
      <c r="D6" s="8"/>
      <c r="E6" s="8"/>
      <c r="F6" s="8"/>
      <c r="G6" s="8"/>
      <c r="H6" s="46"/>
      <c r="I6" s="29" t="s">
        <v>248</v>
      </c>
      <c r="J6" s="26" t="str">
        <f>+VLOOKUP(C6,'ANEXO PLIEGO_1'!$A$7:$C$133,3,FALSE)</f>
        <v>M</v>
      </c>
      <c r="M6" s="227" t="s">
        <v>3083</v>
      </c>
    </row>
    <row r="7" spans="1:17" ht="35.1" customHeight="1" thickBot="1" x14ac:dyDescent="0.3">
      <c r="A7" s="1568" t="s">
        <v>249</v>
      </c>
      <c r="B7" s="1570"/>
      <c r="C7" s="1578" t="str">
        <f>+VLOOKUP(C6,'ANEXO PLIEGO_1'!$A$7:$B$133,2,FALSE)</f>
        <v>Suministro y Aplicación de resina Termoplástica a = 15 cm, para líneas de demarcación,con antideslizante, incluye microesfera y espesor seco 90 mils (2.3mm)</v>
      </c>
      <c r="D7" s="1579"/>
      <c r="E7" s="1579"/>
      <c r="F7" s="1579"/>
      <c r="G7" s="1579"/>
      <c r="H7" s="1579"/>
      <c r="I7" s="1579"/>
      <c r="J7" s="1580"/>
    </row>
    <row r="8" spans="1:17" ht="15.75" thickTop="1" x14ac:dyDescent="0.25">
      <c r="M8" s="255" t="s">
        <v>3073</v>
      </c>
      <c r="N8" s="256"/>
      <c r="O8" s="256" t="s">
        <v>3074</v>
      </c>
      <c r="P8" s="256" t="s">
        <v>3080</v>
      </c>
      <c r="Q8" s="257"/>
    </row>
    <row r="9" spans="1:17" s="27" customFormat="1" ht="15" x14ac:dyDescent="0.25">
      <c r="A9" s="1561" t="s">
        <v>250</v>
      </c>
      <c r="B9" s="1561"/>
      <c r="C9" s="1561"/>
      <c r="D9" s="1561"/>
      <c r="E9" s="1561"/>
      <c r="F9" s="1561"/>
      <c r="G9" s="1561"/>
      <c r="H9" s="1561"/>
      <c r="M9" s="246" t="s">
        <v>3075</v>
      </c>
      <c r="N9" s="247" t="s">
        <v>12</v>
      </c>
      <c r="O9" s="247" t="s">
        <v>13</v>
      </c>
      <c r="P9" s="232" t="s">
        <v>3076</v>
      </c>
      <c r="Q9" s="248" t="s">
        <v>3077</v>
      </c>
    </row>
    <row r="10" spans="1:17" s="20" customFormat="1" ht="13.9" customHeight="1" x14ac:dyDescent="0.25">
      <c r="A10" s="1562" t="s">
        <v>251</v>
      </c>
      <c r="B10" s="1563"/>
      <c r="C10" s="1563"/>
      <c r="D10" s="1564"/>
      <c r="E10" s="28" t="s">
        <v>252</v>
      </c>
      <c r="F10" s="28" t="s">
        <v>253</v>
      </c>
      <c r="G10" s="28" t="s">
        <v>254</v>
      </c>
      <c r="H10" s="28" t="s">
        <v>255</v>
      </c>
      <c r="I10" s="28" t="s">
        <v>256</v>
      </c>
      <c r="J10" s="28" t="s">
        <v>257</v>
      </c>
      <c r="M10" s="1703">
        <v>1</v>
      </c>
      <c r="N10" s="249">
        <v>0.22</v>
      </c>
      <c r="O10" s="249">
        <v>1.47</v>
      </c>
      <c r="P10" s="1704">
        <f>+ROUND(M10/N10,2)</f>
        <v>4.55</v>
      </c>
      <c r="Q10" s="1706">
        <f>+ROUND(M10/O10,2)</f>
        <v>0.68</v>
      </c>
    </row>
    <row r="11" spans="1:17" s="20" customFormat="1" ht="13.9" customHeight="1" x14ac:dyDescent="0.25">
      <c r="A11" s="1558" t="str">
        <f>+'EQUIPOS '!B18</f>
        <v>EQUIPO DELINEADOR DE PINTURA TERMOPLÁSTICA</v>
      </c>
      <c r="B11" s="1559"/>
      <c r="C11" s="1559"/>
      <c r="D11" s="1560"/>
      <c r="E11" s="29" t="s">
        <v>202</v>
      </c>
      <c r="F11" s="30" t="str">
        <f>IFERROR(VLOOKUP(A11,'[10]EQUIPOS TRANSPOR SALARIO'!$A$3:$G$42,2,FALSE),"")</f>
        <v>Autopropulsado</v>
      </c>
      <c r="G11" s="31">
        <f>+VLOOKUP(A11,'EQUIPOS '!$B$3:$M$64,12,FALSE)</f>
        <v>107152.95</v>
      </c>
      <c r="H11" s="30">
        <v>120</v>
      </c>
      <c r="I11" s="33">
        <f>IFERROR((G11/H11),"")</f>
        <v>892.94124999999997</v>
      </c>
      <c r="J11" s="33">
        <f>ROUND(I11,0)</f>
        <v>893</v>
      </c>
      <c r="M11" s="1703"/>
      <c r="N11" s="247"/>
      <c r="O11" s="247"/>
      <c r="P11" s="1705"/>
      <c r="Q11" s="1707"/>
    </row>
    <row r="12" spans="1:17"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120</v>
      </c>
      <c r="I12" s="33">
        <f>IFERROR((G12/H12),0)</f>
        <v>66.666166666666669</v>
      </c>
      <c r="J12" s="33">
        <f>ROUND(I12,0)</f>
        <v>67</v>
      </c>
      <c r="M12" s="250" t="s">
        <v>3078</v>
      </c>
      <c r="N12" s="235" t="s">
        <v>3079</v>
      </c>
      <c r="O12" s="235" t="s">
        <v>3080</v>
      </c>
      <c r="P12" s="229"/>
      <c r="Q12" s="251"/>
    </row>
    <row r="13" spans="1:17"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120</v>
      </c>
      <c r="I13" s="33">
        <f>IFERROR((G13/H13),0)</f>
        <v>110.18333333333334</v>
      </c>
      <c r="J13" s="33">
        <f>ROUND(I13,0)</f>
        <v>110</v>
      </c>
      <c r="M13" s="252" t="s">
        <v>3075</v>
      </c>
      <c r="N13" s="229" t="s">
        <v>12</v>
      </c>
      <c r="O13" s="229" t="s">
        <v>13</v>
      </c>
      <c r="P13" s="230" t="s">
        <v>3076</v>
      </c>
      <c r="Q13" s="253" t="s">
        <v>3077</v>
      </c>
    </row>
    <row r="14" spans="1:17"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120</v>
      </c>
      <c r="I14" s="33">
        <f>IFERROR((G14/H14),0)</f>
        <v>14.239583333333334</v>
      </c>
      <c r="J14" s="33">
        <f>ROUND(I14,0)</f>
        <v>14</v>
      </c>
      <c r="M14" s="1708">
        <v>1</v>
      </c>
      <c r="N14" s="230">
        <v>0.17</v>
      </c>
      <c r="O14" s="230">
        <v>1.133</v>
      </c>
      <c r="P14" s="1710">
        <f>+ROUND(M14/N14,2)</f>
        <v>5.88</v>
      </c>
      <c r="Q14" s="1712">
        <f>+ROUND(M14/O14,2)</f>
        <v>0.88</v>
      </c>
    </row>
    <row r="15" spans="1:17" s="20" customFormat="1" ht="13.9" customHeight="1" thickBot="1" x14ac:dyDescent="0.3">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c r="M15" s="1709"/>
      <c r="N15" s="254"/>
      <c r="O15" s="254"/>
      <c r="P15" s="1711"/>
      <c r="Q15" s="1713"/>
    </row>
    <row r="16" spans="1:17" s="20" customFormat="1" ht="13.9" customHeight="1" thickTop="1" x14ac:dyDescent="0.25">
      <c r="A16" s="1558"/>
      <c r="B16" s="1559"/>
      <c r="C16" s="1559"/>
      <c r="D16" s="1560"/>
      <c r="E16" s="29"/>
      <c r="F16" s="30"/>
      <c r="G16" s="31"/>
      <c r="H16" s="30"/>
      <c r="I16" s="33"/>
      <c r="J16" s="33"/>
    </row>
    <row r="17" spans="1:17" s="20" customFormat="1" ht="13.9" customHeight="1" x14ac:dyDescent="0.25">
      <c r="A17" s="1558"/>
      <c r="B17" s="1559"/>
      <c r="C17" s="1559"/>
      <c r="D17" s="1560"/>
      <c r="E17" s="29"/>
      <c r="F17" s="30"/>
      <c r="G17" s="31"/>
      <c r="H17" s="30"/>
      <c r="I17" s="33"/>
      <c r="J17" s="33"/>
      <c r="O17" s="20" t="s">
        <v>120</v>
      </c>
      <c r="P17" s="226">
        <v>5.22</v>
      </c>
      <c r="Q17" s="226">
        <v>0.78</v>
      </c>
    </row>
    <row r="18" spans="1:17" s="20" customFormat="1" ht="13.9" customHeight="1" x14ac:dyDescent="0.25">
      <c r="I18" s="30" t="s">
        <v>257</v>
      </c>
      <c r="J18" s="34">
        <f>+SUM(J11:J17)</f>
        <v>1163</v>
      </c>
    </row>
    <row r="19" spans="1:17" s="20" customFormat="1" ht="13.9" customHeight="1" x14ac:dyDescent="0.25">
      <c r="O19" s="20" t="s">
        <v>3081</v>
      </c>
      <c r="P19" s="20" t="s">
        <v>3082</v>
      </c>
    </row>
    <row r="20" spans="1:17" s="20" customFormat="1" ht="13.9" customHeight="1" thickBot="1" x14ac:dyDescent="0.3">
      <c r="A20" s="1561" t="s">
        <v>263</v>
      </c>
      <c r="B20" s="1561"/>
      <c r="C20" s="1561"/>
      <c r="D20" s="1561"/>
      <c r="E20" s="1561"/>
      <c r="F20" s="1561"/>
      <c r="G20" s="1561"/>
      <c r="H20" s="1561"/>
      <c r="I20" s="27"/>
      <c r="P20" s="238"/>
    </row>
    <row r="21" spans="1:17" ht="13.9" customHeight="1" thickTop="1" x14ac:dyDescent="0.25">
      <c r="A21" s="1565" t="s">
        <v>251</v>
      </c>
      <c r="B21" s="1566"/>
      <c r="C21" s="1566"/>
      <c r="D21" s="1566"/>
      <c r="E21" s="1566"/>
      <c r="F21" s="1567"/>
      <c r="G21" s="28" t="s">
        <v>252</v>
      </c>
      <c r="H21" s="28" t="s">
        <v>264</v>
      </c>
      <c r="I21" s="28" t="s">
        <v>256</v>
      </c>
      <c r="J21" s="28" t="s">
        <v>257</v>
      </c>
      <c r="L21" s="242"/>
      <c r="M21" s="237" t="s">
        <v>3088</v>
      </c>
      <c r="N21" s="237"/>
      <c r="O21" s="237"/>
      <c r="P21" s="243"/>
    </row>
    <row r="22" spans="1:17" x14ac:dyDescent="0.25">
      <c r="A22" s="1568" t="str">
        <f>+'INSUMOS '!B74</f>
        <v xml:space="preserve">PINTURA O RESINA TERMOPLÁSTICA </v>
      </c>
      <c r="B22" s="1569"/>
      <c r="C22" s="1569"/>
      <c r="D22" s="1569"/>
      <c r="E22" s="1569"/>
      <c r="F22" s="1570"/>
      <c r="G22" s="29" t="s">
        <v>6</v>
      </c>
      <c r="H22" s="37">
        <f>5.21*0.2</f>
        <v>1.042</v>
      </c>
      <c r="I22" s="33">
        <f>+IFERROR(VLOOKUP(A22,'INSUMOS '!$B$2:$AP$167,'INSUMOS '!$AO$2+1,FALSE),0)</f>
        <v>20020</v>
      </c>
      <c r="J22" s="33">
        <f>ROUND(I22*H22,0)</f>
        <v>20861</v>
      </c>
      <c r="L22" s="242"/>
      <c r="M22" s="240" t="s">
        <v>3084</v>
      </c>
      <c r="N22" s="236" t="s">
        <v>3085</v>
      </c>
      <c r="P22" s="242" t="s">
        <v>3089</v>
      </c>
    </row>
    <row r="23" spans="1:17" ht="13.9" customHeight="1" x14ac:dyDescent="0.25">
      <c r="A23" s="1558" t="str">
        <f>+'INSUMOS '!B59</f>
        <v>MICROESFERA DE VIDRIO  (ESFERICIDAD MAYOR A 80%)</v>
      </c>
      <c r="B23" s="1559"/>
      <c r="C23" s="1559"/>
      <c r="D23" s="1559"/>
      <c r="E23" s="1559"/>
      <c r="F23" s="1560"/>
      <c r="G23" s="29" t="s">
        <v>6</v>
      </c>
      <c r="H23" s="47">
        <f>0.1*H22</f>
        <v>0.10420000000000001</v>
      </c>
      <c r="I23" s="33">
        <f>+IFERROR(VLOOKUP(A23,'INSUMOS '!$B$2:$AP$167,'INSUMOS '!$AO$2+1,FALSE),0)</f>
        <v>7449</v>
      </c>
      <c r="J23" s="33">
        <f>ROUND(I23*H23,0)</f>
        <v>776</v>
      </c>
      <c r="L23" s="242"/>
      <c r="M23" s="39">
        <v>650</v>
      </c>
      <c r="N23" s="39" t="s">
        <v>3086</v>
      </c>
      <c r="P23" s="244">
        <f>+ROUND(M23/8,0)</f>
        <v>81</v>
      </c>
    </row>
    <row r="24" spans="1:17" ht="13.9" customHeight="1" thickBot="1" x14ac:dyDescent="0.3">
      <c r="A24" s="1568" t="str">
        <f>+'INSUMOS '!B9</f>
        <v>ANTIDESLIZANTE – SUPER GRIP</v>
      </c>
      <c r="B24" s="1569"/>
      <c r="C24" s="1569"/>
      <c r="D24" s="1569"/>
      <c r="E24" s="1569"/>
      <c r="F24" s="1570"/>
      <c r="G24" s="29" t="s">
        <v>6</v>
      </c>
      <c r="H24" s="35">
        <f>0.04</f>
        <v>0.04</v>
      </c>
      <c r="I24" s="33">
        <f>+IFERROR(VLOOKUP(A24,'INSUMOS '!$B$2:$AP$167,'INSUMOS '!$AO$2+1,FALSE),0)</f>
        <v>39270</v>
      </c>
      <c r="J24" s="33">
        <f t="shared" ref="J24" si="1">ROUND(I24*H24,0)</f>
        <v>1571</v>
      </c>
      <c r="L24" s="242"/>
      <c r="M24" s="241">
        <f>+ROUND(M23/0.15,0)</f>
        <v>4333</v>
      </c>
      <c r="N24" s="39" t="s">
        <v>13</v>
      </c>
      <c r="O24" s="239" t="s">
        <v>3087</v>
      </c>
      <c r="P24" s="245">
        <f>+ROUND(M24/8,0)</f>
        <v>542</v>
      </c>
    </row>
    <row r="25" spans="1:17" ht="13.9" customHeight="1" thickTop="1" x14ac:dyDescent="0.25">
      <c r="A25" s="1558"/>
      <c r="B25" s="1559"/>
      <c r="C25" s="1559"/>
      <c r="D25" s="1559"/>
      <c r="E25" s="1559"/>
      <c r="F25" s="1560"/>
      <c r="G25" s="29"/>
      <c r="H25" s="35"/>
      <c r="I25" s="33"/>
      <c r="J25" s="33"/>
      <c r="N25" s="237"/>
    </row>
    <row r="26" spans="1:17" ht="13.9" customHeight="1" x14ac:dyDescent="0.25">
      <c r="A26" s="1558" t="s">
        <v>333</v>
      </c>
      <c r="B26" s="1559"/>
      <c r="C26" s="1559"/>
      <c r="D26" s="1559"/>
      <c r="E26" s="1559"/>
      <c r="F26" s="1560"/>
      <c r="G26" s="29"/>
      <c r="H26" s="35">
        <v>0.05</v>
      </c>
      <c r="I26" s="33">
        <f>+SUM(J22:J25)</f>
        <v>23208</v>
      </c>
      <c r="J26" s="33">
        <f t="shared" ref="J26" si="2">ROUND(I26*H26,0)</f>
        <v>1160</v>
      </c>
    </row>
    <row r="27" spans="1:17" ht="13.9" customHeight="1" x14ac:dyDescent="0.25">
      <c r="A27" s="1558"/>
      <c r="B27" s="1559"/>
      <c r="C27" s="1559"/>
      <c r="D27" s="1559"/>
      <c r="E27" s="1559"/>
      <c r="F27" s="1560"/>
      <c r="G27" s="29"/>
      <c r="H27" s="35"/>
      <c r="I27" s="33"/>
      <c r="J27" s="33"/>
    </row>
    <row r="28" spans="1:17" ht="13.9" customHeight="1" x14ac:dyDescent="0.25">
      <c r="A28" s="1558"/>
      <c r="B28" s="1559"/>
      <c r="C28" s="1559"/>
      <c r="D28" s="1559"/>
      <c r="E28" s="1559"/>
      <c r="F28" s="1560"/>
      <c r="G28" s="29"/>
      <c r="H28" s="35"/>
      <c r="I28" s="33"/>
      <c r="J28" s="33"/>
    </row>
    <row r="29" spans="1:17" ht="13.9" customHeight="1" x14ac:dyDescent="0.25">
      <c r="A29" s="1558"/>
      <c r="B29" s="1559"/>
      <c r="C29" s="1559"/>
      <c r="D29" s="1559"/>
      <c r="E29" s="1559"/>
      <c r="F29" s="1560"/>
      <c r="G29" s="29"/>
      <c r="H29" s="37"/>
      <c r="I29" s="33"/>
      <c r="J29" s="33"/>
    </row>
    <row r="30" spans="1:17" ht="13.9" customHeight="1" x14ac:dyDescent="0.25">
      <c r="A30" s="1558"/>
      <c r="B30" s="1559"/>
      <c r="C30" s="1559"/>
      <c r="D30" s="1559"/>
      <c r="E30" s="1559"/>
      <c r="F30" s="1560"/>
      <c r="G30" s="29"/>
      <c r="H30" s="35"/>
      <c r="I30" s="33"/>
      <c r="J30" s="33"/>
    </row>
    <row r="31" spans="1:17" ht="13.9" customHeight="1" x14ac:dyDescent="0.25">
      <c r="A31" s="1558"/>
      <c r="B31" s="1559"/>
      <c r="C31" s="1559"/>
      <c r="D31" s="1559"/>
      <c r="E31" s="1559"/>
      <c r="F31" s="1560"/>
      <c r="G31" s="29"/>
      <c r="H31" s="35"/>
      <c r="I31" s="33"/>
      <c r="J31" s="33"/>
    </row>
    <row r="32" spans="1:17" ht="13.9" customHeight="1" x14ac:dyDescent="0.25">
      <c r="A32" s="20"/>
      <c r="B32" s="20"/>
      <c r="C32" s="20"/>
      <c r="D32" s="20"/>
      <c r="E32" s="20"/>
      <c r="G32" s="20"/>
      <c r="H32" s="20"/>
      <c r="I32" s="30" t="s">
        <v>257</v>
      </c>
      <c r="J32" s="34">
        <f>+SUM(J22:J31)</f>
        <v>24368</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8.6805555555555559E-5</v>
      </c>
      <c r="H36" s="33">
        <f>+IFERROR(VLOOKUP(A36,'EQUIPOS '!$B$3:$M$78,12,FALSE),0)</f>
        <v>611492.5</v>
      </c>
      <c r="I36" s="33">
        <f>IFERROR(H36*G36,0)</f>
        <v>53.080946180555557</v>
      </c>
      <c r="J36" s="33">
        <f>ROUND(I36,0)</f>
        <v>53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53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960</v>
      </c>
      <c r="I43" s="33">
        <f>IFERROR(ROUND(G43/H43,0),0)</f>
        <v>149</v>
      </c>
      <c r="J43" s="33">
        <f>+I43</f>
        <v>149</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960</v>
      </c>
      <c r="I44" s="33">
        <f>IFERROR(ROUND(G44/H44,0),0)</f>
        <v>261</v>
      </c>
      <c r="J44" s="33">
        <f>+I44</f>
        <v>261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960</v>
      </c>
      <c r="I45" s="33">
        <f>IFERROR(ROUND(G45/H45,0),0)</f>
        <v>204</v>
      </c>
      <c r="J45" s="33">
        <f>+I45</f>
        <v>204</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960</v>
      </c>
      <c r="I46" s="33">
        <f>IFERROR(ROUND(G46/H46,0),0)</f>
        <v>223</v>
      </c>
      <c r="J46" s="33">
        <f>+I46</f>
        <v>223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837</v>
      </c>
    </row>
    <row r="50" spans="1:10" ht="13.9" customHeight="1" x14ac:dyDescent="0.25"/>
    <row r="51" spans="1:10" ht="13.9" customHeight="1" x14ac:dyDescent="0.25">
      <c r="E51" s="41" t="s">
        <v>276</v>
      </c>
      <c r="I51" s="42">
        <f>+J49+J39+J32+J18</f>
        <v>26421</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6">
    <mergeCell ref="M10:M11"/>
    <mergeCell ref="P10:P11"/>
    <mergeCell ref="Q10:Q11"/>
    <mergeCell ref="M14:M15"/>
    <mergeCell ref="P14:P15"/>
    <mergeCell ref="Q14:Q15"/>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hyperlinks>
    <hyperlink ref="M6" r:id="rId1" xr:uid="{00000000-0004-0000-6E00-000000000000}"/>
  </hyperlinks>
  <pageMargins left="0.70866141732283472" right="0.70866141732283472" top="0.78740157480314965" bottom="0.78740157480314965" header="0.31496062992125984" footer="0.31496062992125984"/>
  <pageSetup scale="85" orientation="portrait" r:id="rId2"/>
  <drawing r:id="rId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Hoja58">
    <tabColor theme="5" tint="-0.499984740745262"/>
  </sheetPr>
  <dimension ref="A1:Q55"/>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7" ht="29.25" customHeight="1" x14ac:dyDescent="0.25">
      <c r="A1" s="1574" t="s">
        <v>244</v>
      </c>
      <c r="B1" s="1575"/>
      <c r="C1" s="1575"/>
      <c r="D1" s="1575"/>
      <c r="E1" s="1575"/>
      <c r="F1" s="1575"/>
      <c r="G1" s="1575"/>
      <c r="H1" s="1575"/>
      <c r="I1" s="1575"/>
      <c r="J1" s="1575"/>
    </row>
    <row r="2" spans="1:17" ht="15" customHeight="1" x14ac:dyDescent="0.25">
      <c r="A2" s="1576" t="s">
        <v>245</v>
      </c>
      <c r="B2" s="1576"/>
      <c r="C2" s="1576"/>
      <c r="D2" s="1576"/>
      <c r="E2" s="1576"/>
      <c r="F2" s="1576"/>
      <c r="G2" s="1576"/>
      <c r="H2" s="1576"/>
      <c r="I2" s="1576"/>
      <c r="J2" s="1576"/>
    </row>
    <row r="4" spans="1:17" s="20" customFormat="1" ht="9.9499999999999993" customHeight="1" x14ac:dyDescent="0.25">
      <c r="A4" s="1577" t="s">
        <v>246</v>
      </c>
      <c r="B4" s="1577"/>
      <c r="C4" s="1577"/>
      <c r="D4" s="1577"/>
      <c r="E4" s="1577"/>
      <c r="F4" s="1577"/>
      <c r="G4" s="1577"/>
      <c r="H4" s="1577"/>
      <c r="I4" s="1577"/>
      <c r="J4" s="1577"/>
    </row>
    <row r="5" spans="1:17" s="20" customFormat="1" ht="9.9499999999999993" customHeight="1" x14ac:dyDescent="0.25">
      <c r="B5" s="21"/>
      <c r="C5" s="21"/>
      <c r="D5" s="21"/>
      <c r="E5" s="21"/>
      <c r="F5" s="21"/>
      <c r="G5" s="21"/>
    </row>
    <row r="6" spans="1:17" ht="15" x14ac:dyDescent="0.25">
      <c r="A6" s="1558" t="s">
        <v>247</v>
      </c>
      <c r="B6" s="1560"/>
      <c r="C6" s="45">
        <v>51</v>
      </c>
      <c r="D6" s="8"/>
      <c r="E6" s="8"/>
      <c r="F6" s="8"/>
      <c r="G6" s="8"/>
      <c r="H6" s="46"/>
      <c r="I6" s="29" t="s">
        <v>248</v>
      </c>
      <c r="J6" s="26" t="str">
        <f>+VLOOKUP(C6,'ANEXO PLIEGO_1'!$A$7:$C$133,3,FALSE)</f>
        <v>M</v>
      </c>
      <c r="M6" s="227" t="s">
        <v>3083</v>
      </c>
    </row>
    <row r="7" spans="1:17" ht="35.1" customHeight="1" x14ac:dyDescent="0.25">
      <c r="A7" s="1568" t="s">
        <v>249</v>
      </c>
      <c r="B7" s="1570"/>
      <c r="C7" s="1578" t="str">
        <f>+VLOOKUP(C6,'ANEXO PLIEGO_1'!$A$7:$B$133,2,FALSE)</f>
        <v>Suministro y Aplicación de resina Termoplástica a = 15 cm, para líneas de demarcación,con antideslizante, incluye microesfera y espesor seco 90 mils (2.3mm)</v>
      </c>
      <c r="D7" s="1579"/>
      <c r="E7" s="1579"/>
      <c r="F7" s="1579"/>
      <c r="G7" s="1579"/>
      <c r="H7" s="1579"/>
      <c r="I7" s="1579"/>
      <c r="J7" s="1580"/>
    </row>
    <row r="8" spans="1:17" ht="15" x14ac:dyDescent="0.25">
      <c r="M8" s="234" t="s">
        <v>3073</v>
      </c>
      <c r="N8" s="234"/>
      <c r="O8" s="234" t="s">
        <v>3074</v>
      </c>
      <c r="P8" s="234" t="s">
        <v>3080</v>
      </c>
      <c r="Q8" s="231"/>
    </row>
    <row r="9" spans="1:17" s="27" customFormat="1" ht="15" x14ac:dyDescent="0.25">
      <c r="A9" s="1561" t="s">
        <v>250</v>
      </c>
      <c r="B9" s="1561"/>
      <c r="C9" s="1561"/>
      <c r="D9" s="1561"/>
      <c r="E9" s="1561"/>
      <c r="F9" s="1561"/>
      <c r="G9" s="1561"/>
      <c r="H9" s="1561"/>
      <c r="M9" s="231" t="s">
        <v>3075</v>
      </c>
      <c r="N9" s="231" t="s">
        <v>12</v>
      </c>
      <c r="O9" s="231" t="s">
        <v>13</v>
      </c>
      <c r="P9" s="232" t="s">
        <v>3076</v>
      </c>
      <c r="Q9" s="232" t="s">
        <v>3077</v>
      </c>
    </row>
    <row r="10" spans="1:17" s="20" customFormat="1" ht="13.9" customHeight="1" x14ac:dyDescent="0.25">
      <c r="A10" s="1562" t="s">
        <v>251</v>
      </c>
      <c r="B10" s="1563"/>
      <c r="C10" s="1563"/>
      <c r="D10" s="1564"/>
      <c r="E10" s="28" t="s">
        <v>252</v>
      </c>
      <c r="F10" s="28" t="s">
        <v>253</v>
      </c>
      <c r="G10" s="28" t="s">
        <v>254</v>
      </c>
      <c r="H10" s="28" t="s">
        <v>255</v>
      </c>
      <c r="I10" s="28" t="s">
        <v>256</v>
      </c>
      <c r="J10" s="28" t="s">
        <v>257</v>
      </c>
      <c r="M10" s="1714">
        <v>1</v>
      </c>
      <c r="N10" s="233">
        <v>0.22</v>
      </c>
      <c r="O10" s="233">
        <v>1.47</v>
      </c>
      <c r="P10" s="1704">
        <f>+ROUND(M10/N10,2)</f>
        <v>4.55</v>
      </c>
      <c r="Q10" s="1704">
        <f>+ROUND(M10/O10,2)</f>
        <v>0.68</v>
      </c>
    </row>
    <row r="11" spans="1:17" s="20" customFormat="1" ht="13.9" customHeight="1" x14ac:dyDescent="0.25">
      <c r="A11" s="1558" t="str">
        <f>+'EQUIPOS '!B18</f>
        <v>EQUIPO DELINEADOR DE PINTURA TERMOPLÁSTICA</v>
      </c>
      <c r="B11" s="1559"/>
      <c r="C11" s="1559"/>
      <c r="D11" s="1560"/>
      <c r="E11" s="29" t="s">
        <v>202</v>
      </c>
      <c r="F11" s="30" t="str">
        <f>IFERROR(VLOOKUP(A11,'[10]EQUIPOS TRANSPOR SALARIO'!$A$3:$G$42,2,FALSE),"")</f>
        <v>Autopropulsado</v>
      </c>
      <c r="G11" s="31">
        <f>+VLOOKUP(A11,'EQUIPOS '!$B$3:$M$64,12,FALSE)</f>
        <v>107152.95</v>
      </c>
      <c r="H11" s="30">
        <v>145</v>
      </c>
      <c r="I11" s="33">
        <f>IFERROR((G11/H11),"")</f>
        <v>738.9858620689655</v>
      </c>
      <c r="J11" s="33">
        <f>ROUND(I11,0)</f>
        <v>739</v>
      </c>
      <c r="M11" s="1714"/>
      <c r="N11" s="231"/>
      <c r="O11" s="231"/>
      <c r="P11" s="1705"/>
      <c r="Q11" s="1705"/>
    </row>
    <row r="12" spans="1:17"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145</v>
      </c>
      <c r="I12" s="33">
        <f>IFERROR((G12/H12),0)</f>
        <v>55.171999999999997</v>
      </c>
      <c r="J12" s="33">
        <f>ROUND(I12,0)</f>
        <v>55</v>
      </c>
      <c r="M12" s="235" t="s">
        <v>3078</v>
      </c>
      <c r="N12" s="235" t="s">
        <v>3079</v>
      </c>
      <c r="O12" s="235" t="s">
        <v>3080</v>
      </c>
      <c r="P12" s="229"/>
      <c r="Q12" s="229"/>
    </row>
    <row r="13" spans="1:17"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145</v>
      </c>
      <c r="I13" s="33">
        <f>IFERROR((G13/H13),0)</f>
        <v>91.186206896551724</v>
      </c>
      <c r="J13" s="33">
        <f>ROUND(I13,0)</f>
        <v>91</v>
      </c>
      <c r="M13" s="229" t="s">
        <v>3075</v>
      </c>
      <c r="N13" s="229" t="s">
        <v>12</v>
      </c>
      <c r="O13" s="229" t="s">
        <v>13</v>
      </c>
      <c r="P13" s="230" t="s">
        <v>3076</v>
      </c>
      <c r="Q13" s="230" t="s">
        <v>3077</v>
      </c>
    </row>
    <row r="14" spans="1:17"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145</v>
      </c>
      <c r="I14" s="33">
        <f>IFERROR((G14/H14),0)</f>
        <v>11.78448275862069</v>
      </c>
      <c r="J14" s="33">
        <f>ROUND(I14,0)</f>
        <v>12</v>
      </c>
      <c r="M14" s="1710">
        <v>1</v>
      </c>
      <c r="N14" s="230">
        <v>0.17</v>
      </c>
      <c r="O14" s="230">
        <v>1.133</v>
      </c>
      <c r="P14" s="1710">
        <f>+ROUND(M14/N14,2)</f>
        <v>5.88</v>
      </c>
      <c r="Q14" s="1710">
        <f>+ROUND(M14/O14,2)</f>
        <v>0.88</v>
      </c>
    </row>
    <row r="15" spans="1:17"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c r="M15" s="1710"/>
      <c r="N15" s="229"/>
      <c r="O15" s="229"/>
      <c r="P15" s="1710"/>
      <c r="Q15" s="1710"/>
    </row>
    <row r="16" spans="1:17" s="20" customFormat="1" ht="13.9" customHeight="1" x14ac:dyDescent="0.25">
      <c r="A16" s="1558"/>
      <c r="B16" s="1559"/>
      <c r="C16" s="1559"/>
      <c r="D16" s="1560"/>
      <c r="E16" s="29"/>
      <c r="F16" s="30"/>
      <c r="G16" s="31"/>
      <c r="H16" s="30"/>
      <c r="I16" s="33"/>
      <c r="J16" s="33"/>
    </row>
    <row r="17" spans="1:17" s="20" customFormat="1" ht="13.9" customHeight="1" x14ac:dyDescent="0.25">
      <c r="A17" s="1558"/>
      <c r="B17" s="1559"/>
      <c r="C17" s="1559"/>
      <c r="D17" s="1560"/>
      <c r="E17" s="29"/>
      <c r="F17" s="30"/>
      <c r="G17" s="31"/>
      <c r="H17" s="30"/>
      <c r="I17" s="33"/>
      <c r="J17" s="33"/>
      <c r="O17" s="20" t="s">
        <v>120</v>
      </c>
      <c r="P17" s="226">
        <v>5.22</v>
      </c>
      <c r="Q17" s="226">
        <v>0.78</v>
      </c>
    </row>
    <row r="18" spans="1:17" s="20" customFormat="1" ht="13.9" customHeight="1" x14ac:dyDescent="0.25">
      <c r="I18" s="30" t="s">
        <v>257</v>
      </c>
      <c r="J18" s="34">
        <f>+SUM(J11:J17)</f>
        <v>976</v>
      </c>
    </row>
    <row r="19" spans="1:17" s="20" customFormat="1" ht="13.9" customHeight="1" x14ac:dyDescent="0.25">
      <c r="O19" s="20" t="s">
        <v>3081</v>
      </c>
      <c r="P19" s="20" t="s">
        <v>3082</v>
      </c>
    </row>
    <row r="20" spans="1:17" s="20" customFormat="1" ht="13.9" customHeight="1" x14ac:dyDescent="0.25">
      <c r="A20" s="1561" t="s">
        <v>263</v>
      </c>
      <c r="B20" s="1561"/>
      <c r="C20" s="1561"/>
      <c r="D20" s="1561"/>
      <c r="E20" s="1561"/>
      <c r="F20" s="1561"/>
      <c r="G20" s="1561"/>
      <c r="H20" s="1561"/>
      <c r="I20" s="27"/>
    </row>
    <row r="21" spans="1:17" ht="13.9" customHeight="1" x14ac:dyDescent="0.25">
      <c r="A21" s="1565" t="s">
        <v>251</v>
      </c>
      <c r="B21" s="1566"/>
      <c r="C21" s="1566"/>
      <c r="D21" s="1566"/>
      <c r="E21" s="1566"/>
      <c r="F21" s="1567"/>
      <c r="G21" s="28" t="s">
        <v>252</v>
      </c>
      <c r="H21" s="28" t="s">
        <v>264</v>
      </c>
      <c r="I21" s="28" t="s">
        <v>256</v>
      </c>
      <c r="J21" s="28" t="s">
        <v>257</v>
      </c>
      <c r="M21" s="19" t="s">
        <v>3088</v>
      </c>
    </row>
    <row r="22" spans="1:17" x14ac:dyDescent="0.25">
      <c r="A22" s="1568" t="str">
        <f>+'INSUMOS '!B74</f>
        <v xml:space="preserve">PINTURA O RESINA TERMOPLÁSTICA </v>
      </c>
      <c r="B22" s="1569"/>
      <c r="C22" s="1569"/>
      <c r="D22" s="1569"/>
      <c r="E22" s="1569"/>
      <c r="F22" s="1570"/>
      <c r="G22" s="29" t="s">
        <v>6</v>
      </c>
      <c r="H22" s="37">
        <f>5.21*0.15</f>
        <v>0.78149999999999997</v>
      </c>
      <c r="I22" s="33">
        <f>+IFERROR(VLOOKUP(A22,'INSUMOS '!$B$2:$AP$167,'INSUMOS '!$AO$2+1,FALSE),0)</f>
        <v>20020</v>
      </c>
      <c r="J22" s="33">
        <f>ROUND(I22*H22,0)</f>
        <v>15646</v>
      </c>
      <c r="M22" s="228" t="s">
        <v>3084</v>
      </c>
      <c r="N22" s="19" t="s">
        <v>3085</v>
      </c>
    </row>
    <row r="23" spans="1:17" ht="13.9" customHeight="1" x14ac:dyDescent="0.25">
      <c r="A23" s="1558" t="str">
        <f>+'INSUMOS '!B59</f>
        <v>MICROESFERA DE VIDRIO  (ESFERICIDAD MAYOR A 80%)</v>
      </c>
      <c r="B23" s="1559"/>
      <c r="C23" s="1559"/>
      <c r="D23" s="1559"/>
      <c r="E23" s="1559"/>
      <c r="F23" s="1560"/>
      <c r="G23" s="29" t="s">
        <v>6</v>
      </c>
      <c r="H23" s="47">
        <f>0.1*H22</f>
        <v>7.8149999999999997E-2</v>
      </c>
      <c r="I23" s="33">
        <f>+IFERROR(VLOOKUP(A23,'INSUMOS '!$B$2:$AP$167,'INSUMOS '!$AO$2+1,FALSE),0)</f>
        <v>7449</v>
      </c>
      <c r="J23" s="33">
        <f>ROUND(I23*H23,0)</f>
        <v>582</v>
      </c>
      <c r="M23" s="39">
        <v>650</v>
      </c>
      <c r="N23" s="39" t="s">
        <v>3086</v>
      </c>
      <c r="P23" s="19" t="s">
        <v>3089</v>
      </c>
    </row>
    <row r="24" spans="1:17" ht="13.9" customHeight="1" x14ac:dyDescent="0.25">
      <c r="A24" s="1568" t="str">
        <f>+'INSUMOS '!B9</f>
        <v>ANTIDESLIZANTE – SUPER GRIP</v>
      </c>
      <c r="B24" s="1569"/>
      <c r="C24" s="1569"/>
      <c r="D24" s="1569"/>
      <c r="E24" s="1569"/>
      <c r="F24" s="1570"/>
      <c r="G24" s="29" t="s">
        <v>6</v>
      </c>
      <c r="H24" s="35">
        <f>0.03</f>
        <v>0.03</v>
      </c>
      <c r="I24" s="33">
        <f>+IFERROR(VLOOKUP(A24,'INSUMOS '!$B$2:$AP$167,'INSUMOS '!$AO$2+1,FALSE),0)</f>
        <v>39270</v>
      </c>
      <c r="J24" s="33">
        <f t="shared" ref="J24" si="1">ROUND(I24*H24,0)</f>
        <v>1178</v>
      </c>
      <c r="M24" s="39">
        <f>+ROUND(M23/0.15,0)</f>
        <v>4333</v>
      </c>
      <c r="N24" s="39" t="s">
        <v>13</v>
      </c>
      <c r="O24" s="19" t="s">
        <v>3087</v>
      </c>
      <c r="P24" s="19">
        <f>+M24/8</f>
        <v>541.625</v>
      </c>
    </row>
    <row r="25" spans="1:17" ht="13.9" customHeight="1" x14ac:dyDescent="0.25">
      <c r="A25" s="1558"/>
      <c r="B25" s="1559"/>
      <c r="C25" s="1559"/>
      <c r="D25" s="1559"/>
      <c r="E25" s="1559"/>
      <c r="F25" s="1560"/>
      <c r="G25" s="29"/>
      <c r="H25" s="35"/>
      <c r="I25" s="33"/>
      <c r="J25" s="33"/>
    </row>
    <row r="26" spans="1:17" ht="13.9" customHeight="1" x14ac:dyDescent="0.25">
      <c r="A26" s="1558" t="s">
        <v>333</v>
      </c>
      <c r="B26" s="1559"/>
      <c r="C26" s="1559"/>
      <c r="D26" s="1559"/>
      <c r="E26" s="1559"/>
      <c r="F26" s="1560"/>
      <c r="G26" s="29"/>
      <c r="H26" s="35">
        <v>0.05</v>
      </c>
      <c r="I26" s="33">
        <f>+SUM(J22:J25)</f>
        <v>17406</v>
      </c>
      <c r="J26" s="33">
        <f>ROUND(I26*H26,0)</f>
        <v>870</v>
      </c>
    </row>
    <row r="27" spans="1:17" ht="13.9" customHeight="1" x14ac:dyDescent="0.25">
      <c r="A27" s="1558"/>
      <c r="B27" s="1559"/>
      <c r="C27" s="1559"/>
      <c r="D27" s="1559"/>
      <c r="E27" s="1559"/>
      <c r="F27" s="1560"/>
      <c r="G27" s="29"/>
      <c r="H27" s="35"/>
      <c r="I27" s="33"/>
      <c r="J27" s="33"/>
    </row>
    <row r="28" spans="1:17" ht="13.9" customHeight="1" x14ac:dyDescent="0.25">
      <c r="A28" s="1558"/>
      <c r="B28" s="1559"/>
      <c r="C28" s="1559"/>
      <c r="D28" s="1559"/>
      <c r="E28" s="1559"/>
      <c r="F28" s="1560"/>
      <c r="G28" s="29"/>
      <c r="H28" s="35"/>
      <c r="I28" s="33"/>
      <c r="J28" s="33"/>
      <c r="L28" s="19">
        <f>0.63*0.15</f>
        <v>9.4500000000000001E-2</v>
      </c>
      <c r="M28" s="337">
        <f>+L28*I22</f>
        <v>1891.89</v>
      </c>
    </row>
    <row r="29" spans="1:17" ht="13.9" customHeight="1" x14ac:dyDescent="0.25">
      <c r="A29" s="1558"/>
      <c r="B29" s="1559"/>
      <c r="C29" s="1559"/>
      <c r="D29" s="1559"/>
      <c r="E29" s="1559"/>
      <c r="F29" s="1560"/>
      <c r="G29" s="29"/>
      <c r="H29" s="37"/>
      <c r="I29" s="33"/>
      <c r="J29" s="33"/>
    </row>
    <row r="30" spans="1:17" ht="13.9" customHeight="1" x14ac:dyDescent="0.25">
      <c r="A30" s="1558"/>
      <c r="B30" s="1559"/>
      <c r="C30" s="1559"/>
      <c r="D30" s="1559"/>
      <c r="E30" s="1559"/>
      <c r="F30" s="1560"/>
      <c r="G30" s="29"/>
      <c r="H30" s="35"/>
      <c r="I30" s="33"/>
      <c r="J30" s="33"/>
    </row>
    <row r="31" spans="1:17" ht="13.9" customHeight="1" x14ac:dyDescent="0.25">
      <c r="A31" s="1558"/>
      <c r="B31" s="1559"/>
      <c r="C31" s="1559"/>
      <c r="D31" s="1559"/>
      <c r="E31" s="1559"/>
      <c r="F31" s="1560"/>
      <c r="G31" s="29"/>
      <c r="H31" s="35"/>
      <c r="I31" s="33"/>
      <c r="J31" s="33"/>
    </row>
    <row r="32" spans="1:17" ht="13.9" customHeight="1" x14ac:dyDescent="0.25">
      <c r="A32" s="20"/>
      <c r="B32" s="20"/>
      <c r="C32" s="20"/>
      <c r="D32" s="20"/>
      <c r="E32" s="20"/>
      <c r="G32" s="20"/>
      <c r="H32" s="20"/>
      <c r="I32" s="30" t="s">
        <v>257</v>
      </c>
      <c r="J32" s="34">
        <f>+SUM(J22:J31)</f>
        <v>18276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7.1839080459770114E-5</v>
      </c>
      <c r="H36" s="33">
        <f>+IFERROR(VLOOKUP(A36,'EQUIPOS '!$B$3:$M$78,12,FALSE),0)</f>
        <v>611492.5</v>
      </c>
      <c r="I36" s="33">
        <f>IFERROR(H36*G36,0)</f>
        <v>43.929058908045974</v>
      </c>
      <c r="J36" s="33">
        <f>ROUND(I36,0)</f>
        <v>44</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44</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1160</v>
      </c>
      <c r="I43" s="33">
        <f>IFERROR(ROUND(G43/H43,0),0)</f>
        <v>123</v>
      </c>
      <c r="J43" s="33">
        <f>+I43</f>
        <v>123</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1160</v>
      </c>
      <c r="I44" s="33">
        <f>IFERROR(ROUND(G44/H44,0),0)</f>
        <v>216</v>
      </c>
      <c r="J44" s="33">
        <f>+I44</f>
        <v>216</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1160</v>
      </c>
      <c r="I45" s="33">
        <f>IFERROR(ROUND(G45/H45,0),0)</f>
        <v>169</v>
      </c>
      <c r="J45" s="33">
        <f>+I45</f>
        <v>169</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1160</v>
      </c>
      <c r="I46" s="33">
        <f>IFERROR(ROUND(G46/H46,0),0)</f>
        <v>184</v>
      </c>
      <c r="J46" s="33">
        <f>+I46</f>
        <v>184</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692</v>
      </c>
    </row>
    <row r="50" spans="1:10" ht="13.9" customHeight="1" x14ac:dyDescent="0.25"/>
    <row r="51" spans="1:10" ht="13.9" customHeight="1" x14ac:dyDescent="0.25">
      <c r="E51" s="41" t="s">
        <v>276</v>
      </c>
      <c r="I51" s="42">
        <f>+J49+J39+J32+J18</f>
        <v>19988</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6">
    <mergeCell ref="M10:M11"/>
    <mergeCell ref="P10:P11"/>
    <mergeCell ref="Q10:Q11"/>
    <mergeCell ref="M14:M15"/>
    <mergeCell ref="P14:P15"/>
    <mergeCell ref="Q14:Q15"/>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hyperlinks>
    <hyperlink ref="M6" r:id="rId1" xr:uid="{00000000-0004-0000-6F00-000000000000}"/>
  </hyperlinks>
  <pageMargins left="0.70866141732283472" right="0.70866141732283472" top="0.78740157480314965" bottom="0.78740157480314965" header="0.31496062992125984" footer="0.31496062992125984"/>
  <pageSetup scale="85" orientation="portrait" r:id="rId2"/>
  <drawing r:id="rId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Hoja57">
    <tabColor theme="5" tint="-0.499984740745262"/>
  </sheetPr>
  <dimension ref="A1:Q55"/>
  <sheetViews>
    <sheetView topLeftCell="A35" workbookViewId="0">
      <selection activeCell="L42" sqref="L42"/>
    </sheetView>
  </sheetViews>
  <sheetFormatPr baseColWidth="10" defaultColWidth="11.42578125" defaultRowHeight="14.25" x14ac:dyDescent="0.25"/>
  <cols>
    <col min="1" max="4" width="10.42578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7" ht="29.25" customHeight="1" x14ac:dyDescent="0.25">
      <c r="A1" s="1574" t="s">
        <v>244</v>
      </c>
      <c r="B1" s="1575"/>
      <c r="C1" s="1575"/>
      <c r="D1" s="1575"/>
      <c r="E1" s="1575"/>
      <c r="F1" s="1575"/>
      <c r="G1" s="1575"/>
      <c r="H1" s="1575"/>
      <c r="I1" s="1575"/>
      <c r="J1" s="1575"/>
    </row>
    <row r="2" spans="1:17" ht="15" customHeight="1" x14ac:dyDescent="0.25">
      <c r="A2" s="1576" t="s">
        <v>245</v>
      </c>
      <c r="B2" s="1576"/>
      <c r="C2" s="1576"/>
      <c r="D2" s="1576"/>
      <c r="E2" s="1576"/>
      <c r="F2" s="1576"/>
      <c r="G2" s="1576"/>
      <c r="H2" s="1576"/>
      <c r="I2" s="1576"/>
      <c r="J2" s="1576"/>
    </row>
    <row r="4" spans="1:17" s="20" customFormat="1" ht="9.9499999999999993" customHeight="1" x14ac:dyDescent="0.25">
      <c r="A4" s="1577" t="s">
        <v>246</v>
      </c>
      <c r="B4" s="1577"/>
      <c r="C4" s="1577"/>
      <c r="D4" s="1577"/>
      <c r="E4" s="1577"/>
      <c r="F4" s="1577"/>
      <c r="G4" s="1577"/>
      <c r="H4" s="1577"/>
      <c r="I4" s="1577"/>
      <c r="J4" s="1577"/>
    </row>
    <row r="5" spans="1:17" s="20" customFormat="1" ht="9.9499999999999993" customHeight="1" x14ac:dyDescent="0.25">
      <c r="B5" s="21"/>
      <c r="C5" s="21"/>
      <c r="D5" s="21"/>
      <c r="E5" s="21"/>
      <c r="F5" s="21"/>
      <c r="G5" s="21"/>
    </row>
    <row r="6" spans="1:17" ht="15" x14ac:dyDescent="0.25">
      <c r="A6" s="1558" t="s">
        <v>247</v>
      </c>
      <c r="B6" s="1560"/>
      <c r="C6" s="45">
        <v>50</v>
      </c>
      <c r="D6" s="8"/>
      <c r="E6" s="8"/>
      <c r="F6" s="8"/>
      <c r="G6" s="8"/>
      <c r="H6" s="46"/>
      <c r="I6" s="29" t="s">
        <v>248</v>
      </c>
      <c r="J6" s="26" t="str">
        <f>+VLOOKUP(C6,'ANEXO PLIEGO_1'!$A$7:$C$133,3,FALSE)</f>
        <v>M</v>
      </c>
      <c r="M6" s="227" t="s">
        <v>3083</v>
      </c>
    </row>
    <row r="7" spans="1:17" ht="35.1" customHeight="1" x14ac:dyDescent="0.25">
      <c r="A7" s="1568" t="s">
        <v>249</v>
      </c>
      <c r="B7" s="1570"/>
      <c r="C7" s="1578" t="str">
        <f>+VLOOKUP(C6,'ANEXO PLIEGO_1'!$A$7:$B$133,2,FALSE)</f>
        <v>Suministro y Aplicación de resina Termoplástica a = 12 cm, para líneas de demarcación,con antideslizante, incluye microesfera y espesor seco 90 mils (2.3mm)</v>
      </c>
      <c r="D7" s="1579"/>
      <c r="E7" s="1579"/>
      <c r="F7" s="1579"/>
      <c r="G7" s="1579"/>
      <c r="H7" s="1579"/>
      <c r="I7" s="1579"/>
      <c r="J7" s="1580"/>
    </row>
    <row r="8" spans="1:17" ht="15" x14ac:dyDescent="0.25">
      <c r="M8" s="234" t="s">
        <v>3073</v>
      </c>
      <c r="N8" s="234"/>
      <c r="O8" s="234" t="s">
        <v>3074</v>
      </c>
      <c r="P8" s="234" t="s">
        <v>3080</v>
      </c>
      <c r="Q8" s="231"/>
    </row>
    <row r="9" spans="1:17" s="27" customFormat="1" ht="15" x14ac:dyDescent="0.25">
      <c r="A9" s="1561" t="s">
        <v>250</v>
      </c>
      <c r="B9" s="1561"/>
      <c r="C9" s="1561"/>
      <c r="D9" s="1561"/>
      <c r="E9" s="1561"/>
      <c r="F9" s="1561"/>
      <c r="G9" s="1561"/>
      <c r="H9" s="1561"/>
      <c r="M9" s="231" t="s">
        <v>3075</v>
      </c>
      <c r="N9" s="231" t="s">
        <v>12</v>
      </c>
      <c r="O9" s="231" t="s">
        <v>13</v>
      </c>
      <c r="P9" s="232" t="s">
        <v>3076</v>
      </c>
      <c r="Q9" s="232" t="s">
        <v>3077</v>
      </c>
    </row>
    <row r="10" spans="1:17" s="20" customFormat="1" ht="13.9" customHeight="1" x14ac:dyDescent="0.25">
      <c r="A10" s="1562" t="s">
        <v>251</v>
      </c>
      <c r="B10" s="1563"/>
      <c r="C10" s="1563"/>
      <c r="D10" s="1564"/>
      <c r="E10" s="28" t="s">
        <v>252</v>
      </c>
      <c r="F10" s="28" t="s">
        <v>253</v>
      </c>
      <c r="G10" s="28" t="s">
        <v>254</v>
      </c>
      <c r="H10" s="28" t="s">
        <v>255</v>
      </c>
      <c r="I10" s="28" t="s">
        <v>256</v>
      </c>
      <c r="J10" s="28" t="s">
        <v>257</v>
      </c>
      <c r="M10" s="1714">
        <v>1</v>
      </c>
      <c r="N10" s="233">
        <v>0.22</v>
      </c>
      <c r="O10" s="233">
        <v>1.47</v>
      </c>
      <c r="P10" s="1704">
        <f>+ROUND(M10/N10,2)</f>
        <v>4.55</v>
      </c>
      <c r="Q10" s="1704">
        <f>+ROUND(M10/O10,2)</f>
        <v>0.68</v>
      </c>
    </row>
    <row r="11" spans="1:17" s="20" customFormat="1" ht="13.9" customHeight="1" x14ac:dyDescent="0.25">
      <c r="A11" s="1558" t="str">
        <f>+'EQUIPOS '!B18</f>
        <v>EQUIPO DELINEADOR DE PINTURA TERMOPLÁSTICA</v>
      </c>
      <c r="B11" s="1559"/>
      <c r="C11" s="1559"/>
      <c r="D11" s="1560"/>
      <c r="E11" s="29" t="s">
        <v>202</v>
      </c>
      <c r="F11" s="30" t="str">
        <f>IFERROR(VLOOKUP(A11,'[10]EQUIPOS TRANSPOR SALARIO'!$A$3:$G$42,2,FALSE),"")</f>
        <v>Autopropulsado</v>
      </c>
      <c r="G11" s="29">
        <f>+VLOOKUP(A11,'EQUIPOS '!$B$3:$M$64,12,FALSE)</f>
        <v>107152.95</v>
      </c>
      <c r="H11" s="30">
        <v>175</v>
      </c>
      <c r="I11" s="33">
        <f>IFERROR((G11/H11),"")</f>
        <v>612.30257142857147</v>
      </c>
      <c r="J11" s="33">
        <f>ROUND(I11,0)</f>
        <v>612</v>
      </c>
      <c r="M11" s="1714"/>
      <c r="N11" s="231"/>
      <c r="O11" s="231"/>
      <c r="P11" s="1705"/>
      <c r="Q11" s="1705"/>
    </row>
    <row r="12" spans="1:17"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175</v>
      </c>
      <c r="I12" s="33">
        <f>IFERROR((G12/H12),0)</f>
        <v>45.713942857142854</v>
      </c>
      <c r="J12" s="33">
        <f>ROUND(I12,0)</f>
        <v>46</v>
      </c>
      <c r="M12" s="235" t="s">
        <v>3078</v>
      </c>
      <c r="N12" s="235" t="s">
        <v>3079</v>
      </c>
      <c r="O12" s="235" t="s">
        <v>3080</v>
      </c>
      <c r="P12" s="229"/>
      <c r="Q12" s="229"/>
    </row>
    <row r="13" spans="1:17"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175</v>
      </c>
      <c r="I13" s="33">
        <f>IFERROR((G13/H13),0)</f>
        <v>75.554285714285712</v>
      </c>
      <c r="J13" s="33">
        <f>ROUND(I13,0)</f>
        <v>76</v>
      </c>
      <c r="M13" s="229" t="s">
        <v>3075</v>
      </c>
      <c r="N13" s="229" t="s">
        <v>12</v>
      </c>
      <c r="O13" s="229" t="s">
        <v>13</v>
      </c>
      <c r="P13" s="230" t="s">
        <v>3076</v>
      </c>
      <c r="Q13" s="230" t="s">
        <v>3077</v>
      </c>
    </row>
    <row r="14" spans="1:17"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175</v>
      </c>
      <c r="I14" s="33">
        <f>IFERROR((G14/H14),0)</f>
        <v>9.7642857142857142</v>
      </c>
      <c r="J14" s="33">
        <f>ROUND(I14,0)</f>
        <v>10</v>
      </c>
      <c r="M14" s="1710">
        <v>1</v>
      </c>
      <c r="N14" s="230">
        <v>0.17</v>
      </c>
      <c r="O14" s="230">
        <v>1.133</v>
      </c>
      <c r="P14" s="1710">
        <f>+ROUND(M14/N14,2)</f>
        <v>5.88</v>
      </c>
      <c r="Q14" s="1710">
        <f>+ROUND(M14/O14,2)</f>
        <v>0.88</v>
      </c>
    </row>
    <row r="15" spans="1:17"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c r="M15" s="1710"/>
      <c r="N15" s="229"/>
      <c r="O15" s="229"/>
      <c r="P15" s="1710"/>
      <c r="Q15" s="1710"/>
    </row>
    <row r="16" spans="1:17" s="20" customFormat="1" ht="13.9" customHeight="1" x14ac:dyDescent="0.25">
      <c r="A16" s="1558"/>
      <c r="B16" s="1559"/>
      <c r="C16" s="1559"/>
      <c r="D16" s="1560"/>
      <c r="E16" s="29"/>
      <c r="F16" s="30"/>
      <c r="G16" s="31"/>
      <c r="H16" s="30"/>
      <c r="I16" s="33"/>
      <c r="J16" s="33"/>
    </row>
    <row r="17" spans="1:17" s="20" customFormat="1" ht="13.9" customHeight="1" x14ac:dyDescent="0.25">
      <c r="A17" s="1558"/>
      <c r="B17" s="1559"/>
      <c r="C17" s="1559"/>
      <c r="D17" s="1560"/>
      <c r="E17" s="29"/>
      <c r="F17" s="30"/>
      <c r="G17" s="31"/>
      <c r="H17" s="30"/>
      <c r="I17" s="33"/>
      <c r="J17" s="33"/>
      <c r="O17" s="20" t="s">
        <v>120</v>
      </c>
      <c r="P17" s="226">
        <v>5.22</v>
      </c>
      <c r="Q17" s="226">
        <v>0.78</v>
      </c>
    </row>
    <row r="18" spans="1:17" s="20" customFormat="1" ht="13.9" customHeight="1" x14ac:dyDescent="0.25">
      <c r="I18" s="30" t="s">
        <v>257</v>
      </c>
      <c r="J18" s="34">
        <f>+SUM(J11:J17)</f>
        <v>823</v>
      </c>
    </row>
    <row r="19" spans="1:17" s="20" customFormat="1" ht="13.9" customHeight="1" x14ac:dyDescent="0.25">
      <c r="O19" s="20" t="s">
        <v>3081</v>
      </c>
      <c r="P19" s="20" t="s">
        <v>3082</v>
      </c>
    </row>
    <row r="20" spans="1:17" s="20" customFormat="1" ht="13.9" customHeight="1" x14ac:dyDescent="0.25">
      <c r="A20" s="1561" t="s">
        <v>263</v>
      </c>
      <c r="B20" s="1561"/>
      <c r="C20" s="1561"/>
      <c r="D20" s="1561"/>
      <c r="E20" s="1561"/>
      <c r="F20" s="1561"/>
      <c r="G20" s="1561"/>
      <c r="H20" s="1561"/>
      <c r="I20" s="27"/>
    </row>
    <row r="21" spans="1:17" ht="13.9" customHeight="1" x14ac:dyDescent="0.25">
      <c r="A21" s="1565" t="s">
        <v>251</v>
      </c>
      <c r="B21" s="1566"/>
      <c r="C21" s="1566"/>
      <c r="D21" s="1566"/>
      <c r="E21" s="1566"/>
      <c r="F21" s="1567"/>
      <c r="G21" s="28" t="s">
        <v>252</v>
      </c>
      <c r="H21" s="28" t="s">
        <v>264</v>
      </c>
      <c r="I21" s="28" t="s">
        <v>256</v>
      </c>
      <c r="J21" s="28" t="s">
        <v>257</v>
      </c>
      <c r="M21" s="19" t="s">
        <v>3088</v>
      </c>
    </row>
    <row r="22" spans="1:17" x14ac:dyDescent="0.25">
      <c r="A22" s="1568" t="str">
        <f>+'INSUMOS '!B74</f>
        <v xml:space="preserve">PINTURA O RESINA TERMOPLÁSTICA </v>
      </c>
      <c r="B22" s="1569"/>
      <c r="C22" s="1569"/>
      <c r="D22" s="1569"/>
      <c r="E22" s="1569"/>
      <c r="F22" s="1570"/>
      <c r="G22" s="29" t="s">
        <v>6</v>
      </c>
      <c r="H22" s="37">
        <f>5.21*0.12</f>
        <v>0.62519999999999998</v>
      </c>
      <c r="I22" s="33">
        <f>+IFERROR(VLOOKUP(A22,'INSUMOS '!$B$2:$AP$167,'INSUMOS '!$AO$2+1,FALSE),0)</f>
        <v>20020</v>
      </c>
      <c r="J22" s="33">
        <f>ROUND(I22*H22,0)</f>
        <v>12517</v>
      </c>
      <c r="M22" s="228" t="s">
        <v>3084</v>
      </c>
      <c r="N22" s="19" t="s">
        <v>3085</v>
      </c>
    </row>
    <row r="23" spans="1:17" ht="13.9" customHeight="1" x14ac:dyDescent="0.25">
      <c r="A23" s="1558" t="str">
        <f>+'INSUMOS '!B59</f>
        <v>MICROESFERA DE VIDRIO  (ESFERICIDAD MAYOR A 80%)</v>
      </c>
      <c r="B23" s="1559"/>
      <c r="C23" s="1559"/>
      <c r="D23" s="1559"/>
      <c r="E23" s="1559"/>
      <c r="F23" s="1560"/>
      <c r="G23" s="29" t="s">
        <v>6</v>
      </c>
      <c r="H23" s="47">
        <f>0.1*H22</f>
        <v>6.2520000000000006E-2</v>
      </c>
      <c r="I23" s="33">
        <f>+IFERROR(VLOOKUP(A23,'INSUMOS '!$B$2:$AP$167,'INSUMOS '!$AO$2+1,FALSE),0)</f>
        <v>7449</v>
      </c>
      <c r="J23" s="33">
        <f>ROUND(I23*H23,0)</f>
        <v>466</v>
      </c>
      <c r="M23" s="39">
        <v>650</v>
      </c>
      <c r="N23" s="39" t="s">
        <v>3086</v>
      </c>
      <c r="P23" s="19" t="s">
        <v>3089</v>
      </c>
    </row>
    <row r="24" spans="1:17" ht="13.9" customHeight="1" x14ac:dyDescent="0.25">
      <c r="A24" s="1568" t="str">
        <f>+'INSUMOS '!B9</f>
        <v>ANTIDESLIZANTE – SUPER GRIP</v>
      </c>
      <c r="B24" s="1569"/>
      <c r="C24" s="1569"/>
      <c r="D24" s="1569"/>
      <c r="E24" s="1569"/>
      <c r="F24" s="1570"/>
      <c r="G24" s="29" t="s">
        <v>6</v>
      </c>
      <c r="H24" s="35">
        <f>0.024</f>
        <v>2.4E-2</v>
      </c>
      <c r="I24" s="33">
        <f>+IFERROR(VLOOKUP(A24,'INSUMOS '!$B$2:$AP$167,'INSUMOS '!$AO$2+1,FALSE),0)</f>
        <v>39270</v>
      </c>
      <c r="J24" s="33">
        <f t="shared" ref="J24" si="1">ROUND(I24*H24,0)</f>
        <v>942</v>
      </c>
      <c r="M24" s="39">
        <f>+ROUND(M23/0.15,0)</f>
        <v>4333</v>
      </c>
      <c r="N24" s="39" t="s">
        <v>13</v>
      </c>
      <c r="O24" s="19" t="s">
        <v>3087</v>
      </c>
      <c r="P24" s="19">
        <f>+M24/8</f>
        <v>541.625</v>
      </c>
    </row>
    <row r="25" spans="1:17" ht="13.9" customHeight="1" x14ac:dyDescent="0.25">
      <c r="A25" s="1558"/>
      <c r="B25" s="1559"/>
      <c r="C25" s="1559"/>
      <c r="D25" s="1559"/>
      <c r="E25" s="1559"/>
      <c r="F25" s="1560"/>
      <c r="G25" s="29"/>
      <c r="H25" s="35"/>
      <c r="I25" s="33"/>
      <c r="J25" s="33"/>
    </row>
    <row r="26" spans="1:17" ht="13.9" customHeight="1" x14ac:dyDescent="0.25">
      <c r="A26" s="1558" t="s">
        <v>333</v>
      </c>
      <c r="B26" s="1559"/>
      <c r="C26" s="1559"/>
      <c r="D26" s="1559"/>
      <c r="E26" s="1559"/>
      <c r="F26" s="1560"/>
      <c r="G26" s="29"/>
      <c r="H26" s="35">
        <v>0.05</v>
      </c>
      <c r="I26" s="33">
        <f>+SUM(J22:J25)</f>
        <v>13925</v>
      </c>
      <c r="J26" s="33">
        <f>ROUND(I26*H26,0)</f>
        <v>696</v>
      </c>
    </row>
    <row r="27" spans="1:17" ht="13.9" customHeight="1" x14ac:dyDescent="0.25">
      <c r="A27" s="1558"/>
      <c r="B27" s="1559"/>
      <c r="C27" s="1559"/>
      <c r="D27" s="1559"/>
      <c r="E27" s="1559"/>
      <c r="F27" s="1560"/>
      <c r="G27" s="29"/>
      <c r="H27" s="35"/>
      <c r="I27" s="33"/>
      <c r="J27" s="33"/>
    </row>
    <row r="28" spans="1:17" ht="13.9" customHeight="1" x14ac:dyDescent="0.25">
      <c r="A28" s="1558"/>
      <c r="B28" s="1559"/>
      <c r="C28" s="1559"/>
      <c r="D28" s="1559"/>
      <c r="E28" s="1559"/>
      <c r="F28" s="1560"/>
      <c r="G28" s="29"/>
      <c r="H28" s="35"/>
      <c r="I28" s="33"/>
      <c r="J28" s="33"/>
    </row>
    <row r="29" spans="1:17" ht="13.9" customHeight="1" x14ac:dyDescent="0.25">
      <c r="A29" s="1558"/>
      <c r="B29" s="1559"/>
      <c r="C29" s="1559"/>
      <c r="D29" s="1559"/>
      <c r="E29" s="1559"/>
      <c r="F29" s="1560"/>
      <c r="G29" s="29"/>
      <c r="H29" s="37"/>
      <c r="I29" s="33"/>
      <c r="J29" s="33"/>
    </row>
    <row r="30" spans="1:17" ht="13.9" customHeight="1" x14ac:dyDescent="0.25">
      <c r="A30" s="1558"/>
      <c r="B30" s="1559"/>
      <c r="C30" s="1559"/>
      <c r="D30" s="1559"/>
      <c r="E30" s="1559"/>
      <c r="F30" s="1560"/>
      <c r="G30" s="29"/>
      <c r="H30" s="35"/>
      <c r="I30" s="33"/>
      <c r="J30" s="33"/>
    </row>
    <row r="31" spans="1:17" ht="13.9" customHeight="1" x14ac:dyDescent="0.25">
      <c r="A31" s="1558"/>
      <c r="B31" s="1559"/>
      <c r="C31" s="1559"/>
      <c r="D31" s="1559"/>
      <c r="E31" s="1559"/>
      <c r="F31" s="1560"/>
      <c r="G31" s="29"/>
      <c r="H31" s="35"/>
      <c r="I31" s="33"/>
      <c r="J31" s="33"/>
    </row>
    <row r="32" spans="1:17" ht="13.9" customHeight="1" x14ac:dyDescent="0.25">
      <c r="A32" s="20"/>
      <c r="B32" s="20"/>
      <c r="C32" s="20"/>
      <c r="D32" s="20"/>
      <c r="E32" s="20"/>
      <c r="G32" s="20"/>
      <c r="H32" s="20"/>
      <c r="I32" s="30" t="s">
        <v>257</v>
      </c>
      <c r="J32" s="34">
        <f>+SUM(J22:J31)</f>
        <v>14621</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5.9523809523809524E-5</v>
      </c>
      <c r="H36" s="33">
        <f>+IFERROR(VLOOKUP(A36,'EQUIPOS '!$B$3:$M$78,12,FALSE),0)</f>
        <v>611492.5</v>
      </c>
      <c r="I36" s="33">
        <f>IFERROR(H36*G36,0)</f>
        <v>36.398363095238096</v>
      </c>
      <c r="J36" s="33">
        <f>ROUND(I36,0)</f>
        <v>36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1400</v>
      </c>
      <c r="I43" s="33">
        <f>IFERROR(ROUND(G43/H43,0),0)</f>
        <v>102</v>
      </c>
      <c r="J43" s="33">
        <f>+I43</f>
        <v>102</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1400</v>
      </c>
      <c r="I44" s="33">
        <f>IFERROR(ROUND(G44/H44,0),0)</f>
        <v>179</v>
      </c>
      <c r="J44" s="33">
        <f>+I44</f>
        <v>179</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1400</v>
      </c>
      <c r="I45" s="33">
        <f>IFERROR(ROUND(G45/H45,0),0)</f>
        <v>140</v>
      </c>
      <c r="J45" s="33">
        <f>+I45</f>
        <v>140</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1400</v>
      </c>
      <c r="I46" s="33">
        <f>IFERROR(ROUND(G46/H46,0),0)</f>
        <v>153</v>
      </c>
      <c r="J46" s="33">
        <f>+I46</f>
        <v>153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574</v>
      </c>
    </row>
    <row r="50" spans="1:10" ht="13.9" customHeight="1" x14ac:dyDescent="0.25"/>
    <row r="51" spans="1:10" ht="13.9" customHeight="1" x14ac:dyDescent="0.25">
      <c r="E51" s="41" t="s">
        <v>276</v>
      </c>
      <c r="I51" s="42">
        <f>+J49+J39+J32+J18</f>
        <v>16054</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6">
    <mergeCell ref="M10:M11"/>
    <mergeCell ref="M14:M15"/>
    <mergeCell ref="P14:P15"/>
    <mergeCell ref="Q14:Q15"/>
    <mergeCell ref="P10:P11"/>
    <mergeCell ref="Q10:Q11"/>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hyperlinks>
    <hyperlink ref="M6" r:id="rId1" xr:uid="{00000000-0004-0000-7000-000000000000}"/>
  </hyperlinks>
  <pageMargins left="0.70866141732283472" right="0.70866141732283472" top="0.78740157480314965" bottom="0.78740157480314965" header="0.31496062992125984" footer="0.31496062992125984"/>
  <pageSetup scale="85" orientation="portrait" r:id="rId2"/>
  <drawing r:id="rId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Hoja56">
    <tabColor theme="5" tint="-0.499984740745262"/>
  </sheetPr>
  <dimension ref="A1:J55"/>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49</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Acrílica base agua marcas viales, con antideslizante, sin microesferde demarcación de bahías, espesor seco de 9 mils y 60% de sólidos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15</v>
      </c>
      <c r="I11" s="33">
        <f>IFERROR((G11/H11),"")</f>
        <v>509.11200000000002</v>
      </c>
      <c r="J11" s="33">
        <f>ROUND(I11,0)</f>
        <v>509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15</v>
      </c>
      <c r="I12" s="33">
        <f>IFERROR((G12/H12),0)</f>
        <v>533.32933333333335</v>
      </c>
      <c r="J12" s="33">
        <f>ROUND(I12,0)</f>
        <v>533</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15</v>
      </c>
      <c r="I13" s="33">
        <f>IFERROR((G13/H13),0)</f>
        <v>881.4666666666667</v>
      </c>
      <c r="J13" s="33">
        <f>ROUND(I13,0)</f>
        <v>881</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15</v>
      </c>
      <c r="I14" s="33">
        <f>IFERROR((G14/H14),0)</f>
        <v>113.91666666666667</v>
      </c>
      <c r="J14" s="33">
        <f>ROUND(I14,0)</f>
        <v>114</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0" s="20" customFormat="1" ht="13.9" customHeight="1" x14ac:dyDescent="0.25">
      <c r="A16" s="1558"/>
      <c r="B16" s="1559"/>
      <c r="C16" s="1559"/>
      <c r="D16" s="1560"/>
      <c r="E16" s="29"/>
      <c r="F16" s="30"/>
      <c r="G16" s="31"/>
      <c r="H16" s="30"/>
      <c r="I16" s="33"/>
      <c r="J16" s="33"/>
    </row>
    <row r="17" spans="1:10" s="20" customFormat="1" ht="13.9" customHeight="1" x14ac:dyDescent="0.25">
      <c r="A17" s="1558"/>
      <c r="B17" s="1559"/>
      <c r="C17" s="1559"/>
      <c r="D17" s="1560"/>
      <c r="E17" s="29"/>
      <c r="F17" s="30"/>
      <c r="G17" s="31"/>
      <c r="H17" s="30"/>
      <c r="I17" s="33"/>
      <c r="J17" s="33"/>
    </row>
    <row r="18" spans="1:10" s="20" customFormat="1" ht="13.9" customHeight="1" x14ac:dyDescent="0.25">
      <c r="I18" s="30" t="s">
        <v>257</v>
      </c>
      <c r="J18" s="34">
        <f>+SUM(J11:J17)</f>
        <v>2082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'!B69</f>
        <v>PINTURA ACRÍLICA BASE DE AGUA BLANCA Y AMARILLA</v>
      </c>
      <c r="B22" s="1569"/>
      <c r="C22" s="1569"/>
      <c r="D22" s="1569"/>
      <c r="E22" s="1569"/>
      <c r="F22" s="1570"/>
      <c r="G22" s="29" t="s">
        <v>114</v>
      </c>
      <c r="H22" s="37">
        <v>0.13</v>
      </c>
      <c r="I22" s="33">
        <f>+IFERROR(VLOOKUP(A22,'INSUMOS '!$B$2:$AP$167,'INSUMOS '!$AO$2+1,FALSE),0)</f>
        <v>88864.5</v>
      </c>
      <c r="J22" s="33">
        <f>ROUND(I22*H22,0)</f>
        <v>11552</v>
      </c>
    </row>
    <row r="23" spans="1:10" ht="13.9" customHeight="1" x14ac:dyDescent="0.25">
      <c r="A23" s="1568" t="str">
        <f>+'INSUMOS '!B9</f>
        <v>ANTIDESLIZANTE – SUPER GRIP</v>
      </c>
      <c r="B23" s="1569"/>
      <c r="C23" s="1569"/>
      <c r="D23" s="1569"/>
      <c r="E23" s="1569"/>
      <c r="F23" s="1570"/>
      <c r="G23" s="29" t="s">
        <v>6</v>
      </c>
      <c r="H23" s="35">
        <f>0.35</f>
        <v>0.35</v>
      </c>
      <c r="I23" s="33">
        <f>+IFERROR(VLOOKUP(A23,'INSUMOS '!$B$2:$AP$167,'INSUMOS '!$AO$2+1,FALSE),0)</f>
        <v>39270</v>
      </c>
      <c r="J23" s="33">
        <f t="shared" ref="J23" si="1">ROUND(I23*H23,0)</f>
        <v>13745</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35">
        <v>0.05</v>
      </c>
      <c r="I26" s="33">
        <f>+SUM(J22:J25)</f>
        <v>25297</v>
      </c>
      <c r="J26" s="33">
        <f>ROUND(I26*H26,0)</f>
        <v>1265</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26562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6.9444444444444447E-4</v>
      </c>
      <c r="H36" s="33">
        <f>+IFERROR(VLOOKUP(A36,'EQUIPOS '!$B$3:$M$78,12,FALSE),0)</f>
        <v>611492.5</v>
      </c>
      <c r="I36" s="33">
        <f>IFERROR(H36*G36,0)</f>
        <v>424.64756944444446</v>
      </c>
      <c r="J36" s="33">
        <f>ROUND(I36,0)</f>
        <v>425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425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120</v>
      </c>
      <c r="I43" s="33">
        <f>IFERROR(ROUND(G43/H43,0),0)</f>
        <v>1192</v>
      </c>
      <c r="J43" s="33">
        <f>+I43</f>
        <v>1192</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120</v>
      </c>
      <c r="I44" s="33">
        <f>IFERROR(ROUND(G44/H44,0),0)</f>
        <v>1390</v>
      </c>
      <c r="J44" s="33">
        <f>+I44</f>
        <v>1390</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v>60</v>
      </c>
      <c r="I45" s="33">
        <f>IFERROR(ROUND(G45/H45,0),0)</f>
        <v>3271</v>
      </c>
      <c r="J45" s="33">
        <f>+I45</f>
        <v>3271</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v>60</v>
      </c>
      <c r="I46" s="33">
        <f>IFERROR(ROUND(G46/H46,0),0)</f>
        <v>3562</v>
      </c>
      <c r="J46" s="33">
        <f>+I46</f>
        <v>3562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9415</v>
      </c>
    </row>
    <row r="50" spans="1:10" ht="13.9" customHeight="1" x14ac:dyDescent="0.25"/>
    <row r="51" spans="1:10" ht="13.9" customHeight="1" x14ac:dyDescent="0.25">
      <c r="E51" s="41" t="s">
        <v>276</v>
      </c>
      <c r="I51" s="42">
        <f>+J49+J39+J32+J18</f>
        <v>38484</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codeName="Hoja55">
    <tabColor theme="5" tint="-0.499984740745262"/>
  </sheetPr>
  <dimension ref="A1:J55"/>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48</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Acrílica base agua 10 cm para líneas de demarcación en ciclorruta, sin microesfera, con antideslizante, espesor seco de 9 mils y 60% de sólidos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31">
        <f>+VLOOKUP(A11,'EQUIPOS '!$B$3:$M$64,12,FALSE)</f>
        <v>7636.68</v>
      </c>
      <c r="H11" s="30">
        <v>175</v>
      </c>
      <c r="I11" s="33">
        <f>IFERROR((G11/H11),"")</f>
        <v>43.638171428571432</v>
      </c>
      <c r="J11" s="33">
        <f>ROUND(I11,0)</f>
        <v>44</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175</v>
      </c>
      <c r="I12" s="33">
        <f>IFERROR((G12/H12),0)</f>
        <v>45.713942857142854</v>
      </c>
      <c r="J12" s="33">
        <f>ROUND(I12,0)</f>
        <v>46</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175</v>
      </c>
      <c r="I13" s="33">
        <f>IFERROR((G13/H13),0)</f>
        <v>75.554285714285712</v>
      </c>
      <c r="J13" s="33">
        <f>ROUND(I13,0)</f>
        <v>76</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175</v>
      </c>
      <c r="I14" s="33">
        <f>IFERROR((G14/H14),0)</f>
        <v>9.7642857142857142</v>
      </c>
      <c r="J14" s="33">
        <f>ROUND(I14,0)</f>
        <v>10</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ref="J15" si="0">ROUND(I15,0)</f>
        <v>79</v>
      </c>
    </row>
    <row r="16" spans="1:10" s="20" customFormat="1" ht="13.9" customHeight="1" x14ac:dyDescent="0.25">
      <c r="A16" s="1558"/>
      <c r="B16" s="1559"/>
      <c r="C16" s="1559"/>
      <c r="D16" s="1560"/>
      <c r="E16" s="29"/>
      <c r="F16" s="30"/>
      <c r="G16" s="31"/>
      <c r="H16" s="30"/>
      <c r="I16" s="33"/>
      <c r="J16" s="33"/>
    </row>
    <row r="17" spans="1:10" s="20" customFormat="1" ht="13.9" customHeight="1" x14ac:dyDescent="0.25">
      <c r="A17" s="1558"/>
      <c r="B17" s="1559"/>
      <c r="C17" s="1559"/>
      <c r="D17" s="1560"/>
      <c r="E17" s="29"/>
      <c r="F17" s="30"/>
      <c r="G17" s="31"/>
      <c r="H17" s="30"/>
      <c r="I17" s="33"/>
      <c r="J17" s="33"/>
    </row>
    <row r="18" spans="1:10" s="20" customFormat="1" ht="13.9" customHeight="1" x14ac:dyDescent="0.25">
      <c r="I18" s="30" t="s">
        <v>257</v>
      </c>
      <c r="J18" s="34">
        <f>+SUM(J11:J17)</f>
        <v>255</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'!B69</f>
        <v>PINTURA ACRÍLICA BASE DE AGUA BLANCA Y AMARILLA</v>
      </c>
      <c r="B22" s="1569"/>
      <c r="C22" s="1569"/>
      <c r="D22" s="1569"/>
      <c r="E22" s="1569"/>
      <c r="F22" s="1570"/>
      <c r="G22" s="29" t="s">
        <v>114</v>
      </c>
      <c r="H22" s="37">
        <f>0.13*0.1</f>
        <v>1.3000000000000001E-2</v>
      </c>
      <c r="I22" s="33">
        <f>+IFERROR(VLOOKUP(A22,'INSUMOS '!$B$2:$AP$167,'INSUMOS '!$AO$2+1,FALSE),0)</f>
        <v>88864.5</v>
      </c>
      <c r="J22" s="33">
        <f>ROUND(I22*H22,0)</f>
        <v>1155</v>
      </c>
    </row>
    <row r="23" spans="1:10" ht="13.9" customHeight="1" x14ac:dyDescent="0.25">
      <c r="A23" s="1568" t="str">
        <f>+'INSUMOS '!B9</f>
        <v>ANTIDESLIZANTE – SUPER GRIP</v>
      </c>
      <c r="B23" s="1569"/>
      <c r="C23" s="1569"/>
      <c r="D23" s="1569"/>
      <c r="E23" s="1569"/>
      <c r="F23" s="1570"/>
      <c r="G23" s="29" t="s">
        <v>6</v>
      </c>
      <c r="H23" s="35">
        <f>0.02</f>
        <v>0.02</v>
      </c>
      <c r="I23" s="33">
        <f>+IFERROR(VLOOKUP(A23,'INSUMOS '!$B$2:$AP$167,'INSUMOS '!$AO$2+1,FALSE),0)</f>
        <v>39270</v>
      </c>
      <c r="J23" s="33">
        <f t="shared" ref="J23" si="1">ROUND(I23*H23,0)</f>
        <v>785</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3">
        <f>+SUM(J22:J25)</f>
        <v>1940</v>
      </c>
      <c r="J26" s="33">
        <f>ROUND(I26*H26,0)</f>
        <v>97</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2037</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5.9523809523809524E-5</v>
      </c>
      <c r="H36" s="33">
        <f>+IFERROR(VLOOKUP(A36,'EQUIPOS '!$B$3:$M$78,12,FALSE),0)</f>
        <v>611492.5</v>
      </c>
      <c r="I36" s="33">
        <f>IFERROR(H36*G36,0)</f>
        <v>36.398363095238096</v>
      </c>
      <c r="J36" s="33">
        <f>ROUND(I36,0)</f>
        <v>36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1400</v>
      </c>
      <c r="I43" s="33">
        <f>IFERROR(ROUND(G43/H43,0),0)</f>
        <v>102</v>
      </c>
      <c r="J43" s="33">
        <f>+I43</f>
        <v>102</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1400</v>
      </c>
      <c r="I44" s="33">
        <f>IFERROR(ROUND(G44/H44,0),0)</f>
        <v>119</v>
      </c>
      <c r="J44" s="33">
        <f>+I44</f>
        <v>119</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1400</v>
      </c>
      <c r="I45" s="33">
        <f>IFERROR(ROUND(G45/H45,0),0)</f>
        <v>140</v>
      </c>
      <c r="J45" s="33">
        <f>+I45</f>
        <v>140</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1400</v>
      </c>
      <c r="I46" s="33">
        <f>IFERROR(ROUND(G46/H46,0),0)</f>
        <v>153</v>
      </c>
      <c r="J46" s="33">
        <f>+I46</f>
        <v>153</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514</v>
      </c>
    </row>
    <row r="50" spans="1:10" ht="13.9" customHeight="1" x14ac:dyDescent="0.25"/>
    <row r="51" spans="1:10" ht="13.9" customHeight="1" x14ac:dyDescent="0.25">
      <c r="E51" s="41" t="s">
        <v>276</v>
      </c>
      <c r="I51" s="42">
        <f>+J49+J39+J32+J18</f>
        <v>2842</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Hoja54">
    <tabColor theme="5" tint="-0.499984740745262"/>
  </sheetPr>
  <dimension ref="A1:J55"/>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47</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Acrílica base agua pigmentada, con antideslizante, (Multicolor según 3.7.3. Color de las demarcaciones planas para urbanismos tácticos u otras intervenciones tácticas urbanas) para marcas viales sin microesfera, espesor seco de 9 mils y 60% de solidos por volumen,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31">
        <f>+VLOOKUP(A11,'EQUIPOS '!$B$3:$M$64,12,FALSE)</f>
        <v>7636.68</v>
      </c>
      <c r="H11" s="30">
        <v>17</v>
      </c>
      <c r="I11" s="33">
        <f>IFERROR((G11/H11),"")</f>
        <v>449.21647058823532</v>
      </c>
      <c r="J11" s="33">
        <f>ROUND(I11,0)</f>
        <v>449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31">
        <f>+VLOOKUP(A12,'EQUIPOS '!$B$3:$M$64,12,FALSE)</f>
        <v>7999.94</v>
      </c>
      <c r="H12" s="30">
        <f>+$H$11</f>
        <v>17</v>
      </c>
      <c r="I12" s="33">
        <f>IFERROR((G12/H12),0)</f>
        <v>470.58470588235292</v>
      </c>
      <c r="J12" s="33">
        <f>ROUND(I12,0)</f>
        <v>471</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31">
        <f>+VLOOKUP(A13,'EQUIPOS '!$B$3:$M$64,12,FALSE)</f>
        <v>13222</v>
      </c>
      <c r="H13" s="30">
        <f>+$H$11</f>
        <v>17</v>
      </c>
      <c r="I13" s="33">
        <f>IFERROR((G13/H13),0)</f>
        <v>777.76470588235293</v>
      </c>
      <c r="J13" s="33">
        <f>ROUND(I13,0)</f>
        <v>778</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31">
        <f>+VLOOKUP(A14,'EQUIPOS '!$B$3:$M$64,12,FALSE)</f>
        <v>1708.75</v>
      </c>
      <c r="H14" s="30">
        <f>+$H$11</f>
        <v>17</v>
      </c>
      <c r="I14" s="33">
        <f>IFERROR((G14/H14),0)</f>
        <v>100.51470588235294</v>
      </c>
      <c r="J14" s="33">
        <f>ROUND(I14,0)</f>
        <v>101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0" s="20" customFormat="1" ht="13.9" customHeight="1" x14ac:dyDescent="0.25">
      <c r="A16" s="1558"/>
      <c r="B16" s="1559"/>
      <c r="C16" s="1559"/>
      <c r="D16" s="1560"/>
      <c r="E16" s="29"/>
      <c r="F16" s="30"/>
      <c r="G16" s="31"/>
      <c r="H16" s="30"/>
      <c r="I16" s="33"/>
      <c r="J16" s="33"/>
    </row>
    <row r="17" spans="1:10" s="20" customFormat="1" ht="13.9" customHeight="1" x14ac:dyDescent="0.25">
      <c r="A17" s="1558"/>
      <c r="B17" s="1559"/>
      <c r="C17" s="1559"/>
      <c r="D17" s="1560"/>
      <c r="E17" s="29"/>
      <c r="F17" s="30"/>
      <c r="G17" s="31"/>
      <c r="H17" s="30"/>
      <c r="I17" s="33"/>
      <c r="J17" s="33"/>
    </row>
    <row r="18" spans="1:10" s="20" customFormat="1" ht="13.9" customHeight="1" x14ac:dyDescent="0.25">
      <c r="I18" s="30" t="s">
        <v>257</v>
      </c>
      <c r="J18" s="34">
        <f>+SUM(J11:J17)</f>
        <v>1844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23.25" customHeight="1" x14ac:dyDescent="0.25">
      <c r="A22" s="1568" t="str">
        <f>+'INSUMOS '!B68</f>
        <v>PINTURA ACRÍLICA BASE AGUA PIGMENTADA (VERDE, NARANJA, ROJO O AZUL)</v>
      </c>
      <c r="B22" s="1569"/>
      <c r="C22" s="1569"/>
      <c r="D22" s="1569"/>
      <c r="E22" s="1569"/>
      <c r="F22" s="1570"/>
      <c r="G22" s="29" t="s">
        <v>114</v>
      </c>
      <c r="H22" s="37">
        <v>0.13</v>
      </c>
      <c r="I22" s="33">
        <f>+IFERROR(VLOOKUP(A22,'INSUMOS '!$B$2:$AP$167,'INSUMOS '!$AO$2+1,FALSE),0)</f>
        <v>95000</v>
      </c>
      <c r="J22" s="33">
        <f>ROUND(I22*H22,0)</f>
        <v>12350</v>
      </c>
    </row>
    <row r="23" spans="1:10" ht="13.9" customHeight="1" x14ac:dyDescent="0.25">
      <c r="A23" s="1568" t="str">
        <f>+'INSUMOS '!B9</f>
        <v>ANTIDESLIZANTE – SUPER GRIP</v>
      </c>
      <c r="B23" s="1569"/>
      <c r="C23" s="1569"/>
      <c r="D23" s="1569"/>
      <c r="E23" s="1569"/>
      <c r="F23" s="1570"/>
      <c r="G23" s="29" t="s">
        <v>6</v>
      </c>
      <c r="H23" s="35">
        <f>0.35</f>
        <v>0.35</v>
      </c>
      <c r="I23" s="33">
        <f>+IFERROR(VLOOKUP(A23,'INSUMOS '!$B$2:$AP$167,'INSUMOS '!$AO$2+1,FALSE),0)</f>
        <v>39270</v>
      </c>
      <c r="J23" s="33">
        <f t="shared" ref="J23" si="1">ROUND(I23*H23,0)</f>
        <v>13745</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1">
        <f>+SUM(J22:J25)</f>
        <v>26095</v>
      </c>
      <c r="J26" s="33">
        <f>ROUND(I26*H26,0)</f>
        <v>1305</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27400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6.1274509803921568E-4</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136</v>
      </c>
      <c r="I43" s="33">
        <f>IFERROR(ROUND(G43/H43,0),0)</f>
        <v>1052</v>
      </c>
      <c r="J43" s="33">
        <f>+I43</f>
        <v>1052</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136</v>
      </c>
      <c r="I44" s="33">
        <f>IFERROR(ROUND(G44/H44,0),0)</f>
        <v>1226</v>
      </c>
      <c r="J44" s="33">
        <f>+I44</f>
        <v>1226</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136</v>
      </c>
      <c r="I45" s="33">
        <f>IFERROR(ROUND(G45/H45,0),0)</f>
        <v>1443</v>
      </c>
      <c r="J45" s="33">
        <f>+I45</f>
        <v>1443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136</v>
      </c>
      <c r="I46" s="33">
        <f>IFERROR(ROUND(G46/H46,0),0)</f>
        <v>1572</v>
      </c>
      <c r="J46" s="33">
        <f>+I46</f>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34912</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codeName="Hoja53">
    <tabColor theme="5" tint="-0.499984740745262"/>
  </sheetPr>
  <dimension ref="A1:J55"/>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46</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 xml:space="preserve">Suministro y Aplicación de pintura Acrílica base agua para marcas viales sin microesfera, con antideslizante espesor seco de 9 mils y 60% de solidos por volumen, incluye pictogramas.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17</v>
      </c>
      <c r="I11" s="33">
        <f>IFERROR((G11/H11),"")</f>
        <v>449.21647058823532</v>
      </c>
      <c r="J11" s="33">
        <f>ROUND(I11,0)</f>
        <v>449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17</v>
      </c>
      <c r="I12" s="33">
        <f>IFERROR((G12/H12),0)</f>
        <v>470.58470588235292</v>
      </c>
      <c r="J12" s="33">
        <f>ROUND(I12,0)</f>
        <v>471</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17</v>
      </c>
      <c r="I13" s="33">
        <f>IFERROR((G13/H13),0)</f>
        <v>777.76470588235293</v>
      </c>
      <c r="J13" s="33">
        <f>ROUND(I13,0)</f>
        <v>778</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17</v>
      </c>
      <c r="I14" s="33">
        <f>IFERROR((G14/H14),0)</f>
        <v>100.51470588235294</v>
      </c>
      <c r="J14" s="33">
        <f>ROUND(I14,0)</f>
        <v>101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ref="J15" si="0">ROUND(I15,0)</f>
        <v>45</v>
      </c>
    </row>
    <row r="16" spans="1:10" s="20" customFormat="1" ht="13.9" customHeight="1" x14ac:dyDescent="0.25">
      <c r="A16" s="1558"/>
      <c r="B16" s="1559"/>
      <c r="C16" s="1559"/>
      <c r="D16" s="1560"/>
      <c r="E16" s="29"/>
      <c r="F16" s="30" t="str">
        <f>IFERROR(VLOOKUP(A16,'[10]EQUIPOS TRANSPOR SALARIO'!$A$3:$G$42,2,FALSE),"")</f>
        <v/>
      </c>
      <c r="G16" s="31"/>
      <c r="H16" s="30"/>
      <c r="I16" s="33"/>
      <c r="J16" s="33"/>
    </row>
    <row r="17" spans="1:10" s="20" customFormat="1" ht="13.9" customHeight="1" x14ac:dyDescent="0.25">
      <c r="A17" s="1558"/>
      <c r="B17" s="1559"/>
      <c r="C17" s="1559"/>
      <c r="D17" s="1560"/>
      <c r="E17" s="29"/>
      <c r="F17" s="30" t="str">
        <f>IFERROR(VLOOKUP(A17,'[10]EQUIPOS TRANSPOR SALARIO'!$A$3:$G$42,2,FALSE),"")</f>
        <v/>
      </c>
      <c r="G17" s="31"/>
      <c r="H17" s="30"/>
      <c r="I17" s="33"/>
      <c r="J17" s="33"/>
    </row>
    <row r="18" spans="1:10" s="20" customFormat="1" ht="13.9" customHeight="1" x14ac:dyDescent="0.25">
      <c r="I18" s="30" t="s">
        <v>257</v>
      </c>
      <c r="J18" s="34">
        <f>+SUM(J11:J17)</f>
        <v>1844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'!B69</f>
        <v>PINTURA ACRÍLICA BASE DE AGUA BLANCA Y AMARILLA</v>
      </c>
      <c r="B22" s="1569"/>
      <c r="C22" s="1569"/>
      <c r="D22" s="1569"/>
      <c r="E22" s="1569"/>
      <c r="F22" s="1570"/>
      <c r="G22" s="29" t="s">
        <v>114</v>
      </c>
      <c r="H22" s="37">
        <v>0.13</v>
      </c>
      <c r="I22" s="33">
        <f>+IFERROR(VLOOKUP(A22,'INSUMOS '!$B$2:$AP$167,'INSUMOS '!$AO$2+1,FALSE),0)</f>
        <v>88864.5</v>
      </c>
      <c r="J22" s="33">
        <f>ROUND(I22*H22,0)</f>
        <v>11552</v>
      </c>
    </row>
    <row r="23" spans="1:10" ht="13.9" customHeight="1" x14ac:dyDescent="0.25">
      <c r="A23" s="1568" t="str">
        <f>+'INSUMOS '!B9</f>
        <v>ANTIDESLIZANTE – SUPER GRIP</v>
      </c>
      <c r="B23" s="1569"/>
      <c r="C23" s="1569"/>
      <c r="D23" s="1569"/>
      <c r="E23" s="1569"/>
      <c r="F23" s="1570"/>
      <c r="G23" s="29" t="s">
        <v>6</v>
      </c>
      <c r="H23" s="35">
        <f>0.35</f>
        <v>0.35</v>
      </c>
      <c r="I23" s="33">
        <f>+IFERROR(VLOOKUP(A23,'INSUMOS '!$B$2:$AP$167,'INSUMOS '!$AO$2+1,FALSE),0)</f>
        <v>39270</v>
      </c>
      <c r="J23" s="33">
        <f t="shared" ref="J23" si="1">ROUND(I23*H23,0)</f>
        <v>13745</v>
      </c>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1">
        <f>+SUM(J22:J25)</f>
        <v>25297</v>
      </c>
      <c r="J26" s="33">
        <f t="shared" ref="J26" si="2">ROUND(I26*H26,0)</f>
        <v>1265</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26562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3">
        <f>(1/(H11*8))/12</f>
        <v>6.1274509803921568E-4</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136</v>
      </c>
      <c r="I43" s="33">
        <f>IFERROR(ROUND(G43/H43,0),0)</f>
        <v>1052</v>
      </c>
      <c r="J43" s="33">
        <f>+I43</f>
        <v>1052</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136</v>
      </c>
      <c r="I44" s="33">
        <f>IFERROR(ROUND(G44/H44,0),0)</f>
        <v>1226</v>
      </c>
      <c r="J44" s="33">
        <f>+I44</f>
        <v>1226</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136</v>
      </c>
      <c r="I45" s="33">
        <f>IFERROR(ROUND(G45/H45,0),0)</f>
        <v>1443</v>
      </c>
      <c r="J45" s="33">
        <f>+I45</f>
        <v>1443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136</v>
      </c>
      <c r="I46" s="33">
        <f>IFERROR(ROUND(G46/H46,0),0)</f>
        <v>1572</v>
      </c>
      <c r="J46" s="33">
        <f>+I46</f>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34074</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codeName="Hoja52">
    <tabColor theme="5" tint="-0.499984740745262"/>
  </sheetPr>
  <dimension ref="A1:J55"/>
  <sheetViews>
    <sheetView topLeftCell="A26"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45</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 xml:space="preserve">Suministro y Aplicación de pintura Acrílica base agua para marcas viales con microesfera, antideslizante, espesor seco de 9 mils y 60% de solidos por volumen, incluye pictogramas.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14</v>
      </c>
      <c r="I11" s="33">
        <f>IFERROR((G11/H11),"")</f>
        <v>545.47714285714289</v>
      </c>
      <c r="J11" s="33">
        <f>ROUND(I11,0)</f>
        <v>545</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14</v>
      </c>
      <c r="I12" s="33">
        <f>IFERROR((G12/H12),0)</f>
        <v>571.4242857142857</v>
      </c>
      <c r="J12" s="33">
        <f t="shared" ref="J12:J15" si="0">ROUND(I12,0)</f>
        <v>571</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14</v>
      </c>
      <c r="I13" s="33">
        <f>IFERROR((G13/H13),0)</f>
        <v>944.42857142857144</v>
      </c>
      <c r="J13" s="33">
        <f t="shared" si="0"/>
        <v>944</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14</v>
      </c>
      <c r="I14" s="33">
        <f>IFERROR((G14/H14),0)</f>
        <v>122.05357142857143</v>
      </c>
      <c r="J14" s="33">
        <f t="shared" si="0"/>
        <v>122</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0"/>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2261</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'!B69</f>
        <v>PINTURA ACRÍLICA BASE DE AGUA BLANCA Y AMARILLA</v>
      </c>
      <c r="B22" s="1569"/>
      <c r="C22" s="1569"/>
      <c r="D22" s="1569"/>
      <c r="E22" s="1569"/>
      <c r="F22" s="1570"/>
      <c r="G22" s="29" t="s">
        <v>114</v>
      </c>
      <c r="H22" s="37">
        <v>0.09</v>
      </c>
      <c r="I22" s="33">
        <f>+IFERROR(VLOOKUP(A22,'INSUMOS '!$B$2:$AP$167,'INSUMOS '!$AO$2+1,FALSE),0)</f>
        <v>88864.5</v>
      </c>
      <c r="J22" s="33">
        <f>ROUND(I22*H22,0)</f>
        <v>7998</v>
      </c>
    </row>
    <row r="23" spans="1:10" ht="13.9" customHeight="1" x14ac:dyDescent="0.25">
      <c r="A23" s="1558" t="str">
        <f>+'INSUMOS '!B59</f>
        <v>MICROESFERA DE VIDRIO  (ESFERICIDAD MAYOR A 80%)</v>
      </c>
      <c r="B23" s="1559"/>
      <c r="C23" s="1559"/>
      <c r="D23" s="1559"/>
      <c r="E23" s="1559"/>
      <c r="F23" s="1560"/>
      <c r="G23" s="29" t="s">
        <v>6</v>
      </c>
      <c r="H23" s="47">
        <f>370*1*1/1000</f>
        <v>0.37</v>
      </c>
      <c r="I23" s="33">
        <f>+IFERROR(VLOOKUP(A23,'INSUMOS '!$B$2:$AP$167,'INSUMOS '!$AO$2+1,FALSE),0)</f>
        <v>7449</v>
      </c>
      <c r="J23" s="33">
        <f t="shared" ref="J23:J26" si="1">ROUND(I23*H23,0)</f>
        <v>2756</v>
      </c>
    </row>
    <row r="24" spans="1:10" ht="13.9" customHeight="1" x14ac:dyDescent="0.25">
      <c r="A24" s="1568" t="str">
        <f>+'INSUMOS '!B9</f>
        <v>ANTIDESLIZANTE – SUPER GRIP</v>
      </c>
      <c r="B24" s="1569"/>
      <c r="C24" s="1569"/>
      <c r="D24" s="1569"/>
      <c r="E24" s="1569"/>
      <c r="F24" s="1570"/>
      <c r="G24" s="29" t="s">
        <v>6</v>
      </c>
      <c r="H24" s="35">
        <f>0.2</f>
        <v>0.2</v>
      </c>
      <c r="I24" s="33">
        <f>+IFERROR(VLOOKUP(A24,'INSUMOS '!$B$2:$AP$167,'INSUMOS '!$AO$2+1,FALSE),0)</f>
        <v>39270</v>
      </c>
      <c r="J24" s="33">
        <f t="shared" si="1"/>
        <v>7854</v>
      </c>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1">
        <f>+SUM(J22:J25)</f>
        <v>18608</v>
      </c>
      <c r="J26" s="33">
        <f t="shared" si="1"/>
        <v>930</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19538</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4">
        <f>(1/(H11*8))/12</f>
        <v>7.4404761904761901E-4</v>
      </c>
      <c r="H36" s="33">
        <f>+IFERROR(VLOOKUP(A36,'EQUIPOS '!$B$3:$M$78,12,FALSE),0)</f>
        <v>611492.5</v>
      </c>
      <c r="I36" s="33">
        <f>IFERROR(H36*G36,0)</f>
        <v>454.97953869047615</v>
      </c>
      <c r="J36" s="33">
        <f>ROUND(I36,0)</f>
        <v>455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455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112</v>
      </c>
      <c r="I43" s="33">
        <f>IFERROR(ROUND(G43/H43,0),0)</f>
        <v>1277</v>
      </c>
      <c r="J43" s="33">
        <f>+I43</f>
        <v>1277</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112</v>
      </c>
      <c r="I44" s="33">
        <f>IFERROR(ROUND(G44/H44,0),0)</f>
        <v>1489</v>
      </c>
      <c r="J44" s="33">
        <f>+I44</f>
        <v>1489</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112</v>
      </c>
      <c r="I45" s="33">
        <f>IFERROR(ROUND(G45/H45,0),0)</f>
        <v>1752</v>
      </c>
      <c r="J45" s="33">
        <f>+I45</f>
        <v>1752</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112</v>
      </c>
      <c r="I46" s="33">
        <f>IFERROR(ROUND(G46/H46,0),0)</f>
        <v>1908</v>
      </c>
      <c r="J46" s="33">
        <f>+I46</f>
        <v>1908</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6426</v>
      </c>
    </row>
    <row r="50" spans="1:10" ht="13.9" customHeight="1" x14ac:dyDescent="0.25"/>
    <row r="51" spans="1:10" ht="13.9" customHeight="1" x14ac:dyDescent="0.25">
      <c r="E51" s="41" t="s">
        <v>276</v>
      </c>
      <c r="I51" s="42">
        <f>+J49+J39+J32+J18</f>
        <v>28680</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Hoja51">
    <tabColor theme="5" tint="-0.499984740745262"/>
  </sheetPr>
  <dimension ref="A1:M55"/>
  <sheetViews>
    <sheetView topLeftCell="A31"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44</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Acrílica base agua 20 cm para líneas de demarcación, con microesfera, con antideslizante, espesor seco de 9 mils y 60% de sólidos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2500</v>
      </c>
      <c r="I11" s="33">
        <f>IFERROR((G11/H11),"")</f>
        <v>28.104500000000002</v>
      </c>
      <c r="J11" s="33">
        <f>ROUND(I11,0)</f>
        <v>28</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2500</v>
      </c>
      <c r="I12" s="33">
        <f>IFERROR((G12/H12),0)</f>
        <v>3.1999759999999999</v>
      </c>
      <c r="J12" s="33">
        <f t="shared" ref="J12:J15" si="0">ROUND(I12,0)</f>
        <v>3</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2500</v>
      </c>
      <c r="I13" s="33">
        <f>IFERROR((G13/H13),0)</f>
        <v>5.2888000000000002</v>
      </c>
      <c r="J13" s="33">
        <f t="shared" si="0"/>
        <v>5</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2500</v>
      </c>
      <c r="I14" s="33">
        <f>IFERROR((G14/H14),0)</f>
        <v>0.6835</v>
      </c>
      <c r="J14" s="33">
        <f t="shared" si="0"/>
        <v>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0"/>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3"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3" s="20" customFormat="1" ht="13.9" customHeight="1" x14ac:dyDescent="0.25">
      <c r="I18" s="30" t="s">
        <v>257</v>
      </c>
      <c r="J18" s="34">
        <f>+SUM(J11:J17)</f>
        <v>116</v>
      </c>
    </row>
    <row r="19" spans="1:13" s="20" customFormat="1" ht="13.9" customHeight="1" x14ac:dyDescent="0.25"/>
    <row r="20" spans="1:13" s="20" customFormat="1" ht="13.9" customHeight="1" x14ac:dyDescent="0.25">
      <c r="A20" s="1561" t="s">
        <v>263</v>
      </c>
      <c r="B20" s="1561"/>
      <c r="C20" s="1561"/>
      <c r="D20" s="1561"/>
      <c r="E20" s="1561"/>
      <c r="F20" s="1561"/>
      <c r="G20" s="1561"/>
      <c r="H20" s="1561"/>
      <c r="I20" s="27"/>
    </row>
    <row r="21" spans="1:13" ht="13.9" customHeight="1" x14ac:dyDescent="0.25">
      <c r="A21" s="1565" t="s">
        <v>251</v>
      </c>
      <c r="B21" s="1566"/>
      <c r="C21" s="1566"/>
      <c r="D21" s="1566"/>
      <c r="E21" s="1566"/>
      <c r="F21" s="1567"/>
      <c r="G21" s="28" t="s">
        <v>252</v>
      </c>
      <c r="H21" s="28" t="s">
        <v>264</v>
      </c>
      <c r="I21" s="28" t="s">
        <v>256</v>
      </c>
      <c r="J21" s="28" t="s">
        <v>257</v>
      </c>
    </row>
    <row r="22" spans="1:13" ht="14.25" customHeight="1" x14ac:dyDescent="0.25">
      <c r="A22" s="1568" t="str">
        <f>+'INSUMOS '!B69</f>
        <v>PINTURA ACRÍLICA BASE DE AGUA BLANCA Y AMARILLA</v>
      </c>
      <c r="B22" s="1569"/>
      <c r="C22" s="1569"/>
      <c r="D22" s="1569"/>
      <c r="E22" s="1569"/>
      <c r="F22" s="1570"/>
      <c r="G22" s="29" t="s">
        <v>114</v>
      </c>
      <c r="H22" s="37">
        <f>0.13*0.2</f>
        <v>2.6000000000000002E-2</v>
      </c>
      <c r="I22" s="33">
        <f>+IFERROR(VLOOKUP(A22,'INSUMOS '!$B$2:$AP$167,'INSUMOS '!$AO$2+1,FALSE),0)</f>
        <v>88864.5</v>
      </c>
      <c r="J22" s="33">
        <f>ROUND(I22*H22,0)</f>
        <v>2310</v>
      </c>
      <c r="M22" s="19" t="s">
        <v>3098</v>
      </c>
    </row>
    <row r="23" spans="1:13" ht="13.9" customHeight="1" x14ac:dyDescent="0.25">
      <c r="A23" s="1558" t="str">
        <f>+'INSUMOS '!B59</f>
        <v>MICROESFERA DE VIDRIO  (ESFERICIDAD MAYOR A 80%)</v>
      </c>
      <c r="B23" s="1559"/>
      <c r="C23" s="1559"/>
      <c r="D23" s="1559"/>
      <c r="E23" s="1559"/>
      <c r="F23" s="1560"/>
      <c r="G23" s="29" t="s">
        <v>6</v>
      </c>
      <c r="H23" s="47">
        <f>370*0.2*1/1000</f>
        <v>7.3999999999999996E-2</v>
      </c>
      <c r="I23" s="33">
        <f>+IFERROR(VLOOKUP(A23,'INSUMOS '!$B$2:$AP$167,'INSUMOS '!$AO$2+1,FALSE),0)</f>
        <v>7449</v>
      </c>
      <c r="J23" s="33">
        <f t="shared" ref="J23:J26" si="1">ROUND(I23*H23,0)</f>
        <v>551</v>
      </c>
      <c r="M23" s="19">
        <f>0.02*6.7</f>
        <v>0.13400000000000001</v>
      </c>
    </row>
    <row r="24" spans="1:13" ht="13.9" customHeight="1" x14ac:dyDescent="0.25">
      <c r="A24" s="1568" t="str">
        <f>+'INSUMOS '!B9</f>
        <v>ANTIDESLIZANTE – SUPER GRIP</v>
      </c>
      <c r="B24" s="1569"/>
      <c r="C24" s="1569"/>
      <c r="D24" s="1569"/>
      <c r="E24" s="1569"/>
      <c r="F24" s="1570"/>
      <c r="G24" s="29" t="s">
        <v>6</v>
      </c>
      <c r="H24" s="35">
        <f>0.04</f>
        <v>0.04</v>
      </c>
      <c r="I24" s="33">
        <f>+IFERROR(VLOOKUP(A24,'INSUMOS '!$B$2:$AP$167,'INSUMOS '!$AO$2+1,FALSE),0)</f>
        <v>39270</v>
      </c>
      <c r="J24" s="33">
        <f t="shared" si="1"/>
        <v>1571</v>
      </c>
    </row>
    <row r="25" spans="1:13" ht="13.9" customHeight="1" x14ac:dyDescent="0.25">
      <c r="A25" s="1558"/>
      <c r="B25" s="1559"/>
      <c r="C25" s="1559"/>
      <c r="D25" s="1559"/>
      <c r="E25" s="1559"/>
      <c r="F25" s="1560"/>
      <c r="G25" s="29"/>
      <c r="H25" s="35"/>
      <c r="I25" s="33"/>
      <c r="J25" s="33"/>
    </row>
    <row r="26" spans="1:13" ht="13.9" customHeight="1" x14ac:dyDescent="0.25">
      <c r="A26" s="1558" t="s">
        <v>333</v>
      </c>
      <c r="B26" s="1559"/>
      <c r="C26" s="1559"/>
      <c r="D26" s="1559"/>
      <c r="E26" s="1559"/>
      <c r="F26" s="1560"/>
      <c r="G26" s="29"/>
      <c r="H26" s="74">
        <v>0.05</v>
      </c>
      <c r="I26" s="31">
        <f>+SUM(J22:J25)</f>
        <v>4432</v>
      </c>
      <c r="J26" s="33">
        <f t="shared" si="1"/>
        <v>222</v>
      </c>
    </row>
    <row r="27" spans="1:13" ht="13.9" customHeight="1" x14ac:dyDescent="0.25">
      <c r="A27" s="1558"/>
      <c r="B27" s="1559"/>
      <c r="C27" s="1559"/>
      <c r="D27" s="1559"/>
      <c r="E27" s="1559"/>
      <c r="F27" s="1560"/>
      <c r="G27" s="29"/>
      <c r="H27" s="35"/>
      <c r="I27" s="33"/>
      <c r="J27" s="33"/>
    </row>
    <row r="28" spans="1:13" ht="13.9" customHeight="1" x14ac:dyDescent="0.25">
      <c r="A28" s="1558"/>
      <c r="B28" s="1559"/>
      <c r="C28" s="1559"/>
      <c r="D28" s="1559"/>
      <c r="E28" s="1559"/>
      <c r="F28" s="1560"/>
      <c r="G28" s="29"/>
      <c r="H28" s="35"/>
      <c r="I28" s="33"/>
      <c r="J28" s="33"/>
    </row>
    <row r="29" spans="1:13" ht="13.9" customHeight="1" x14ac:dyDescent="0.25">
      <c r="A29" s="1558"/>
      <c r="B29" s="1559"/>
      <c r="C29" s="1559"/>
      <c r="D29" s="1559"/>
      <c r="E29" s="1559"/>
      <c r="F29" s="1560"/>
      <c r="G29" s="29"/>
      <c r="H29" s="37"/>
      <c r="I29" s="33"/>
      <c r="J29" s="33"/>
    </row>
    <row r="30" spans="1:13" ht="13.9" customHeight="1" x14ac:dyDescent="0.25">
      <c r="A30" s="1558"/>
      <c r="B30" s="1559"/>
      <c r="C30" s="1559"/>
      <c r="D30" s="1559"/>
      <c r="E30" s="1559"/>
      <c r="F30" s="1560"/>
      <c r="G30" s="29"/>
      <c r="H30" s="35"/>
      <c r="I30" s="33"/>
      <c r="J30" s="33"/>
    </row>
    <row r="31" spans="1:13" ht="13.9" customHeight="1" x14ac:dyDescent="0.25">
      <c r="A31" s="1558"/>
      <c r="B31" s="1559"/>
      <c r="C31" s="1559"/>
      <c r="D31" s="1559"/>
      <c r="E31" s="1559"/>
      <c r="F31" s="1560"/>
      <c r="G31" s="29"/>
      <c r="H31" s="35"/>
      <c r="I31" s="33"/>
      <c r="J31" s="33"/>
    </row>
    <row r="32" spans="1:13" ht="13.9" customHeight="1" x14ac:dyDescent="0.25">
      <c r="A32" s="20"/>
      <c r="B32" s="20"/>
      <c r="C32" s="20"/>
      <c r="D32" s="20"/>
      <c r="E32" s="20"/>
      <c r="G32" s="20"/>
      <c r="H32" s="20"/>
      <c r="I32" s="30" t="s">
        <v>257</v>
      </c>
      <c r="J32" s="34">
        <f>+SUM(J22:J31)</f>
        <v>4654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3">
        <f>(1/(H11*8))/12</f>
        <v>4.1666666666666669E-6</v>
      </c>
      <c r="H36" s="33">
        <f>+IFERROR(VLOOKUP(A36,'EQUIPOS '!$B$3:$M$78,12,FALSE),0)</f>
        <v>611492.5</v>
      </c>
      <c r="I36" s="33">
        <f>IFERROR(H36*G36,0)</f>
        <v>2.5478854166666669</v>
      </c>
      <c r="J36" s="33">
        <f>ROUND(I36,0)</f>
        <v>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20000</v>
      </c>
      <c r="I43" s="33">
        <f>IFERROR(ROUND(G43/H43,0),0)</f>
        <v>14</v>
      </c>
      <c r="J43" s="33">
        <f>+I43</f>
        <v>14</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20000</v>
      </c>
      <c r="I44" s="33">
        <f>IFERROR(ROUND(G44/H44,0),0)</f>
        <v>13</v>
      </c>
      <c r="J44" s="33">
        <f>+I44</f>
        <v>13</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20000</v>
      </c>
      <c r="I45" s="33">
        <f>IFERROR(ROUND(G45/H45,0),0)</f>
        <v>10</v>
      </c>
      <c r="J45" s="33">
        <f>+I45</f>
        <v>10</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20000</v>
      </c>
      <c r="I46" s="33">
        <f>IFERROR(ROUND(G46/H46,0),0)</f>
        <v>11</v>
      </c>
      <c r="J46" s="33">
        <f>+I46</f>
        <v>11</v>
      </c>
    </row>
    <row r="47" spans="1:10" s="39" customFormat="1" ht="13.9" customHeight="1" x14ac:dyDescent="0.25">
      <c r="A47" s="1558"/>
      <c r="B47" s="1559"/>
      <c r="C47" s="1559"/>
      <c r="D47" s="1560"/>
      <c r="E47" s="40">
        <f>IFERROR(VLOOKUP(A47,[10]PERSONAL!$A$3:$C$32,3,FALSE),0)</f>
        <v>0</v>
      </c>
      <c r="F47" s="30"/>
      <c r="G47" s="40"/>
      <c r="H47" s="35"/>
      <c r="I47" s="33"/>
      <c r="J47" s="33"/>
    </row>
    <row r="48" spans="1:10" s="39" customFormat="1" ht="13.9" customHeight="1" x14ac:dyDescent="0.25">
      <c r="A48" s="1558"/>
      <c r="B48" s="1559"/>
      <c r="C48" s="1559"/>
      <c r="D48" s="1560"/>
      <c r="E48" s="40">
        <f>IFERROR(VLOOKUP(A48,[10]PERSONAL!$A$3:$C$32,3,FALSE),0)</f>
        <v>0</v>
      </c>
      <c r="F48" s="30"/>
      <c r="G48" s="40"/>
      <c r="H48" s="35"/>
      <c r="I48" s="33"/>
      <c r="J48" s="33"/>
    </row>
    <row r="49" spans="1:10" ht="13.9" customHeight="1" x14ac:dyDescent="0.25">
      <c r="A49" s="20"/>
      <c r="B49" s="20"/>
      <c r="C49" s="20"/>
      <c r="E49" s="20"/>
      <c r="F49" s="20"/>
      <c r="G49" s="20"/>
      <c r="H49" s="20"/>
      <c r="I49" s="30" t="s">
        <v>257</v>
      </c>
      <c r="J49" s="34">
        <f>+SUM(J43:J48)</f>
        <v>48</v>
      </c>
    </row>
    <row r="50" spans="1:10" ht="13.9" customHeight="1" x14ac:dyDescent="0.25"/>
    <row r="51" spans="1:10" ht="13.9" customHeight="1" x14ac:dyDescent="0.25">
      <c r="E51" s="41" t="s">
        <v>276</v>
      </c>
      <c r="I51" s="42">
        <f>+J49+J39+J32+J18</f>
        <v>4821</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codeName="Hoja50">
    <tabColor theme="5" tint="-0.499984740745262"/>
  </sheetPr>
  <dimension ref="A1:J55"/>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43</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Acrílica base agua 15 cm para líneas de demarcación, con microesfera, con antideslizante, espesor seco de 9 mils y 60% de solidos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2500</v>
      </c>
      <c r="I11" s="33">
        <f>IFERROR((G11/H11),"")</f>
        <v>28.104500000000002</v>
      </c>
      <c r="J11" s="33">
        <f>ROUND(I11,0)</f>
        <v>28</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2500</v>
      </c>
      <c r="I12" s="33">
        <f>IFERROR((G12/H12),0)</f>
        <v>3.1999759999999999</v>
      </c>
      <c r="J12" s="33">
        <f t="shared" ref="J12:J15" si="0">ROUND(I12,0)</f>
        <v>3</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2500</v>
      </c>
      <c r="I13" s="33">
        <f>IFERROR((G13/H13),0)</f>
        <v>5.2888000000000002</v>
      </c>
      <c r="J13" s="33">
        <f t="shared" si="0"/>
        <v>5</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2500</v>
      </c>
      <c r="I14" s="33">
        <f>IFERROR((G14/H14),0)</f>
        <v>0.6835</v>
      </c>
      <c r="J14" s="33">
        <f t="shared" si="0"/>
        <v>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0"/>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116</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'!B69</f>
        <v>PINTURA ACRÍLICA BASE DE AGUA BLANCA Y AMARILLA</v>
      </c>
      <c r="B22" s="1569"/>
      <c r="C22" s="1569"/>
      <c r="D22" s="1569"/>
      <c r="E22" s="1569"/>
      <c r="F22" s="1570"/>
      <c r="G22" s="29" t="s">
        <v>114</v>
      </c>
      <c r="H22" s="37">
        <f>0.13*0.15</f>
        <v>1.95E-2</v>
      </c>
      <c r="I22" s="33">
        <f>+IFERROR(VLOOKUP(A22,'INSUMOS '!$B$2:$AP$167,'INSUMOS '!$AO$2+1,FALSE),0)</f>
        <v>88864.5</v>
      </c>
      <c r="J22" s="33">
        <f>ROUND(I22*H22,0)</f>
        <v>1733</v>
      </c>
    </row>
    <row r="23" spans="1:10" ht="13.9" customHeight="1" x14ac:dyDescent="0.25">
      <c r="A23" s="1558" t="str">
        <f>+'INSUMOS '!B59</f>
        <v>MICROESFERA DE VIDRIO  (ESFERICIDAD MAYOR A 80%)</v>
      </c>
      <c r="B23" s="1559"/>
      <c r="C23" s="1559"/>
      <c r="D23" s="1559"/>
      <c r="E23" s="1559"/>
      <c r="F23" s="1560"/>
      <c r="G23" s="29" t="s">
        <v>6</v>
      </c>
      <c r="H23" s="47">
        <f>370*0.15*1/1000</f>
        <v>5.5500000000000001E-2</v>
      </c>
      <c r="I23" s="33">
        <f>+IFERROR(VLOOKUP(A23,'INSUMOS '!$B$2:$AP$167,'INSUMOS '!$AO$2+1,FALSE),0)</f>
        <v>7449</v>
      </c>
      <c r="J23" s="33">
        <f t="shared" ref="J23:J26" si="1">ROUND(I23*H23,0)</f>
        <v>413</v>
      </c>
    </row>
    <row r="24" spans="1:10" ht="13.9" customHeight="1" x14ac:dyDescent="0.25">
      <c r="A24" s="1568" t="str">
        <f>+'INSUMOS '!B9</f>
        <v>ANTIDESLIZANTE – SUPER GRIP</v>
      </c>
      <c r="B24" s="1569"/>
      <c r="C24" s="1569"/>
      <c r="D24" s="1569"/>
      <c r="E24" s="1569"/>
      <c r="F24" s="1570"/>
      <c r="G24" s="29" t="s">
        <v>6</v>
      </c>
      <c r="H24" s="35">
        <f>0.03</f>
        <v>0.03</v>
      </c>
      <c r="I24" s="33">
        <f>+IFERROR(VLOOKUP(A24,'INSUMOS '!$B$2:$AP$167,'INSUMOS '!$AO$2+1,FALSE),0)</f>
        <v>39270</v>
      </c>
      <c r="J24" s="33">
        <f t="shared" si="1"/>
        <v>1178</v>
      </c>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1">
        <f>+SUM(J22:J25)</f>
        <v>3324</v>
      </c>
      <c r="J26" s="33">
        <f t="shared" si="1"/>
        <v>166</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3490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3">
        <f>(1/(H11*8))/12</f>
        <v>4.1666666666666669E-6</v>
      </c>
      <c r="H36" s="33">
        <f>+IFERROR(VLOOKUP(A36,'EQUIPOS '!$B$3:$M$78,12,FALSE),0)</f>
        <v>611492.5</v>
      </c>
      <c r="I36" s="33">
        <f>IFERROR(H36*G36,0)</f>
        <v>2.5478854166666669</v>
      </c>
      <c r="J36" s="33">
        <f>ROUND(I36,0)</f>
        <v>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 t="shared" ref="G43:G46" si="2">+E43*F43</f>
        <v>286098</v>
      </c>
      <c r="H43" s="35">
        <f>IFERROR(H11*8,0)</f>
        <v>20000</v>
      </c>
      <c r="I43" s="33">
        <f t="shared" ref="I43:I46" si="3">IFERROR(ROUND(G43/H43,0),0)</f>
        <v>14</v>
      </c>
      <c r="J43" s="33">
        <f t="shared" ref="J43:J46" si="4">+I43</f>
        <v>14</v>
      </c>
    </row>
    <row r="44" spans="1:10" s="39" customFormat="1" ht="13.9" customHeight="1" x14ac:dyDescent="0.25">
      <c r="A44" s="1558" t="str">
        <f>+PERSONAL!B6</f>
        <v>AYUDANTE NOCTURNO</v>
      </c>
      <c r="B44" s="1559"/>
      <c r="C44" s="1559"/>
      <c r="D44" s="1560"/>
      <c r="E44" s="40">
        <f>+VLOOKUP(A44,PERSONAL!$B$3:$E$100,4,FALSE)</f>
        <v>83383</v>
      </c>
      <c r="F44" s="30">
        <v>3</v>
      </c>
      <c r="G44" s="40">
        <f t="shared" si="2"/>
        <v>250149</v>
      </c>
      <c r="H44" s="35">
        <f>+H43</f>
        <v>20000</v>
      </c>
      <c r="I44" s="33">
        <f t="shared" si="3"/>
        <v>13</v>
      </c>
      <c r="J44" s="33">
        <f t="shared" si="4"/>
        <v>13</v>
      </c>
    </row>
    <row r="45" spans="1:10" s="39" customFormat="1" ht="13.9" customHeight="1" x14ac:dyDescent="0.25">
      <c r="A45" s="1558" t="str">
        <f>+PERSONAL!B4</f>
        <v>AUXILIAR DE TRÁFICO NOCTURNO</v>
      </c>
      <c r="B45" s="1559"/>
      <c r="C45" s="1559"/>
      <c r="D45" s="1560"/>
      <c r="E45" s="40">
        <f>+VLOOKUP(A45,PERSONAL!$B$3:$E$100,4,FALSE)</f>
        <v>98122</v>
      </c>
      <c r="F45" s="30">
        <v>2</v>
      </c>
      <c r="G45" s="40">
        <f t="shared" si="2"/>
        <v>196244</v>
      </c>
      <c r="H45" s="35">
        <f>+H44</f>
        <v>20000</v>
      </c>
      <c r="I45" s="33">
        <f t="shared" si="3"/>
        <v>10</v>
      </c>
      <c r="J45" s="33">
        <f t="shared" si="4"/>
        <v>10</v>
      </c>
    </row>
    <row r="46" spans="1:10" s="39" customFormat="1" ht="13.9" customHeight="1" x14ac:dyDescent="0.25">
      <c r="A46" s="1558" t="str">
        <f>+PERSONAL!B19</f>
        <v>JEFE DE CUADRILLA NOCTURNO</v>
      </c>
      <c r="B46" s="1559"/>
      <c r="C46" s="1559"/>
      <c r="D46" s="1560"/>
      <c r="E46" s="40">
        <f>+VLOOKUP(A46,PERSONAL!$B$3:$E$100,4,FALSE)</f>
        <v>213741</v>
      </c>
      <c r="F46" s="30">
        <v>1</v>
      </c>
      <c r="G46" s="40">
        <f t="shared" si="2"/>
        <v>213741</v>
      </c>
      <c r="H46" s="35">
        <f>+H45</f>
        <v>20000</v>
      </c>
      <c r="I46" s="33">
        <f t="shared" si="3"/>
        <v>11</v>
      </c>
      <c r="J46" s="33">
        <f t="shared" si="4"/>
        <v>11</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48</v>
      </c>
    </row>
    <row r="50" spans="1:10" ht="13.9" customHeight="1" x14ac:dyDescent="0.25"/>
    <row r="51" spans="1:10" ht="13.9" customHeight="1" x14ac:dyDescent="0.25">
      <c r="E51" s="41" t="s">
        <v>276</v>
      </c>
      <c r="I51" s="42">
        <f>+J49+J39+J32+J18</f>
        <v>3657</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codeName="Hoja49">
    <tabColor theme="5" tint="-0.499984740745262"/>
  </sheetPr>
  <dimension ref="A1:J55"/>
  <sheetViews>
    <sheetView topLeftCell="A37"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11.42578125" style="19"/>
    <col min="12" max="12" width="12.140625" style="19" bestFit="1" customWidth="1"/>
    <col min="13"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42</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Acrílica base agua 12 cm para líneas de demarcación, con microesfera,con antideslizante, espesor seco de 9 mils y 60% de sólidos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2500</v>
      </c>
      <c r="I11" s="33">
        <f>IFERROR((G11/H11),"")</f>
        <v>28.104500000000002</v>
      </c>
      <c r="J11" s="33">
        <f>ROUND(I11,0)</f>
        <v>28</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2500</v>
      </c>
      <c r="I12" s="33">
        <f>IFERROR((G12/H12),0)</f>
        <v>3.1999759999999999</v>
      </c>
      <c r="J12" s="33">
        <f t="shared" ref="J12:J15" si="0">ROUND(I12,0)</f>
        <v>3</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2500</v>
      </c>
      <c r="I13" s="33">
        <f>IFERROR((G13/H13),0)</f>
        <v>5.2888000000000002</v>
      </c>
      <c r="J13" s="33">
        <f t="shared" si="0"/>
        <v>5</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2500</v>
      </c>
      <c r="I14" s="33">
        <f>IFERROR((G14/H14),0)</f>
        <v>0.6835</v>
      </c>
      <c r="J14" s="33">
        <f t="shared" si="0"/>
        <v>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0"/>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116</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'!B69</f>
        <v>PINTURA ACRÍLICA BASE DE AGUA BLANCA Y AMARILLA</v>
      </c>
      <c r="B22" s="1569"/>
      <c r="C22" s="1569"/>
      <c r="D22" s="1569"/>
      <c r="E22" s="1569"/>
      <c r="F22" s="1570"/>
      <c r="G22" s="29" t="s">
        <v>114</v>
      </c>
      <c r="H22" s="37">
        <f>0.13*0.12</f>
        <v>1.5599999999999999E-2</v>
      </c>
      <c r="I22" s="33">
        <f>+IFERROR(VLOOKUP(A22,'INSUMOS '!$B$2:$AP$167,'INSUMOS '!$AO$2+1,FALSE),0)</f>
        <v>88864.5</v>
      </c>
      <c r="J22" s="33">
        <f>ROUND(I22*H22,0)</f>
        <v>1386</v>
      </c>
    </row>
    <row r="23" spans="1:10" ht="13.9" customHeight="1" x14ac:dyDescent="0.25">
      <c r="A23" s="1558" t="str">
        <f>+'INSUMOS '!B59</f>
        <v>MICROESFERA DE VIDRIO  (ESFERICIDAD MAYOR A 80%)</v>
      </c>
      <c r="B23" s="1559"/>
      <c r="C23" s="1559"/>
      <c r="D23" s="1559"/>
      <c r="E23" s="1559"/>
      <c r="F23" s="1560"/>
      <c r="G23" s="29" t="s">
        <v>6</v>
      </c>
      <c r="H23" s="47">
        <f>370*0.12*1/1000</f>
        <v>4.4400000000000002E-2</v>
      </c>
      <c r="I23" s="33">
        <f>+IFERROR(VLOOKUP(A23,'INSUMOS '!$B$2:$AP$167,'INSUMOS '!$AO$2+1,FALSE),0)</f>
        <v>7449</v>
      </c>
      <c r="J23" s="33">
        <f t="shared" ref="J23:J26" si="1">ROUND(I23*H23,0)</f>
        <v>331</v>
      </c>
    </row>
    <row r="24" spans="1:10" ht="13.9" customHeight="1" x14ac:dyDescent="0.25">
      <c r="A24" s="1568" t="str">
        <f>+'INSUMOS '!B9</f>
        <v>ANTIDESLIZANTE – SUPER GRIP</v>
      </c>
      <c r="B24" s="1569"/>
      <c r="C24" s="1569"/>
      <c r="D24" s="1569"/>
      <c r="E24" s="1569"/>
      <c r="F24" s="1570"/>
      <c r="G24" s="29" t="s">
        <v>6</v>
      </c>
      <c r="H24" s="35">
        <f>0.024</f>
        <v>2.4E-2</v>
      </c>
      <c r="I24" s="33">
        <f>+IFERROR(VLOOKUP(A24,'INSUMOS '!$B$2:$AP$167,'INSUMOS '!$AO$2+1,FALSE),0)</f>
        <v>39270</v>
      </c>
      <c r="J24" s="33">
        <f t="shared" si="1"/>
        <v>942</v>
      </c>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1">
        <f>+SUM(J22:J25)</f>
        <v>2659</v>
      </c>
      <c r="J26" s="33">
        <f t="shared" si="1"/>
        <v>133</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2792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3">
        <f>(1/(H11*8))/12</f>
        <v>4.1666666666666669E-6</v>
      </c>
      <c r="H36" s="33">
        <f>+IFERROR(VLOOKUP(A36,'EQUIPOS '!$B$3:$M$78,12,FALSE),0)</f>
        <v>611492.5</v>
      </c>
      <c r="I36" s="33">
        <f>IFERROR(H36*G36,0)</f>
        <v>2.5478854166666669</v>
      </c>
      <c r="J36" s="33">
        <f>ROUND(I36,0)</f>
        <v>3</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20000</v>
      </c>
      <c r="I43" s="33">
        <f>IFERROR(ROUND(G43/H43,0),0)</f>
        <v>14</v>
      </c>
      <c r="J43" s="33">
        <f>+I43</f>
        <v>14</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20000</v>
      </c>
      <c r="I44" s="33">
        <f>IFERROR(ROUND(G44/H44,0),0)</f>
        <v>13</v>
      </c>
      <c r="J44" s="33">
        <f>+I44</f>
        <v>13</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20000</v>
      </c>
      <c r="I45" s="33">
        <f>IFERROR(ROUND(G45/H45,0),0)</f>
        <v>10</v>
      </c>
      <c r="J45" s="33">
        <f>+I45</f>
        <v>10</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20000</v>
      </c>
      <c r="I46" s="33">
        <f>IFERROR(ROUND(G46/H46,0),0)</f>
        <v>11</v>
      </c>
      <c r="J46" s="33">
        <f>+I46</f>
        <v>11</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48</v>
      </c>
    </row>
    <row r="50" spans="1:10" ht="13.9" customHeight="1" x14ac:dyDescent="0.25"/>
    <row r="51" spans="1:10" ht="13.9" customHeight="1" x14ac:dyDescent="0.25">
      <c r="E51" s="41" t="s">
        <v>276</v>
      </c>
      <c r="I51" s="42">
        <f>+J49+J39+J32+J18</f>
        <v>2959</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codeName="Hoja48">
    <tabColor theme="5" tint="-0.499984740745262"/>
  </sheetPr>
  <dimension ref="A1:M55"/>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41</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Acrílica base solvente pigmentada (Multicolor según 3.7.3. Color de las demarcaciones planas para urbanismos tácticos u otras intervenciones tácticas urbanas) marcas viales sin microesfera, Incluye antideslizante, espesor seco 9 mils y 51% de solidos por volumen,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17</v>
      </c>
      <c r="I11" s="33">
        <f>IFERROR((G11/H11),"")</f>
        <v>449.21647058823532</v>
      </c>
      <c r="J11" s="33">
        <f>ROUND(I11,0)</f>
        <v>449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17</v>
      </c>
      <c r="I12" s="33">
        <f t="shared" ref="I12:I17" si="0">IFERROR((G12/H12),0)</f>
        <v>470.58470588235292</v>
      </c>
      <c r="J12" s="33">
        <f t="shared" ref="J12:J17" si="1">ROUND(I12,0)</f>
        <v>471</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17</v>
      </c>
      <c r="I13" s="33">
        <f t="shared" si="0"/>
        <v>777.76470588235293</v>
      </c>
      <c r="J13" s="33">
        <f t="shared" si="1"/>
        <v>778</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17</v>
      </c>
      <c r="I14" s="33">
        <f t="shared" si="0"/>
        <v>100.51470588235294</v>
      </c>
      <c r="J14" s="33">
        <f t="shared" si="1"/>
        <v>101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si="1"/>
        <v>45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f t="shared" si="0"/>
        <v>0</v>
      </c>
      <c r="J16" s="33">
        <f t="shared" si="1"/>
        <v>0</v>
      </c>
    </row>
    <row r="17" spans="1:13"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f t="shared" si="0"/>
        <v>0</v>
      </c>
      <c r="J17" s="33">
        <f t="shared" si="1"/>
        <v>0</v>
      </c>
    </row>
    <row r="18" spans="1:13" s="20" customFormat="1" ht="13.9" customHeight="1" x14ac:dyDescent="0.25">
      <c r="I18" s="30" t="s">
        <v>257</v>
      </c>
      <c r="J18" s="34">
        <f>+SUM(J11:J17)</f>
        <v>1844</v>
      </c>
    </row>
    <row r="19" spans="1:13" s="20" customFormat="1" ht="13.9" customHeight="1" x14ac:dyDescent="0.25"/>
    <row r="20" spans="1:13" s="20" customFormat="1" ht="13.9" customHeight="1" x14ac:dyDescent="0.25">
      <c r="A20" s="1561" t="s">
        <v>263</v>
      </c>
      <c r="B20" s="1561"/>
      <c r="C20" s="1561"/>
      <c r="D20" s="1561"/>
      <c r="E20" s="1561"/>
      <c r="F20" s="1561"/>
      <c r="G20" s="1561"/>
      <c r="H20" s="1561"/>
      <c r="I20" s="27"/>
    </row>
    <row r="21" spans="1:13" ht="13.9" customHeight="1" x14ac:dyDescent="0.25">
      <c r="A21" s="1565" t="s">
        <v>251</v>
      </c>
      <c r="B21" s="1566"/>
      <c r="C21" s="1566"/>
      <c r="D21" s="1566"/>
      <c r="E21" s="1566"/>
      <c r="F21" s="1567"/>
      <c r="G21" s="28" t="s">
        <v>252</v>
      </c>
      <c r="H21" s="28" t="s">
        <v>264</v>
      </c>
      <c r="I21" s="28" t="s">
        <v>256</v>
      </c>
      <c r="J21" s="28" t="s">
        <v>257</v>
      </c>
    </row>
    <row r="22" spans="1:13" ht="29.25" customHeight="1" x14ac:dyDescent="0.25">
      <c r="A22" s="1568" t="str">
        <f>+'INSUMOS '!B72</f>
        <v>PINTURA ACRÍLICA BASE SOLVENTE PIGMENTADA (VERDE, NARANJA, ROJO O AZUL)</v>
      </c>
      <c r="B22" s="1569"/>
      <c r="C22" s="1569"/>
      <c r="D22" s="1569"/>
      <c r="E22" s="1569"/>
      <c r="F22" s="1570"/>
      <c r="G22" s="29" t="s">
        <v>114</v>
      </c>
      <c r="H22" s="37">
        <v>0.16</v>
      </c>
      <c r="I22" s="33">
        <f>+IFERROR(VLOOKUP(A22,'INSUMOS '!$B$2:$AP$167,'INSUMOS '!$AO$2+1,FALSE),0)</f>
        <v>112929.5</v>
      </c>
      <c r="J22" s="33">
        <f>ROUND(I22*H22,0)</f>
        <v>18069</v>
      </c>
      <c r="M22" s="19">
        <f>0.16*3780</f>
        <v>604.80000000000007</v>
      </c>
    </row>
    <row r="23" spans="1:13" ht="13.9" customHeight="1" x14ac:dyDescent="0.25">
      <c r="A23" s="1558" t="str">
        <f>+'INSUMOS '!B40</f>
        <v>DISOLVENTE AJUSTADOR LENTO XILOL</v>
      </c>
      <c r="B23" s="1559"/>
      <c r="C23" s="1559"/>
      <c r="D23" s="1559"/>
      <c r="E23" s="1559"/>
      <c r="F23" s="1560"/>
      <c r="G23" s="29" t="s">
        <v>114</v>
      </c>
      <c r="H23" s="47">
        <f>H22*0.03</f>
        <v>4.7999999999999996E-3</v>
      </c>
      <c r="I23" s="33">
        <f>+IFERROR(VLOOKUP(A23,'INSUMOS '!$B$2:$AP$167,'INSUMOS '!$AO$2+1,FALSE),0)</f>
        <v>73200</v>
      </c>
      <c r="J23" s="33">
        <f t="shared" ref="J23:J26" si="2">ROUND(I23*H23,0)</f>
        <v>351</v>
      </c>
    </row>
    <row r="24" spans="1:13" ht="13.9" customHeight="1" x14ac:dyDescent="0.25">
      <c r="A24" s="1568" t="str">
        <f>+'INSUMOS '!B9</f>
        <v>ANTIDESLIZANTE – SUPER GRIP</v>
      </c>
      <c r="B24" s="1569"/>
      <c r="C24" s="1569"/>
      <c r="D24" s="1569"/>
      <c r="E24" s="1569"/>
      <c r="F24" s="1570"/>
      <c r="G24" s="29" t="s">
        <v>6</v>
      </c>
      <c r="H24" s="35">
        <f>0.35</f>
        <v>0.35</v>
      </c>
      <c r="I24" s="33">
        <f>+IFERROR(VLOOKUP(A24,'INSUMOS '!$B$2:$AP$167,'INSUMOS '!$AO$2+1,FALSE),0)</f>
        <v>39270</v>
      </c>
      <c r="J24" s="33">
        <f t="shared" si="2"/>
        <v>13745</v>
      </c>
    </row>
    <row r="25" spans="1:13" ht="13.9" customHeight="1" x14ac:dyDescent="0.25">
      <c r="A25" s="1558"/>
      <c r="B25" s="1559"/>
      <c r="C25" s="1559"/>
      <c r="D25" s="1559"/>
      <c r="E25" s="1559"/>
      <c r="F25" s="1560"/>
      <c r="G25" s="29"/>
      <c r="H25" s="35"/>
      <c r="I25" s="33"/>
      <c r="J25" s="33"/>
    </row>
    <row r="26" spans="1:13" ht="13.9" customHeight="1" x14ac:dyDescent="0.25">
      <c r="A26" s="1558" t="s">
        <v>333</v>
      </c>
      <c r="B26" s="1559"/>
      <c r="C26" s="1559"/>
      <c r="D26" s="1559"/>
      <c r="E26" s="1559"/>
      <c r="F26" s="1560"/>
      <c r="G26" s="29"/>
      <c r="H26" s="74">
        <v>0.05</v>
      </c>
      <c r="I26" s="31">
        <f>+SUM(J22:J25)</f>
        <v>32165</v>
      </c>
      <c r="J26" s="33">
        <f t="shared" si="2"/>
        <v>1608</v>
      </c>
    </row>
    <row r="27" spans="1:13" ht="13.9" customHeight="1" x14ac:dyDescent="0.25">
      <c r="A27" s="1558"/>
      <c r="B27" s="1559"/>
      <c r="C27" s="1559"/>
      <c r="D27" s="1559"/>
      <c r="E27" s="1559"/>
      <c r="F27" s="1560"/>
      <c r="G27" s="29"/>
      <c r="H27" s="35"/>
      <c r="I27" s="33"/>
      <c r="J27" s="33"/>
    </row>
    <row r="28" spans="1:13" ht="13.9" customHeight="1" x14ac:dyDescent="0.25">
      <c r="A28" s="1558"/>
      <c r="B28" s="1559"/>
      <c r="C28" s="1559"/>
      <c r="D28" s="1559"/>
      <c r="E28" s="1559"/>
      <c r="F28" s="1560"/>
      <c r="G28" s="29"/>
      <c r="H28" s="35"/>
      <c r="I28" s="33"/>
      <c r="J28" s="33"/>
    </row>
    <row r="29" spans="1:13" ht="13.9" customHeight="1" x14ac:dyDescent="0.25">
      <c r="A29" s="1558"/>
      <c r="B29" s="1559"/>
      <c r="C29" s="1559"/>
      <c r="D29" s="1559"/>
      <c r="E29" s="1559"/>
      <c r="F29" s="1560"/>
      <c r="G29" s="29"/>
      <c r="H29" s="37"/>
      <c r="I29" s="33"/>
      <c r="J29" s="33"/>
    </row>
    <row r="30" spans="1:13" ht="13.9" customHeight="1" x14ac:dyDescent="0.25">
      <c r="A30" s="1558"/>
      <c r="B30" s="1559"/>
      <c r="C30" s="1559"/>
      <c r="D30" s="1559"/>
      <c r="E30" s="1559"/>
      <c r="F30" s="1560"/>
      <c r="G30" s="29"/>
      <c r="H30" s="35"/>
      <c r="I30" s="33"/>
      <c r="J30" s="33"/>
    </row>
    <row r="31" spans="1:13" ht="13.9" customHeight="1" x14ac:dyDescent="0.25">
      <c r="A31" s="1558"/>
      <c r="B31" s="1559"/>
      <c r="C31" s="1559"/>
      <c r="D31" s="1559"/>
      <c r="E31" s="1559"/>
      <c r="F31" s="1560"/>
      <c r="G31" s="29"/>
      <c r="H31" s="35"/>
      <c r="I31" s="33"/>
      <c r="J31" s="33"/>
    </row>
    <row r="32" spans="1:13" ht="13.9" customHeight="1" x14ac:dyDescent="0.25">
      <c r="A32" s="20"/>
      <c r="B32" s="20"/>
      <c r="C32" s="20"/>
      <c r="D32" s="20"/>
      <c r="E32" s="20"/>
      <c r="G32" s="20"/>
      <c r="H32" s="20"/>
      <c r="I32" s="30" t="s">
        <v>257</v>
      </c>
      <c r="J32" s="34">
        <f>+SUM(J22:J31)</f>
        <v>33773</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6.1274509803921568E-4</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 t="shared" ref="G43:G46" si="3">+E43*F43</f>
        <v>143049</v>
      </c>
      <c r="H43" s="35">
        <f>IFERROR(H11*8,0)</f>
        <v>136</v>
      </c>
      <c r="I43" s="33">
        <f t="shared" ref="I43:I46" si="4">IFERROR(ROUND(G43/H43,0),0)</f>
        <v>1052</v>
      </c>
      <c r="J43" s="33">
        <f t="shared" ref="J43:J46" si="5">+I43</f>
        <v>1052</v>
      </c>
    </row>
    <row r="44" spans="1:10" s="39" customFormat="1" ht="13.9" customHeight="1" x14ac:dyDescent="0.25">
      <c r="A44" s="1558" t="str">
        <f>+PERSONAL!B6</f>
        <v>AYUDANTE NOCTURNO</v>
      </c>
      <c r="B44" s="1559"/>
      <c r="C44" s="1559"/>
      <c r="D44" s="1560"/>
      <c r="E44" s="40">
        <f>+VLOOKUP(A44,PERSONAL!$B$3:$E$100,4,FALSE)</f>
        <v>83383</v>
      </c>
      <c r="F44" s="30">
        <v>2</v>
      </c>
      <c r="G44" s="40">
        <f t="shared" si="3"/>
        <v>166766</v>
      </c>
      <c r="H44" s="35">
        <f>+H43</f>
        <v>136</v>
      </c>
      <c r="I44" s="33">
        <f t="shared" si="4"/>
        <v>1226</v>
      </c>
      <c r="J44" s="33">
        <f t="shared" si="5"/>
        <v>1226</v>
      </c>
    </row>
    <row r="45" spans="1:10" s="39" customFormat="1" ht="13.9" customHeight="1" x14ac:dyDescent="0.25">
      <c r="A45" s="1558" t="str">
        <f>+PERSONAL!B4</f>
        <v>AUXILIAR DE TRÁFICO NOCTURNO</v>
      </c>
      <c r="B45" s="1559"/>
      <c r="C45" s="1559"/>
      <c r="D45" s="1560"/>
      <c r="E45" s="40">
        <f>+VLOOKUP(A45,PERSONAL!$B$3:$E$100,4,FALSE)</f>
        <v>98122</v>
      </c>
      <c r="F45" s="30">
        <v>2</v>
      </c>
      <c r="G45" s="40">
        <f t="shared" si="3"/>
        <v>196244</v>
      </c>
      <c r="H45" s="35">
        <f>+H44</f>
        <v>136</v>
      </c>
      <c r="I45" s="33">
        <f t="shared" si="4"/>
        <v>1443</v>
      </c>
      <c r="J45" s="33">
        <f t="shared" si="5"/>
        <v>1443</v>
      </c>
    </row>
    <row r="46" spans="1:10" s="39" customFormat="1" ht="13.9" customHeight="1" x14ac:dyDescent="0.25">
      <c r="A46" s="1558" t="str">
        <f>+PERSONAL!B19</f>
        <v>JEFE DE CUADRILLA NOCTURNO</v>
      </c>
      <c r="B46" s="1559"/>
      <c r="C46" s="1559"/>
      <c r="D46" s="1560"/>
      <c r="E46" s="40">
        <f>+VLOOKUP(A46,PERSONAL!$B$3:$E$100,4,FALSE)</f>
        <v>213741</v>
      </c>
      <c r="F46" s="30">
        <v>1</v>
      </c>
      <c r="G46" s="40">
        <f t="shared" si="3"/>
        <v>213741</v>
      </c>
      <c r="H46" s="35">
        <f>+H45</f>
        <v>136</v>
      </c>
      <c r="I46" s="33">
        <f t="shared" si="4"/>
        <v>1572</v>
      </c>
      <c r="J46" s="33">
        <f t="shared" si="5"/>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41285</v>
      </c>
      <c r="J51" s="43"/>
    </row>
    <row r="52" spans="1:10" ht="13.9" customHeight="1" x14ac:dyDescent="0.25"/>
    <row r="53" spans="1:10" ht="14.1" customHeight="1" x14ac:dyDescent="0.25">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Hoja47">
    <tabColor theme="5" tint="-0.249977111117893"/>
  </sheetPr>
  <dimension ref="A1:J55"/>
  <sheetViews>
    <sheetView topLeftCell="A35"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40</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Acrílica base solvente marcas viales sin microesfera, con antideslizante, espesor seco 9 mils y 51% de solidos por volumen, incluye pictogramas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17</v>
      </c>
      <c r="I11" s="33">
        <f>IFERROR((G11/H11),"")</f>
        <v>449.21647058823532</v>
      </c>
      <c r="J11" s="33">
        <f>ROUND(I11,0)</f>
        <v>449</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17</v>
      </c>
      <c r="I12" s="33">
        <f t="shared" ref="I12:I14" si="0">IFERROR((G12/H12),0)</f>
        <v>470.58470588235292</v>
      </c>
      <c r="J12" s="33">
        <f t="shared" ref="J12:J15" si="1">ROUND(I12,0)</f>
        <v>471</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17</v>
      </c>
      <c r="I13" s="33">
        <f>IFERROR((G13/H13),0)</f>
        <v>777.76470588235293</v>
      </c>
      <c r="J13" s="33">
        <f t="shared" si="1"/>
        <v>778</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17</v>
      </c>
      <c r="I14" s="33">
        <f t="shared" si="0"/>
        <v>100.51470588235294</v>
      </c>
      <c r="J14" s="33">
        <f t="shared" si="1"/>
        <v>101</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350</v>
      </c>
      <c r="I15" s="33">
        <f>IFERROR((G15/H15),0)</f>
        <v>45.380142857142857</v>
      </c>
      <c r="J15" s="33">
        <f t="shared" si="1"/>
        <v>45</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1844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'!B71</f>
        <v>PINTURA ACRÍLICA BASE SOLVENTE BLANCA Y AMARILLA</v>
      </c>
      <c r="B22" s="1569"/>
      <c r="C22" s="1569"/>
      <c r="D22" s="1569"/>
      <c r="E22" s="1569"/>
      <c r="F22" s="1570"/>
      <c r="G22" s="29" t="s">
        <v>114</v>
      </c>
      <c r="H22" s="37">
        <v>0.16</v>
      </c>
      <c r="I22" s="33">
        <f>+IFERROR(VLOOKUP(A22,'INSUMOS '!$B$2:$AP$167,'INSUMOS '!$AO$2+1,FALSE),0)</f>
        <v>124586.33333333333</v>
      </c>
      <c r="J22" s="33">
        <f>ROUND(I22*H22,0)</f>
        <v>19934</v>
      </c>
    </row>
    <row r="23" spans="1:10" ht="13.9" customHeight="1" x14ac:dyDescent="0.25">
      <c r="A23" s="1558" t="str">
        <f>+'INSUMOS '!B40</f>
        <v>DISOLVENTE AJUSTADOR LENTO XILOL</v>
      </c>
      <c r="B23" s="1559"/>
      <c r="C23" s="1559"/>
      <c r="D23" s="1559"/>
      <c r="E23" s="1559"/>
      <c r="F23" s="1560"/>
      <c r="G23" s="29" t="s">
        <v>114</v>
      </c>
      <c r="H23" s="47">
        <f>H22*0.03</f>
        <v>4.7999999999999996E-3</v>
      </c>
      <c r="I23" s="33">
        <f>+IFERROR(VLOOKUP(A23,'INSUMOS '!$B$2:$AP$167,'INSUMOS '!$AO$2+1,FALSE),0)</f>
        <v>73200</v>
      </c>
      <c r="J23" s="33">
        <f t="shared" ref="J23:J26" si="2">ROUND(I23*H23,0)</f>
        <v>351</v>
      </c>
    </row>
    <row r="24" spans="1:10" ht="13.9" customHeight="1" x14ac:dyDescent="0.25">
      <c r="A24" s="1568" t="str">
        <f>+'INSUMOS '!B9</f>
        <v>ANTIDESLIZANTE – SUPER GRIP</v>
      </c>
      <c r="B24" s="1569"/>
      <c r="C24" s="1569"/>
      <c r="D24" s="1569"/>
      <c r="E24" s="1569"/>
      <c r="F24" s="1570"/>
      <c r="G24" s="29" t="s">
        <v>6</v>
      </c>
      <c r="H24" s="35">
        <f>0.35</f>
        <v>0.35</v>
      </c>
      <c r="I24" s="33">
        <f>+IFERROR(VLOOKUP(A24,'INSUMOS '!$B$2:$AP$167,'INSUMOS '!$AO$2+1,FALSE),0)</f>
        <v>39270</v>
      </c>
      <c r="J24" s="33">
        <f t="shared" si="2"/>
        <v>13745</v>
      </c>
    </row>
    <row r="25" spans="1:10" ht="13.9" customHeight="1" x14ac:dyDescent="0.25">
      <c r="A25" s="1558"/>
      <c r="B25" s="1559"/>
      <c r="C25" s="1559"/>
      <c r="D25" s="1559"/>
      <c r="E25" s="1559"/>
      <c r="F25" s="1560"/>
      <c r="G25" s="29"/>
      <c r="H25" s="35"/>
      <c r="I25" s="33"/>
      <c r="J25" s="33"/>
    </row>
    <row r="26" spans="1:10" ht="13.9" customHeight="1" x14ac:dyDescent="0.25">
      <c r="A26" s="1558" t="s">
        <v>333</v>
      </c>
      <c r="B26" s="1559"/>
      <c r="C26" s="1559"/>
      <c r="D26" s="1559"/>
      <c r="E26" s="1559"/>
      <c r="F26" s="1560"/>
      <c r="G26" s="29"/>
      <c r="H26" s="74">
        <v>0.05</v>
      </c>
      <c r="I26" s="31">
        <f>+SUM(J22:J25)</f>
        <v>34030</v>
      </c>
      <c r="J26" s="33">
        <f t="shared" si="2"/>
        <v>1702</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35732</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6.1274509803921568E-4</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 t="shared" ref="G43:G46" si="3">+E43*F43</f>
        <v>143049</v>
      </c>
      <c r="H43" s="35">
        <f>IFERROR(H11*8,0)</f>
        <v>136</v>
      </c>
      <c r="I43" s="33">
        <f t="shared" ref="I43:I46" si="4">IFERROR(ROUND(G43/H43,0),0)</f>
        <v>1052</v>
      </c>
      <c r="J43" s="33">
        <f t="shared" ref="J43:J46" si="5">+I43</f>
        <v>1052</v>
      </c>
    </row>
    <row r="44" spans="1:10" s="39" customFormat="1" ht="13.9" customHeight="1" x14ac:dyDescent="0.25">
      <c r="A44" s="1558" t="str">
        <f>+PERSONAL!B6</f>
        <v>AYUDANTE NOCTURNO</v>
      </c>
      <c r="B44" s="1559"/>
      <c r="C44" s="1559"/>
      <c r="D44" s="1560"/>
      <c r="E44" s="40">
        <f>+VLOOKUP(A44,PERSONAL!$B$3:$E$100,4,FALSE)</f>
        <v>83383</v>
      </c>
      <c r="F44" s="30">
        <v>2</v>
      </c>
      <c r="G44" s="40">
        <f t="shared" si="3"/>
        <v>166766</v>
      </c>
      <c r="H44" s="35">
        <f>+H43</f>
        <v>136</v>
      </c>
      <c r="I44" s="33">
        <f t="shared" si="4"/>
        <v>1226</v>
      </c>
      <c r="J44" s="33">
        <f t="shared" si="5"/>
        <v>1226</v>
      </c>
    </row>
    <row r="45" spans="1:10" s="39" customFormat="1" ht="13.9" customHeight="1" x14ac:dyDescent="0.25">
      <c r="A45" s="1558" t="str">
        <f>+PERSONAL!B4</f>
        <v>AUXILIAR DE TRÁFICO NOCTURNO</v>
      </c>
      <c r="B45" s="1559"/>
      <c r="C45" s="1559"/>
      <c r="D45" s="1560"/>
      <c r="E45" s="40">
        <f>+VLOOKUP(A45,PERSONAL!$B$3:$E$100,4,FALSE)</f>
        <v>98122</v>
      </c>
      <c r="F45" s="30">
        <v>2</v>
      </c>
      <c r="G45" s="40">
        <f t="shared" si="3"/>
        <v>196244</v>
      </c>
      <c r="H45" s="35">
        <f>+H44</f>
        <v>136</v>
      </c>
      <c r="I45" s="33">
        <f t="shared" si="4"/>
        <v>1443</v>
      </c>
      <c r="J45" s="33">
        <f t="shared" si="5"/>
        <v>1443</v>
      </c>
    </row>
    <row r="46" spans="1:10" s="39" customFormat="1" ht="13.9" customHeight="1" x14ac:dyDescent="0.25">
      <c r="A46" s="1558" t="str">
        <f>+PERSONAL!B19</f>
        <v>JEFE DE CUADRILLA NOCTURNO</v>
      </c>
      <c r="B46" s="1559"/>
      <c r="C46" s="1559"/>
      <c r="D46" s="1560"/>
      <c r="E46" s="40">
        <f>+VLOOKUP(A46,PERSONAL!$B$3:$E$100,4,FALSE)</f>
        <v>213741</v>
      </c>
      <c r="F46" s="30">
        <v>1</v>
      </c>
      <c r="G46" s="40">
        <f t="shared" si="3"/>
        <v>213741</v>
      </c>
      <c r="H46" s="35">
        <f>+H45</f>
        <v>136</v>
      </c>
      <c r="I46" s="33">
        <f t="shared" si="4"/>
        <v>1572</v>
      </c>
      <c r="J46" s="33">
        <f t="shared" si="5"/>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43244</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codeName="Hoja46">
    <tabColor theme="5" tint="-0.249977111117893"/>
  </sheetPr>
  <dimension ref="A1:O55"/>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5" ht="29.25" customHeight="1" x14ac:dyDescent="0.25">
      <c r="A1" s="1574" t="s">
        <v>244</v>
      </c>
      <c r="B1" s="1575"/>
      <c r="C1" s="1575"/>
      <c r="D1" s="1575"/>
      <c r="E1" s="1575"/>
      <c r="F1" s="1575"/>
      <c r="G1" s="1575"/>
      <c r="H1" s="1575"/>
      <c r="I1" s="1575"/>
      <c r="J1" s="1575"/>
    </row>
    <row r="2" spans="1:15" ht="15" customHeight="1" x14ac:dyDescent="0.25">
      <c r="A2" s="1576" t="s">
        <v>245</v>
      </c>
      <c r="B2" s="1576"/>
      <c r="C2" s="1576"/>
      <c r="D2" s="1576"/>
      <c r="E2" s="1576"/>
      <c r="F2" s="1576"/>
      <c r="G2" s="1576"/>
      <c r="H2" s="1576"/>
      <c r="I2" s="1576"/>
      <c r="J2" s="1576"/>
    </row>
    <row r="4" spans="1:15" s="20" customFormat="1" ht="9.9499999999999993" customHeight="1" x14ac:dyDescent="0.25">
      <c r="A4" s="1577" t="s">
        <v>246</v>
      </c>
      <c r="B4" s="1577"/>
      <c r="C4" s="1577"/>
      <c r="D4" s="1577"/>
      <c r="E4" s="1577"/>
      <c r="F4" s="1577"/>
      <c r="G4" s="1577"/>
      <c r="H4" s="1577"/>
      <c r="I4" s="1577"/>
      <c r="J4" s="1577"/>
    </row>
    <row r="5" spans="1:15" s="20" customFormat="1" ht="9.9499999999999993" customHeight="1" x14ac:dyDescent="0.25">
      <c r="B5" s="21"/>
      <c r="C5" s="21"/>
      <c r="D5" s="21"/>
      <c r="E5" s="21"/>
      <c r="F5" s="21"/>
      <c r="G5" s="21"/>
    </row>
    <row r="6" spans="1:15" x14ac:dyDescent="0.25">
      <c r="A6" s="1558" t="s">
        <v>247</v>
      </c>
      <c r="B6" s="1560"/>
      <c r="C6" s="45">
        <v>39</v>
      </c>
      <c r="D6" s="8"/>
      <c r="E6" s="8"/>
      <c r="F6" s="8"/>
      <c r="G6" s="8"/>
      <c r="H6" s="46"/>
      <c r="I6" s="29" t="s">
        <v>248</v>
      </c>
      <c r="J6" s="26" t="str">
        <f>+VLOOKUP(C6,'ANEXO PLIEGO_1'!$A$7:$C$133,3,FALSE)</f>
        <v>M2</v>
      </c>
    </row>
    <row r="7" spans="1:15" ht="35.1" customHeight="1" x14ac:dyDescent="0.25">
      <c r="A7" s="1568" t="s">
        <v>249</v>
      </c>
      <c r="B7" s="1570"/>
      <c r="C7" s="1578" t="str">
        <f>+VLOOKUP(C6,'ANEXO PLIEGO_1'!$A$7:$B$133,2,FALSE)</f>
        <v xml:space="preserve">Suministro y Aplicación de pintura Acrílica base solvente marcas viales con microesfera, con antideslizante, espesor seco 9 mils y 51% de solidos por volumen, incluye pictogramas. </v>
      </c>
      <c r="D7" s="1579"/>
      <c r="E7" s="1579"/>
      <c r="F7" s="1579"/>
      <c r="G7" s="1579"/>
      <c r="H7" s="1579"/>
      <c r="I7" s="1579"/>
      <c r="J7" s="1580"/>
    </row>
    <row r="9" spans="1:15" s="27" customFormat="1" ht="12.75" x14ac:dyDescent="0.25">
      <c r="A9" s="1561" t="s">
        <v>250</v>
      </c>
      <c r="B9" s="1561"/>
      <c r="C9" s="1561"/>
      <c r="D9" s="1561"/>
      <c r="E9" s="1561"/>
      <c r="F9" s="1561"/>
      <c r="G9" s="1561"/>
      <c r="H9" s="1561"/>
    </row>
    <row r="10" spans="1:15" s="20" customFormat="1" ht="13.9" customHeight="1" x14ac:dyDescent="0.25">
      <c r="A10" s="1562" t="s">
        <v>251</v>
      </c>
      <c r="B10" s="1563"/>
      <c r="C10" s="1563"/>
      <c r="D10" s="1564"/>
      <c r="E10" s="28" t="s">
        <v>252</v>
      </c>
      <c r="F10" s="28" t="s">
        <v>253</v>
      </c>
      <c r="G10" s="28" t="s">
        <v>254</v>
      </c>
      <c r="H10" s="28" t="s">
        <v>255</v>
      </c>
      <c r="I10" s="28" t="s">
        <v>256</v>
      </c>
      <c r="J10" s="28" t="s">
        <v>257</v>
      </c>
      <c r="M10" s="20">
        <f>+AVERAGE(15,25,12)</f>
        <v>17.333333333333332</v>
      </c>
      <c r="O10" s="298">
        <v>11000</v>
      </c>
    </row>
    <row r="11" spans="1:15"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17</v>
      </c>
      <c r="I11" s="33">
        <f>IFERROR((G11/H11),"")</f>
        <v>449.21647058823532</v>
      </c>
      <c r="J11" s="33">
        <f>ROUND(I11,0)</f>
        <v>449</v>
      </c>
      <c r="O11" s="20">
        <f>+O10/0.17</f>
        <v>64705.882352941175</v>
      </c>
    </row>
    <row r="12" spans="1:15"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17</v>
      </c>
      <c r="I12" s="33">
        <f t="shared" ref="I12:I14" si="0">IFERROR((G12/H12),0)</f>
        <v>470.58470588235292</v>
      </c>
      <c r="J12" s="33">
        <f t="shared" ref="J12:J15" si="1">ROUND(I12,0)</f>
        <v>471</v>
      </c>
    </row>
    <row r="13" spans="1:15"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17</v>
      </c>
      <c r="I13" s="33">
        <f>IFERROR((G13/H13),0)</f>
        <v>777.76470588235293</v>
      </c>
      <c r="J13" s="33">
        <f t="shared" si="1"/>
        <v>778</v>
      </c>
    </row>
    <row r="14" spans="1:15"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17</v>
      </c>
      <c r="I14" s="33">
        <f t="shared" si="0"/>
        <v>100.51470588235294</v>
      </c>
      <c r="J14" s="33">
        <f t="shared" si="1"/>
        <v>101</v>
      </c>
    </row>
    <row r="15" spans="1:15"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5"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1878</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'!B71</f>
        <v>PINTURA ACRÍLICA BASE SOLVENTE BLANCA Y AMARILLA</v>
      </c>
      <c r="B22" s="1569"/>
      <c r="C22" s="1569"/>
      <c r="D22" s="1569"/>
      <c r="E22" s="1569"/>
      <c r="F22" s="1570"/>
      <c r="G22" s="29" t="s">
        <v>114</v>
      </c>
      <c r="H22" s="37">
        <v>0.16</v>
      </c>
      <c r="I22" s="33">
        <f>+IFERROR(VLOOKUP(A22,'INSUMOS '!$B$2:$AP$167,'INSUMOS '!$AO$2+1,FALSE),0)</f>
        <v>124586.33333333333</v>
      </c>
      <c r="J22" s="33">
        <f>ROUND(I22*H22,0)</f>
        <v>19934</v>
      </c>
    </row>
    <row r="23" spans="1:10" ht="13.9" customHeight="1" x14ac:dyDescent="0.25">
      <c r="A23" s="1558" t="str">
        <f>+'INSUMOS '!B40</f>
        <v>DISOLVENTE AJUSTADOR LENTO XILOL</v>
      </c>
      <c r="B23" s="1559"/>
      <c r="C23" s="1559"/>
      <c r="D23" s="1559"/>
      <c r="E23" s="1559"/>
      <c r="F23" s="1560"/>
      <c r="G23" s="29" t="s">
        <v>114</v>
      </c>
      <c r="H23" s="47">
        <f>H22*0.03</f>
        <v>4.7999999999999996E-3</v>
      </c>
      <c r="I23" s="33">
        <f>+IFERROR(VLOOKUP(A23,'INSUMOS '!$B$2:$AP$167,'INSUMOS '!$AO$2+1,FALSE),0)</f>
        <v>73200</v>
      </c>
      <c r="J23" s="33">
        <f t="shared" ref="J23:J26" si="2">ROUND(I23*H23,0)</f>
        <v>351</v>
      </c>
    </row>
    <row r="24" spans="1:10" ht="13.9" customHeight="1" x14ac:dyDescent="0.25">
      <c r="A24" s="1558" t="str">
        <f>+'INSUMOS '!B59</f>
        <v>MICROESFERA DE VIDRIO  (ESFERICIDAD MAYOR A 80%)</v>
      </c>
      <c r="B24" s="1559"/>
      <c r="C24" s="1559"/>
      <c r="D24" s="1559"/>
      <c r="E24" s="1559"/>
      <c r="F24" s="1560"/>
      <c r="G24" s="29" t="s">
        <v>6</v>
      </c>
      <c r="H24" s="35">
        <f>370*1*1/1000</f>
        <v>0.37</v>
      </c>
      <c r="I24" s="33">
        <f>+IFERROR(VLOOKUP(A24,'INSUMOS '!$B$2:$AP$167,'INSUMOS '!$AO$2+1,FALSE),0)</f>
        <v>7449</v>
      </c>
      <c r="J24" s="33">
        <f t="shared" si="2"/>
        <v>2756</v>
      </c>
    </row>
    <row r="25" spans="1:10" ht="13.9" customHeight="1" x14ac:dyDescent="0.25">
      <c r="A25" s="1568" t="str">
        <f>+'INSUMOS '!B9</f>
        <v>ANTIDESLIZANTE – SUPER GRIP</v>
      </c>
      <c r="B25" s="1569"/>
      <c r="C25" s="1569"/>
      <c r="D25" s="1569"/>
      <c r="E25" s="1569"/>
      <c r="F25" s="1570"/>
      <c r="G25" s="29" t="s">
        <v>6</v>
      </c>
      <c r="H25" s="35">
        <f>0.2</f>
        <v>0.2</v>
      </c>
      <c r="I25" s="33">
        <f>+IFERROR(VLOOKUP(A25,'INSUMOS '!$B$2:$AP$167,'INSUMOS '!$AO$2+1,FALSE),0)</f>
        <v>39270</v>
      </c>
      <c r="J25" s="33">
        <f t="shared" si="2"/>
        <v>7854</v>
      </c>
    </row>
    <row r="26" spans="1:10" ht="13.9" customHeight="1" x14ac:dyDescent="0.25">
      <c r="A26" s="1558" t="s">
        <v>333</v>
      </c>
      <c r="B26" s="1559"/>
      <c r="C26" s="1559"/>
      <c r="D26" s="1559"/>
      <c r="E26" s="1559"/>
      <c r="F26" s="1560"/>
      <c r="G26" s="29"/>
      <c r="H26" s="74">
        <v>0.05</v>
      </c>
      <c r="I26" s="31">
        <f>+SUM(J22:J25)</f>
        <v>30895</v>
      </c>
      <c r="J26" s="33">
        <f t="shared" si="2"/>
        <v>1545</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32440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6.1274509803921568E-4</v>
      </c>
      <c r="H36" s="33">
        <f>+IFERROR(VLOOKUP(A36,'EQUIPOS '!$B$3:$M$78,12,FALSE),0)</f>
        <v>611492.5</v>
      </c>
      <c r="I36" s="33">
        <f>IFERROR(H36*G36,0)</f>
        <v>374.68903186274508</v>
      </c>
      <c r="J36" s="33">
        <f>ROUND(I36,0)</f>
        <v>375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375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 t="shared" ref="G43:G46" si="3">+E43*F43</f>
        <v>143049</v>
      </c>
      <c r="H43" s="35">
        <f>IFERROR(H11*8,0)</f>
        <v>136</v>
      </c>
      <c r="I43" s="33">
        <f t="shared" ref="I43:I46" si="4">IFERROR(ROUND(G43/H43,0),0)</f>
        <v>1052</v>
      </c>
      <c r="J43" s="33">
        <f t="shared" ref="J43:J46" si="5">+I43</f>
        <v>1052</v>
      </c>
    </row>
    <row r="44" spans="1:10" s="39" customFormat="1" ht="13.9" customHeight="1" x14ac:dyDescent="0.25">
      <c r="A44" s="1558" t="str">
        <f>+PERSONAL!B6</f>
        <v>AYUDANTE NOCTURNO</v>
      </c>
      <c r="B44" s="1559"/>
      <c r="C44" s="1559"/>
      <c r="D44" s="1560"/>
      <c r="E44" s="40">
        <f>+VLOOKUP(A44,PERSONAL!$B$3:$E$100,4,FALSE)</f>
        <v>83383</v>
      </c>
      <c r="F44" s="30">
        <v>2</v>
      </c>
      <c r="G44" s="40">
        <f t="shared" si="3"/>
        <v>166766</v>
      </c>
      <c r="H44" s="35">
        <f>+H43</f>
        <v>136</v>
      </c>
      <c r="I44" s="33">
        <f t="shared" si="4"/>
        <v>1226</v>
      </c>
      <c r="J44" s="33">
        <f t="shared" si="5"/>
        <v>1226</v>
      </c>
    </row>
    <row r="45" spans="1:10" s="39" customFormat="1" ht="13.9" customHeight="1" x14ac:dyDescent="0.25">
      <c r="A45" s="1558" t="str">
        <f>+PERSONAL!B4</f>
        <v>AUXILIAR DE TRÁFICO NOCTURNO</v>
      </c>
      <c r="B45" s="1559"/>
      <c r="C45" s="1559"/>
      <c r="D45" s="1560"/>
      <c r="E45" s="40">
        <f>+VLOOKUP(A45,PERSONAL!$B$3:$E$100,4,FALSE)</f>
        <v>98122</v>
      </c>
      <c r="F45" s="30">
        <v>2</v>
      </c>
      <c r="G45" s="40">
        <f t="shared" si="3"/>
        <v>196244</v>
      </c>
      <c r="H45" s="35">
        <f>+H44</f>
        <v>136</v>
      </c>
      <c r="I45" s="33">
        <f t="shared" si="4"/>
        <v>1443</v>
      </c>
      <c r="J45" s="33">
        <f t="shared" si="5"/>
        <v>1443</v>
      </c>
    </row>
    <row r="46" spans="1:10" s="39" customFormat="1" ht="13.9" customHeight="1" x14ac:dyDescent="0.25">
      <c r="A46" s="1558" t="str">
        <f>+PERSONAL!B19</f>
        <v>JEFE DE CUADRILLA NOCTURNO</v>
      </c>
      <c r="B46" s="1559"/>
      <c r="C46" s="1559"/>
      <c r="D46" s="1560"/>
      <c r="E46" s="40">
        <f>+VLOOKUP(A46,PERSONAL!$B$3:$E$100,4,FALSE)</f>
        <v>213741</v>
      </c>
      <c r="F46" s="30">
        <v>1</v>
      </c>
      <c r="G46" s="40">
        <f t="shared" si="3"/>
        <v>213741</v>
      </c>
      <c r="H46" s="35">
        <f>+H45</f>
        <v>136</v>
      </c>
      <c r="I46" s="33">
        <f t="shared" si="4"/>
        <v>1572</v>
      </c>
      <c r="J46" s="33">
        <f t="shared" si="5"/>
        <v>1572</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5293</v>
      </c>
    </row>
    <row r="50" spans="1:10" ht="13.9" customHeight="1" x14ac:dyDescent="0.25"/>
    <row r="51" spans="1:10" ht="13.9" customHeight="1" x14ac:dyDescent="0.25">
      <c r="E51" s="41" t="s">
        <v>276</v>
      </c>
      <c r="I51" s="42">
        <f>+J49+J39+J32+J18</f>
        <v>39986</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codeName="Hoja45">
    <tabColor theme="5" tint="-0.249977111117893"/>
  </sheetPr>
  <dimension ref="A1:J55"/>
  <sheetViews>
    <sheetView topLeftCell="A29"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39</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 xml:space="preserve">Suministro y Aplicación de pintura Acrílica base solvente marcas viales con microesfera, con antideslizante, espesor seco 9 mils y 51% de solidos por volumen, incluye pictogramas.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1000</v>
      </c>
      <c r="I11" s="33">
        <f>IFERROR((G11/H11),"")</f>
        <v>70.261250000000004</v>
      </c>
      <c r="J11" s="33">
        <f>ROUND(I11,0)</f>
        <v>70</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1000</v>
      </c>
      <c r="I12" s="33">
        <f t="shared" ref="I12:I14" si="0">IFERROR((G12/H12),0)</f>
        <v>7.9999399999999996</v>
      </c>
      <c r="J12" s="33">
        <f t="shared" ref="J12:J15" si="1">ROUND(I12,0)</f>
        <v>8</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1000</v>
      </c>
      <c r="I13" s="33">
        <f>IFERROR((G13/H13),0)</f>
        <v>13.222</v>
      </c>
      <c r="J13" s="33">
        <f t="shared" si="1"/>
        <v>13</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1000</v>
      </c>
      <c r="I14" s="33">
        <f t="shared" si="0"/>
        <v>1.70875</v>
      </c>
      <c r="J14" s="33">
        <f t="shared" si="1"/>
        <v>2</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172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'!B71</f>
        <v>PINTURA ACRÍLICA BASE SOLVENTE BLANCA Y AMARILLA</v>
      </c>
      <c r="B22" s="1569"/>
      <c r="C22" s="1569"/>
      <c r="D22" s="1569"/>
      <c r="E22" s="1569"/>
      <c r="F22" s="1570"/>
      <c r="G22" s="29" t="s">
        <v>114</v>
      </c>
      <c r="H22" s="37">
        <f>0.16*0.2</f>
        <v>3.2000000000000001E-2</v>
      </c>
      <c r="I22" s="33">
        <f>+IFERROR(VLOOKUP(A22,'INSUMOS '!$B$2:$AP$167,'INSUMOS '!$AO$2+1,FALSE),0)</f>
        <v>124586.33333333333</v>
      </c>
      <c r="J22" s="33">
        <f>ROUND(I22*H22,0)</f>
        <v>3987</v>
      </c>
    </row>
    <row r="23" spans="1:10" ht="13.9" customHeight="1" x14ac:dyDescent="0.25">
      <c r="A23" s="1558" t="str">
        <f>+'INSUMOS '!B40</f>
        <v>DISOLVENTE AJUSTADOR LENTO XILOL</v>
      </c>
      <c r="B23" s="1559"/>
      <c r="C23" s="1559"/>
      <c r="D23" s="1559"/>
      <c r="E23" s="1559"/>
      <c r="F23" s="1560"/>
      <c r="G23" s="29" t="s">
        <v>114</v>
      </c>
      <c r="H23" s="47">
        <f>H22*0.03</f>
        <v>9.6000000000000002E-4</v>
      </c>
      <c r="I23" s="33">
        <f>+IFERROR(VLOOKUP(A23,'INSUMOS '!$B$2:$AP$167,'INSUMOS '!$AO$2+1,FALSE),0)</f>
        <v>73200</v>
      </c>
      <c r="J23" s="33">
        <f t="shared" ref="J23:J26" si="2">ROUND(I23*H23,0)</f>
        <v>70</v>
      </c>
    </row>
    <row r="24" spans="1:10" ht="13.9" customHeight="1" x14ac:dyDescent="0.25">
      <c r="A24" s="1558" t="str">
        <f>+'INSUMOS '!B59</f>
        <v>MICROESFERA DE VIDRIO  (ESFERICIDAD MAYOR A 80%)</v>
      </c>
      <c r="B24" s="1559"/>
      <c r="C24" s="1559"/>
      <c r="D24" s="1559"/>
      <c r="E24" s="1559"/>
      <c r="F24" s="1560"/>
      <c r="G24" s="29" t="s">
        <v>6</v>
      </c>
      <c r="H24" s="35">
        <f>370*0.2*1/1000</f>
        <v>7.3999999999999996E-2</v>
      </c>
      <c r="I24" s="33">
        <f>+IFERROR(VLOOKUP(A24,'INSUMOS '!$B$2:$AP$167,'INSUMOS '!$AO$2+1,FALSE),0)</f>
        <v>7449</v>
      </c>
      <c r="J24" s="33">
        <f t="shared" si="2"/>
        <v>551</v>
      </c>
    </row>
    <row r="25" spans="1:10" ht="13.9" customHeight="1" x14ac:dyDescent="0.25">
      <c r="A25" s="1568" t="str">
        <f>+'INSUMOS '!B9</f>
        <v>ANTIDESLIZANTE – SUPER GRIP</v>
      </c>
      <c r="B25" s="1569"/>
      <c r="C25" s="1569"/>
      <c r="D25" s="1569"/>
      <c r="E25" s="1569"/>
      <c r="F25" s="1570"/>
      <c r="G25" s="29" t="s">
        <v>6</v>
      </c>
      <c r="H25" s="35">
        <f>0.04</f>
        <v>0.04</v>
      </c>
      <c r="I25" s="33">
        <f>+IFERROR(VLOOKUP(A25,'INSUMOS '!$B$2:$AP$167,'INSUMOS '!$AO$2+1,FALSE),0)</f>
        <v>39270</v>
      </c>
      <c r="J25" s="33">
        <f t="shared" si="2"/>
        <v>1571</v>
      </c>
    </row>
    <row r="26" spans="1:10" ht="13.9" customHeight="1" x14ac:dyDescent="0.25">
      <c r="A26" s="1558" t="s">
        <v>333</v>
      </c>
      <c r="B26" s="1559"/>
      <c r="C26" s="1559"/>
      <c r="D26" s="1559"/>
      <c r="E26" s="1559"/>
      <c r="F26" s="1560"/>
      <c r="G26" s="29"/>
      <c r="H26" s="74">
        <v>0.05</v>
      </c>
      <c r="I26" s="31">
        <f>+SUM(J22:J25)</f>
        <v>6179</v>
      </c>
      <c r="J26" s="33">
        <f t="shared" si="2"/>
        <v>309</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6488</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(1/(H11*8))/12</f>
        <v>1.0416666666666666E-5</v>
      </c>
      <c r="H36" s="33">
        <f>+IFERROR(VLOOKUP(A36,'EQUIPOS '!$B$3:$M$78,12,FALSE),0)</f>
        <v>611492.5</v>
      </c>
      <c r="I36" s="33">
        <f>IFERROR(H36*G36,0)</f>
        <v>6.3697135416666661</v>
      </c>
      <c r="J36" s="33">
        <f>ROUND(I36,0)</f>
        <v>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8000</v>
      </c>
      <c r="I43" s="33">
        <f>IFERROR(ROUND(G43/H43,0),0)</f>
        <v>36</v>
      </c>
      <c r="J43" s="33">
        <f>+I43</f>
        <v>36</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8000</v>
      </c>
      <c r="I44" s="33">
        <f>IFERROR(ROUND(G44/H44,0),0)</f>
        <v>31</v>
      </c>
      <c r="J44" s="33">
        <f>+I44</f>
        <v>31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8000</v>
      </c>
      <c r="I45" s="33">
        <f>IFERROR(ROUND(G45/H45,0),0)</f>
        <v>25</v>
      </c>
      <c r="J45" s="33">
        <f>+I45</f>
        <v>25</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8000</v>
      </c>
      <c r="I46" s="33">
        <f>IFERROR(ROUND(G46/H46,0),0)</f>
        <v>27</v>
      </c>
      <c r="J46" s="33">
        <f>+I46</f>
        <v>27</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119</v>
      </c>
    </row>
    <row r="50" spans="1:10" ht="13.9" customHeight="1" x14ac:dyDescent="0.25"/>
    <row r="51" spans="1:10" ht="13.9" customHeight="1" x14ac:dyDescent="0.25">
      <c r="E51" s="41" t="s">
        <v>276</v>
      </c>
      <c r="I51" s="42">
        <f>+J49+J39+J32+J18</f>
        <v>6785</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codeName="Hoja44">
    <tabColor theme="5" tint="-0.249977111117893"/>
  </sheetPr>
  <dimension ref="A1:J55"/>
  <sheetViews>
    <sheetView topLeftCell="A31" workbookViewId="0">
      <selection activeCell="N19" sqref="N19"/>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37</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de pintura Acrílica solvente 15 cm para líneas de demarcación, con microesfera, con antideslizante, espesor seco 9 mils y 51% sólidos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1000</v>
      </c>
      <c r="I11" s="33">
        <f>IFERROR((G11/H11),"")</f>
        <v>70.261250000000004</v>
      </c>
      <c r="J11" s="33">
        <f>ROUND(I11,0)</f>
        <v>70</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1000</v>
      </c>
      <c r="I12" s="33">
        <f t="shared" ref="I12:I14" si="0">IFERROR((G12/H12),0)</f>
        <v>7.9999399999999996</v>
      </c>
      <c r="J12" s="33">
        <f t="shared" ref="J12:J15" si="1">ROUND(I12,0)</f>
        <v>8</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1000</v>
      </c>
      <c r="I13" s="33">
        <f>IFERROR((G13/H13),0)</f>
        <v>13.222</v>
      </c>
      <c r="J13" s="33">
        <f t="shared" si="1"/>
        <v>13</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1000</v>
      </c>
      <c r="I14" s="33">
        <f t="shared" si="0"/>
        <v>1.70875</v>
      </c>
      <c r="J14" s="33">
        <f t="shared" si="1"/>
        <v>2</v>
      </c>
    </row>
    <row r="15" spans="1:10"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172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'!B71</f>
        <v>PINTURA ACRÍLICA BASE SOLVENTE BLANCA Y AMARILLA</v>
      </c>
      <c r="B22" s="1569"/>
      <c r="C22" s="1569"/>
      <c r="D22" s="1569"/>
      <c r="E22" s="1569"/>
      <c r="F22" s="1570"/>
      <c r="G22" s="29" t="s">
        <v>114</v>
      </c>
      <c r="H22" s="37">
        <f>0.16*0.15</f>
        <v>2.4E-2</v>
      </c>
      <c r="I22" s="33">
        <f>+IFERROR(VLOOKUP(A22,'INSUMOS '!$B$2:$AP$167,'INSUMOS '!$AO$2+1,FALSE),0)</f>
        <v>124586.33333333333</v>
      </c>
      <c r="J22" s="33">
        <f>ROUND(I22*H22,0)</f>
        <v>2990</v>
      </c>
    </row>
    <row r="23" spans="1:10" ht="13.9" customHeight="1" x14ac:dyDescent="0.25">
      <c r="A23" s="1558" t="str">
        <f>+'INSUMOS '!B40</f>
        <v>DISOLVENTE AJUSTADOR LENTO XILOL</v>
      </c>
      <c r="B23" s="1559"/>
      <c r="C23" s="1559"/>
      <c r="D23" s="1559"/>
      <c r="E23" s="1559"/>
      <c r="F23" s="1560"/>
      <c r="G23" s="29" t="s">
        <v>114</v>
      </c>
      <c r="H23" s="47">
        <f>H22*0.03</f>
        <v>7.1999999999999994E-4</v>
      </c>
      <c r="I23" s="33">
        <f>+IFERROR(VLOOKUP(A23,'INSUMOS '!$B$2:$AP$167,'INSUMOS '!$AO$2+1,FALSE),0)</f>
        <v>73200</v>
      </c>
      <c r="J23" s="33">
        <f t="shared" ref="J23:J26" si="2">ROUND(I23*H23,0)</f>
        <v>53</v>
      </c>
    </row>
    <row r="24" spans="1:10" ht="13.9" customHeight="1" x14ac:dyDescent="0.25">
      <c r="A24" s="1558" t="str">
        <f>+'INSUMOS '!B59</f>
        <v>MICROESFERA DE VIDRIO  (ESFERICIDAD MAYOR A 80%)</v>
      </c>
      <c r="B24" s="1559"/>
      <c r="C24" s="1559"/>
      <c r="D24" s="1559"/>
      <c r="E24" s="1559"/>
      <c r="F24" s="1560"/>
      <c r="G24" s="29" t="s">
        <v>6</v>
      </c>
      <c r="H24" s="35">
        <f>370*0.15*1/1000</f>
        <v>5.5500000000000001E-2</v>
      </c>
      <c r="I24" s="33">
        <f>+IFERROR(VLOOKUP(A24,'INSUMOS '!$B$2:$AP$167,'INSUMOS '!$AO$2+1,FALSE),0)</f>
        <v>7449</v>
      </c>
      <c r="J24" s="33">
        <f t="shared" si="2"/>
        <v>413</v>
      </c>
    </row>
    <row r="25" spans="1:10" ht="13.9" customHeight="1" x14ac:dyDescent="0.25">
      <c r="A25" s="1568" t="str">
        <f>+'INSUMOS '!B9</f>
        <v>ANTIDESLIZANTE – SUPER GRIP</v>
      </c>
      <c r="B25" s="1569"/>
      <c r="C25" s="1569"/>
      <c r="D25" s="1569"/>
      <c r="E25" s="1569"/>
      <c r="F25" s="1570"/>
      <c r="G25" s="29" t="s">
        <v>6</v>
      </c>
      <c r="H25" s="35">
        <f>0.03</f>
        <v>0.03</v>
      </c>
      <c r="I25" s="33">
        <f>+IFERROR(VLOOKUP(A25,'INSUMOS '!$B$2:$AP$167,'INSUMOS '!$AO$2+1,FALSE),0)</f>
        <v>39270</v>
      </c>
      <c r="J25" s="33">
        <f t="shared" si="2"/>
        <v>1178</v>
      </c>
    </row>
    <row r="26" spans="1:10" ht="13.9" customHeight="1" x14ac:dyDescent="0.25">
      <c r="A26" s="1558" t="s">
        <v>333</v>
      </c>
      <c r="B26" s="1559"/>
      <c r="C26" s="1559"/>
      <c r="D26" s="1559"/>
      <c r="E26" s="1559"/>
      <c r="F26" s="1560"/>
      <c r="G26" s="29"/>
      <c r="H26" s="74">
        <v>0.05</v>
      </c>
      <c r="I26" s="31">
        <f>+SUM(J22:J25)</f>
        <v>4634</v>
      </c>
      <c r="J26" s="33">
        <f t="shared" si="2"/>
        <v>232</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4866</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90">
        <f>(1/(H11*8))/12</f>
        <v>1.0416666666666666E-5</v>
      </c>
      <c r="H36" s="33">
        <f>+IFERROR(VLOOKUP(A36,'EQUIPOS '!$B$3:$M$78,12,FALSE),0)</f>
        <v>611492.5</v>
      </c>
      <c r="I36" s="33">
        <f>IFERROR(H36*G36,0)</f>
        <v>6.3697135416666661</v>
      </c>
      <c r="J36" s="33">
        <f>ROUND(I36,0)</f>
        <v>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+E43*F43</f>
        <v>286098</v>
      </c>
      <c r="H43" s="35">
        <f>IFERROR(H11*8,0)</f>
        <v>8000</v>
      </c>
      <c r="I43" s="33">
        <f>IFERROR(ROUND(G43/H43,0),0)</f>
        <v>36</v>
      </c>
      <c r="J43" s="33">
        <f>+I43</f>
        <v>36</v>
      </c>
    </row>
    <row r="44" spans="1:10" s="39" customFormat="1" ht="13.9" customHeight="1" x14ac:dyDescent="0.25">
      <c r="A44" s="1558" t="str">
        <f>+PERSONAL!B6</f>
        <v>AYUDANTE NOCTURNO</v>
      </c>
      <c r="B44" s="1559"/>
      <c r="C44" s="1559"/>
      <c r="D44" s="1560"/>
      <c r="E44" s="40">
        <f>+VLOOKUP(A44,PERSONAL!$B$3:$E$100,4,FALSE)</f>
        <v>83383</v>
      </c>
      <c r="F44" s="30">
        <v>3</v>
      </c>
      <c r="G44" s="40">
        <f>+E44*F44</f>
        <v>250149</v>
      </c>
      <c r="H44" s="35">
        <f>+H43</f>
        <v>8000</v>
      </c>
      <c r="I44" s="33">
        <f>IFERROR(ROUND(G44/H44,0),0)</f>
        <v>31</v>
      </c>
      <c r="J44" s="33">
        <f>+I44</f>
        <v>31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8000</v>
      </c>
      <c r="I45" s="33">
        <f>IFERROR(ROUND(G45/H45,0),0)</f>
        <v>25</v>
      </c>
      <c r="J45" s="33">
        <f>+I45</f>
        <v>25</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8000</v>
      </c>
      <c r="I46" s="33">
        <f>IFERROR(ROUND(G46/H46,0),0)</f>
        <v>27</v>
      </c>
      <c r="J46" s="33">
        <f>+I46</f>
        <v>27</v>
      </c>
    </row>
    <row r="47" spans="1:10" s="39" customFormat="1" ht="13.9" customHeight="1" x14ac:dyDescent="0.25">
      <c r="A47" s="1558"/>
      <c r="B47" s="1559"/>
      <c r="C47" s="1559"/>
      <c r="D47" s="1560"/>
      <c r="E47" s="40">
        <f>IFERROR(VLOOKUP(A47,[10]PERSONAL!$A$3:$C$32,3,FALSE),0)</f>
        <v>0</v>
      </c>
      <c r="F47" s="30"/>
      <c r="G47" s="40"/>
      <c r="H47" s="35"/>
      <c r="I47" s="33"/>
      <c r="J47" s="33"/>
    </row>
    <row r="48" spans="1:10" s="39" customFormat="1" ht="13.9" customHeight="1" x14ac:dyDescent="0.25">
      <c r="A48" s="1558"/>
      <c r="B48" s="1559"/>
      <c r="C48" s="1559"/>
      <c r="D48" s="1560"/>
      <c r="E48" s="40">
        <f>IFERROR(VLOOKUP(A48,[10]PERSONAL!$A$3:$C$32,3,FALSE),0)</f>
        <v>0</v>
      </c>
      <c r="F48" s="30"/>
      <c r="G48" s="40"/>
      <c r="H48" s="35"/>
      <c r="I48" s="33"/>
      <c r="J48" s="33"/>
    </row>
    <row r="49" spans="1:10" ht="13.9" customHeight="1" x14ac:dyDescent="0.25">
      <c r="A49" s="20"/>
      <c r="B49" s="20"/>
      <c r="C49" s="20"/>
      <c r="E49" s="20"/>
      <c r="F49" s="20"/>
      <c r="G49" s="20"/>
      <c r="H49" s="20"/>
      <c r="I49" s="30" t="s">
        <v>257</v>
      </c>
      <c r="J49" s="34">
        <f>+SUM(J43:J48)</f>
        <v>119</v>
      </c>
    </row>
    <row r="50" spans="1:10" ht="13.9" customHeight="1" x14ac:dyDescent="0.25"/>
    <row r="51" spans="1:10" ht="13.9" customHeight="1" x14ac:dyDescent="0.25">
      <c r="E51" s="41" t="s">
        <v>276</v>
      </c>
      <c r="I51" s="42">
        <f>+J49+J39+J32+J18</f>
        <v>5163</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codeName="Hoja43">
    <tabColor theme="5" tint="-0.249977111117893"/>
  </sheetPr>
  <dimension ref="A1:M55"/>
  <sheetViews>
    <sheetView workbookViewId="0">
      <selection activeCell="L38" sqref="L38"/>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3" ht="29.25" customHeight="1" x14ac:dyDescent="0.25">
      <c r="A1" s="1574" t="s">
        <v>244</v>
      </c>
      <c r="B1" s="1575"/>
      <c r="C1" s="1575"/>
      <c r="D1" s="1575"/>
      <c r="E1" s="1575"/>
      <c r="F1" s="1575"/>
      <c r="G1" s="1575"/>
      <c r="H1" s="1575"/>
      <c r="I1" s="1575"/>
      <c r="J1" s="1575"/>
    </row>
    <row r="2" spans="1:13" ht="15" customHeight="1" x14ac:dyDescent="0.25">
      <c r="A2" s="1576" t="s">
        <v>245</v>
      </c>
      <c r="B2" s="1576"/>
      <c r="C2" s="1576"/>
      <c r="D2" s="1576"/>
      <c r="E2" s="1576"/>
      <c r="F2" s="1576"/>
      <c r="G2" s="1576"/>
      <c r="H2" s="1576"/>
      <c r="I2" s="1576"/>
      <c r="J2" s="1576"/>
    </row>
    <row r="4" spans="1:13" s="20" customFormat="1" ht="9.9499999999999993" customHeight="1" x14ac:dyDescent="0.25">
      <c r="A4" s="1577" t="s">
        <v>246</v>
      </c>
      <c r="B4" s="1577"/>
      <c r="C4" s="1577"/>
      <c r="D4" s="1577"/>
      <c r="E4" s="1577"/>
      <c r="F4" s="1577"/>
      <c r="G4" s="1577"/>
      <c r="H4" s="1577"/>
      <c r="I4" s="1577"/>
      <c r="J4" s="1577"/>
    </row>
    <row r="5" spans="1:13" s="20" customFormat="1" ht="9.9499999999999993" customHeight="1" x14ac:dyDescent="0.25">
      <c r="B5" s="21"/>
      <c r="C5" s="21"/>
      <c r="D5" s="21"/>
      <c r="E5" s="21"/>
      <c r="F5" s="21"/>
      <c r="G5" s="21"/>
    </row>
    <row r="6" spans="1:13" x14ac:dyDescent="0.25">
      <c r="A6" s="1558" t="s">
        <v>247</v>
      </c>
      <c r="B6" s="1560"/>
      <c r="C6" s="45">
        <v>36</v>
      </c>
      <c r="D6" s="8"/>
      <c r="E6" s="8"/>
      <c r="F6" s="8"/>
      <c r="G6" s="8"/>
      <c r="H6" s="46"/>
      <c r="I6" s="29" t="s">
        <v>248</v>
      </c>
      <c r="J6" s="26" t="str">
        <f>+VLOOKUP(C6,'ANEXO PLIEGO_1'!$A$7:$C$133,3,FALSE)</f>
        <v>M</v>
      </c>
    </row>
    <row r="7" spans="1:13" ht="35.1" customHeight="1" x14ac:dyDescent="0.25">
      <c r="A7" s="1568" t="s">
        <v>249</v>
      </c>
      <c r="B7" s="1570"/>
      <c r="C7" s="1578" t="str">
        <f>+VLOOKUP(C6,'ANEXO PLIEGO_1'!$A$7:$B$133,2,FALSE)</f>
        <v>Suministro y Aplicación de pintura Acrílica base solvente 12 cm para líneas de demarcación, con microesfera, con antideslizante, espesor seco 9 mils y 51% de sólidos por volumen</v>
      </c>
      <c r="D7" s="1579"/>
      <c r="E7" s="1579"/>
      <c r="F7" s="1579"/>
      <c r="G7" s="1579"/>
      <c r="H7" s="1579"/>
      <c r="I7" s="1579"/>
      <c r="J7" s="1580"/>
    </row>
    <row r="9" spans="1:13" s="27" customFormat="1" ht="12.75" x14ac:dyDescent="0.25">
      <c r="A9" s="1561" t="s">
        <v>250</v>
      </c>
      <c r="B9" s="1561"/>
      <c r="C9" s="1561"/>
      <c r="D9" s="1561"/>
      <c r="E9" s="1561"/>
      <c r="F9" s="1561"/>
      <c r="G9" s="1561"/>
      <c r="H9" s="1561"/>
    </row>
    <row r="10" spans="1:13" s="20" customFormat="1" ht="13.9" customHeight="1" x14ac:dyDescent="0.25">
      <c r="A10" s="1562" t="s">
        <v>251</v>
      </c>
      <c r="B10" s="1563"/>
      <c r="C10" s="1563"/>
      <c r="D10" s="1564"/>
      <c r="E10" s="28" t="s">
        <v>252</v>
      </c>
      <c r="F10" s="28" t="s">
        <v>253</v>
      </c>
      <c r="G10" s="28" t="s">
        <v>254</v>
      </c>
      <c r="H10" s="28" t="s">
        <v>255</v>
      </c>
      <c r="I10" s="28" t="s">
        <v>256</v>
      </c>
      <c r="J10" s="28" t="s">
        <v>257</v>
      </c>
    </row>
    <row r="11" spans="1:13"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1000</v>
      </c>
      <c r="I11" s="33">
        <f>IFERROR((G11/H11),"")</f>
        <v>70.261250000000004</v>
      </c>
      <c r="J11" s="33">
        <f>ROUND(I11,0)</f>
        <v>70</v>
      </c>
      <c r="M11" s="20">
        <f>25/0.12</f>
        <v>208.33333333333334</v>
      </c>
    </row>
    <row r="12" spans="1:13"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1000</v>
      </c>
      <c r="I12" s="33">
        <f t="shared" ref="I12:I17" si="0">IFERROR((G12/H12),0)</f>
        <v>7.9999399999999996</v>
      </c>
      <c r="J12" s="33">
        <f t="shared" ref="J12:J17" si="1">ROUND(I12,0)</f>
        <v>8</v>
      </c>
    </row>
    <row r="13" spans="1:13"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1000</v>
      </c>
      <c r="I13" s="33">
        <f>IFERROR((G13/H13),0)</f>
        <v>13.222</v>
      </c>
      <c r="J13" s="33">
        <f t="shared" si="1"/>
        <v>13</v>
      </c>
    </row>
    <row r="14" spans="1:13"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1000</v>
      </c>
      <c r="I14" s="33">
        <f t="shared" si="0"/>
        <v>1.70875</v>
      </c>
      <c r="J14" s="33">
        <f t="shared" si="1"/>
        <v>2</v>
      </c>
    </row>
    <row r="15" spans="1:13" s="20" customFormat="1" ht="13.9" customHeight="1" x14ac:dyDescent="0.25">
      <c r="A15" s="1558" t="str">
        <f>+'EQUIPOS '!B12</f>
        <v>EQUIPO APLICACIÓN ALÚMINA ANTIDESLIZANTE</v>
      </c>
      <c r="B15" s="1559"/>
      <c r="C15" s="1559"/>
      <c r="D15" s="1560"/>
      <c r="E15" s="29" t="s">
        <v>266</v>
      </c>
      <c r="F15" s="30" t="s">
        <v>287</v>
      </c>
      <c r="G15" s="29">
        <f>+VLOOKUP(A15,'EQUIPOS '!$B$3:$M$64,12,FALSE)</f>
        <v>15883.05</v>
      </c>
      <c r="H15" s="30">
        <v>200</v>
      </c>
      <c r="I15" s="33">
        <f>IFERROR((G15/H15),0)</f>
        <v>79.41525</v>
      </c>
      <c r="J15" s="33">
        <f t="shared" si="1"/>
        <v>79</v>
      </c>
    </row>
    <row r="16" spans="1:13"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f t="shared" si="0"/>
        <v>0</v>
      </c>
      <c r="J16" s="33">
        <f t="shared" si="1"/>
        <v>0</v>
      </c>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f t="shared" si="0"/>
        <v>0</v>
      </c>
      <c r="J17" s="33">
        <f t="shared" si="1"/>
        <v>0</v>
      </c>
    </row>
    <row r="18" spans="1:10" s="20" customFormat="1" ht="13.9" customHeight="1" x14ac:dyDescent="0.25">
      <c r="I18" s="30" t="s">
        <v>257</v>
      </c>
      <c r="J18" s="34">
        <f>+SUM(J11:J17)</f>
        <v>172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'!B71</f>
        <v>PINTURA ACRÍLICA BASE SOLVENTE BLANCA Y AMARILLA</v>
      </c>
      <c r="B22" s="1569"/>
      <c r="C22" s="1569"/>
      <c r="D22" s="1569"/>
      <c r="E22" s="1569"/>
      <c r="F22" s="1570"/>
      <c r="G22" s="29" t="s">
        <v>114</v>
      </c>
      <c r="H22" s="37">
        <f>0.16*0.12</f>
        <v>1.9199999999999998E-2</v>
      </c>
      <c r="I22" s="33">
        <f>+IFERROR(VLOOKUP(A22,'INSUMOS '!$B$2:$AP$167,'INSUMOS '!$AO$2+1,FALSE),0)</f>
        <v>124586.33333333333</v>
      </c>
      <c r="J22" s="33">
        <f>ROUND(I22*H22,0)</f>
        <v>2392</v>
      </c>
    </row>
    <row r="23" spans="1:10" ht="13.9" customHeight="1" x14ac:dyDescent="0.25">
      <c r="A23" s="1558" t="str">
        <f>+'INSUMOS '!B40</f>
        <v>DISOLVENTE AJUSTADOR LENTO XILOL</v>
      </c>
      <c r="B23" s="1559"/>
      <c r="C23" s="1559"/>
      <c r="D23" s="1559"/>
      <c r="E23" s="1559"/>
      <c r="F23" s="1560"/>
      <c r="G23" s="29" t="s">
        <v>114</v>
      </c>
      <c r="H23" s="47">
        <f>0.01*0.12</f>
        <v>1.1999999999999999E-3</v>
      </c>
      <c r="I23" s="33">
        <f>+IFERROR(VLOOKUP(A23,'INSUMOS '!$B$2:$AP$167,'INSUMOS '!$AO$2+1,FALSE),0)</f>
        <v>73200</v>
      </c>
      <c r="J23" s="33">
        <f t="shared" ref="J23:J26" si="2">ROUND(I23*H23,0)</f>
        <v>88</v>
      </c>
    </row>
    <row r="24" spans="1:10" ht="13.9" customHeight="1" x14ac:dyDescent="0.25">
      <c r="A24" s="1558" t="str">
        <f>+'INSUMOS '!B59</f>
        <v>MICROESFERA DE VIDRIO  (ESFERICIDAD MAYOR A 80%)</v>
      </c>
      <c r="B24" s="1559"/>
      <c r="C24" s="1559"/>
      <c r="D24" s="1559"/>
      <c r="E24" s="1559"/>
      <c r="F24" s="1560"/>
      <c r="G24" s="29" t="s">
        <v>6</v>
      </c>
      <c r="H24" s="35">
        <f>370*0.12*1/1000</f>
        <v>4.4400000000000002E-2</v>
      </c>
      <c r="I24" s="33">
        <f>+IFERROR(VLOOKUP(A24,'INSUMOS '!$B$2:$AP$167,'INSUMOS '!$AO$2+1,FALSE),0)</f>
        <v>7449</v>
      </c>
      <c r="J24" s="33">
        <f t="shared" si="2"/>
        <v>331</v>
      </c>
    </row>
    <row r="25" spans="1:10" ht="13.9" customHeight="1" x14ac:dyDescent="0.25">
      <c r="A25" s="1568" t="str">
        <f>+'INSUMOS '!B9</f>
        <v>ANTIDESLIZANTE – SUPER GRIP</v>
      </c>
      <c r="B25" s="1569"/>
      <c r="C25" s="1569"/>
      <c r="D25" s="1569"/>
      <c r="E25" s="1569"/>
      <c r="F25" s="1570"/>
      <c r="G25" s="29" t="s">
        <v>6</v>
      </c>
      <c r="H25" s="35">
        <f>0.024</f>
        <v>2.4E-2</v>
      </c>
      <c r="I25" s="33">
        <f>+IFERROR(VLOOKUP(A25,'INSUMOS '!$B$2:$AP$167,'INSUMOS '!$AO$2+1,FALSE),0)</f>
        <v>39270</v>
      </c>
      <c r="J25" s="33">
        <f t="shared" ref="J25" si="3">ROUND(I25*H25,0)</f>
        <v>942</v>
      </c>
    </row>
    <row r="26" spans="1:10" ht="13.9" customHeight="1" x14ac:dyDescent="0.25">
      <c r="A26" s="1558" t="s">
        <v>333</v>
      </c>
      <c r="B26" s="1559"/>
      <c r="C26" s="1559"/>
      <c r="D26" s="1559"/>
      <c r="E26" s="1559"/>
      <c r="F26" s="1560"/>
      <c r="G26" s="29"/>
      <c r="H26" s="74">
        <v>0.05</v>
      </c>
      <c r="I26" s="31">
        <f>+SUM(J22:J25)</f>
        <v>3753</v>
      </c>
      <c r="J26" s="33">
        <f t="shared" si="2"/>
        <v>188</v>
      </c>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3941</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91">
        <f>(1/(H11*8))/12</f>
        <v>1.0416666666666666E-5</v>
      </c>
      <c r="H36" s="33">
        <f>+IFERROR(VLOOKUP(A36,'EQUIPOS '!$B$3:$M$78,12,FALSE),0)</f>
        <v>611492.5</v>
      </c>
      <c r="I36" s="33">
        <f>IFERROR(H36*G36,0)</f>
        <v>6.3697135416666661</v>
      </c>
      <c r="J36" s="33">
        <f>ROUND(I36,0)</f>
        <v>6</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6</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2</v>
      </c>
      <c r="G43" s="40">
        <f t="shared" ref="G43:G46" si="4">+E43*F43</f>
        <v>286098</v>
      </c>
      <c r="H43" s="35">
        <f>IFERROR(H11*8,0)</f>
        <v>8000</v>
      </c>
      <c r="I43" s="33">
        <f t="shared" ref="I43:I46" si="5">IFERROR(ROUND(G43/H43,0),0)</f>
        <v>36</v>
      </c>
      <c r="J43" s="33">
        <f t="shared" ref="J43:J46" si="6">+I43</f>
        <v>36</v>
      </c>
    </row>
    <row r="44" spans="1:10" s="39" customFormat="1" ht="13.9" customHeight="1" x14ac:dyDescent="0.25">
      <c r="A44" s="1558" t="str">
        <f>+PERSONAL!B6</f>
        <v>AYUDANTE NOCTURNO</v>
      </c>
      <c r="B44" s="1559"/>
      <c r="C44" s="1559"/>
      <c r="D44" s="1560"/>
      <c r="E44" s="40">
        <f>+VLOOKUP(A44,PERSONAL!$B$3:$E$100,4,FALSE)</f>
        <v>83383</v>
      </c>
      <c r="F44" s="1371">
        <v>3</v>
      </c>
      <c r="G44" s="40">
        <f t="shared" si="4"/>
        <v>250149</v>
      </c>
      <c r="H44" s="35">
        <f>+H43</f>
        <v>8000</v>
      </c>
      <c r="I44" s="33">
        <f t="shared" si="5"/>
        <v>31</v>
      </c>
      <c r="J44" s="33">
        <f t="shared" si="6"/>
        <v>31</v>
      </c>
    </row>
    <row r="45" spans="1:10" s="39" customFormat="1" ht="13.9" customHeight="1" x14ac:dyDescent="0.25">
      <c r="A45" s="1558" t="str">
        <f>+PERSONAL!B4</f>
        <v>AUXILIAR DE TRÁFICO NOCTURNO</v>
      </c>
      <c r="B45" s="1559"/>
      <c r="C45" s="1559"/>
      <c r="D45" s="1560"/>
      <c r="E45" s="40">
        <f>+VLOOKUP(A45,PERSONAL!$B$3:$E$100,4,FALSE)</f>
        <v>98122</v>
      </c>
      <c r="F45" s="30">
        <v>2</v>
      </c>
      <c r="G45" s="40">
        <f t="shared" si="4"/>
        <v>196244</v>
      </c>
      <c r="H45" s="35">
        <f>+H44</f>
        <v>8000</v>
      </c>
      <c r="I45" s="33">
        <f t="shared" si="5"/>
        <v>25</v>
      </c>
      <c r="J45" s="33">
        <f t="shared" si="6"/>
        <v>25</v>
      </c>
    </row>
    <row r="46" spans="1:10" s="39" customFormat="1" ht="13.9" customHeight="1" x14ac:dyDescent="0.25">
      <c r="A46" s="1558" t="str">
        <f>+PERSONAL!B19</f>
        <v>JEFE DE CUADRILLA NOCTURNO</v>
      </c>
      <c r="B46" s="1559"/>
      <c r="C46" s="1559"/>
      <c r="D46" s="1560"/>
      <c r="E46" s="40">
        <f>+VLOOKUP(A46,PERSONAL!$B$3:$E$100,4,FALSE)</f>
        <v>213741</v>
      </c>
      <c r="F46" s="30">
        <v>1</v>
      </c>
      <c r="G46" s="40">
        <f t="shared" si="4"/>
        <v>213741</v>
      </c>
      <c r="H46" s="35">
        <f>+H45</f>
        <v>8000</v>
      </c>
      <c r="I46" s="33">
        <f t="shared" si="5"/>
        <v>27</v>
      </c>
      <c r="J46" s="33">
        <f t="shared" si="6"/>
        <v>27</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119</v>
      </c>
    </row>
    <row r="50" spans="1:10" ht="13.9" customHeight="1" x14ac:dyDescent="0.25"/>
    <row r="51" spans="1:10" ht="13.9" customHeight="1" x14ac:dyDescent="0.25">
      <c r="E51" s="41" t="s">
        <v>276</v>
      </c>
      <c r="I51" s="42">
        <f>+J49+J39+J32+J18</f>
        <v>4238</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codeName="Hoja42">
    <tabColor theme="5" tint="-0.249977111117893"/>
  </sheetPr>
  <dimension ref="A1:J55"/>
  <sheetViews>
    <sheetView topLeftCell="A28"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35</v>
      </c>
      <c r="D6" s="8"/>
      <c r="E6" s="8"/>
      <c r="F6" s="8"/>
      <c r="G6" s="8"/>
      <c r="H6" s="46"/>
      <c r="I6" s="29" t="s">
        <v>248</v>
      </c>
      <c r="J6" s="26" t="str">
        <f>+VLOOKUP(C6,'ANEXO PLIEGO_1'!$A$7:$C$133,3,FALSE)</f>
        <v>M2</v>
      </c>
    </row>
    <row r="7" spans="1:10" ht="35.1" customHeight="1" x14ac:dyDescent="0.25">
      <c r="A7" s="1568" t="s">
        <v>249</v>
      </c>
      <c r="B7" s="1570"/>
      <c r="C7" s="1578" t="str">
        <f>+VLOOKUP(C6,'ANEXO PLIEGO_1'!$A$7:$B$133,2,FALSE)</f>
        <v>Suministro y Aplicación de Pintura de tráfico base agua negra m2. espesor seco 9 mils y 60% de solidos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'!B19</f>
        <v>EQUIPO MANUAL DE PINTURA ACRÍLICA</v>
      </c>
      <c r="B11" s="1559"/>
      <c r="C11" s="1559"/>
      <c r="D11" s="1560"/>
      <c r="E11" s="29" t="s">
        <v>202</v>
      </c>
      <c r="F11" s="30" t="str">
        <f>IFERROR(VLOOKUP(A11,'[10]EQUIPOS TRANSPOR SALARIO'!$A$3:$G$42,2,FALSE),"")</f>
        <v>Airless</v>
      </c>
      <c r="G11" s="29">
        <f>+VLOOKUP(A11,'EQUIPOS '!$B$3:$M$64,12,FALSE)</f>
        <v>7636.68</v>
      </c>
      <c r="H11" s="30">
        <v>25</v>
      </c>
      <c r="I11" s="33">
        <f>IFERROR((G11/H11),"")</f>
        <v>305.46719999999999</v>
      </c>
      <c r="J11" s="33">
        <f>ROUND(I11,0)</f>
        <v>305</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25</v>
      </c>
      <c r="I12" s="33">
        <f t="shared" ref="I12" si="0">IFERROR((G12/H12),0)</f>
        <v>319.99759999999998</v>
      </c>
      <c r="J12" s="33">
        <f t="shared" ref="J12:J14" si="1">ROUND(I12,0)</f>
        <v>320</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25</v>
      </c>
      <c r="I13" s="33">
        <f>IFERROR((G13/H13),0)</f>
        <v>528.88</v>
      </c>
      <c r="J13" s="33">
        <f t="shared" si="1"/>
        <v>529</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25</v>
      </c>
      <c r="I14" s="33">
        <f>IFERROR((G14/H14),0)</f>
        <v>68.349999999999994</v>
      </c>
      <c r="J14" s="33">
        <f t="shared" si="1"/>
        <v>68</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1222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'!B70</f>
        <v>PINTURA ACRÍLICA BASE DE AGUA NEGRA</v>
      </c>
      <c r="B22" s="1569"/>
      <c r="C22" s="1569"/>
      <c r="D22" s="1569"/>
      <c r="E22" s="1569"/>
      <c r="F22" s="1570"/>
      <c r="G22" s="29" t="s">
        <v>114</v>
      </c>
      <c r="H22" s="37">
        <v>0.16</v>
      </c>
      <c r="I22" s="33">
        <f>+IFERROR(VLOOKUP(A22,'INSUMOS '!$B$2:$AP$167,'INSUMOS '!$AO$2+1,FALSE),0)</f>
        <v>104990</v>
      </c>
      <c r="J22" s="33">
        <f>ROUND(I22*H22,0)</f>
        <v>16798</v>
      </c>
    </row>
    <row r="23" spans="1:10" ht="13.9" customHeight="1" x14ac:dyDescent="0.25">
      <c r="A23" s="1558"/>
      <c r="B23" s="1559"/>
      <c r="C23" s="1559"/>
      <c r="D23" s="1559"/>
      <c r="E23" s="1559"/>
      <c r="F23" s="1560"/>
      <c r="G23" s="29"/>
      <c r="H23" s="47"/>
      <c r="I23" s="31"/>
      <c r="J23" s="33"/>
    </row>
    <row r="24" spans="1:10" ht="13.9" customHeight="1" x14ac:dyDescent="0.25">
      <c r="A24" s="1558" t="s">
        <v>333</v>
      </c>
      <c r="B24" s="1559"/>
      <c r="C24" s="1559"/>
      <c r="D24" s="1559"/>
      <c r="E24" s="1559"/>
      <c r="F24" s="1560"/>
      <c r="G24" s="29"/>
      <c r="H24" s="74">
        <v>0.05</v>
      </c>
      <c r="I24" s="31">
        <f>+SUM(J22:J23)</f>
        <v>16798</v>
      </c>
      <c r="J24" s="33">
        <f t="shared" ref="J24" si="2">ROUND(I24*H24,0)</f>
        <v>840</v>
      </c>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17638</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7">
        <f>+H11*8*12</f>
        <v>2400</v>
      </c>
      <c r="H36" s="33">
        <f>+IFERROR(VLOOKUP(A36,'EQUIPOS '!$B$3:$M$78,12,FALSE),0)</f>
        <v>611492.5</v>
      </c>
      <c r="I36" s="33">
        <f>IFERROR(H36/G36,0)</f>
        <v>254.78854166666667</v>
      </c>
      <c r="J36" s="33">
        <f>ROUND(I36,0)</f>
        <v>255</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255</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 t="shared" ref="G43:G46" si="3">+E43*F43</f>
        <v>143049</v>
      </c>
      <c r="H43" s="35">
        <f>IFERROR(H11*8,0)</f>
        <v>200</v>
      </c>
      <c r="I43" s="33">
        <f t="shared" ref="I43:I46" si="4">IFERROR(ROUND(G43/H43,0),0)</f>
        <v>715</v>
      </c>
      <c r="J43" s="33">
        <f t="shared" ref="J43:J46" si="5">+I43</f>
        <v>715</v>
      </c>
    </row>
    <row r="44" spans="1:10" s="39" customFormat="1" ht="13.9" customHeight="1" x14ac:dyDescent="0.25">
      <c r="A44" s="1558" t="str">
        <f>+PERSONAL!B6</f>
        <v>AYUDANTE NOCTURNO</v>
      </c>
      <c r="B44" s="1559"/>
      <c r="C44" s="1559"/>
      <c r="D44" s="1560"/>
      <c r="E44" s="40">
        <f>+VLOOKUP(A44,PERSONAL!$B$3:$E$100,4,FALSE)</f>
        <v>83383</v>
      </c>
      <c r="F44" s="30">
        <v>1</v>
      </c>
      <c r="G44" s="40">
        <f t="shared" si="3"/>
        <v>83383</v>
      </c>
      <c r="H44" s="35">
        <f>+H43</f>
        <v>200</v>
      </c>
      <c r="I44" s="33">
        <f t="shared" si="4"/>
        <v>417</v>
      </c>
      <c r="J44" s="33">
        <f t="shared" si="5"/>
        <v>417</v>
      </c>
    </row>
    <row r="45" spans="1:10" s="39" customFormat="1" ht="13.9" customHeight="1" x14ac:dyDescent="0.25">
      <c r="A45" s="1558" t="str">
        <f>+PERSONAL!B4</f>
        <v>AUXILIAR DE TRÁFICO NOCTURNO</v>
      </c>
      <c r="B45" s="1559"/>
      <c r="C45" s="1559"/>
      <c r="D45" s="1560"/>
      <c r="E45" s="40">
        <f>+VLOOKUP(A45,PERSONAL!$B$3:$E$100,4,FALSE)</f>
        <v>98122</v>
      </c>
      <c r="F45" s="30">
        <v>2</v>
      </c>
      <c r="G45" s="40">
        <f t="shared" si="3"/>
        <v>196244</v>
      </c>
      <c r="H45" s="35">
        <f>+H44</f>
        <v>200</v>
      </c>
      <c r="I45" s="33">
        <f t="shared" si="4"/>
        <v>981</v>
      </c>
      <c r="J45" s="33">
        <f t="shared" si="5"/>
        <v>981</v>
      </c>
    </row>
    <row r="46" spans="1:10" s="39" customFormat="1" ht="13.9" customHeight="1" x14ac:dyDescent="0.25">
      <c r="A46" s="1558" t="str">
        <f>+PERSONAL!B19</f>
        <v>JEFE DE CUADRILLA NOCTURNO</v>
      </c>
      <c r="B46" s="1559"/>
      <c r="C46" s="1559"/>
      <c r="D46" s="1560"/>
      <c r="E46" s="40">
        <f>+VLOOKUP(A46,PERSONAL!$B$3:$E$100,4,FALSE)</f>
        <v>213741</v>
      </c>
      <c r="F46" s="30">
        <v>1</v>
      </c>
      <c r="G46" s="40">
        <f t="shared" si="3"/>
        <v>213741</v>
      </c>
      <c r="H46" s="35">
        <f>+H45</f>
        <v>200</v>
      </c>
      <c r="I46" s="33">
        <f t="shared" si="4"/>
        <v>1069</v>
      </c>
      <c r="J46" s="33">
        <f t="shared" si="5"/>
        <v>1069</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3182</v>
      </c>
    </row>
    <row r="50" spans="1:10" ht="13.9" customHeight="1" x14ac:dyDescent="0.25"/>
    <row r="51" spans="1:10" ht="13.9" customHeight="1" x14ac:dyDescent="0.25">
      <c r="E51" s="41" t="s">
        <v>276</v>
      </c>
      <c r="I51" s="42">
        <f>+J49+J39+J32+J18</f>
        <v>22297</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codeName="Hoja40">
    <tabColor theme="5" tint="-0.249977111117893"/>
  </sheetPr>
  <dimension ref="A1:M55"/>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3" ht="35.25" customHeight="1" x14ac:dyDescent="0.25">
      <c r="A1" s="1574" t="s">
        <v>244</v>
      </c>
      <c r="B1" s="1575"/>
      <c r="C1" s="1575"/>
      <c r="D1" s="1575"/>
      <c r="E1" s="1575"/>
      <c r="F1" s="1575"/>
      <c r="G1" s="1575"/>
      <c r="H1" s="1575"/>
      <c r="I1" s="1575"/>
      <c r="J1" s="1575"/>
    </row>
    <row r="2" spans="1:13" ht="15" customHeight="1" x14ac:dyDescent="0.25">
      <c r="A2" s="1576" t="s">
        <v>245</v>
      </c>
      <c r="B2" s="1576"/>
      <c r="C2" s="1576"/>
      <c r="D2" s="1576"/>
      <c r="E2" s="1576"/>
      <c r="F2" s="1576"/>
      <c r="G2" s="1576"/>
      <c r="H2" s="1576"/>
      <c r="I2" s="1576"/>
      <c r="J2" s="1576"/>
    </row>
    <row r="4" spans="1:13" s="20" customFormat="1" ht="9.9499999999999993" customHeight="1" x14ac:dyDescent="0.25">
      <c r="A4" s="1577" t="s">
        <v>246</v>
      </c>
      <c r="B4" s="1577"/>
      <c r="C4" s="1577"/>
      <c r="D4" s="1577"/>
      <c r="E4" s="1577"/>
      <c r="F4" s="1577"/>
      <c r="G4" s="1577"/>
      <c r="H4" s="1577"/>
      <c r="I4" s="1577"/>
      <c r="J4" s="1577"/>
    </row>
    <row r="5" spans="1:13" s="20" customFormat="1" ht="9.9499999999999993" customHeight="1" x14ac:dyDescent="0.25">
      <c r="B5" s="21"/>
      <c r="C5" s="21"/>
      <c r="D5" s="21"/>
      <c r="E5" s="21"/>
      <c r="F5" s="21"/>
      <c r="G5" s="21"/>
    </row>
    <row r="6" spans="1:13" x14ac:dyDescent="0.25">
      <c r="A6" s="1558" t="s">
        <v>247</v>
      </c>
      <c r="B6" s="1560"/>
      <c r="C6" s="45">
        <v>34</v>
      </c>
      <c r="D6" s="8"/>
      <c r="E6" s="8"/>
      <c r="F6" s="8"/>
      <c r="G6" s="8"/>
      <c r="H6" s="46"/>
      <c r="I6" s="29" t="s">
        <v>248</v>
      </c>
      <c r="J6" s="26" t="str">
        <f>+VLOOKUP(C6,'ANEXO PLIEGO_1'!$A$7:$C$133,3,FALSE)</f>
        <v>M2</v>
      </c>
    </row>
    <row r="7" spans="1:13" ht="35.1" customHeight="1" x14ac:dyDescent="0.25">
      <c r="A7" s="1568" t="s">
        <v>249</v>
      </c>
      <c r="B7" s="1570"/>
      <c r="C7" s="1578" t="str">
        <f>+VLOOKUP(C6,'ANEXO PLIEGO_1'!$A$7:$B$133,2,FALSE)</f>
        <v>Suministro y aplicación imprimante acrílico negro, espesor seco 4 mils y 50% de solidos por volumen</v>
      </c>
      <c r="D7" s="1579"/>
      <c r="E7" s="1579"/>
      <c r="F7" s="1579"/>
      <c r="G7" s="1579"/>
      <c r="H7" s="1579"/>
      <c r="I7" s="1579"/>
      <c r="J7" s="1580"/>
    </row>
    <row r="9" spans="1:13" s="27" customFormat="1" ht="12.75" x14ac:dyDescent="0.25">
      <c r="A9" s="1561" t="s">
        <v>250</v>
      </c>
      <c r="B9" s="1561"/>
      <c r="C9" s="1561"/>
      <c r="D9" s="1561"/>
      <c r="E9" s="1561"/>
      <c r="F9" s="1561"/>
      <c r="G9" s="1561"/>
      <c r="H9" s="1561"/>
    </row>
    <row r="10" spans="1:13" s="20" customFormat="1" ht="13.9" customHeight="1" x14ac:dyDescent="0.25">
      <c r="A10" s="1562" t="s">
        <v>251</v>
      </c>
      <c r="B10" s="1563"/>
      <c r="C10" s="1563"/>
      <c r="D10" s="1564"/>
      <c r="E10" s="28" t="s">
        <v>252</v>
      </c>
      <c r="F10" s="28" t="s">
        <v>253</v>
      </c>
      <c r="G10" s="28" t="s">
        <v>254</v>
      </c>
      <c r="H10" s="28" t="s">
        <v>255</v>
      </c>
      <c r="I10" s="28" t="s">
        <v>256</v>
      </c>
      <c r="J10" s="28" t="s">
        <v>257</v>
      </c>
      <c r="M10" s="20">
        <f>400*0.25</f>
        <v>100</v>
      </c>
    </row>
    <row r="11" spans="1:13"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40</v>
      </c>
      <c r="I11" s="33">
        <f>IFERROR((G11/H11),"")</f>
        <v>1756.53125</v>
      </c>
      <c r="J11" s="33">
        <f t="shared" ref="J11:J14" si="0">ROUND(I11,0)</f>
        <v>1757</v>
      </c>
    </row>
    <row r="12" spans="1:13"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40</v>
      </c>
      <c r="I12" s="33">
        <f t="shared" ref="I12:I14" si="1">IFERROR((G12/H12),0)</f>
        <v>199.99849999999998</v>
      </c>
      <c r="J12" s="33">
        <f t="shared" si="0"/>
        <v>200</v>
      </c>
    </row>
    <row r="13" spans="1:13"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40</v>
      </c>
      <c r="I13" s="33">
        <f t="shared" si="1"/>
        <v>330.55</v>
      </c>
      <c r="J13" s="33">
        <f t="shared" si="0"/>
        <v>331</v>
      </c>
    </row>
    <row r="14" spans="1:13"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40</v>
      </c>
      <c r="I14" s="33">
        <f t="shared" si="1"/>
        <v>42.71875</v>
      </c>
      <c r="J14" s="33">
        <f t="shared" si="0"/>
        <v>43</v>
      </c>
    </row>
    <row r="15" spans="1:13"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3"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2331</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'!B49</f>
        <v>IMPRIMANTE ACRÍLICO NEGRO  4 mill</v>
      </c>
      <c r="B22" s="1569"/>
      <c r="C22" s="1569"/>
      <c r="D22" s="1569"/>
      <c r="E22" s="1569"/>
      <c r="F22" s="1570"/>
      <c r="G22" s="29" t="s">
        <v>114</v>
      </c>
      <c r="H22" s="225">
        <v>0.06</v>
      </c>
      <c r="I22" s="33">
        <f>+IFERROR(VLOOKUP(A22,'INSUMOS '!$B$2:$AP$167,'INSUMOS '!$AO$2+1,FALSE),0)</f>
        <v>112000</v>
      </c>
      <c r="J22" s="33">
        <f>ROUND(I22*H22,0)</f>
        <v>6720</v>
      </c>
    </row>
    <row r="23" spans="1:10" ht="13.9" customHeight="1" x14ac:dyDescent="0.25">
      <c r="A23" s="1558" t="str">
        <f>+'INSUMOS '!B40</f>
        <v>DISOLVENTE AJUSTADOR LENTO XILOL</v>
      </c>
      <c r="B23" s="1559"/>
      <c r="C23" s="1559"/>
      <c r="D23" s="1559"/>
      <c r="E23" s="1559"/>
      <c r="F23" s="1560"/>
      <c r="G23" s="29" t="s">
        <v>114</v>
      </c>
      <c r="H23" s="47">
        <v>0.01</v>
      </c>
      <c r="I23" s="33">
        <f>+IFERROR(VLOOKUP(A23,'INSUMOS '!$B$2:$AP$167,'INSUMOS '!$AO$2+1,FALSE),0)</f>
        <v>73200</v>
      </c>
      <c r="J23" s="33">
        <f>ROUND(I23*H23,0)</f>
        <v>732</v>
      </c>
    </row>
    <row r="24" spans="1:10" ht="13.9" customHeight="1" x14ac:dyDescent="0.25">
      <c r="A24" s="1558"/>
      <c r="B24" s="1559"/>
      <c r="C24" s="1559"/>
      <c r="D24" s="1559"/>
      <c r="E24" s="1559"/>
      <c r="F24" s="1560"/>
      <c r="G24" s="29"/>
      <c r="H24" s="35"/>
      <c r="I24" s="31"/>
      <c r="J24" s="33">
        <f>ROUND(I24*H24,0)</f>
        <v>0</v>
      </c>
    </row>
    <row r="25" spans="1:10" ht="13.9" customHeight="1" x14ac:dyDescent="0.25">
      <c r="A25" s="1558" t="s">
        <v>333</v>
      </c>
      <c r="B25" s="1559"/>
      <c r="C25" s="1559"/>
      <c r="D25" s="1559"/>
      <c r="E25" s="1559"/>
      <c r="F25" s="1560"/>
      <c r="G25" s="29"/>
      <c r="H25" s="74">
        <v>0.05</v>
      </c>
      <c r="I25" s="31">
        <f>+SUM(J22:J24)</f>
        <v>7452</v>
      </c>
      <c r="J25" s="33">
        <f>ROUND(I25*H25,0)</f>
        <v>373</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7825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7">
        <f>+H11*8*12</f>
        <v>3840</v>
      </c>
      <c r="H36" s="33">
        <f>+IFERROR(VLOOKUP(A36,'EQUIPOS '!$B$3:$M$78,12,FALSE),0)</f>
        <v>611492.5</v>
      </c>
      <c r="I36" s="33">
        <f>IFERROR(H36/G36,0)</f>
        <v>159.24283854166666</v>
      </c>
      <c r="J36" s="33">
        <f>ROUND(I36,0)</f>
        <v>159</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159</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320</v>
      </c>
      <c r="I43" s="33">
        <f>IFERROR(ROUND(G43/H43,0),0)</f>
        <v>447</v>
      </c>
      <c r="J43" s="33">
        <f>+I43</f>
        <v>447</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320</v>
      </c>
      <c r="I44" s="33">
        <f>IFERROR(ROUND(G44/H44,0),0)</f>
        <v>521</v>
      </c>
      <c r="J44" s="33">
        <f>+I44</f>
        <v>521</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320</v>
      </c>
      <c r="I45" s="33">
        <f>IFERROR(ROUND(G45/H45,0),0)</f>
        <v>613</v>
      </c>
      <c r="J45" s="33">
        <f>+I45</f>
        <v>613</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320</v>
      </c>
      <c r="I46" s="33">
        <f>IFERROR(ROUND(G46/H46,0),0)</f>
        <v>668</v>
      </c>
      <c r="J46" s="33">
        <f>+I46</f>
        <v>668</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2249</v>
      </c>
    </row>
    <row r="50" spans="1:10" ht="13.9" customHeight="1" x14ac:dyDescent="0.25"/>
    <row r="51" spans="1:10" ht="13.9" customHeight="1" x14ac:dyDescent="0.25">
      <c r="E51" s="41" t="s">
        <v>276</v>
      </c>
      <c r="I51" s="42">
        <f>+J49+J39+J32+J18</f>
        <v>12564</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codeName="Hoja39">
    <tabColor theme="5" tint="-0.249977111117893"/>
  </sheetPr>
  <dimension ref="A1:O55"/>
  <sheetViews>
    <sheetView topLeftCell="A30"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33</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imprimante acrílico negro 25 cm, espesor seco 4 mils y 50% de solidos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250</v>
      </c>
      <c r="I11" s="33">
        <f>IFERROR((G11/H11),"")</f>
        <v>281.04500000000002</v>
      </c>
      <c r="J11" s="33">
        <f t="shared" ref="J11:J14" si="0">ROUND(I11,0)</f>
        <v>281</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250</v>
      </c>
      <c r="I12" s="33">
        <f t="shared" ref="I12:I14" si="1">IFERROR((G12/H12),0)</f>
        <v>31.999759999999998</v>
      </c>
      <c r="J12" s="33">
        <f t="shared" si="0"/>
        <v>32</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250</v>
      </c>
      <c r="I13" s="33">
        <f t="shared" si="1"/>
        <v>52.887999999999998</v>
      </c>
      <c r="J13" s="33">
        <f t="shared" si="0"/>
        <v>53</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250</v>
      </c>
      <c r="I14" s="33">
        <f t="shared" si="1"/>
        <v>6.835</v>
      </c>
      <c r="J14" s="33">
        <f t="shared" si="0"/>
        <v>7</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373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568" t="str">
        <f>+'INSUMOS '!B49</f>
        <v>IMPRIMANTE ACRÍLICO NEGRO  4 mill</v>
      </c>
      <c r="B22" s="1569"/>
      <c r="C22" s="1569"/>
      <c r="D22" s="1569"/>
      <c r="E22" s="1569"/>
      <c r="F22" s="1570"/>
      <c r="G22" s="29" t="s">
        <v>114</v>
      </c>
      <c r="H22" s="225">
        <f>0.06*0.25</f>
        <v>1.4999999999999999E-2</v>
      </c>
      <c r="I22" s="33">
        <f>+IFERROR(VLOOKUP(A22,'INSUMOS '!$B$2:$AP$167,'INSUMOS '!$AO$2+1,FALSE),0)</f>
        <v>112000</v>
      </c>
      <c r="J22" s="33">
        <f>ROUND(I22*H22,0)</f>
        <v>1680</v>
      </c>
    </row>
    <row r="23" spans="1:10" ht="13.9" customHeight="1" x14ac:dyDescent="0.25">
      <c r="A23" s="1558" t="str">
        <f>+'INSUMOS '!B40</f>
        <v>DISOLVENTE AJUSTADOR LENTO XILOL</v>
      </c>
      <c r="B23" s="1559"/>
      <c r="C23" s="1559"/>
      <c r="D23" s="1559"/>
      <c r="E23" s="1559"/>
      <c r="F23" s="1560"/>
      <c r="G23" s="29" t="s">
        <v>114</v>
      </c>
      <c r="H23" s="47">
        <f>0.01*0.25</f>
        <v>2.5000000000000001E-3</v>
      </c>
      <c r="I23" s="33">
        <f>+IFERROR(VLOOKUP(A23,'INSUMOS '!$B$2:$AP$167,'INSUMOS '!$AO$2+1,FALSE),0)</f>
        <v>73200</v>
      </c>
      <c r="J23" s="33">
        <f>ROUND(I23*H23,0)</f>
        <v>183</v>
      </c>
    </row>
    <row r="24" spans="1:10" ht="13.9" customHeight="1" x14ac:dyDescent="0.25">
      <c r="A24" s="1558"/>
      <c r="B24" s="1559"/>
      <c r="C24" s="1559"/>
      <c r="D24" s="1559"/>
      <c r="E24" s="1559"/>
      <c r="F24" s="1560"/>
      <c r="G24" s="29"/>
      <c r="H24" s="35"/>
      <c r="I24" s="31"/>
      <c r="J24" s="33">
        <f>ROUND(I24*H24,0)</f>
        <v>0</v>
      </c>
    </row>
    <row r="25" spans="1:10" ht="13.9" customHeight="1" x14ac:dyDescent="0.25">
      <c r="A25" s="1558" t="s">
        <v>333</v>
      </c>
      <c r="B25" s="1559"/>
      <c r="C25" s="1559"/>
      <c r="D25" s="1559"/>
      <c r="E25" s="1559"/>
      <c r="F25" s="1560"/>
      <c r="G25" s="29"/>
      <c r="H25" s="74">
        <v>0.05</v>
      </c>
      <c r="I25" s="31">
        <f>+SUM(J22:J24)</f>
        <v>1863</v>
      </c>
      <c r="J25" s="33">
        <f>ROUND(I25*H25,0)</f>
        <v>93</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1956</v>
      </c>
    </row>
    <row r="33" spans="1:15" ht="13.9" customHeight="1" x14ac:dyDescent="0.25"/>
    <row r="34" spans="1:15" ht="13.9" customHeight="1" x14ac:dyDescent="0.25">
      <c r="A34" s="1561" t="s">
        <v>267</v>
      </c>
      <c r="B34" s="1561"/>
      <c r="C34" s="1561"/>
      <c r="D34" s="1561"/>
      <c r="E34" s="1561"/>
      <c r="F34" s="1561"/>
      <c r="G34" s="1561"/>
      <c r="H34" s="1561"/>
      <c r="I34" s="27"/>
    </row>
    <row r="35" spans="1:15" ht="13.9" customHeight="1" x14ac:dyDescent="0.25">
      <c r="A35" s="1562" t="s">
        <v>268</v>
      </c>
      <c r="B35" s="1563"/>
      <c r="C35" s="1563"/>
      <c r="D35" s="1563"/>
      <c r="E35" s="1563"/>
      <c r="F35" s="1564"/>
      <c r="G35" s="38" t="s">
        <v>255</v>
      </c>
      <c r="H35" s="28" t="s">
        <v>269</v>
      </c>
      <c r="I35" s="28" t="s">
        <v>256</v>
      </c>
      <c r="J35" s="28" t="s">
        <v>257</v>
      </c>
    </row>
    <row r="36" spans="1:15" ht="13.9" customHeight="1" x14ac:dyDescent="0.25">
      <c r="A36" s="1558" t="str">
        <f>+'EQUIPOS '!B6</f>
        <v>CAMION INCLUYE CONDUCTOR</v>
      </c>
      <c r="B36" s="1559"/>
      <c r="C36" s="1559"/>
      <c r="D36" s="1559"/>
      <c r="E36" s="1559"/>
      <c r="F36" s="1560"/>
      <c r="G36" s="1487">
        <f>+H11*8*12</f>
        <v>24000</v>
      </c>
      <c r="H36" s="33">
        <f>+IFERROR(VLOOKUP(A36,'EQUIPOS '!$B$3:$M$78,12,FALSE),0)</f>
        <v>611492.5</v>
      </c>
      <c r="I36" s="33">
        <f>IFERROR(H36/G36,0)</f>
        <v>25.478854166666668</v>
      </c>
      <c r="J36" s="33">
        <f>ROUND(I36,0)</f>
        <v>25</v>
      </c>
    </row>
    <row r="37" spans="1:15" ht="13.9" customHeight="1" x14ac:dyDescent="0.25">
      <c r="A37" s="1558"/>
      <c r="B37" s="1559"/>
      <c r="C37" s="1559"/>
      <c r="D37" s="1559"/>
      <c r="E37" s="1559"/>
      <c r="F37" s="1560"/>
      <c r="G37" s="29"/>
      <c r="H37" s="33"/>
      <c r="I37" s="33"/>
      <c r="J37" s="33"/>
    </row>
    <row r="38" spans="1:15" ht="13.9" customHeight="1" x14ac:dyDescent="0.25">
      <c r="A38" s="1558"/>
      <c r="B38" s="1559"/>
      <c r="C38" s="1559"/>
      <c r="D38" s="1559"/>
      <c r="E38" s="1559"/>
      <c r="F38" s="1560"/>
      <c r="G38" s="29"/>
      <c r="H38" s="33"/>
      <c r="I38" s="33"/>
      <c r="J38" s="33"/>
    </row>
    <row r="39" spans="1:15" ht="13.9" customHeight="1" x14ac:dyDescent="0.25">
      <c r="G39" s="39"/>
      <c r="H39" s="39"/>
      <c r="I39" s="30" t="s">
        <v>257</v>
      </c>
      <c r="J39" s="33">
        <f>+SUM(J36:J38)</f>
        <v>25</v>
      </c>
    </row>
    <row r="40" spans="1:15" ht="13.9" customHeight="1" x14ac:dyDescent="0.25"/>
    <row r="41" spans="1:15" ht="13.9" customHeight="1" x14ac:dyDescent="0.25">
      <c r="A41" s="1561" t="s">
        <v>270</v>
      </c>
      <c r="B41" s="1561"/>
      <c r="C41" s="1561"/>
      <c r="D41" s="1561"/>
      <c r="E41" s="1561"/>
      <c r="F41" s="1561"/>
      <c r="G41" s="1561"/>
      <c r="H41" s="1561"/>
      <c r="I41" s="27"/>
    </row>
    <row r="42" spans="1:15" s="39" customFormat="1" ht="13.9" customHeight="1" x14ac:dyDescent="0.25">
      <c r="A42" s="1562" t="s">
        <v>271</v>
      </c>
      <c r="B42" s="1563"/>
      <c r="C42" s="1563"/>
      <c r="D42" s="1564"/>
      <c r="E42" s="28" t="s">
        <v>272</v>
      </c>
      <c r="F42" s="28" t="s">
        <v>264</v>
      </c>
      <c r="G42" s="28" t="s">
        <v>273</v>
      </c>
      <c r="H42" s="28" t="s">
        <v>255</v>
      </c>
      <c r="I42" s="33" t="s">
        <v>256</v>
      </c>
      <c r="J42" s="28" t="s">
        <v>257</v>
      </c>
    </row>
    <row r="43" spans="1:15"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2000</v>
      </c>
      <c r="I43" s="33">
        <f>IFERROR(ROUND(G43/H43,0),0)</f>
        <v>72</v>
      </c>
      <c r="J43" s="33">
        <f>+I43</f>
        <v>72</v>
      </c>
      <c r="N43" s="39">
        <v>3000</v>
      </c>
      <c r="O43" s="39">
        <f>+N43/8</f>
        <v>375</v>
      </c>
    </row>
    <row r="44" spans="1:15" s="39" customFormat="1" ht="13.9" customHeight="1" x14ac:dyDescent="0.25">
      <c r="A44" s="1558" t="str">
        <f>+PERSONAL!B6</f>
        <v>AYUDANTE NOCTURNO</v>
      </c>
      <c r="B44" s="1559"/>
      <c r="C44" s="1559"/>
      <c r="D44" s="1560"/>
      <c r="E44" s="40">
        <f>+VLOOKUP(A44,PERSONAL!$B$3:$E$100,4,FALSE)</f>
        <v>83383</v>
      </c>
      <c r="F44" s="30">
        <v>2</v>
      </c>
      <c r="G44" s="40">
        <f>+E44*F44</f>
        <v>166766</v>
      </c>
      <c r="H44" s="35">
        <f>+H43</f>
        <v>2000</v>
      </c>
      <c r="I44" s="33">
        <f>IFERROR(ROUND(G44/H44,0),0)</f>
        <v>83</v>
      </c>
      <c r="J44" s="33">
        <f>+I44</f>
        <v>83</v>
      </c>
      <c r="O44" s="39">
        <f>+O43/4</f>
        <v>93.75</v>
      </c>
    </row>
    <row r="45" spans="1:15"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2000</v>
      </c>
      <c r="I45" s="33">
        <f>IFERROR(ROUND(G45/H45,0),0)</f>
        <v>98</v>
      </c>
      <c r="J45" s="33">
        <f>+I45</f>
        <v>98</v>
      </c>
    </row>
    <row r="46" spans="1:15"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2000</v>
      </c>
      <c r="I46" s="33">
        <f>IFERROR(ROUND(G46/H46,0),0)</f>
        <v>107</v>
      </c>
      <c r="J46" s="33">
        <f>+I46</f>
        <v>107</v>
      </c>
    </row>
    <row r="47" spans="1:15" s="39" customFormat="1" ht="13.9" customHeight="1" x14ac:dyDescent="0.25">
      <c r="A47" s="1558"/>
      <c r="B47" s="1559"/>
      <c r="C47" s="1559"/>
      <c r="D47" s="1560"/>
      <c r="E47" s="40"/>
      <c r="F47" s="30"/>
      <c r="G47" s="40"/>
      <c r="H47" s="35"/>
      <c r="I47" s="33"/>
      <c r="J47" s="33"/>
    </row>
    <row r="48" spans="1:15"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360</v>
      </c>
    </row>
    <row r="50" spans="1:10" ht="13.9" customHeight="1" x14ac:dyDescent="0.25"/>
    <row r="51" spans="1:10" ht="13.9" customHeight="1" x14ac:dyDescent="0.25">
      <c r="E51" s="41" t="s">
        <v>276</v>
      </c>
      <c r="I51" s="42">
        <f>+J49+J39+J32+J18</f>
        <v>2714</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codeName="Hoja38">
    <tabColor theme="5" tint="-0.249977111117893"/>
  </sheetPr>
  <dimension ref="A1:M55"/>
  <sheetViews>
    <sheetView topLeftCell="A29"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32</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imprimante acrílico negro 20 cm, espesor seco 4 mils y 50% de solidos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250</v>
      </c>
      <c r="I11" s="33">
        <f>IFERROR((G11/H11),"")</f>
        <v>281.04500000000002</v>
      </c>
      <c r="J11" s="33">
        <f>ROUND(I11,0)</f>
        <v>281</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250</v>
      </c>
      <c r="I12" s="33">
        <f t="shared" ref="I12:I14" si="0">IFERROR((G12/H12),0)</f>
        <v>31.999759999999998</v>
      </c>
      <c r="J12" s="33">
        <f t="shared" ref="J12:J14" si="1">ROUND(I12,0)</f>
        <v>32</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250</v>
      </c>
      <c r="I13" s="33">
        <f>IFERROR((G13/H13),0)</f>
        <v>52.887999999999998</v>
      </c>
      <c r="J13" s="33">
        <f t="shared" si="1"/>
        <v>53</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250</v>
      </c>
      <c r="I14" s="33">
        <f t="shared" si="0"/>
        <v>6.835</v>
      </c>
      <c r="J14" s="33">
        <f t="shared" si="1"/>
        <v>7</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373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'!B49</f>
        <v>IMPRIMANTE ACRÍLICO NEGRO  4 mill</v>
      </c>
      <c r="B22" s="1569"/>
      <c r="C22" s="1569"/>
      <c r="D22" s="1569"/>
      <c r="E22" s="1569"/>
      <c r="F22" s="1570"/>
      <c r="G22" s="29" t="s">
        <v>114</v>
      </c>
      <c r="H22" s="225">
        <f>0.06*0.2</f>
        <v>1.2E-2</v>
      </c>
      <c r="I22" s="33">
        <f>+IFERROR(VLOOKUP(A22,'INSUMOS '!$B$2:$AP$167,'INSUMOS '!$AO$2+1,FALSE),0)</f>
        <v>112000</v>
      </c>
      <c r="J22" s="33">
        <f>ROUND(I22*H22,0)</f>
        <v>1344</v>
      </c>
    </row>
    <row r="23" spans="1:10" ht="13.9" customHeight="1" x14ac:dyDescent="0.25">
      <c r="A23" s="1558" t="str">
        <f>+'INSUMOS '!B40</f>
        <v>DISOLVENTE AJUSTADOR LENTO XILOL</v>
      </c>
      <c r="B23" s="1559"/>
      <c r="C23" s="1559"/>
      <c r="D23" s="1559"/>
      <c r="E23" s="1559"/>
      <c r="F23" s="1560"/>
      <c r="G23" s="29" t="s">
        <v>114</v>
      </c>
      <c r="H23" s="47">
        <f>0.01*0.2</f>
        <v>2E-3</v>
      </c>
      <c r="I23" s="33">
        <f>+IFERROR(VLOOKUP(A23,'INSUMOS '!$B$2:$AP$167,'INSUMOS '!$AO$2+1,FALSE),0)</f>
        <v>73200</v>
      </c>
      <c r="J23" s="33">
        <f>ROUND(I23*H23,0)</f>
        <v>146</v>
      </c>
    </row>
    <row r="24" spans="1:10" ht="13.9" customHeight="1" x14ac:dyDescent="0.25">
      <c r="A24" s="1558"/>
      <c r="B24" s="1559"/>
      <c r="C24" s="1559"/>
      <c r="D24" s="1559"/>
      <c r="E24" s="1559"/>
      <c r="F24" s="1560"/>
      <c r="G24" s="29"/>
      <c r="H24" s="35"/>
      <c r="I24" s="31"/>
      <c r="J24" s="33"/>
    </row>
    <row r="25" spans="1:10" ht="13.9" customHeight="1" x14ac:dyDescent="0.25">
      <c r="A25" s="1558" t="s">
        <v>333</v>
      </c>
      <c r="B25" s="1559"/>
      <c r="C25" s="1559"/>
      <c r="D25" s="1559"/>
      <c r="E25" s="1559"/>
      <c r="F25" s="1560"/>
      <c r="G25" s="29"/>
      <c r="H25" s="74">
        <v>0.05</v>
      </c>
      <c r="I25" s="31">
        <f>+SUM(J22:J24)</f>
        <v>1490</v>
      </c>
      <c r="J25" s="33">
        <f>ROUND(I25*H25,0)</f>
        <v>75</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1565</v>
      </c>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row>
    <row r="36" spans="1:13" ht="13.9" customHeight="1" x14ac:dyDescent="0.25">
      <c r="A36" s="1558" t="str">
        <f>+'EQUIPOS '!B6</f>
        <v>CAMION INCLUYE CONDUCTOR</v>
      </c>
      <c r="B36" s="1559"/>
      <c r="C36" s="1559"/>
      <c r="D36" s="1559"/>
      <c r="E36" s="1559"/>
      <c r="F36" s="1560"/>
      <c r="G36" s="1487">
        <f>+H11*8*12</f>
        <v>24000</v>
      </c>
      <c r="H36" s="33">
        <f>+IFERROR(VLOOKUP(A36,'EQUIPOS '!$B$3:$M$78,12,FALSE),0)</f>
        <v>611492.5</v>
      </c>
      <c r="I36" s="33">
        <f>IFERROR(H36/G36,0)</f>
        <v>25.478854166666668</v>
      </c>
      <c r="J36" s="33">
        <f>ROUND(I36,0)</f>
        <v>25</v>
      </c>
      <c r="L36" s="19">
        <v>6</v>
      </c>
      <c r="M36" s="19" t="s">
        <v>3072</v>
      </c>
    </row>
    <row r="37" spans="1:13" ht="13.9" customHeight="1" x14ac:dyDescent="0.25">
      <c r="A37" s="1558"/>
      <c r="B37" s="1559"/>
      <c r="C37" s="1559"/>
      <c r="D37" s="1559"/>
      <c r="E37" s="1559"/>
      <c r="F37" s="1560"/>
      <c r="G37" s="29"/>
      <c r="H37" s="33"/>
      <c r="I37" s="33"/>
      <c r="J37" s="33"/>
      <c r="L37" s="19">
        <f>+H22*L36</f>
        <v>7.2000000000000008E-2</v>
      </c>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25</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+PERSONAL!B26</f>
        <v>OPERADOR DE EQUIPO NOCTURNO</v>
      </c>
      <c r="B43" s="1559"/>
      <c r="C43" s="1559"/>
      <c r="D43" s="1560"/>
      <c r="E43" s="40">
        <f>+VLOOKUP(A43,PERSONAL!$B$3:$E$100,4,FALSE)</f>
        <v>143049</v>
      </c>
      <c r="F43" s="30">
        <v>1</v>
      </c>
      <c r="G43" s="40">
        <f t="shared" ref="G43:G46" si="2">+E43*F43</f>
        <v>143049</v>
      </c>
      <c r="H43" s="35">
        <f>IFERROR(H11*8,0)</f>
        <v>2000</v>
      </c>
      <c r="I43" s="33">
        <f t="shared" ref="I43:I46" si="3">IFERROR(ROUND(G43/H43,0),0)</f>
        <v>72</v>
      </c>
      <c r="J43" s="33">
        <f t="shared" ref="J43:J46" si="4">+I43</f>
        <v>72</v>
      </c>
    </row>
    <row r="44" spans="1:13" s="39" customFormat="1" ht="13.9" customHeight="1" x14ac:dyDescent="0.25">
      <c r="A44" s="1558" t="str">
        <f>+PERSONAL!B6</f>
        <v>AYUDANTE NOCTURNO</v>
      </c>
      <c r="B44" s="1559"/>
      <c r="C44" s="1559"/>
      <c r="D44" s="1560"/>
      <c r="E44" s="40">
        <f>+VLOOKUP(A44,PERSONAL!$B$3:$E$100,4,FALSE)</f>
        <v>83383</v>
      </c>
      <c r="F44" s="30">
        <v>2</v>
      </c>
      <c r="G44" s="40">
        <f t="shared" si="2"/>
        <v>166766</v>
      </c>
      <c r="H44" s="35">
        <f>+H43</f>
        <v>2000</v>
      </c>
      <c r="I44" s="33">
        <f t="shared" si="3"/>
        <v>83</v>
      </c>
      <c r="J44" s="33">
        <f t="shared" si="4"/>
        <v>83</v>
      </c>
    </row>
    <row r="45" spans="1:13" s="39" customFormat="1" ht="13.9" customHeight="1" x14ac:dyDescent="0.25">
      <c r="A45" s="1558" t="str">
        <f>+PERSONAL!B4</f>
        <v>AUXILIAR DE TRÁFICO NOCTURNO</v>
      </c>
      <c r="B45" s="1559"/>
      <c r="C45" s="1559"/>
      <c r="D45" s="1560"/>
      <c r="E45" s="40">
        <f>+VLOOKUP(A45,PERSONAL!$B$3:$E$100,4,FALSE)</f>
        <v>98122</v>
      </c>
      <c r="F45" s="30">
        <v>2</v>
      </c>
      <c r="G45" s="40">
        <f t="shared" si="2"/>
        <v>196244</v>
      </c>
      <c r="H45" s="35">
        <f>+H44</f>
        <v>2000</v>
      </c>
      <c r="I45" s="33">
        <f t="shared" si="3"/>
        <v>98</v>
      </c>
      <c r="J45" s="33">
        <f t="shared" si="4"/>
        <v>98</v>
      </c>
    </row>
    <row r="46" spans="1:13" s="39" customFormat="1" ht="13.9" customHeight="1" x14ac:dyDescent="0.25">
      <c r="A46" s="1558" t="str">
        <f>+PERSONAL!B19</f>
        <v>JEFE DE CUADRILLA NOCTURNO</v>
      </c>
      <c r="B46" s="1559"/>
      <c r="C46" s="1559"/>
      <c r="D46" s="1560"/>
      <c r="E46" s="40">
        <f>+VLOOKUP(A46,PERSONAL!$B$3:$E$100,4,FALSE)</f>
        <v>213741</v>
      </c>
      <c r="F46" s="30">
        <v>1</v>
      </c>
      <c r="G46" s="40">
        <f t="shared" si="2"/>
        <v>213741</v>
      </c>
      <c r="H46" s="35">
        <f>+H45</f>
        <v>2000</v>
      </c>
      <c r="I46" s="33">
        <f t="shared" si="3"/>
        <v>107</v>
      </c>
      <c r="J46" s="33">
        <f t="shared" si="4"/>
        <v>107</v>
      </c>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360</v>
      </c>
    </row>
    <row r="50" spans="1:10" ht="13.9" customHeight="1" x14ac:dyDescent="0.25"/>
    <row r="51" spans="1:10" ht="13.9" customHeight="1" x14ac:dyDescent="0.25">
      <c r="E51" s="41" t="s">
        <v>276</v>
      </c>
      <c r="I51" s="42">
        <f>+J49+J39+J32+J18</f>
        <v>2323</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codeName="Hoja37">
    <tabColor theme="5" tint="-0.249977111117893"/>
  </sheetPr>
  <dimension ref="A1:M55"/>
  <sheetViews>
    <sheetView topLeftCell="A35"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3" ht="29.25" customHeight="1" x14ac:dyDescent="0.25">
      <c r="A1" s="1574" t="s">
        <v>244</v>
      </c>
      <c r="B1" s="1575"/>
      <c r="C1" s="1575"/>
      <c r="D1" s="1575"/>
      <c r="E1" s="1575"/>
      <c r="F1" s="1575"/>
      <c r="G1" s="1575"/>
      <c r="H1" s="1575"/>
      <c r="I1" s="1575"/>
      <c r="J1" s="1575"/>
    </row>
    <row r="2" spans="1:13" ht="15" customHeight="1" x14ac:dyDescent="0.25">
      <c r="A2" s="1576" t="s">
        <v>245</v>
      </c>
      <c r="B2" s="1576"/>
      <c r="C2" s="1576"/>
      <c r="D2" s="1576"/>
      <c r="E2" s="1576"/>
      <c r="F2" s="1576"/>
      <c r="G2" s="1576"/>
      <c r="H2" s="1576"/>
      <c r="I2" s="1576"/>
      <c r="J2" s="1576"/>
    </row>
    <row r="4" spans="1:13" s="20" customFormat="1" ht="9.9499999999999993" customHeight="1" x14ac:dyDescent="0.25">
      <c r="A4" s="1577" t="s">
        <v>246</v>
      </c>
      <c r="B4" s="1577"/>
      <c r="C4" s="1577"/>
      <c r="D4" s="1577"/>
      <c r="E4" s="1577"/>
      <c r="F4" s="1577"/>
      <c r="G4" s="1577"/>
      <c r="H4" s="1577"/>
      <c r="I4" s="1577"/>
      <c r="J4" s="1577"/>
    </row>
    <row r="5" spans="1:13" s="20" customFormat="1" ht="9.9499999999999993" customHeight="1" x14ac:dyDescent="0.25">
      <c r="B5" s="21"/>
      <c r="C5" s="21"/>
      <c r="D5" s="21"/>
      <c r="E5" s="21"/>
      <c r="F5" s="21"/>
      <c r="G5" s="21"/>
    </row>
    <row r="6" spans="1:13" x14ac:dyDescent="0.25">
      <c r="A6" s="1558" t="s">
        <v>247</v>
      </c>
      <c r="B6" s="1560"/>
      <c r="C6" s="45">
        <v>31</v>
      </c>
      <c r="D6" s="8"/>
      <c r="E6" s="8"/>
      <c r="F6" s="8"/>
      <c r="G6" s="8"/>
      <c r="H6" s="46"/>
      <c r="I6" s="29" t="s">
        <v>248</v>
      </c>
      <c r="J6" s="26" t="str">
        <f>+VLOOKUP(C6,'ANEXO PLIEGO_1'!$A$7:$C$133,3,FALSE)</f>
        <v>M</v>
      </c>
    </row>
    <row r="7" spans="1:13" ht="35.1" customHeight="1" x14ac:dyDescent="0.25">
      <c r="A7" s="1568" t="s">
        <v>249</v>
      </c>
      <c r="B7" s="1570"/>
      <c r="C7" s="1578" t="str">
        <f>+VLOOKUP(C6,'ANEXO PLIEGO_1'!$A$7:$B$133,2,FALSE)</f>
        <v>Suministro y aplicación imprimante acrílico negro 15 cm, espesor seco 4 mils y 50% de solidos por volumen</v>
      </c>
      <c r="D7" s="1579"/>
      <c r="E7" s="1579"/>
      <c r="F7" s="1579"/>
      <c r="G7" s="1579"/>
      <c r="H7" s="1579"/>
      <c r="I7" s="1579"/>
      <c r="J7" s="1580"/>
      <c r="M7" s="19">
        <f>400/25</f>
        <v>16</v>
      </c>
    </row>
    <row r="9" spans="1:13" s="27" customFormat="1" ht="12.75" x14ac:dyDescent="0.25">
      <c r="A9" s="1561" t="s">
        <v>250</v>
      </c>
      <c r="B9" s="1561"/>
      <c r="C9" s="1561"/>
      <c r="D9" s="1561"/>
      <c r="E9" s="1561"/>
      <c r="F9" s="1561"/>
      <c r="G9" s="1561"/>
      <c r="H9" s="1561"/>
    </row>
    <row r="10" spans="1:13" s="20" customFormat="1" ht="13.9" customHeight="1" x14ac:dyDescent="0.25">
      <c r="A10" s="1562" t="s">
        <v>251</v>
      </c>
      <c r="B10" s="1563"/>
      <c r="C10" s="1563"/>
      <c r="D10" s="1564"/>
      <c r="E10" s="28" t="s">
        <v>252</v>
      </c>
      <c r="F10" s="28" t="s">
        <v>253</v>
      </c>
      <c r="G10" s="28" t="s">
        <v>254</v>
      </c>
      <c r="H10" s="28" t="s">
        <v>255</v>
      </c>
      <c r="I10" s="28" t="s">
        <v>256</v>
      </c>
      <c r="J10" s="28" t="s">
        <v>257</v>
      </c>
    </row>
    <row r="11" spans="1:13"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310</v>
      </c>
      <c r="I11" s="33">
        <f>IFERROR((G11/H11),"")</f>
        <v>226.6491935483871</v>
      </c>
      <c r="J11" s="33">
        <f>ROUND(I11,0)</f>
        <v>227</v>
      </c>
    </row>
    <row r="12" spans="1:13"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310</v>
      </c>
      <c r="I12" s="33">
        <f t="shared" ref="I12:I14" si="0">IFERROR((G12/H12),0)</f>
        <v>25.806258064516129</v>
      </c>
      <c r="J12" s="33">
        <f t="shared" ref="J12:J14" si="1">ROUND(I12,0)</f>
        <v>26</v>
      </c>
    </row>
    <row r="13" spans="1:13"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310</v>
      </c>
      <c r="I13" s="33">
        <f>IFERROR((G13/H13),0)</f>
        <v>42.651612903225804</v>
      </c>
      <c r="J13" s="33">
        <f t="shared" si="1"/>
        <v>43</v>
      </c>
    </row>
    <row r="14" spans="1:13"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310</v>
      </c>
      <c r="I14" s="33">
        <f t="shared" si="0"/>
        <v>5.512096774193548</v>
      </c>
      <c r="J14" s="33">
        <f t="shared" si="1"/>
        <v>6</v>
      </c>
    </row>
    <row r="15" spans="1:13"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c r="J15" s="33"/>
      <c r="L15" s="20">
        <v>4</v>
      </c>
    </row>
    <row r="16" spans="1:13"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302</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'!B49</f>
        <v>IMPRIMANTE ACRÍLICO NEGRO  4 mill</v>
      </c>
      <c r="B22" s="1569"/>
      <c r="C22" s="1569"/>
      <c r="D22" s="1569"/>
      <c r="E22" s="1569"/>
      <c r="F22" s="1570"/>
      <c r="G22" s="29" t="s">
        <v>114</v>
      </c>
      <c r="H22" s="47">
        <f>0.06*0.15</f>
        <v>8.9999999999999993E-3</v>
      </c>
      <c r="I22" s="33">
        <f>+IFERROR(VLOOKUP(A22,'INSUMOS '!$B$2:$AP$167,'INSUMOS '!$AO$2+1,FALSE),0)</f>
        <v>112000</v>
      </c>
      <c r="J22" s="33">
        <f>ROUND(I22*H22,0)</f>
        <v>1008</v>
      </c>
    </row>
    <row r="23" spans="1:10" ht="13.9" customHeight="1" x14ac:dyDescent="0.25">
      <c r="A23" s="1558" t="str">
        <f>+'INSUMOS '!B40</f>
        <v>DISOLVENTE AJUSTADOR LENTO XILOL</v>
      </c>
      <c r="B23" s="1559"/>
      <c r="C23" s="1559"/>
      <c r="D23" s="1559"/>
      <c r="E23" s="1559"/>
      <c r="F23" s="1560"/>
      <c r="G23" s="29" t="s">
        <v>114</v>
      </c>
      <c r="H23" s="47">
        <f>0.01*0.15</f>
        <v>1.5E-3</v>
      </c>
      <c r="I23" s="33">
        <f>+IFERROR(VLOOKUP(A23,'INSUMOS '!$B$2:$AP$167,'INSUMOS '!$AO$2+1,FALSE),0)</f>
        <v>73200</v>
      </c>
      <c r="J23" s="33">
        <f>ROUND(I23*H23,0)</f>
        <v>110</v>
      </c>
    </row>
    <row r="24" spans="1:10" ht="13.9" customHeight="1" x14ac:dyDescent="0.25">
      <c r="A24" s="1558"/>
      <c r="B24" s="1559"/>
      <c r="C24" s="1559"/>
      <c r="D24" s="1559"/>
      <c r="E24" s="1559"/>
      <c r="F24" s="1560"/>
      <c r="G24" s="29"/>
      <c r="H24" s="35"/>
      <c r="I24" s="33"/>
      <c r="J24" s="33"/>
    </row>
    <row r="25" spans="1:10" ht="13.9" customHeight="1" x14ac:dyDescent="0.25">
      <c r="A25" s="1558" t="s">
        <v>2901</v>
      </c>
      <c r="B25" s="1559"/>
      <c r="C25" s="1559"/>
      <c r="D25" s="1559"/>
      <c r="E25" s="1559"/>
      <c r="F25" s="1560"/>
      <c r="G25" s="29"/>
      <c r="H25" s="74">
        <v>0.05</v>
      </c>
      <c r="I25" s="33">
        <f>+SUM(J22:J24)</f>
        <v>1118</v>
      </c>
      <c r="J25" s="33">
        <f>ROUND(I25*H25,0)</f>
        <v>56</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1174</v>
      </c>
    </row>
    <row r="33" spans="1:13" ht="13.9" customHeight="1" x14ac:dyDescent="0.25"/>
    <row r="34" spans="1:13" ht="13.9" customHeight="1" x14ac:dyDescent="0.25">
      <c r="A34" s="1561" t="s">
        <v>267</v>
      </c>
      <c r="B34" s="1561"/>
      <c r="C34" s="1561"/>
      <c r="D34" s="1561"/>
      <c r="E34" s="1561"/>
      <c r="F34" s="1561"/>
      <c r="G34" s="1561"/>
      <c r="H34" s="1561"/>
      <c r="I34" s="27"/>
    </row>
    <row r="35" spans="1:13" ht="13.9" customHeight="1" x14ac:dyDescent="0.25">
      <c r="A35" s="1562" t="s">
        <v>268</v>
      </c>
      <c r="B35" s="1563"/>
      <c r="C35" s="1563"/>
      <c r="D35" s="1563"/>
      <c r="E35" s="1563"/>
      <c r="F35" s="1564"/>
      <c r="G35" s="38" t="s">
        <v>255</v>
      </c>
      <c r="H35" s="28" t="s">
        <v>269</v>
      </c>
      <c r="I35" s="28" t="s">
        <v>256</v>
      </c>
      <c r="J35" s="28" t="s">
        <v>257</v>
      </c>
    </row>
    <row r="36" spans="1:13" ht="13.9" customHeight="1" x14ac:dyDescent="0.25">
      <c r="A36" s="1558" t="str">
        <f>+'EQUIPOS '!B6</f>
        <v>CAMION INCLUYE CONDUCTOR</v>
      </c>
      <c r="B36" s="1559"/>
      <c r="C36" s="1559"/>
      <c r="D36" s="1559"/>
      <c r="E36" s="1559"/>
      <c r="F36" s="1560"/>
      <c r="G36" s="1487">
        <f>+H11*8*12</f>
        <v>29760</v>
      </c>
      <c r="H36" s="33">
        <f>+IFERROR(VLOOKUP(A36,'EQUIPOS '!$B$3:$M$78,12,FALSE),0)</f>
        <v>611492.5</v>
      </c>
      <c r="I36" s="33">
        <f>IFERROR(H36/G36,0)</f>
        <v>20.547463037634408</v>
      </c>
      <c r="J36" s="33">
        <f>ROUND(I36,0)</f>
        <v>21</v>
      </c>
      <c r="L36" s="19">
        <v>5.8</v>
      </c>
      <c r="M36" s="19" t="s">
        <v>3069</v>
      </c>
    </row>
    <row r="37" spans="1:13" ht="13.9" customHeight="1" x14ac:dyDescent="0.25">
      <c r="A37" s="1558"/>
      <c r="B37" s="1559"/>
      <c r="C37" s="1559"/>
      <c r="D37" s="1559"/>
      <c r="E37" s="1559"/>
      <c r="F37" s="1560"/>
      <c r="G37" s="29"/>
      <c r="H37" s="33"/>
      <c r="I37" s="33"/>
      <c r="J37" s="33"/>
    </row>
    <row r="38" spans="1:13" ht="13.9" customHeight="1" x14ac:dyDescent="0.25">
      <c r="A38" s="1558"/>
      <c r="B38" s="1559"/>
      <c r="C38" s="1559"/>
      <c r="D38" s="1559"/>
      <c r="E38" s="1559"/>
      <c r="F38" s="1560"/>
      <c r="G38" s="29"/>
      <c r="H38" s="33"/>
      <c r="I38" s="33"/>
      <c r="J38" s="33"/>
    </row>
    <row r="39" spans="1:13" ht="13.9" customHeight="1" x14ac:dyDescent="0.25">
      <c r="G39" s="39"/>
      <c r="H39" s="39"/>
      <c r="I39" s="30" t="s">
        <v>257</v>
      </c>
      <c r="J39" s="33">
        <f>+SUM(J36:J38)</f>
        <v>21</v>
      </c>
    </row>
    <row r="40" spans="1:13" ht="13.9" customHeight="1" x14ac:dyDescent="0.25"/>
    <row r="41" spans="1:13" ht="13.9" customHeight="1" x14ac:dyDescent="0.25">
      <c r="A41" s="1561" t="s">
        <v>270</v>
      </c>
      <c r="B41" s="1561"/>
      <c r="C41" s="1561"/>
      <c r="D41" s="1561"/>
      <c r="E41" s="1561"/>
      <c r="F41" s="1561"/>
      <c r="G41" s="1561"/>
      <c r="H41" s="1561"/>
      <c r="I41" s="27"/>
    </row>
    <row r="42" spans="1:13" s="39" customFormat="1" ht="13.9" customHeight="1" x14ac:dyDescent="0.25">
      <c r="A42" s="1562" t="s">
        <v>271</v>
      </c>
      <c r="B42" s="1563"/>
      <c r="C42" s="1563"/>
      <c r="D42" s="1564"/>
      <c r="E42" s="28" t="s">
        <v>272</v>
      </c>
      <c r="F42" s="28" t="s">
        <v>264</v>
      </c>
      <c r="G42" s="28" t="s">
        <v>273</v>
      </c>
      <c r="H42" s="28" t="s">
        <v>255</v>
      </c>
      <c r="I42" s="28" t="s">
        <v>256</v>
      </c>
      <c r="J42" s="28" t="s">
        <v>257</v>
      </c>
    </row>
    <row r="43" spans="1:13"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2480</v>
      </c>
      <c r="I43" s="33">
        <f>IFERROR(ROUND(G43/H43,0),0)</f>
        <v>58</v>
      </c>
      <c r="J43" s="33">
        <f>+I43</f>
        <v>58</v>
      </c>
    </row>
    <row r="44" spans="1:13" s="39" customFormat="1" ht="13.9" customHeight="1" x14ac:dyDescent="0.25">
      <c r="A44" s="1558" t="str">
        <f>+PERSONAL!B6</f>
        <v>AYUDANTE NOCTURNO</v>
      </c>
      <c r="B44" s="1559"/>
      <c r="C44" s="1559"/>
      <c r="D44" s="1560"/>
      <c r="E44" s="40">
        <f>+VLOOKUP(A44,PERSONAL!$B$3:$E$100,4,FALSE)</f>
        <v>83383</v>
      </c>
      <c r="F44" s="30">
        <v>2</v>
      </c>
      <c r="G44" s="40">
        <f>+E44*F44</f>
        <v>166766</v>
      </c>
      <c r="H44" s="35">
        <f>+H43</f>
        <v>2480</v>
      </c>
      <c r="I44" s="33">
        <f>IFERROR(ROUND(G44/H44,0),0)</f>
        <v>67</v>
      </c>
      <c r="J44" s="33">
        <f>+I44</f>
        <v>67</v>
      </c>
    </row>
    <row r="45" spans="1:13"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2480</v>
      </c>
      <c r="I45" s="33">
        <f>IFERROR(ROUND(G45/H45,0),0)</f>
        <v>79</v>
      </c>
      <c r="J45" s="33">
        <f>+I45</f>
        <v>79</v>
      </c>
    </row>
    <row r="46" spans="1:13"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2480</v>
      </c>
      <c r="I46" s="33">
        <f>IFERROR(ROUND(G46/H46,0),0)</f>
        <v>86</v>
      </c>
      <c r="J46" s="33">
        <f>+I46</f>
        <v>86</v>
      </c>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290</v>
      </c>
    </row>
    <row r="50" spans="1:10" ht="13.9" customHeight="1" x14ac:dyDescent="0.25"/>
    <row r="51" spans="1:10" ht="13.9" customHeight="1" x14ac:dyDescent="0.25">
      <c r="E51" s="41" t="s">
        <v>276</v>
      </c>
      <c r="I51" s="42">
        <f>+J49+J39+J32+J18</f>
        <v>1787</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codeName="Hoja36">
    <tabColor theme="5" tint="-0.249977111117893"/>
  </sheetPr>
  <dimension ref="A1:J55"/>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2" width="11.42578125" style="19"/>
    <col min="13" max="13" width="16" style="19" customWidth="1"/>
    <col min="14"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30</v>
      </c>
      <c r="D6" s="8"/>
      <c r="E6" s="8"/>
      <c r="F6" s="8"/>
      <c r="G6" s="8"/>
      <c r="H6" s="46"/>
      <c r="I6" s="29" t="s">
        <v>248</v>
      </c>
      <c r="J6" s="26" t="str">
        <f>+VLOOKUP(C6,'ANEXO PLIEGO_1'!$A$7:$C$133,3,FALSE)</f>
        <v>M</v>
      </c>
    </row>
    <row r="7" spans="1:10" ht="35.1" customHeight="1" x14ac:dyDescent="0.25">
      <c r="A7" s="1568" t="s">
        <v>249</v>
      </c>
      <c r="B7" s="1570"/>
      <c r="C7" s="1578" t="str">
        <f>+VLOOKUP(C6,'ANEXO PLIEGO_1'!A7:B133,2,FALSE)</f>
        <v>Suministro y aplicación imprimante acrílico negro 12 cm, espesor seco 4 mils y 50% de solidos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'!B15</f>
        <v>EQUIPO DELINEADOR DE PINTURA ACRÍLICA</v>
      </c>
      <c r="B11" s="1559"/>
      <c r="C11" s="1559"/>
      <c r="D11" s="1560"/>
      <c r="E11" s="29" t="s">
        <v>202</v>
      </c>
      <c r="F11" s="30" t="str">
        <f>IFERROR(VLOOKUP(A11,'[10]EQUIPOS TRANSPOR SALARIO'!$A$3:$G$42,2,FALSE),"")</f>
        <v>Autopropulsado</v>
      </c>
      <c r="G11" s="29">
        <f>+VLOOKUP(A11,'EQUIPOS '!$B$3:$M$64,12,FALSE)</f>
        <v>70261.25</v>
      </c>
      <c r="H11" s="30">
        <v>350</v>
      </c>
      <c r="I11" s="29">
        <f>+G11/H11</f>
        <v>200.74642857142857</v>
      </c>
      <c r="J11" s="33">
        <f>ROUND(I11,0)</f>
        <v>201</v>
      </c>
    </row>
    <row r="12" spans="1:10" s="20" customFormat="1" ht="13.9" customHeight="1" x14ac:dyDescent="0.25">
      <c r="A12" s="1558" t="str">
        <f>+'EQUIPOS '!B9</f>
        <v>COMPRESOR</v>
      </c>
      <c r="B12" s="1559"/>
      <c r="C12" s="1559"/>
      <c r="D12" s="1560"/>
      <c r="E12" s="29" t="s">
        <v>202</v>
      </c>
      <c r="F12" s="30" t="str">
        <f>IFERROR(VLOOKUP(A12,'[10]EQUIPOS TRANSPOR SALARIO'!$A$3:$G$42,2,FALSE),"")</f>
        <v>Eléctrico</v>
      </c>
      <c r="G12" s="29">
        <f>+VLOOKUP(A12,'EQUIPOS '!$B$3:$M$64,12,FALSE)</f>
        <v>7999.94</v>
      </c>
      <c r="H12" s="30">
        <f>+$H$11</f>
        <v>350</v>
      </c>
      <c r="I12" s="29">
        <f>+G12/H12</f>
        <v>22.856971428571427</v>
      </c>
      <c r="J12" s="33">
        <f t="shared" ref="J12:J14" si="0">ROUND(I12,0)</f>
        <v>23</v>
      </c>
    </row>
    <row r="13" spans="1:10" s="20" customFormat="1" ht="13.9" customHeight="1" x14ac:dyDescent="0.25">
      <c r="A13" s="1558" t="str">
        <f>+'EQUIPOS '!B46</f>
        <v xml:space="preserve"> PMT (KIT )</v>
      </c>
      <c r="B13" s="1559"/>
      <c r="C13" s="1559"/>
      <c r="D13" s="1560"/>
      <c r="E13" s="29" t="s">
        <v>202</v>
      </c>
      <c r="F13" s="30" t="str">
        <f>IFERROR(VLOOKUP(A13,'[10]EQUIPOS TRANSPOR SALARIO'!$A$3:$G$42,2,FALSE),"")</f>
        <v/>
      </c>
      <c r="G13" s="29">
        <f>+VLOOKUP(A13,'EQUIPOS '!$B$3:$M$64,12,FALSE)</f>
        <v>13222</v>
      </c>
      <c r="H13" s="30">
        <f>+$H$11</f>
        <v>350</v>
      </c>
      <c r="I13" s="29">
        <f>+G13/H13</f>
        <v>37.777142857142856</v>
      </c>
      <c r="J13" s="33">
        <f t="shared" si="0"/>
        <v>38</v>
      </c>
    </row>
    <row r="14" spans="1:10" s="20" customFormat="1" ht="13.9" customHeight="1" x14ac:dyDescent="0.25">
      <c r="A14" s="1558" t="str">
        <f>+'EQUIPOS '!B50</f>
        <v>EQUIPO DE CONTROL DE OBRA</v>
      </c>
      <c r="B14" s="1559"/>
      <c r="C14" s="1559"/>
      <c r="D14" s="1560"/>
      <c r="E14" s="29" t="s">
        <v>202</v>
      </c>
      <c r="F14" s="30" t="str">
        <f>IFERROR(VLOOKUP(A14,'[10]EQUIPOS TRANSPOR SALARIO'!$A$3:$G$42,2,FALSE),"")</f>
        <v/>
      </c>
      <c r="G14" s="29">
        <f>+VLOOKUP(A14,'EQUIPOS '!$B$3:$M$64,12,FALSE)</f>
        <v>1708.75</v>
      </c>
      <c r="H14" s="30">
        <f>+$H$11</f>
        <v>350</v>
      </c>
      <c r="I14" s="29">
        <f>+G14/H14</f>
        <v>4.8821428571428571</v>
      </c>
      <c r="J14" s="33">
        <f t="shared" si="0"/>
        <v>5</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29"/>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c r="J17" s="33"/>
    </row>
    <row r="18" spans="1:10" s="20" customFormat="1" ht="13.9" customHeight="1" x14ac:dyDescent="0.25">
      <c r="I18" s="30" t="s">
        <v>257</v>
      </c>
      <c r="J18" s="34">
        <f>+SUM(J11:J17)</f>
        <v>267</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'!B49</f>
        <v>IMPRIMANTE ACRÍLICO NEGRO  4 mill</v>
      </c>
      <c r="B22" s="1569"/>
      <c r="C22" s="1569"/>
      <c r="D22" s="1569"/>
      <c r="E22" s="1569"/>
      <c r="F22" s="1570"/>
      <c r="G22" s="29" t="str">
        <f>+VLOOKUP(A22,'INSUMOS '!$B$3:$C$112,2,FALSE)</f>
        <v>GAL</v>
      </c>
      <c r="H22" s="47">
        <v>7.1999999999999998E-3</v>
      </c>
      <c r="I22" s="33">
        <f>+IFERROR(VLOOKUP(A22,'INSUMOS '!$B$2:$AP$167,'INSUMOS '!$AO$2+1,FALSE),0)</f>
        <v>112000</v>
      </c>
      <c r="J22" s="33">
        <f>ROUND(I22*H22,0)</f>
        <v>806</v>
      </c>
    </row>
    <row r="23" spans="1:10" ht="13.9" customHeight="1" x14ac:dyDescent="0.25">
      <c r="A23" s="1558" t="str">
        <f>+'INSUMOS '!B40</f>
        <v>DISOLVENTE AJUSTADOR LENTO XILOL</v>
      </c>
      <c r="B23" s="1559"/>
      <c r="C23" s="1559"/>
      <c r="D23" s="1559"/>
      <c r="E23" s="1559"/>
      <c r="F23" s="1560"/>
      <c r="G23" s="29" t="str">
        <f>+VLOOKUP(A23,'INSUMOS '!$B$3:$C$112,2,FALSE)</f>
        <v>GAL</v>
      </c>
      <c r="H23" s="47">
        <f>0.15*H22</f>
        <v>1.08E-3</v>
      </c>
      <c r="I23" s="33">
        <f>+IFERROR(VLOOKUP(A23,'INSUMOS '!$B$2:$AP$167,'INSUMOS '!$AO$2+1,FALSE),0)</f>
        <v>73200</v>
      </c>
      <c r="J23" s="33">
        <f t="shared" ref="J23" si="1">ROUND(I23*H23,0)</f>
        <v>79</v>
      </c>
    </row>
    <row r="24" spans="1:10" ht="13.9" customHeight="1" x14ac:dyDescent="0.25">
      <c r="A24" s="1558"/>
      <c r="B24" s="1559"/>
      <c r="C24" s="1559"/>
      <c r="D24" s="1559"/>
      <c r="E24" s="1559"/>
      <c r="F24" s="1560"/>
      <c r="G24" s="29"/>
      <c r="H24" s="35"/>
      <c r="I24" s="33"/>
      <c r="J24" s="33"/>
    </row>
    <row r="25" spans="1:10" ht="13.9" customHeight="1" x14ac:dyDescent="0.25">
      <c r="A25" s="1558" t="s">
        <v>3070</v>
      </c>
      <c r="B25" s="1559"/>
      <c r="C25" s="1559"/>
      <c r="D25" s="1559"/>
      <c r="E25" s="1559"/>
      <c r="F25" s="1560"/>
      <c r="G25" s="29"/>
      <c r="H25" s="74">
        <v>0.05</v>
      </c>
      <c r="I25" s="33">
        <f>+SUM(J22:J24)</f>
        <v>885</v>
      </c>
      <c r="J25" s="33">
        <f>+H25*I25</f>
        <v>44.25</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929.25</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7">
        <f>+H11*8*12</f>
        <v>33600</v>
      </c>
      <c r="H36" s="33">
        <f>+IFERROR(VLOOKUP(A36,'EQUIPOS '!$B$3:$M$78,12,FALSE),0)</f>
        <v>611492.5</v>
      </c>
      <c r="I36" s="33">
        <f>IFERROR(H36/G36,0)</f>
        <v>18.199181547619048</v>
      </c>
      <c r="J36" s="33">
        <f>ROUND(I36,0)</f>
        <v>18</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18</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+PERSONAL!B26</f>
        <v>OPERADOR DE EQUIPO NOCTURNO</v>
      </c>
      <c r="B43" s="1559"/>
      <c r="C43" s="1559"/>
      <c r="D43" s="1560"/>
      <c r="E43" s="40">
        <f>+VLOOKUP(A43,PERSONAL!$B$3:$E$100,4,FALSE)</f>
        <v>143049</v>
      </c>
      <c r="F43" s="30">
        <v>1</v>
      </c>
      <c r="G43" s="40">
        <f>+E43*F43</f>
        <v>143049</v>
      </c>
      <c r="H43" s="35">
        <f>IFERROR(H11*8,0)</f>
        <v>2800</v>
      </c>
      <c r="I43" s="33">
        <f t="shared" ref="I43:I46" si="2">IFERROR(ROUND(G43/H43,0),0)</f>
        <v>51</v>
      </c>
      <c r="J43" s="33">
        <f t="shared" ref="J43:J46" si="3">+I43</f>
        <v>51</v>
      </c>
    </row>
    <row r="44" spans="1:10" s="39" customFormat="1" ht="13.9" customHeight="1" x14ac:dyDescent="0.25">
      <c r="A44" s="1558" t="str">
        <f>+PERSONAL!B6</f>
        <v>AYUDANTE NOCTURNO</v>
      </c>
      <c r="B44" s="1559"/>
      <c r="C44" s="1559"/>
      <c r="D44" s="1560"/>
      <c r="E44" s="40">
        <f>+VLOOKUP(A44,PERSONAL!$B$3:$E$100,4,FALSE)</f>
        <v>83383</v>
      </c>
      <c r="F44" s="30">
        <v>2</v>
      </c>
      <c r="G44" s="40">
        <f>+E44*F44</f>
        <v>166766</v>
      </c>
      <c r="H44" s="35">
        <f>+H43</f>
        <v>2800</v>
      </c>
      <c r="I44" s="33">
        <f t="shared" si="2"/>
        <v>60</v>
      </c>
      <c r="J44" s="33">
        <f t="shared" si="3"/>
        <v>60</v>
      </c>
    </row>
    <row r="45" spans="1:10" s="39" customFormat="1" ht="13.9" customHeight="1" x14ac:dyDescent="0.25">
      <c r="A45" s="1558" t="str">
        <f>+PERSONAL!B4</f>
        <v>AUXILIAR DE TRÁFICO NOCTURNO</v>
      </c>
      <c r="B45" s="1559"/>
      <c r="C45" s="1559"/>
      <c r="D45" s="1560"/>
      <c r="E45" s="40">
        <f>+VLOOKUP(A45,PERSONAL!$B$3:$E$100,4,FALSE)</f>
        <v>98122</v>
      </c>
      <c r="F45" s="30">
        <v>2</v>
      </c>
      <c r="G45" s="40">
        <f>+E45*F45</f>
        <v>196244</v>
      </c>
      <c r="H45" s="35">
        <f>+H44</f>
        <v>2800</v>
      </c>
      <c r="I45" s="33">
        <f t="shared" si="2"/>
        <v>70</v>
      </c>
      <c r="J45" s="33">
        <f t="shared" si="3"/>
        <v>70</v>
      </c>
    </row>
    <row r="46" spans="1:10" s="39" customFormat="1" ht="13.9" customHeight="1" x14ac:dyDescent="0.25">
      <c r="A46" s="1558" t="str">
        <f>+PERSONAL!B19</f>
        <v>JEFE DE CUADRILLA NOCTURNO</v>
      </c>
      <c r="B46" s="1559"/>
      <c r="C46" s="1559"/>
      <c r="D46" s="1560"/>
      <c r="E46" s="40">
        <f>+VLOOKUP(A46,PERSONAL!$B$3:$E$100,4,FALSE)</f>
        <v>213741</v>
      </c>
      <c r="F46" s="30">
        <v>1</v>
      </c>
      <c r="G46" s="40">
        <f>+E46*F46</f>
        <v>213741</v>
      </c>
      <c r="H46" s="35">
        <f>+H45</f>
        <v>2800</v>
      </c>
      <c r="I46" s="33">
        <f t="shared" si="2"/>
        <v>76</v>
      </c>
      <c r="J46" s="33">
        <f t="shared" si="3"/>
        <v>76</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ht="13.9" customHeight="1" x14ac:dyDescent="0.25">
      <c r="A49" s="20"/>
      <c r="B49" s="20"/>
      <c r="C49" s="20"/>
      <c r="E49" s="20"/>
      <c r="F49" s="20"/>
      <c r="G49" s="20"/>
      <c r="H49" s="20"/>
      <c r="I49" s="30" t="s">
        <v>257</v>
      </c>
      <c r="J49" s="34">
        <f>+SUM(J43:J48)</f>
        <v>257</v>
      </c>
    </row>
    <row r="50" spans="1:10" ht="13.9" customHeight="1" x14ac:dyDescent="0.25"/>
    <row r="51" spans="1:10" ht="13.9" customHeight="1" x14ac:dyDescent="0.25">
      <c r="E51" s="41" t="s">
        <v>276</v>
      </c>
      <c r="I51" s="42">
        <f>ROUND((+J18+J32+J39+J49),0)</f>
        <v>1471</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codeName="Hoja26">
    <tabColor rgb="FFFF0000"/>
  </sheetPr>
  <dimension ref="A1:Q59"/>
  <sheetViews>
    <sheetView workbookViewId="0">
      <selection sqref="A1:J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5" ht="29.25" customHeight="1" x14ac:dyDescent="0.25">
      <c r="A1" s="1574" t="s">
        <v>244</v>
      </c>
      <c r="B1" s="1575"/>
      <c r="C1" s="1575"/>
      <c r="D1" s="1575"/>
      <c r="E1" s="1575"/>
      <c r="F1" s="1575"/>
      <c r="G1" s="1575"/>
      <c r="H1" s="1575"/>
      <c r="I1" s="1575"/>
      <c r="J1" s="1575"/>
    </row>
    <row r="2" spans="1:15" ht="15" customHeight="1" x14ac:dyDescent="0.25">
      <c r="A2" s="1576" t="s">
        <v>245</v>
      </c>
      <c r="B2" s="1576"/>
      <c r="C2" s="1576"/>
      <c r="D2" s="1576"/>
      <c r="E2" s="1576"/>
      <c r="F2" s="1576"/>
      <c r="G2" s="1576"/>
      <c r="H2" s="1576"/>
      <c r="I2" s="1576"/>
      <c r="J2" s="1576"/>
    </row>
    <row r="4" spans="1:15" s="20" customFormat="1" ht="9.9499999999999993" customHeight="1" x14ac:dyDescent="0.25">
      <c r="A4" s="1577" t="s">
        <v>246</v>
      </c>
      <c r="B4" s="1577"/>
      <c r="C4" s="1577"/>
      <c r="D4" s="1577"/>
      <c r="E4" s="1577"/>
      <c r="F4" s="1577"/>
      <c r="G4" s="1577"/>
      <c r="H4" s="1577"/>
      <c r="I4" s="1577"/>
      <c r="J4" s="1577"/>
    </row>
    <row r="5" spans="1:15" s="20" customFormat="1" ht="9.9499999999999993" customHeight="1" x14ac:dyDescent="0.25">
      <c r="B5" s="21"/>
      <c r="C5" s="21"/>
      <c r="D5" s="21"/>
      <c r="E5" s="21"/>
      <c r="F5" s="21"/>
      <c r="G5" s="21"/>
    </row>
    <row r="6" spans="1:15" x14ac:dyDescent="0.25">
      <c r="A6" s="1558" t="s">
        <v>247</v>
      </c>
      <c r="B6" s="1560"/>
      <c r="C6" s="22">
        <v>22</v>
      </c>
      <c r="D6" s="23"/>
      <c r="E6" s="23"/>
      <c r="F6" s="23"/>
      <c r="G6" s="23"/>
      <c r="H6" s="24"/>
      <c r="I6" s="25" t="s">
        <v>248</v>
      </c>
      <c r="J6" s="26" t="str">
        <f>+VLOOKUP(C6,'ANEXO PLIEGO_1'!$A$7:$C$133,3,FALSE)</f>
        <v>UN</v>
      </c>
    </row>
    <row r="7" spans="1:15" ht="35.1" customHeight="1" x14ac:dyDescent="0.25">
      <c r="A7" s="1568" t="s">
        <v>249</v>
      </c>
      <c r="B7" s="1570"/>
      <c r="C7" s="1578" t="str">
        <f>+VLOOKUP(C6,'ANEXO PLIEGO_1'!$A$7:$B$103,2,FALSE)</f>
        <v>Fabricación, suministro e instalación de tablero de 60 cm, señal Reglamentaria, preventiva o informativa, material reflectivo tipo XI, película antigraffiti, en lámina galvanizada C16 E=1,5 mm, cumpliendo normatividad vigente. (Incluye elementos de fijación)</v>
      </c>
      <c r="D7" s="1579"/>
      <c r="E7" s="1579"/>
      <c r="F7" s="1579"/>
      <c r="G7" s="1579"/>
      <c r="H7" s="1579"/>
      <c r="I7" s="1579"/>
      <c r="J7" s="1580"/>
    </row>
    <row r="9" spans="1:15" s="27" customFormat="1" ht="12.75" x14ac:dyDescent="0.25">
      <c r="A9" s="1561" t="s">
        <v>250</v>
      </c>
      <c r="B9" s="1561"/>
      <c r="C9" s="1561"/>
      <c r="D9" s="1561"/>
      <c r="E9" s="1561"/>
      <c r="F9" s="1561"/>
      <c r="G9" s="1561"/>
      <c r="H9" s="1561"/>
    </row>
    <row r="10" spans="1:15" s="20" customFormat="1" ht="13.9" customHeight="1" x14ac:dyDescent="0.25">
      <c r="A10" s="1562" t="s">
        <v>251</v>
      </c>
      <c r="B10" s="1563"/>
      <c r="C10" s="1563"/>
      <c r="D10" s="1564"/>
      <c r="E10" s="28" t="s">
        <v>252</v>
      </c>
      <c r="F10" s="28" t="s">
        <v>253</v>
      </c>
      <c r="G10" s="28" t="s">
        <v>254</v>
      </c>
      <c r="H10" s="28" t="s">
        <v>255</v>
      </c>
      <c r="I10" s="28" t="s">
        <v>256</v>
      </c>
      <c r="J10" s="28" t="s">
        <v>257</v>
      </c>
    </row>
    <row r="11" spans="1:15" s="20" customFormat="1" ht="13.9" customHeight="1" x14ac:dyDescent="0.25">
      <c r="A11" s="1558" t="str">
        <f>+'EQUIPOS '!B7</f>
        <v xml:space="preserve">CIZALLA DE CORTE VERTICAL </v>
      </c>
      <c r="B11" s="1559"/>
      <c r="C11" s="1559"/>
      <c r="D11" s="1560"/>
      <c r="E11" s="29" t="s">
        <v>202</v>
      </c>
      <c r="F11" s="30" t="str">
        <f>IFERROR(VLOOKUP(L11,'[10]EQUIPOS TRANSPOR SALARIO'!$A$3:$G$42,2,FALSE),0)</f>
        <v>Eléctrico</v>
      </c>
      <c r="G11" s="31">
        <f>IFERROR(VLOOKUP(A11,'EQUIPOS '!$B$3:$N$55,12,FALSE),0)</f>
        <v>5174.01</v>
      </c>
      <c r="H11" s="32">
        <v>5</v>
      </c>
      <c r="I11" s="33">
        <f>IFERROR((G11/H11),0)</f>
        <v>1034.8020000000001</v>
      </c>
      <c r="J11" s="33">
        <f>ROUND(I11,0)</f>
        <v>1035</v>
      </c>
      <c r="L11" s="1558" t="s">
        <v>258</v>
      </c>
      <c r="M11" s="1559"/>
      <c r="N11" s="1559"/>
      <c r="O11" s="1560"/>
    </row>
    <row r="12" spans="1:15" s="20" customFormat="1" ht="13.9" customHeight="1" x14ac:dyDescent="0.25">
      <c r="A12" s="1558" t="str">
        <f>+'EQUIPOS '!B9</f>
        <v>COMPRESOR</v>
      </c>
      <c r="B12" s="1559"/>
      <c r="C12" s="1559"/>
      <c r="D12" s="1560"/>
      <c r="E12" s="29" t="s">
        <v>202</v>
      </c>
      <c r="F12" s="30" t="str">
        <f>IFERROR(VLOOKUP(L12,'[10]EQUIPOS TRANSPOR SALARIO'!$A$3:$G$42,2,FALSE),0)</f>
        <v>Electrostática</v>
      </c>
      <c r="G12" s="31">
        <f>IFERROR(VLOOKUP(A12,'EQUIPOS '!$B$3:$N$55,12,FALSE),0)</f>
        <v>7999.94</v>
      </c>
      <c r="H12" s="32">
        <f>+H11</f>
        <v>5</v>
      </c>
      <c r="I12" s="33">
        <f t="shared" ref="I12:I19" si="0">IFERROR((G12/H12),0)</f>
        <v>1599.9879999999998</v>
      </c>
      <c r="J12" s="33">
        <f t="shared" ref="J12:J19" si="1">ROUND(I12,0)</f>
        <v>1600</v>
      </c>
      <c r="L12" s="1558" t="s">
        <v>260</v>
      </c>
      <c r="M12" s="1559"/>
      <c r="N12" s="1559"/>
      <c r="O12" s="1560"/>
    </row>
    <row r="13" spans="1:15" s="20" customFormat="1" ht="13.9" customHeight="1" x14ac:dyDescent="0.25">
      <c r="A13" s="1558" t="str">
        <f>+'EQUIPOS '!B25</f>
        <v>EQUIPO  COLAMINADO</v>
      </c>
      <c r="B13" s="1559"/>
      <c r="C13" s="1559"/>
      <c r="D13" s="1560"/>
      <c r="E13" s="29" t="s">
        <v>202</v>
      </c>
      <c r="F13" s="30" t="str">
        <f>IFERROR(VLOOKUP(L13,'[10]EQUIPOS TRANSPOR SALARIO'!$A$3:$G$42,2,FALSE),0)</f>
        <v>Eléctrico</v>
      </c>
      <c r="G13" s="31">
        <f>IFERROR(VLOOKUP(A13,'EQUIPOS '!$B$3:$N$55,12,FALSE),0)</f>
        <v>4701.8100000000004</v>
      </c>
      <c r="H13" s="32">
        <f t="shared" ref="H13:H19" si="2">+H12</f>
        <v>5</v>
      </c>
      <c r="I13" s="33">
        <f t="shared" si="0"/>
        <v>940.36200000000008</v>
      </c>
      <c r="J13" s="33">
        <f t="shared" si="1"/>
        <v>940</v>
      </c>
      <c r="L13" s="1558" t="s">
        <v>261</v>
      </c>
      <c r="M13" s="1559"/>
      <c r="N13" s="1559"/>
      <c r="O13" s="1560"/>
    </row>
    <row r="14" spans="1:15" s="20" customFormat="1" ht="13.9" customHeight="1" x14ac:dyDescent="0.25">
      <c r="A14" s="1558" t="str">
        <f>+'EQUIPOS '!B24</f>
        <v>EQUIPO PINTURA ELECTROSTÁTICA</v>
      </c>
      <c r="B14" s="1559"/>
      <c r="C14" s="1559"/>
      <c r="D14" s="1560"/>
      <c r="E14" s="29" t="s">
        <v>202</v>
      </c>
      <c r="F14" s="30" t="str">
        <f>IFERROR(VLOOKUP(L14,'[10]EQUIPOS TRANSPOR SALARIO'!$A$3:$G$42,2,FALSE),0)</f>
        <v>Manual</v>
      </c>
      <c r="G14" s="31">
        <f>IFERROR(VLOOKUP(A14,'EQUIPOS '!$B$3:$N$55,12,FALSE),0)</f>
        <v>4047.59</v>
      </c>
      <c r="H14" s="32">
        <f t="shared" si="2"/>
        <v>5</v>
      </c>
      <c r="I14" s="33">
        <f t="shared" si="0"/>
        <v>809.51800000000003</v>
      </c>
      <c r="J14" s="33">
        <f t="shared" si="1"/>
        <v>810</v>
      </c>
      <c r="L14" s="1558" t="s">
        <v>94</v>
      </c>
      <c r="M14" s="1559"/>
      <c r="N14" s="1559"/>
      <c r="O14" s="1560"/>
    </row>
    <row r="15" spans="1:15" s="20" customFormat="1" ht="13.9" customHeight="1" x14ac:dyDescent="0.25">
      <c r="A15" s="1558" t="str">
        <f>+'EQUIPOS '!B27</f>
        <v xml:space="preserve">EQUIPO SOLDADURA ELECTRICA </v>
      </c>
      <c r="B15" s="1559"/>
      <c r="C15" s="1559"/>
      <c r="D15" s="1560"/>
      <c r="E15" s="29" t="s">
        <v>202</v>
      </c>
      <c r="F15" s="30" t="str">
        <f>IFERROR(VLOOKUP(L15,'[10]EQUIPOS TRANSPOR SALARIO'!$A$3:$G$42,2,FALSE),0)</f>
        <v>Global</v>
      </c>
      <c r="G15" s="31">
        <f>IFERROR(VLOOKUP(A15,'EQUIPOS '!$B$3:$N$55,12,FALSE),0)</f>
        <v>4862.5</v>
      </c>
      <c r="H15" s="32">
        <f t="shared" si="2"/>
        <v>5</v>
      </c>
      <c r="I15" s="33">
        <f t="shared" si="0"/>
        <v>972.5</v>
      </c>
      <c r="J15" s="33">
        <f t="shared" si="1"/>
        <v>973</v>
      </c>
      <c r="L15" s="1558" t="s">
        <v>262</v>
      </c>
      <c r="M15" s="1559"/>
      <c r="N15" s="1559"/>
      <c r="O15" s="1560"/>
    </row>
    <row r="16" spans="1:15" s="20" customFormat="1" ht="22.5" customHeight="1" x14ac:dyDescent="0.25">
      <c r="A16" s="1568" t="str">
        <f>+'EQUIPOS '!B51</f>
        <v xml:space="preserve">IMPRESORA DIGITAL PARA SEÑALES DE TRÁNSITO </v>
      </c>
      <c r="B16" s="1569"/>
      <c r="C16" s="1569"/>
      <c r="D16" s="1570"/>
      <c r="E16" s="29" t="s">
        <v>202</v>
      </c>
      <c r="F16" s="30"/>
      <c r="G16" s="31">
        <f>IFERROR(VLOOKUP(A16,'EQUIPOS '!$B$3:$N$55,12,FALSE),0)</f>
        <v>64227.08</v>
      </c>
      <c r="H16" s="32">
        <f t="shared" si="2"/>
        <v>5</v>
      </c>
      <c r="I16" s="33">
        <f>IFERROR((G16/H16),0)</f>
        <v>12845.416000000001</v>
      </c>
      <c r="J16" s="33">
        <f t="shared" si="1"/>
        <v>12845</v>
      </c>
      <c r="L16" s="78"/>
      <c r="M16" s="78"/>
      <c r="N16" s="78"/>
      <c r="O16" s="78"/>
    </row>
    <row r="17" spans="1:17" s="20" customFormat="1" ht="13.9" customHeight="1" x14ac:dyDescent="0.25">
      <c r="A17" s="1558" t="str">
        <f>+'EQUIPOS '!B39</f>
        <v xml:space="preserve">PULIDORA </v>
      </c>
      <c r="B17" s="1559"/>
      <c r="C17" s="1559"/>
      <c r="D17" s="1560"/>
      <c r="E17" s="29" t="s">
        <v>202</v>
      </c>
      <c r="F17" s="30"/>
      <c r="G17" s="31">
        <f>IFERROR(VLOOKUP(A17,'EQUIPOS '!$B$3:$N$55,12,FALSE),0)</f>
        <v>2821</v>
      </c>
      <c r="H17" s="32">
        <f t="shared" si="2"/>
        <v>5</v>
      </c>
      <c r="I17" s="33">
        <f t="shared" si="0"/>
        <v>564.20000000000005</v>
      </c>
      <c r="J17" s="33">
        <f t="shared" si="1"/>
        <v>564</v>
      </c>
      <c r="L17" s="78"/>
      <c r="M17" s="78"/>
      <c r="N17" s="78"/>
      <c r="O17" s="78"/>
    </row>
    <row r="18" spans="1:17" s="20" customFormat="1" ht="13.9" customHeight="1" x14ac:dyDescent="0.25">
      <c r="A18" s="1558" t="s">
        <v>330</v>
      </c>
      <c r="B18" s="1559"/>
      <c r="C18" s="1559"/>
      <c r="D18" s="1560"/>
      <c r="E18" s="29" t="s">
        <v>202</v>
      </c>
      <c r="F18" s="30"/>
      <c r="G18" s="74">
        <v>0.01</v>
      </c>
      <c r="H18" s="32">
        <f>+J54</f>
        <v>8836</v>
      </c>
      <c r="I18" s="33">
        <f>IFERROR((G18*H18),0)</f>
        <v>88.36</v>
      </c>
      <c r="J18" s="33">
        <f t="shared" si="1"/>
        <v>88</v>
      </c>
      <c r="L18" s="78"/>
      <c r="M18" s="78"/>
      <c r="N18" s="78"/>
      <c r="O18" s="78"/>
    </row>
    <row r="19" spans="1:17" s="20" customFormat="1" ht="13.9" customHeight="1" x14ac:dyDescent="0.25">
      <c r="A19" s="1558" t="str">
        <f>+'EQUIPOS '!B43</f>
        <v>TALADRO DE ARBOL</v>
      </c>
      <c r="B19" s="1559"/>
      <c r="C19" s="1559"/>
      <c r="D19" s="1560"/>
      <c r="E19" s="29" t="s">
        <v>202</v>
      </c>
      <c r="F19" s="30">
        <f>IFERROR(VLOOKUP(A19,'[10]EQUIPOS TRANSPOR SALARIO'!$A$3:$G$42,2,FALSE),0)</f>
        <v>0</v>
      </c>
      <c r="G19" s="31">
        <f>IFERROR(VLOOKUP(A19,'EQUIPOS '!$B$3:$N$55,12,FALSE),0)</f>
        <v>4898</v>
      </c>
      <c r="H19" s="32">
        <f t="shared" si="2"/>
        <v>8836</v>
      </c>
      <c r="I19" s="33">
        <f t="shared" si="0"/>
        <v>0.55432322317790861</v>
      </c>
      <c r="J19" s="33">
        <f t="shared" si="1"/>
        <v>1</v>
      </c>
    </row>
    <row r="20" spans="1:17" s="20" customFormat="1" ht="13.9" customHeight="1" x14ac:dyDescent="0.25">
      <c r="A20" s="1558"/>
      <c r="B20" s="1559"/>
      <c r="C20" s="1559"/>
      <c r="D20" s="1560"/>
      <c r="E20" s="29" t="s">
        <v>259</v>
      </c>
      <c r="F20" s="30">
        <f>IFERROR(VLOOKUP(A20,'[10]EQUIPOS TRANSPOR SALARIO'!$A$3:$G$42,2,FALSE),0)</f>
        <v>0</v>
      </c>
      <c r="G20" s="31">
        <f>IFERROR(VLOOKUP(A20,'[10]EQUIPOS TRANSPOR SALARIO'!$A$3:$G$42,6,FALSE),0)</f>
        <v>0</v>
      </c>
      <c r="H20" s="32"/>
      <c r="I20" s="33">
        <f>IFERROR((G20/H20),0)</f>
        <v>0</v>
      </c>
      <c r="J20" s="33">
        <f>ROUND(I20,0)</f>
        <v>0</v>
      </c>
    </row>
    <row r="21" spans="1:17" s="20" customFormat="1" ht="13.9" customHeight="1" x14ac:dyDescent="0.25">
      <c r="I21" s="30" t="s">
        <v>257</v>
      </c>
      <c r="J21" s="34">
        <f>+SUM(J11:J20)</f>
        <v>18856</v>
      </c>
    </row>
    <row r="22" spans="1:17" s="20" customFormat="1" ht="13.9" customHeight="1" x14ac:dyDescent="0.25"/>
    <row r="23" spans="1:17" s="20" customFormat="1" ht="13.9" customHeight="1" x14ac:dyDescent="0.25">
      <c r="A23" s="1561" t="s">
        <v>263</v>
      </c>
      <c r="B23" s="1561"/>
      <c r="C23" s="1561"/>
      <c r="D23" s="1561"/>
      <c r="E23" s="1561"/>
      <c r="F23" s="1561"/>
      <c r="G23" s="1561"/>
      <c r="H23" s="1561"/>
      <c r="I23" s="27"/>
    </row>
    <row r="24" spans="1:17" ht="13.9" customHeight="1" x14ac:dyDescent="0.25">
      <c r="A24" s="1565" t="s">
        <v>251</v>
      </c>
      <c r="B24" s="1566"/>
      <c r="C24" s="1566"/>
      <c r="D24" s="1566"/>
      <c r="E24" s="1566"/>
      <c r="F24" s="1567"/>
      <c r="G24" s="28" t="s">
        <v>252</v>
      </c>
      <c r="H24" s="28" t="s">
        <v>264</v>
      </c>
      <c r="I24" s="28" t="s">
        <v>256</v>
      </c>
      <c r="J24" s="28" t="s">
        <v>257</v>
      </c>
    </row>
    <row r="25" spans="1:17" ht="13.9" customHeight="1" x14ac:dyDescent="0.25">
      <c r="A25" s="1558" t="str">
        <f>+'1'!A24:F24</f>
        <v>LÁMINA GALVANIZADA C 16 E=1,50 mm</v>
      </c>
      <c r="B25" s="1559"/>
      <c r="C25" s="1559"/>
      <c r="D25" s="1559"/>
      <c r="E25" s="1559"/>
      <c r="F25" s="1560"/>
      <c r="G25" s="29" t="s">
        <v>265</v>
      </c>
      <c r="H25" s="35">
        <f>0.75*0.25</f>
        <v>0.1875</v>
      </c>
      <c r="I25" s="31">
        <f>+IFERROR(VLOOKUP(A25,'INSUMOS '!$B$2:$AP$106,27,FALSE),0)</f>
        <v>0</v>
      </c>
      <c r="J25" s="33">
        <f>ROUND(I25*H25,0)</f>
        <v>0</v>
      </c>
      <c r="L25" s="1558" t="s">
        <v>11</v>
      </c>
      <c r="M25" s="1559"/>
      <c r="N25" s="1559"/>
      <c r="O25" s="1559"/>
      <c r="P25" s="1559"/>
      <c r="Q25" s="1560"/>
    </row>
    <row r="26" spans="1:17" ht="13.9" customHeight="1" x14ac:dyDescent="0.25">
      <c r="A26" s="1558" t="str">
        <f>+'INSUMOS '!B62</f>
        <v xml:space="preserve">PAPEL REFLECTIVO PRISMÁTICO ALTA INTENSIDAD TIPO IV </v>
      </c>
      <c r="B26" s="1559"/>
      <c r="C26" s="1559"/>
      <c r="D26" s="1559"/>
      <c r="E26" s="1559"/>
      <c r="F26" s="1560"/>
      <c r="G26" s="29" t="s">
        <v>265</v>
      </c>
      <c r="H26" s="35">
        <f>+H25</f>
        <v>0.1875</v>
      </c>
      <c r="I26" s="31">
        <f>+IFERROR(VLOOKUP(A26,'INSUMOS '!$B$2:$AP$106,27,FALSE),0)</f>
        <v>0</v>
      </c>
      <c r="J26" s="33">
        <f t="shared" ref="J26:J34" si="3">ROUND(I26*H26,0)</f>
        <v>0</v>
      </c>
      <c r="L26" s="1558" t="s">
        <v>18</v>
      </c>
      <c r="M26" s="1559"/>
      <c r="N26" s="1559"/>
      <c r="O26" s="1559"/>
      <c r="P26" s="1559"/>
      <c r="Q26" s="1560"/>
    </row>
    <row r="27" spans="1:17" ht="13.9" customHeight="1" x14ac:dyDescent="0.25">
      <c r="A27" s="1558" t="str">
        <f>+'1'!A26:F26</f>
        <v>TORNILLOS 5/16 ZINCADO  (INCLUYE TUERCA DE SEGURIDAD Y ARANDELA)</v>
      </c>
      <c r="B27" s="1559"/>
      <c r="C27" s="1559"/>
      <c r="D27" s="1559"/>
      <c r="E27" s="1559"/>
      <c r="F27" s="1560"/>
      <c r="G27" s="29" t="s">
        <v>266</v>
      </c>
      <c r="H27" s="35">
        <v>4</v>
      </c>
      <c r="I27" s="31">
        <f>+IFERROR(VLOOKUP(A27,'INSUMOS '!$B$2:$AP$106,27,FALSE),0)</f>
        <v>0</v>
      </c>
      <c r="J27" s="33">
        <f t="shared" si="3"/>
        <v>0</v>
      </c>
      <c r="L27" s="1558" t="s">
        <v>16</v>
      </c>
      <c r="M27" s="1559"/>
      <c r="N27" s="1559"/>
      <c r="O27" s="1559"/>
      <c r="P27" s="1559"/>
      <c r="Q27" s="1560"/>
    </row>
    <row r="28" spans="1:17" ht="13.9" customHeight="1" x14ac:dyDescent="0.25">
      <c r="A28" s="1558" t="str">
        <f>+'INSUMOS '!B89</f>
        <v>REMACHES CON ARANDELAS POR 1"</v>
      </c>
      <c r="B28" s="1559"/>
      <c r="C28" s="1559"/>
      <c r="D28" s="1559"/>
      <c r="E28" s="1559"/>
      <c r="F28" s="1560"/>
      <c r="G28" s="29" t="s">
        <v>266</v>
      </c>
      <c r="H28" s="35">
        <v>4</v>
      </c>
      <c r="I28" s="31">
        <f>+IFERROR(VLOOKUP(A28,'INSUMOS '!$B$2:$AP$106,27,FALSE),0)</f>
        <v>0</v>
      </c>
      <c r="J28" s="33">
        <f t="shared" si="3"/>
        <v>0</v>
      </c>
      <c r="L28" s="1558" t="s">
        <v>17</v>
      </c>
      <c r="M28" s="1559"/>
      <c r="N28" s="1559"/>
      <c r="O28" s="1559"/>
      <c r="P28" s="1559"/>
      <c r="Q28" s="1560"/>
    </row>
    <row r="29" spans="1:17" ht="13.9" customHeight="1" x14ac:dyDescent="0.25">
      <c r="A29" s="1558" t="str">
        <f>+'1'!A29:F29</f>
        <v>TINTA TRASLUCIDA PARA CINTA REFLECTIVA</v>
      </c>
      <c r="B29" s="1559"/>
      <c r="C29" s="1559"/>
      <c r="D29" s="1559"/>
      <c r="E29" s="1559"/>
      <c r="F29" s="1560"/>
      <c r="G29" s="29" t="s">
        <v>93</v>
      </c>
      <c r="H29" s="35">
        <v>0.01</v>
      </c>
      <c r="I29" s="31">
        <f>+IFERROR(VLOOKUP(A29,'INSUMOS '!$B$2:$AP$106,27,FALSE),0)</f>
        <v>0</v>
      </c>
      <c r="J29" s="33"/>
      <c r="L29" s="1558" t="s">
        <v>19</v>
      </c>
      <c r="M29" s="1559"/>
      <c r="N29" s="1559"/>
      <c r="O29" s="1559"/>
      <c r="P29" s="1559"/>
      <c r="Q29" s="1560"/>
    </row>
    <row r="30" spans="1:17" ht="13.9" customHeight="1" x14ac:dyDescent="0.25">
      <c r="A30" s="1558" t="str">
        <f>+'1'!A31:F31</f>
        <v xml:space="preserve">STEAKER 15 X 15 CM EN PAPEL REFLECTIVO TIPO IV O SUPERIOR </v>
      </c>
      <c r="B30" s="1559"/>
      <c r="C30" s="1559"/>
      <c r="D30" s="1559"/>
      <c r="E30" s="1559"/>
      <c r="F30" s="1560"/>
      <c r="G30" s="29" t="s">
        <v>266</v>
      </c>
      <c r="H30" s="35">
        <v>1</v>
      </c>
      <c r="I30" s="31">
        <f>+IFERROR(VLOOKUP(A30,'INSUMOS '!$B$2:$AP$106,27,FALSE),0)</f>
        <v>0</v>
      </c>
      <c r="J30" s="33">
        <f t="shared" si="3"/>
        <v>0</v>
      </c>
      <c r="L30" s="1558" t="s">
        <v>21</v>
      </c>
      <c r="M30" s="1559"/>
      <c r="N30" s="1559"/>
      <c r="O30" s="1559"/>
      <c r="P30" s="1559"/>
      <c r="Q30" s="1560"/>
    </row>
    <row r="31" spans="1:17" ht="13.9" customHeight="1" x14ac:dyDescent="0.25">
      <c r="A31" s="1558" t="str">
        <f>+'1'!A32:F32</f>
        <v>BROCA PARA METAL 1/2"</v>
      </c>
      <c r="B31" s="1559"/>
      <c r="C31" s="1559"/>
      <c r="D31" s="1559"/>
      <c r="E31" s="1559"/>
      <c r="F31" s="1560"/>
      <c r="G31" s="29" t="s">
        <v>266</v>
      </c>
      <c r="H31" s="35">
        <v>0.01</v>
      </c>
      <c r="I31" s="31">
        <f>+IFERROR(VLOOKUP(A31,'INSUMOS '!$B$2:$AP$106,27,FALSE),0)</f>
        <v>0</v>
      </c>
      <c r="J31" s="33">
        <f>ROUND(I31*H31,0)</f>
        <v>0</v>
      </c>
      <c r="L31" s="1568" t="s">
        <v>9</v>
      </c>
      <c r="M31" s="1569"/>
      <c r="N31" s="1569"/>
      <c r="O31" s="1569"/>
      <c r="P31" s="1569"/>
      <c r="Q31" s="1570"/>
    </row>
    <row r="32" spans="1:17" ht="13.9" customHeight="1" x14ac:dyDescent="0.25">
      <c r="A32" s="1558" t="str">
        <f>+'INSUMOS '!B85</f>
        <v>PROTECTOR ANTIGRAFFITI</v>
      </c>
      <c r="B32" s="1559"/>
      <c r="C32" s="1559"/>
      <c r="D32" s="1559"/>
      <c r="E32" s="1559"/>
      <c r="F32" s="1560"/>
      <c r="G32" s="29" t="s">
        <v>265</v>
      </c>
      <c r="H32" s="35">
        <f>+H25</f>
        <v>0.1875</v>
      </c>
      <c r="I32" s="31">
        <f>+IFERROR(VLOOKUP(A32,'INSUMOS '!$B$2:$AP$106,27,FALSE),0)</f>
        <v>0</v>
      </c>
      <c r="J32" s="33">
        <f>ROUND(I32*H32,0)</f>
        <v>0</v>
      </c>
    </row>
    <row r="33" spans="1:12" ht="13.9" customHeight="1" x14ac:dyDescent="0.25">
      <c r="A33" s="1558" t="str">
        <f>+'1'!A33:F33</f>
        <v xml:space="preserve">DESPERDICIO </v>
      </c>
      <c r="B33" s="1559"/>
      <c r="C33" s="1559"/>
      <c r="D33" s="1559"/>
      <c r="E33" s="1559"/>
      <c r="F33" s="1560"/>
      <c r="G33" s="29"/>
      <c r="H33" s="74">
        <v>0.02</v>
      </c>
      <c r="I33" s="33">
        <f>+SUM(J25:J32)</f>
        <v>0</v>
      </c>
      <c r="J33" s="33">
        <f>ROUND(I33*H33,0)</f>
        <v>0</v>
      </c>
    </row>
    <row r="34" spans="1:12" ht="13.9" customHeight="1" x14ac:dyDescent="0.25">
      <c r="A34" s="1558"/>
      <c r="B34" s="1559"/>
      <c r="C34" s="1559"/>
      <c r="D34" s="1559"/>
      <c r="E34" s="1559"/>
      <c r="F34" s="1560"/>
      <c r="G34" s="29"/>
      <c r="H34" s="35"/>
      <c r="I34" s="33">
        <f>IFERROR(VLOOKUP(A34,[10]INSUMOS!$A$2:$E$121,4,FALSE),0)</f>
        <v>0</v>
      </c>
      <c r="J34" s="33">
        <f t="shared" si="3"/>
        <v>0</v>
      </c>
    </row>
    <row r="35" spans="1:12" ht="13.9" customHeight="1" x14ac:dyDescent="0.25">
      <c r="A35" s="20"/>
      <c r="B35" s="20"/>
      <c r="C35" s="20"/>
      <c r="D35" s="20"/>
      <c r="E35" s="20"/>
      <c r="G35" s="20"/>
      <c r="H35" s="20"/>
      <c r="I35" s="30" t="s">
        <v>257</v>
      </c>
      <c r="J35" s="34">
        <f>+SUM(J25:J34)</f>
        <v>0</v>
      </c>
    </row>
    <row r="36" spans="1:12" ht="13.9" customHeight="1" x14ac:dyDescent="0.25"/>
    <row r="37" spans="1:12" ht="13.9" customHeight="1" x14ac:dyDescent="0.25">
      <c r="A37" s="1561" t="s">
        <v>267</v>
      </c>
      <c r="B37" s="1561"/>
      <c r="C37" s="1561"/>
      <c r="D37" s="1561"/>
      <c r="E37" s="1561"/>
      <c r="F37" s="1561"/>
      <c r="G37" s="1561"/>
      <c r="H37" s="1561"/>
      <c r="I37" s="27"/>
    </row>
    <row r="38" spans="1:12" ht="13.9" customHeight="1" x14ac:dyDescent="0.25">
      <c r="A38" s="1562" t="s">
        <v>268</v>
      </c>
      <c r="B38" s="1563"/>
      <c r="C38" s="1563"/>
      <c r="D38" s="1563"/>
      <c r="E38" s="1563"/>
      <c r="F38" s="1564"/>
      <c r="G38" s="38" t="s">
        <v>255</v>
      </c>
      <c r="H38" s="28" t="s">
        <v>269</v>
      </c>
      <c r="I38" s="28" t="s">
        <v>256</v>
      </c>
      <c r="J38" s="28" t="s">
        <v>257</v>
      </c>
    </row>
    <row r="39" spans="1:12" ht="13.9" customHeight="1" x14ac:dyDescent="0.25">
      <c r="A39" s="1558" t="str">
        <f>+'21'!A53:F53</f>
        <v>CAMION INCLUYE CONDUCTOR</v>
      </c>
      <c r="B39" s="1559"/>
      <c r="C39" s="1559"/>
      <c r="D39" s="1559"/>
      <c r="E39" s="1559"/>
      <c r="F39" s="1560"/>
      <c r="G39" s="29">
        <f>+L39/1000</f>
        <v>3.1874999999999998E-3</v>
      </c>
      <c r="H39" s="33">
        <f>+IFERROR(VLOOKUP(A39,'EQUIPOS '!$B$3:$M$78,12,FALSE),0)</f>
        <v>611492.5</v>
      </c>
      <c r="I39" s="33">
        <f>IFERROR(H39*G39,0)</f>
        <v>1949.1323437499998</v>
      </c>
      <c r="J39" s="33">
        <f>ROUND(I39,0)</f>
        <v>1949</v>
      </c>
      <c r="L39" s="19">
        <f>17*H25</f>
        <v>3.1875</v>
      </c>
    </row>
    <row r="40" spans="1:12" ht="13.9" customHeight="1" x14ac:dyDescent="0.25">
      <c r="A40" s="1558"/>
      <c r="B40" s="1559"/>
      <c r="C40" s="1559"/>
      <c r="D40" s="1559"/>
      <c r="E40" s="1559"/>
      <c r="F40" s="1560"/>
      <c r="G40" s="29"/>
      <c r="H40" s="33">
        <f>IFERROR(VLOOKUP(A40,'[10]EQUIPOS TRANSPOR SALARIO'!$A$43:$C$47,3,FALSE),0)</f>
        <v>0</v>
      </c>
      <c r="I40" s="33">
        <f>IFERROR(H40/G40,0)</f>
        <v>0</v>
      </c>
      <c r="J40" s="33">
        <f>ROUND(I40,0)</f>
        <v>0</v>
      </c>
    </row>
    <row r="41" spans="1:12" ht="13.9" customHeight="1" x14ac:dyDescent="0.25">
      <c r="A41" s="1558"/>
      <c r="B41" s="1559"/>
      <c r="C41" s="1559"/>
      <c r="D41" s="1559"/>
      <c r="E41" s="1559"/>
      <c r="F41" s="1560"/>
      <c r="G41" s="29"/>
      <c r="H41" s="33">
        <f>IFERROR(VLOOKUP(A41,'[10]EQUIPOS TRANSPOR SALARIO'!$A$43:$C$47,3,FALSE),0)</f>
        <v>0</v>
      </c>
      <c r="I41" s="33">
        <f>IFERROR(H41/G41,0)</f>
        <v>0</v>
      </c>
      <c r="J41" s="33">
        <f>ROUND(I41,0)</f>
        <v>0</v>
      </c>
    </row>
    <row r="42" spans="1:12" ht="13.9" customHeight="1" x14ac:dyDescent="0.25">
      <c r="G42" s="39"/>
      <c r="H42" s="39"/>
      <c r="I42" s="30" t="s">
        <v>257</v>
      </c>
      <c r="J42" s="33">
        <f>+SUM(J39:J41)</f>
        <v>1949</v>
      </c>
    </row>
    <row r="43" spans="1:12" ht="13.9" customHeight="1" x14ac:dyDescent="0.25"/>
    <row r="44" spans="1:12" ht="13.9" customHeight="1" x14ac:dyDescent="0.25">
      <c r="A44" s="1561" t="s">
        <v>270</v>
      </c>
      <c r="B44" s="1561"/>
      <c r="C44" s="1561"/>
      <c r="D44" s="1561"/>
      <c r="E44" s="1561"/>
      <c r="F44" s="1561"/>
      <c r="G44" s="1561"/>
      <c r="H44" s="1561"/>
      <c r="I44" s="27"/>
    </row>
    <row r="45" spans="1:12" s="39" customFormat="1" ht="13.9" customHeight="1" x14ac:dyDescent="0.25">
      <c r="A45" s="1562" t="s">
        <v>271</v>
      </c>
      <c r="B45" s="1563"/>
      <c r="C45" s="1563"/>
      <c r="D45" s="1564"/>
      <c r="E45" s="28" t="s">
        <v>272</v>
      </c>
      <c r="F45" s="28" t="s">
        <v>264</v>
      </c>
      <c r="G45" s="28" t="s">
        <v>273</v>
      </c>
      <c r="H45" s="28" t="s">
        <v>255</v>
      </c>
      <c r="I45" s="28" t="s">
        <v>256</v>
      </c>
      <c r="J45" s="28" t="s">
        <v>257</v>
      </c>
    </row>
    <row r="46" spans="1:12" s="39" customFormat="1" ht="13.9" customHeight="1" x14ac:dyDescent="0.25">
      <c r="A46" s="1558" t="str">
        <f>+PERSONAL!B7</f>
        <v>COLAMINADOR</v>
      </c>
      <c r="B46" s="1559"/>
      <c r="C46" s="1559"/>
      <c r="D46" s="1560"/>
      <c r="E46" s="40">
        <f>+IFERROR(VLOOKUP(A46,PERSONAL!$B$3:$E$56,4,FALSE),0)</f>
        <v>91275</v>
      </c>
      <c r="F46" s="30">
        <v>1</v>
      </c>
      <c r="G46" s="40">
        <f>+E46*F46</f>
        <v>91275</v>
      </c>
      <c r="H46" s="35">
        <f>+H11*8</f>
        <v>40</v>
      </c>
      <c r="I46" s="33">
        <f>IFERROR(ROUND(G46/H46,0),0)</f>
        <v>2282</v>
      </c>
      <c r="J46" s="33">
        <f>+I46</f>
        <v>2282</v>
      </c>
    </row>
    <row r="47" spans="1:12" s="39" customFormat="1" ht="13.9" customHeight="1" x14ac:dyDescent="0.25">
      <c r="A47" s="1558" t="str">
        <f>+PERSONAL!B5</f>
        <v xml:space="preserve">AYUDANTE </v>
      </c>
      <c r="B47" s="1559"/>
      <c r="C47" s="1559"/>
      <c r="D47" s="1560"/>
      <c r="E47" s="40">
        <f>+IFERROR(VLOOKUP(A47,PERSONAL!$B$3:$E$56,4,FALSE),0)</f>
        <v>72476</v>
      </c>
      <c r="F47" s="30">
        <v>1</v>
      </c>
      <c r="G47" s="40">
        <f>+E47*F47</f>
        <v>72476</v>
      </c>
      <c r="H47" s="35">
        <f>+H12*8</f>
        <v>40</v>
      </c>
      <c r="I47" s="33">
        <f>IFERROR(ROUND(G47/H47,0),0)</f>
        <v>1812</v>
      </c>
      <c r="J47" s="33">
        <f>+I47</f>
        <v>1812</v>
      </c>
    </row>
    <row r="48" spans="1:12" s="39" customFormat="1" ht="13.9" customHeight="1" x14ac:dyDescent="0.25">
      <c r="A48" s="5" t="str">
        <f>+PERSONAL!B27</f>
        <v xml:space="preserve">PINTOR </v>
      </c>
      <c r="B48" s="6"/>
      <c r="C48" s="6"/>
      <c r="D48" s="7"/>
      <c r="E48" s="40">
        <f>+IFERROR(VLOOKUP(A48,PERSONAL!$B$3:$E$56,4,FALSE),0)</f>
        <v>100054</v>
      </c>
      <c r="F48" s="30">
        <v>1</v>
      </c>
      <c r="G48" s="40">
        <f>+E48*F48</f>
        <v>100054</v>
      </c>
      <c r="H48" s="35">
        <f>+H14*8</f>
        <v>40</v>
      </c>
      <c r="I48" s="33">
        <f>IFERROR(ROUND(G48/H48,0),0)</f>
        <v>2501</v>
      </c>
      <c r="J48" s="33">
        <f>+I48</f>
        <v>2501</v>
      </c>
    </row>
    <row r="49" spans="1:10" s="39" customFormat="1" ht="13.9" customHeight="1" x14ac:dyDescent="0.25">
      <c r="A49" s="1558" t="str">
        <f>+PERSONAL!B3</f>
        <v>AUXILIAR DE TRÁFICO</v>
      </c>
      <c r="B49" s="1559"/>
      <c r="C49" s="1559"/>
      <c r="D49" s="1560"/>
      <c r="E49" s="40">
        <f>+IFERROR(VLOOKUP(A49,PERSONAL!$B$3:$E$56,4,FALSE),0)</f>
        <v>89632</v>
      </c>
      <c r="F49" s="30">
        <v>1</v>
      </c>
      <c r="G49" s="40">
        <f>+E49*F49</f>
        <v>89632</v>
      </c>
      <c r="H49" s="35">
        <f>+H15*8</f>
        <v>40</v>
      </c>
      <c r="I49" s="33">
        <f>IFERROR(ROUND(G49/H49,0),0)</f>
        <v>2241</v>
      </c>
      <c r="J49" s="33">
        <f>+I49</f>
        <v>2241</v>
      </c>
    </row>
    <row r="50" spans="1:10" s="39" customFormat="1" ht="13.9" customHeight="1" x14ac:dyDescent="0.25"/>
    <row r="51" spans="1:10" s="39" customFormat="1" ht="13.9" customHeight="1" x14ac:dyDescent="0.25">
      <c r="A51" s="1558"/>
      <c r="B51" s="1559"/>
      <c r="C51" s="1559"/>
      <c r="D51" s="1560"/>
      <c r="E51" s="40"/>
      <c r="F51" s="30"/>
      <c r="G51" s="40"/>
      <c r="H51" s="35"/>
      <c r="I51" s="33"/>
      <c r="J51" s="33"/>
    </row>
    <row r="52" spans="1:10" s="39" customFormat="1" ht="13.9" customHeight="1" x14ac:dyDescent="0.25">
      <c r="A52" s="1558"/>
      <c r="B52" s="1559"/>
      <c r="C52" s="1559"/>
      <c r="D52" s="1560"/>
      <c r="E52" s="40"/>
      <c r="F52" s="30"/>
      <c r="G52" s="40"/>
      <c r="H52" s="35"/>
      <c r="I52" s="33"/>
      <c r="J52" s="33"/>
    </row>
    <row r="53" spans="1:10" s="39" customFormat="1" ht="13.9" customHeight="1" x14ac:dyDescent="0.25">
      <c r="A53" s="1558"/>
      <c r="B53" s="1559"/>
      <c r="C53" s="1559"/>
      <c r="D53" s="1560"/>
      <c r="E53" s="40"/>
      <c r="F53" s="30"/>
      <c r="G53" s="40"/>
      <c r="H53" s="35"/>
      <c r="I53" s="33"/>
      <c r="J53" s="33"/>
    </row>
    <row r="54" spans="1:10" ht="13.9" customHeight="1" x14ac:dyDescent="0.25">
      <c r="A54" s="20"/>
      <c r="B54" s="20"/>
      <c r="C54" s="20"/>
      <c r="E54" s="20"/>
      <c r="F54" s="20"/>
      <c r="G54" s="20"/>
      <c r="H54" s="20"/>
      <c r="I54" s="30" t="s">
        <v>257</v>
      </c>
      <c r="J54" s="34">
        <f>+SUM(J46:J53)</f>
        <v>8836</v>
      </c>
    </row>
    <row r="55" spans="1:10" ht="13.9" customHeight="1" x14ac:dyDescent="0.25"/>
    <row r="56" spans="1:10" ht="13.9" customHeight="1" x14ac:dyDescent="0.25">
      <c r="E56" s="41" t="s">
        <v>276</v>
      </c>
      <c r="I56" s="42">
        <f>+J54+J42+J35+J21</f>
        <v>29641</v>
      </c>
      <c r="J56" s="43"/>
    </row>
    <row r="57" spans="1:10" ht="13.9" customHeight="1" x14ac:dyDescent="0.25"/>
    <row r="58" spans="1:10" ht="14.1" customHeight="1" x14ac:dyDescent="0.25"/>
    <row r="59" spans="1:10" ht="14.1" customHeight="1" x14ac:dyDescent="0.25"/>
  </sheetData>
  <mergeCells count="55">
    <mergeCell ref="L30:Q30"/>
    <mergeCell ref="L31:Q31"/>
    <mergeCell ref="A11:D11"/>
    <mergeCell ref="A12:D12"/>
    <mergeCell ref="A13:D13"/>
    <mergeCell ref="A14:D14"/>
    <mergeCell ref="A15:D15"/>
    <mergeCell ref="A16:D16"/>
    <mergeCell ref="A17:D17"/>
    <mergeCell ref="A18:D18"/>
    <mergeCell ref="L25:Q25"/>
    <mergeCell ref="L26:Q26"/>
    <mergeCell ref="L27:Q27"/>
    <mergeCell ref="L28:Q28"/>
    <mergeCell ref="L29:Q29"/>
    <mergeCell ref="A25:F25"/>
    <mergeCell ref="A1:J1"/>
    <mergeCell ref="A2:J2"/>
    <mergeCell ref="A4:J4"/>
    <mergeCell ref="A6:B6"/>
    <mergeCell ref="A7:B7"/>
    <mergeCell ref="C7:J7"/>
    <mergeCell ref="A9:H9"/>
    <mergeCell ref="A10:D10"/>
    <mergeCell ref="L11:O11"/>
    <mergeCell ref="L12:O12"/>
    <mergeCell ref="L13:O13"/>
    <mergeCell ref="L14:O14"/>
    <mergeCell ref="L15:O15"/>
    <mergeCell ref="A19:D19"/>
    <mergeCell ref="A20:D20"/>
    <mergeCell ref="A23:H23"/>
    <mergeCell ref="A24:F24"/>
    <mergeCell ref="A39:F39"/>
    <mergeCell ref="A26:F26"/>
    <mergeCell ref="A27:F27"/>
    <mergeCell ref="A28:F28"/>
    <mergeCell ref="A29:F29"/>
    <mergeCell ref="A30:F30"/>
    <mergeCell ref="A31:F31"/>
    <mergeCell ref="A33:F33"/>
    <mergeCell ref="A32:F32"/>
    <mergeCell ref="A34:F34"/>
    <mergeCell ref="A37:H37"/>
    <mergeCell ref="A38:F38"/>
    <mergeCell ref="A51:D51"/>
    <mergeCell ref="A52:D52"/>
    <mergeCell ref="A53:D53"/>
    <mergeCell ref="A40:F40"/>
    <mergeCell ref="A41:F41"/>
    <mergeCell ref="A44:H44"/>
    <mergeCell ref="A45:D45"/>
    <mergeCell ref="A46:D46"/>
    <mergeCell ref="A47:D47"/>
    <mergeCell ref="A49:D49"/>
  </mergeCells>
  <pageMargins left="0.70866141732283472" right="0.70866141732283472" top="0.78740157480314965" bottom="0.78740157480314965" header="0.31496062992125984" footer="0.31496062992125984"/>
  <pageSetup scale="85" orientation="portrait" r:id="rId1"/>
  <rowBreaks count="1" manualBreakCount="1">
    <brk id="58" max="9" man="1"/>
  </rowBreaks>
  <drawing r:id="rId2"/>
  <legacyDrawing r:id="rId3"/>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codeName="Hoja31">
    <tabColor rgb="FFFF0000"/>
  </sheetPr>
  <dimension ref="A1:J55"/>
  <sheetViews>
    <sheetView workbookViewId="0">
      <selection sqref="A1:J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27</v>
      </c>
      <c r="D6" s="23"/>
      <c r="E6" s="23"/>
      <c r="F6" s="23"/>
      <c r="G6" s="23"/>
      <c r="H6" s="24"/>
      <c r="I6" s="25" t="s">
        <v>248</v>
      </c>
      <c r="J6" s="26" t="str">
        <f>+VLOOKUP(C6,'ANEXO PLIEGO_1'!$A$7:$C$133,3,FALSE)</f>
        <v>UN</v>
      </c>
    </row>
    <row r="7" spans="1:10" ht="35.1" customHeight="1" x14ac:dyDescent="0.25">
      <c r="A7" s="1568" t="s">
        <v>249</v>
      </c>
      <c r="B7" s="1570"/>
      <c r="C7" s="1578" t="str">
        <f>+VLOOKUP(C6,[10]Presupuesto!A3:C106,3,FALSE)</f>
        <v>Suministro e Instalación de Película Antigrafiti para Señales Verticales</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715" t="s">
        <v>94</v>
      </c>
      <c r="B11" s="1716"/>
      <c r="C11" s="1716"/>
      <c r="D11" s="1717"/>
      <c r="E11" s="29" t="s">
        <v>259</v>
      </c>
      <c r="F11" s="30" t="str">
        <f>IFERROR(VLOOKUP(A11,'[10]EQUIPOS TRANSPOR SALARIO'!$A$3:$G$42,2,FALSE),"")</f>
        <v>Manual</v>
      </c>
      <c r="G11" s="31">
        <f>IFERROR(VLOOKUP(A11,'[10]EQUIPOS TRANSPOR SALARIO'!$A$3:$G$42,6,FALSE),"")</f>
        <v>3806</v>
      </c>
      <c r="H11" s="30">
        <v>10</v>
      </c>
      <c r="I11" s="33">
        <f>IFERROR((G11/H11),"")</f>
        <v>380.6</v>
      </c>
      <c r="J11" s="33">
        <f>ROUND(I11,0)</f>
        <v>381</v>
      </c>
    </row>
    <row r="12" spans="1:10" s="20" customFormat="1" ht="13.9" customHeight="1" x14ac:dyDescent="0.25">
      <c r="A12" s="1715" t="s">
        <v>262</v>
      </c>
      <c r="B12" s="1716"/>
      <c r="C12" s="1716"/>
      <c r="D12" s="1717"/>
      <c r="E12" s="29" t="s">
        <v>259</v>
      </c>
      <c r="F12" s="30" t="str">
        <f>IFERROR(VLOOKUP(A12,'[10]EQUIPOS TRANSPOR SALARIO'!$A$3:$G$42,2,FALSE),"")</f>
        <v>Global</v>
      </c>
      <c r="G12" s="31">
        <f>IFERROR(VLOOKUP(A12,'[10]EQUIPOS TRANSPOR SALARIO'!$A$3:$G$42,6,FALSE),"")</f>
        <v>321</v>
      </c>
      <c r="H12" s="30">
        <f>+H11</f>
        <v>10</v>
      </c>
      <c r="I12" s="33">
        <f t="shared" ref="I12:I17" si="0">IFERROR((G12/H12),0)</f>
        <v>32.1</v>
      </c>
      <c r="J12" s="33">
        <f t="shared" ref="J12:J17" si="1">ROUND(I12,0)</f>
        <v>32</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t="str">
        <f>IFERROR(VLOOKUP(A13,'[10]EQUIPOS TRANSPOR SALARIO'!$A$3:$G$42,7,FALSE),"")</f>
        <v/>
      </c>
      <c r="I13" s="33">
        <f t="shared" si="0"/>
        <v>0</v>
      </c>
      <c r="J13" s="33">
        <f t="shared" si="1"/>
        <v>0</v>
      </c>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t="str">
        <f>IFERROR(VLOOKUP(A14,'[10]EQUIPOS TRANSPOR SALARIO'!$A$3:$G$42,7,FALSE),"")</f>
        <v/>
      </c>
      <c r="I14" s="33">
        <f t="shared" si="0"/>
        <v>0</v>
      </c>
      <c r="J14" s="33">
        <f t="shared" si="1"/>
        <v>0</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t="str">
        <f>IFERROR(VLOOKUP(A15,'[10]EQUIPOS TRANSPOR SALARIO'!$A$3:$G$42,7,FALSE),"")</f>
        <v/>
      </c>
      <c r="I15" s="33">
        <f t="shared" si="0"/>
        <v>0</v>
      </c>
      <c r="J15" s="33">
        <f t="shared" si="1"/>
        <v>0</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f t="shared" si="0"/>
        <v>0</v>
      </c>
      <c r="J16" s="33">
        <f t="shared" si="1"/>
        <v>0</v>
      </c>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f t="shared" si="0"/>
        <v>0</v>
      </c>
      <c r="J17" s="33">
        <f t="shared" si="1"/>
        <v>0</v>
      </c>
    </row>
    <row r="18" spans="1:10" s="20" customFormat="1" ht="13.9" customHeight="1" x14ac:dyDescent="0.25">
      <c r="I18" s="30" t="s">
        <v>257</v>
      </c>
      <c r="J18" s="34">
        <f>+SUM(J11:J17)</f>
        <v>413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3.9" customHeight="1" x14ac:dyDescent="0.25">
      <c r="A22" s="1558" t="s">
        <v>89</v>
      </c>
      <c r="B22" s="1559"/>
      <c r="C22" s="1559"/>
      <c r="D22" s="1559"/>
      <c r="E22" s="1559"/>
      <c r="F22" s="1560"/>
      <c r="G22" s="29" t="s">
        <v>265</v>
      </c>
      <c r="H22" s="35">
        <v>1</v>
      </c>
      <c r="I22" s="31">
        <f>+IFERROR(VLOOKUP(A22,'INSUMOS '!$B$2:$AP$106,27,FALSE),0)</f>
        <v>0</v>
      </c>
      <c r="J22" s="33">
        <f>ROUND(I22*H22,0)</f>
        <v>0</v>
      </c>
    </row>
    <row r="23" spans="1:10" ht="13.9" customHeight="1" x14ac:dyDescent="0.25">
      <c r="A23" s="1558"/>
      <c r="B23" s="1559"/>
      <c r="C23" s="1559"/>
      <c r="D23" s="1559"/>
      <c r="E23" s="1559"/>
      <c r="F23" s="1560"/>
      <c r="G23" s="29"/>
      <c r="H23" s="35"/>
      <c r="I23" s="33">
        <f>IFERROR(VLOOKUP(A23,[10]INSUMOS!$A$2:$E$121,4,FALSE),0)</f>
        <v>0</v>
      </c>
      <c r="J23" s="33">
        <f t="shared" ref="J23:J31" si="2">ROUND(I23*H23,0)</f>
        <v>0</v>
      </c>
    </row>
    <row r="24" spans="1:10" ht="13.9" customHeight="1" x14ac:dyDescent="0.25">
      <c r="A24" s="1558"/>
      <c r="B24" s="1559"/>
      <c r="C24" s="1559"/>
      <c r="D24" s="1559"/>
      <c r="E24" s="1559"/>
      <c r="F24" s="1560"/>
      <c r="G24" s="29"/>
      <c r="H24" s="35"/>
      <c r="I24" s="33">
        <f>IFERROR(VLOOKUP(A24,[10]INSUMOS!$A$2:$E$121,4,FALSE),0)</f>
        <v>0</v>
      </c>
      <c r="J24" s="33">
        <f t="shared" si="2"/>
        <v>0</v>
      </c>
    </row>
    <row r="25" spans="1:10" ht="13.9" customHeight="1" x14ac:dyDescent="0.25">
      <c r="A25" s="1558"/>
      <c r="B25" s="1559"/>
      <c r="C25" s="1559"/>
      <c r="D25" s="1559"/>
      <c r="E25" s="1559"/>
      <c r="F25" s="1560"/>
      <c r="G25" s="29"/>
      <c r="H25" s="35"/>
      <c r="I25" s="33">
        <f>IFERROR(VLOOKUP(A25,[10]INSUMOS!$A$2:$E$121,4,FALSE),0)</f>
        <v>0</v>
      </c>
      <c r="J25" s="33">
        <f t="shared" si="2"/>
        <v>0</v>
      </c>
    </row>
    <row r="26" spans="1:10" ht="13.9" customHeight="1" x14ac:dyDescent="0.25">
      <c r="A26" s="1558"/>
      <c r="B26" s="1559"/>
      <c r="C26" s="1559"/>
      <c r="D26" s="1559"/>
      <c r="E26" s="1559"/>
      <c r="F26" s="1560"/>
      <c r="G26" s="29"/>
      <c r="H26" s="35"/>
      <c r="I26" s="33">
        <f>IFERROR(VLOOKUP(A26,[10]INSUMOS!$A$2:$E$121,4,FALSE),0)</f>
        <v>0</v>
      </c>
      <c r="J26" s="33">
        <f t="shared" si="2"/>
        <v>0</v>
      </c>
    </row>
    <row r="27" spans="1:10" ht="13.9" customHeight="1" x14ac:dyDescent="0.25">
      <c r="A27" s="1558"/>
      <c r="B27" s="1559"/>
      <c r="C27" s="1559"/>
      <c r="D27" s="1559"/>
      <c r="E27" s="1559"/>
      <c r="F27" s="1560"/>
      <c r="G27" s="29"/>
      <c r="H27" s="35"/>
      <c r="I27" s="33">
        <f>IFERROR(VLOOKUP(A27,[10]INSUMOS!$A$2:$E$121,4,FALSE),0)</f>
        <v>0</v>
      </c>
      <c r="J27" s="33">
        <f t="shared" si="2"/>
        <v>0</v>
      </c>
    </row>
    <row r="28" spans="1:10" ht="13.9" customHeight="1" x14ac:dyDescent="0.25">
      <c r="A28" s="1558"/>
      <c r="B28" s="1559"/>
      <c r="C28" s="1559"/>
      <c r="D28" s="1559"/>
      <c r="E28" s="1559"/>
      <c r="F28" s="1560"/>
      <c r="G28" s="29"/>
      <c r="H28" s="35"/>
      <c r="I28" s="33">
        <f>IFERROR(VLOOKUP(A28,[10]INSUMOS!$A$2:$E$121,4,FALSE),0)</f>
        <v>0</v>
      </c>
      <c r="J28" s="33">
        <f t="shared" si="2"/>
        <v>0</v>
      </c>
    </row>
    <row r="29" spans="1:10" ht="13.9" customHeight="1" x14ac:dyDescent="0.25">
      <c r="A29" s="1558"/>
      <c r="B29" s="1559"/>
      <c r="C29" s="1559"/>
      <c r="D29" s="1559"/>
      <c r="E29" s="1559"/>
      <c r="F29" s="1560"/>
      <c r="G29" s="29"/>
      <c r="H29" s="37"/>
      <c r="I29" s="33">
        <f>IFERROR(VLOOKUP(A29,[10]INSUMOS!$A$2:$E$121,4,FALSE),0)</f>
        <v>0</v>
      </c>
      <c r="J29" s="33">
        <f t="shared" si="2"/>
        <v>0</v>
      </c>
    </row>
    <row r="30" spans="1:10" ht="13.9" customHeight="1" x14ac:dyDescent="0.25">
      <c r="A30" s="1558"/>
      <c r="B30" s="1559"/>
      <c r="C30" s="1559"/>
      <c r="D30" s="1559"/>
      <c r="E30" s="1559"/>
      <c r="F30" s="1560"/>
      <c r="G30" s="29"/>
      <c r="H30" s="35"/>
      <c r="I30" s="33">
        <f>IFERROR(VLOOKUP(A30,[10]INSUMOS!$A$2:$E$121,4,FALSE),0)</f>
        <v>0</v>
      </c>
      <c r="J30" s="33">
        <f t="shared" si="2"/>
        <v>0</v>
      </c>
    </row>
    <row r="31" spans="1:10" ht="13.9" customHeight="1" x14ac:dyDescent="0.25">
      <c r="A31" s="1558"/>
      <c r="B31" s="1559"/>
      <c r="C31" s="1559"/>
      <c r="D31" s="1559"/>
      <c r="E31" s="1559"/>
      <c r="F31" s="1560"/>
      <c r="G31" s="29"/>
      <c r="H31" s="35"/>
      <c r="I31" s="33">
        <f>IFERROR(VLOOKUP(A31,[10]INSUMOS!$A$2:$E$121,4,FALSE),0)</f>
        <v>0</v>
      </c>
      <c r="J31" s="33">
        <f t="shared" si="2"/>
        <v>0</v>
      </c>
    </row>
    <row r="32" spans="1:10" ht="13.9" customHeight="1" x14ac:dyDescent="0.25">
      <c r="A32" s="20"/>
      <c r="B32" s="20"/>
      <c r="C32" s="20"/>
      <c r="D32" s="20"/>
      <c r="E32" s="20"/>
      <c r="G32" s="20"/>
      <c r="H32" s="20"/>
      <c r="I32" s="30" t="s">
        <v>257</v>
      </c>
      <c r="J32" s="34">
        <f>+SUM(J22:J31)</f>
        <v>0</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c r="B36" s="1559"/>
      <c r="C36" s="1559"/>
      <c r="D36" s="1559"/>
      <c r="E36" s="1559"/>
      <c r="F36" s="1560"/>
      <c r="G36" s="29"/>
      <c r="H36" s="33">
        <f>IFERROR(VLOOKUP(A36,'[10]EQUIPOS TRANSPOR SALARIO'!$A$43:$C$47,3,FALSE),0)</f>
        <v>0</v>
      </c>
      <c r="I36" s="33">
        <f>IFERROR(H36/G36,0)</f>
        <v>0</v>
      </c>
      <c r="J36" s="33">
        <f>ROUND(I36,0)</f>
        <v>0</v>
      </c>
    </row>
    <row r="37" spans="1:10" ht="13.9" customHeight="1" x14ac:dyDescent="0.25">
      <c r="A37" s="1558"/>
      <c r="B37" s="1559"/>
      <c r="C37" s="1559"/>
      <c r="D37" s="1559"/>
      <c r="E37" s="1559"/>
      <c r="F37" s="1560"/>
      <c r="G37" s="29"/>
      <c r="H37" s="33">
        <f>IFERROR(VLOOKUP(A37,'[10]EQUIPOS TRANSPOR SALARIO'!$A$43:$C$47,3,FALSE),0)</f>
        <v>0</v>
      </c>
      <c r="I37" s="33">
        <f>IFERROR(H37/G37,0)</f>
        <v>0</v>
      </c>
      <c r="J37" s="33">
        <f>ROUND(I37,0)</f>
        <v>0</v>
      </c>
    </row>
    <row r="38" spans="1:10" ht="13.9" customHeight="1" x14ac:dyDescent="0.25">
      <c r="A38" s="1558"/>
      <c r="B38" s="1559"/>
      <c r="C38" s="1559"/>
      <c r="D38" s="1559"/>
      <c r="E38" s="1559"/>
      <c r="F38" s="1560"/>
      <c r="G38" s="29"/>
      <c r="H38" s="33">
        <f>IFERROR(VLOOKUP(A38,'[10]EQUIPOS TRANSPOR SALARIO'!$A$43:$C$47,3,FALSE),0)</f>
        <v>0</v>
      </c>
      <c r="I38" s="33">
        <f>IFERROR(H38/G38,0)</f>
        <v>0</v>
      </c>
      <c r="J38" s="33">
        <f>ROUND(I38,0)</f>
        <v>0</v>
      </c>
    </row>
    <row r="39" spans="1:10" ht="13.9" customHeight="1" x14ac:dyDescent="0.25">
      <c r="G39" s="39"/>
      <c r="H39" s="39"/>
      <c r="I39" s="30" t="s">
        <v>257</v>
      </c>
      <c r="J39" s="33">
        <f>+SUM(J36:J38)</f>
        <v>0</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
        <v>275</v>
      </c>
      <c r="B43" s="1559"/>
      <c r="C43" s="1559"/>
      <c r="D43" s="1560"/>
      <c r="E43" s="40">
        <f>IFERROR(VLOOKUP(A43,[10]PERSONAL!$A$3:$C$32,3,FALSE),0)</f>
        <v>64695</v>
      </c>
      <c r="F43" s="30">
        <v>1</v>
      </c>
      <c r="G43" s="40">
        <f>+E43*F43</f>
        <v>64695</v>
      </c>
      <c r="H43" s="35">
        <f>IFERROR(H11*8,0)</f>
        <v>80</v>
      </c>
      <c r="I43" s="33">
        <f>IFERROR(ROUND(G43/H43,0),0)</f>
        <v>809</v>
      </c>
      <c r="J43" s="33">
        <f>+I43</f>
        <v>809</v>
      </c>
    </row>
    <row r="44" spans="1:10" s="39" customFormat="1" ht="13.9" customHeight="1" x14ac:dyDescent="0.25">
      <c r="A44" s="1558" t="s">
        <v>274</v>
      </c>
      <c r="B44" s="1559"/>
      <c r="C44" s="1559"/>
      <c r="D44" s="1560"/>
      <c r="E44" s="40">
        <f>IFERROR(VLOOKUP(A44,[10]PERSONAL!$A$3:$C$32,3,FALSE),0)</f>
        <v>46439</v>
      </c>
      <c r="F44" s="30">
        <v>1</v>
      </c>
      <c r="G44" s="40">
        <f>+E44*F44</f>
        <v>46439</v>
      </c>
      <c r="H44" s="35">
        <f>IFERROR(H12*8,0)</f>
        <v>80</v>
      </c>
      <c r="I44" s="33">
        <f>IFERROR(ROUND(G44/H44,0),0)</f>
        <v>580</v>
      </c>
      <c r="J44" s="33">
        <f>+I44</f>
        <v>580</v>
      </c>
    </row>
    <row r="45" spans="1:10" s="39" customFormat="1" ht="13.9" customHeight="1" x14ac:dyDescent="0.25">
      <c r="A45" s="1558"/>
      <c r="B45" s="1559"/>
      <c r="C45" s="1559"/>
      <c r="D45" s="1560"/>
      <c r="E45" s="40"/>
      <c r="F45" s="30"/>
      <c r="G45" s="40"/>
      <c r="H45" s="35"/>
      <c r="I45" s="33"/>
      <c r="J45" s="33"/>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1389</v>
      </c>
    </row>
    <row r="51" spans="1:10" ht="13.9" customHeight="1" x14ac:dyDescent="0.25"/>
    <row r="52" spans="1:10" ht="13.9" customHeight="1" x14ac:dyDescent="0.25">
      <c r="E52" s="41" t="s">
        <v>276</v>
      </c>
      <c r="I52" s="87"/>
      <c r="J52" s="43"/>
    </row>
    <row r="53" spans="1:10" ht="13.9" customHeight="1" x14ac:dyDescent="0.25">
      <c r="I53" s="388"/>
    </row>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legacyDrawing r:id="rId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sheetPr codeName="Hoja35">
    <tabColor rgb="FFFFFF00"/>
  </sheetPr>
  <dimension ref="A1:J55"/>
  <sheetViews>
    <sheetView topLeftCell="A32" workbookViewId="0">
      <selection activeCell="G36" sqref="G3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29</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Reubicación de señales verticales  (incluye señales sencillas y Dúplex)</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0.04</v>
      </c>
      <c r="I11" s="129">
        <f>+G11*J50</f>
        <v>1344.2</v>
      </c>
      <c r="J11" s="33">
        <f>+ROUND(I11,0)</f>
        <v>1344</v>
      </c>
    </row>
    <row r="12" spans="1:10" s="20" customFormat="1" ht="13.9" customHeight="1" x14ac:dyDescent="0.25">
      <c r="A12" s="1558"/>
      <c r="B12" s="1559"/>
      <c r="C12" s="1559"/>
      <c r="D12" s="1560"/>
      <c r="E12" s="29"/>
      <c r="F12" s="30"/>
      <c r="G12" s="31"/>
      <c r="H12" s="30"/>
      <c r="I12" s="33"/>
      <c r="J12" s="33"/>
    </row>
    <row r="13" spans="1:10" s="20" customFormat="1" ht="13.9" customHeight="1" x14ac:dyDescent="0.25">
      <c r="A13" s="1558"/>
      <c r="B13" s="1559"/>
      <c r="C13" s="1559"/>
      <c r="D13" s="1560"/>
      <c r="E13" s="29"/>
      <c r="F13" s="30"/>
      <c r="G13" s="31"/>
      <c r="H13" s="30"/>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t="str">
        <f>IFERROR(VLOOKUP(A14,'[10]EQUIPOS TRANSPOR SALARIO'!$A$3:$G$42,7,FALSE),"")</f>
        <v/>
      </c>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t="str">
        <f>IFERROR(VLOOKUP(A15,'[10]EQUIPOS TRANSPOR SALARIO'!$A$3:$G$42,7,FALSE),"")</f>
        <v/>
      </c>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1344</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ht="14.25" customHeight="1" x14ac:dyDescent="0.25">
      <c r="A22" s="1697" t="str">
        <f>+'INSUMOS '!B28</f>
        <v>CONCRETO  HIDRAULICO 2500 PSI 17 MPA (175 KG/CM2)</v>
      </c>
      <c r="B22" s="1559"/>
      <c r="C22" s="1559"/>
      <c r="D22" s="1559"/>
      <c r="E22" s="1559"/>
      <c r="F22" s="1560"/>
      <c r="G22" s="29" t="str">
        <f>+VLOOKUP(A22,'INSUMOS '!$B$3:$C$112,2,FALSE)</f>
        <v>M3</v>
      </c>
      <c r="H22" s="35">
        <v>0.03</v>
      </c>
      <c r="I22" s="33">
        <f>+IFERROR(VLOOKUP(A22,'INSUMOS '!$B$2:$AP$167,'INSUMOS '!$AO$2+1,FALSE),0)</f>
        <v>486142</v>
      </c>
      <c r="J22" s="33">
        <f>ROUND(I22*H22,0)</f>
        <v>14584</v>
      </c>
    </row>
    <row r="23" spans="1:10" ht="13.9" customHeight="1" x14ac:dyDescent="0.25">
      <c r="A23" s="1558"/>
      <c r="B23" s="1559"/>
      <c r="C23" s="1559"/>
      <c r="D23" s="1559"/>
      <c r="E23" s="1559"/>
      <c r="F23" s="1560"/>
      <c r="G23" s="29"/>
      <c r="H23" s="35"/>
      <c r="I23" s="33"/>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14584</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tr">
        <f>+'EQUIPOS '!B6</f>
        <v>CAMION INCLUYE CONDUCTOR</v>
      </c>
      <c r="B36" s="1559"/>
      <c r="C36" s="1559"/>
      <c r="D36" s="1559"/>
      <c r="E36" s="1559"/>
      <c r="F36" s="1560"/>
      <c r="G36" s="1481">
        <f>0.02/12</f>
        <v>1.6666666666666668E-3</v>
      </c>
      <c r="H36" s="33">
        <f>+IFERROR(VLOOKUP(A36,'EQUIPOS '!$B$3:$M$78,12,FALSE),0)</f>
        <v>611492.5</v>
      </c>
      <c r="I36" s="33">
        <f>IFERROR(H36*G36,0)</f>
        <v>1019.1541666666667</v>
      </c>
      <c r="J36" s="33">
        <f>ROUND(I36,0)</f>
        <v>1019</v>
      </c>
    </row>
    <row r="37" spans="1:10" ht="13.9" customHeight="1" x14ac:dyDescent="0.25">
      <c r="A37" s="1558"/>
      <c r="B37" s="1559"/>
      <c r="C37" s="1559"/>
      <c r="D37" s="1559"/>
      <c r="E37" s="1559"/>
      <c r="F37" s="1560"/>
      <c r="G37" s="29"/>
      <c r="H37" s="33"/>
      <c r="I37" s="33"/>
      <c r="J37" s="33"/>
    </row>
    <row r="38" spans="1:10" ht="13.9" customHeight="1" x14ac:dyDescent="0.25">
      <c r="A38" s="1558"/>
      <c r="B38" s="1559"/>
      <c r="C38" s="1559"/>
      <c r="D38" s="1559"/>
      <c r="E38" s="1559"/>
      <c r="F38" s="1560"/>
      <c r="G38" s="29"/>
      <c r="H38" s="33"/>
      <c r="I38" s="33"/>
      <c r="J38" s="33"/>
    </row>
    <row r="39" spans="1:10" ht="13.9" customHeight="1" x14ac:dyDescent="0.25">
      <c r="G39" s="39"/>
      <c r="H39" s="39"/>
      <c r="I39" s="30" t="s">
        <v>257</v>
      </c>
      <c r="J39" s="33">
        <f>+SUM(J36:J38)</f>
        <v>1019</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tr">
        <f>+PERSONAL!B5</f>
        <v xml:space="preserve">AYUDANTE </v>
      </c>
      <c r="B43" s="1559"/>
      <c r="C43" s="1559"/>
      <c r="D43" s="1560"/>
      <c r="E43" s="40">
        <f>+IFERROR(VLOOKUP(A43,PERSONAL!$B$3:$E$56,4,FALSE),0)</f>
        <v>72476</v>
      </c>
      <c r="F43" s="30">
        <v>2</v>
      </c>
      <c r="G43" s="40">
        <f>+E43*F43</f>
        <v>144952</v>
      </c>
      <c r="H43" s="35">
        <v>10</v>
      </c>
      <c r="I43" s="33">
        <f>IFERROR(ROUND(G43/H43,0),0)</f>
        <v>14495</v>
      </c>
      <c r="J43" s="33">
        <f>+I43</f>
        <v>14495</v>
      </c>
    </row>
    <row r="44" spans="1:10" s="39" customFormat="1" ht="13.9" customHeight="1" x14ac:dyDescent="0.25">
      <c r="A44" s="1558" t="str">
        <f>+PERSONAL!B22</f>
        <v xml:space="preserve">OFICIAL </v>
      </c>
      <c r="B44" s="1559"/>
      <c r="C44" s="1559"/>
      <c r="D44" s="1560"/>
      <c r="E44" s="40">
        <f>+IFERROR(VLOOKUP(A44,PERSONAL!$B$3:$E$56,4,FALSE),0)</f>
        <v>101471</v>
      </c>
      <c r="F44" s="30">
        <v>1</v>
      </c>
      <c r="G44" s="40">
        <f>+E44*F44</f>
        <v>101471</v>
      </c>
      <c r="H44" s="35">
        <f>+H43</f>
        <v>10</v>
      </c>
      <c r="I44" s="33">
        <f>IFERROR(ROUND(G44/H44,0),0)</f>
        <v>10147</v>
      </c>
      <c r="J44" s="33">
        <f>+I44</f>
        <v>10147</v>
      </c>
    </row>
    <row r="45" spans="1:10" s="39" customFormat="1" ht="13.9" customHeight="1" x14ac:dyDescent="0.25">
      <c r="A45" s="1558" t="s">
        <v>143</v>
      </c>
      <c r="B45" s="1559"/>
      <c r="C45" s="1559"/>
      <c r="D45" s="1560"/>
      <c r="E45" s="40">
        <f>+IFERROR(VLOOKUP(A45,PERSONAL!$B$3:$E$56,4,FALSE),0)</f>
        <v>89632</v>
      </c>
      <c r="F45" s="30">
        <v>1</v>
      </c>
      <c r="G45" s="40">
        <f>+E45*F45</f>
        <v>89632</v>
      </c>
      <c r="H45" s="35">
        <f>+H44</f>
        <v>10</v>
      </c>
      <c r="I45" s="33">
        <f>IFERROR(ROUND(G45/H45,0),0)</f>
        <v>8963</v>
      </c>
      <c r="J45" s="33">
        <f>+I45</f>
        <v>8963</v>
      </c>
    </row>
    <row r="46" spans="1:10" s="39" customFormat="1" ht="13.9" customHeight="1" x14ac:dyDescent="0.25">
      <c r="A46" s="1558"/>
      <c r="B46" s="1559"/>
      <c r="C46" s="1559"/>
      <c r="D46" s="1560"/>
      <c r="E46" s="40"/>
      <c r="F46" s="30"/>
      <c r="G46" s="40"/>
      <c r="H46" s="35"/>
      <c r="I46" s="33"/>
      <c r="J46" s="33"/>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33605</v>
      </c>
    </row>
    <row r="51" spans="1:10" ht="13.9" customHeight="1" x14ac:dyDescent="0.25"/>
    <row r="52" spans="1:10" ht="13.9" customHeight="1" x14ac:dyDescent="0.25">
      <c r="E52" s="41" t="s">
        <v>276</v>
      </c>
      <c r="I52" s="42">
        <f>+J50+J39+J32+J18</f>
        <v>50552</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sheetPr codeName="Hoja34">
    <tabColor rgb="FFFFFF00"/>
  </sheetPr>
  <dimension ref="A1:L55"/>
  <sheetViews>
    <sheetView topLeftCell="A38" workbookViewId="0">
      <selection activeCell="L31" sqref="L3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28</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Retiro de Señales Verticales (Incluye pedestal y tablero) con entrega a almacén de la SDM (incluye señales sencillas y Dúplex)</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132" t="s">
        <v>254</v>
      </c>
      <c r="H10" s="28" t="s">
        <v>255</v>
      </c>
      <c r="I10" s="28" t="s">
        <v>256</v>
      </c>
      <c r="J10" s="28" t="s">
        <v>257</v>
      </c>
    </row>
    <row r="11" spans="1:10" s="20" customFormat="1" ht="13.9" customHeight="1" x14ac:dyDescent="0.25">
      <c r="A11" s="1558" t="str">
        <f>+'EQUIPOS '!B33</f>
        <v>HERRAMIENTA MENOR</v>
      </c>
      <c r="B11" s="1559"/>
      <c r="C11" s="1559"/>
      <c r="D11" s="1560"/>
      <c r="E11" s="29" t="s">
        <v>259</v>
      </c>
      <c r="F11" s="30" t="str">
        <f>IFERROR(VLOOKUP(A11,'[10]EQUIPOS TRANSPOR SALARIO'!$A$3:$G$42,2,FALSE),"")</f>
        <v>Global</v>
      </c>
      <c r="G11" s="74">
        <v>0.01</v>
      </c>
      <c r="I11" s="129">
        <f>+G11*J50</f>
        <v>140.03</v>
      </c>
      <c r="J11" s="33">
        <f>+ROUND(I11,0)</f>
        <v>140</v>
      </c>
    </row>
    <row r="12" spans="1:10" s="20" customFormat="1" ht="13.9" customHeight="1" x14ac:dyDescent="0.25">
      <c r="A12" s="1558" t="str">
        <f>+'EQUIPOS '!B39</f>
        <v xml:space="preserve">PULIDORA </v>
      </c>
      <c r="B12" s="1559"/>
      <c r="C12" s="1559"/>
      <c r="D12" s="1560"/>
      <c r="E12" s="29" t="s">
        <v>259</v>
      </c>
      <c r="F12" s="30" t="str">
        <f>IFERROR(VLOOKUP(A12,'[10]EQUIPOS TRANSPOR SALARIO'!$A$3:$G$42,2,FALSE),"")</f>
        <v/>
      </c>
      <c r="G12" s="31">
        <f>IFERROR(VLOOKUP(A12,'EQUIPOS '!$B$3:$N$55,12,FALSE),0)</f>
        <v>2821</v>
      </c>
      <c r="H12" s="30">
        <v>3</v>
      </c>
      <c r="I12" s="33">
        <f t="shared" ref="I12:I13" si="0">IFERROR((G12/H12),0)</f>
        <v>940.33333333333337</v>
      </c>
      <c r="J12" s="33">
        <f t="shared" ref="J12:J13" si="1">ROUND(I12,0)</f>
        <v>940</v>
      </c>
    </row>
    <row r="13" spans="1:10" s="20" customFormat="1" ht="13.9" customHeight="1" x14ac:dyDescent="0.25">
      <c r="A13" s="1558" t="str">
        <f>+'EQUIPOS '!B36</f>
        <v>PLANTA ELÉCTRICA</v>
      </c>
      <c r="B13" s="1559"/>
      <c r="C13" s="1559"/>
      <c r="D13" s="1560"/>
      <c r="E13" s="29" t="s">
        <v>259</v>
      </c>
      <c r="F13" s="30" t="str">
        <f>IFERROR(VLOOKUP(A13,'[10]EQUIPOS TRANSPOR SALARIO'!$A$3:$G$42,2,FALSE),"")</f>
        <v>Eléctrico</v>
      </c>
      <c r="G13" s="31">
        <f>IFERROR(VLOOKUP(A13,'EQUIPOS '!$B$3:$N$55,12,FALSE),0)</f>
        <v>12771</v>
      </c>
      <c r="H13" s="30">
        <f>+H12</f>
        <v>3</v>
      </c>
      <c r="I13" s="33">
        <f t="shared" si="0"/>
        <v>4257</v>
      </c>
      <c r="J13" s="33">
        <f t="shared" si="1"/>
        <v>4257</v>
      </c>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t="str">
        <f>IFERROR(VLOOKUP(A14,'[10]EQUIPOS TRANSPOR SALARIO'!$A$3:$G$42,7,FALSE),"")</f>
        <v/>
      </c>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t="str">
        <f>IFERROR(VLOOKUP(A15,'[10]EQUIPOS TRANSPOR SALARIO'!$A$3:$G$42,7,FALSE),"")</f>
        <v/>
      </c>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5337</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'!B39</f>
        <v>DISCO DE CORTE / ABRASIVO 4 1/2 X 1/8"</v>
      </c>
      <c r="B22" s="1569"/>
      <c r="C22" s="1569"/>
      <c r="D22" s="1569"/>
      <c r="E22" s="1569"/>
      <c r="F22" s="1570"/>
      <c r="G22" s="29" t="str">
        <f>+VLOOKUP(A22,'INSUMOS '!$B$3:$C$112,2,FALSE)</f>
        <v>UN</v>
      </c>
      <c r="H22" s="35">
        <v>0.1</v>
      </c>
      <c r="I22" s="33">
        <f>+IFERROR(VLOOKUP(A22,'INSUMOS '!$B$2:$AP$167,'INSUMOS '!$AO$2+1,FALSE),0)</f>
        <v>14700</v>
      </c>
      <c r="J22" s="33">
        <f>ROUND(I22*H22,0)</f>
        <v>1470</v>
      </c>
    </row>
    <row r="23" spans="1:10" ht="13.9" customHeight="1" x14ac:dyDescent="0.25">
      <c r="A23" s="1558"/>
      <c r="B23" s="1559"/>
      <c r="C23" s="1559"/>
      <c r="D23" s="1559"/>
      <c r="E23" s="1559"/>
      <c r="F23" s="1560"/>
      <c r="G23" s="29"/>
      <c r="H23" s="35"/>
      <c r="I23" s="31"/>
      <c r="J23" s="33"/>
    </row>
    <row r="24" spans="1:10" ht="13.9" customHeight="1" x14ac:dyDescent="0.25">
      <c r="A24" s="1558"/>
      <c r="B24" s="1559"/>
      <c r="C24" s="1559"/>
      <c r="D24" s="1559"/>
      <c r="E24" s="1559"/>
      <c r="F24" s="1560"/>
      <c r="G24" s="29"/>
      <c r="H24" s="35"/>
      <c r="I24" s="33"/>
      <c r="J24" s="33"/>
    </row>
    <row r="25" spans="1:10" ht="13.9" customHeight="1" x14ac:dyDescent="0.25">
      <c r="A25" s="1558"/>
      <c r="B25" s="1559"/>
      <c r="C25" s="1559"/>
      <c r="D25" s="1559"/>
      <c r="E25" s="1559"/>
      <c r="F25" s="1560"/>
      <c r="G25" s="29"/>
      <c r="H25" s="35"/>
      <c r="I25" s="33"/>
      <c r="J25" s="33"/>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1470</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4">
        <f>(+L36/1000*2)/12</f>
        <v>3.3333333333333335E-3</v>
      </c>
      <c r="H36" s="33">
        <f>+IFERROR(VLOOKUP(A36,'EQUIPOS '!$B$3:$M$78,12,FALSE),0)</f>
        <v>611492.5</v>
      </c>
      <c r="I36" s="33">
        <f>IFERROR(H36*G36,0)</f>
        <v>2038.3083333333334</v>
      </c>
      <c r="J36" s="33">
        <f>ROUND(I36,0)</f>
        <v>2038</v>
      </c>
      <c r="L36" s="19">
        <v>20</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2038</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+E43*F43</f>
        <v>144952</v>
      </c>
      <c r="H43" s="35">
        <f>+H12*8</f>
        <v>24</v>
      </c>
      <c r="I43" s="33">
        <f>IFERROR(ROUND(G43/H43,0),0)</f>
        <v>6040</v>
      </c>
      <c r="J43" s="33">
        <f>+I43</f>
        <v>6040</v>
      </c>
    </row>
    <row r="44" spans="1:12" s="39" customFormat="1" ht="13.9" customHeight="1" x14ac:dyDescent="0.25">
      <c r="A44" s="1558" t="str">
        <f>+PERSONAL!B22</f>
        <v xml:space="preserve">OFICIAL </v>
      </c>
      <c r="B44" s="1559"/>
      <c r="C44" s="1559"/>
      <c r="D44" s="1560"/>
      <c r="E44" s="40">
        <f>+IFERROR(VLOOKUP(A44,PERSONAL!$B$3:$E$56,4,FALSE),0)</f>
        <v>101471</v>
      </c>
      <c r="F44" s="30">
        <v>1</v>
      </c>
      <c r="G44" s="40">
        <f>+E44*F44</f>
        <v>101471</v>
      </c>
      <c r="H44" s="35">
        <f>+H43</f>
        <v>24</v>
      </c>
      <c r="I44" s="33">
        <f>IFERROR(ROUND(G44/H44,0),0)</f>
        <v>4228</v>
      </c>
      <c r="J44" s="33">
        <f>+I44</f>
        <v>4228</v>
      </c>
    </row>
    <row r="45" spans="1:12" s="39" customFormat="1" ht="13.9" customHeight="1" x14ac:dyDescent="0.25">
      <c r="A45" s="1558" t="s">
        <v>143</v>
      </c>
      <c r="B45" s="1559"/>
      <c r="C45" s="1559"/>
      <c r="D45" s="1560"/>
      <c r="E45" s="40">
        <f>+IFERROR(VLOOKUP(A45,PERSONAL!$B$3:$E$56,4,FALSE),0)</f>
        <v>89632</v>
      </c>
      <c r="F45" s="30">
        <v>1</v>
      </c>
      <c r="G45" s="40">
        <f>+E45*F45</f>
        <v>89632</v>
      </c>
      <c r="H45" s="35">
        <f>+H44</f>
        <v>24</v>
      </c>
      <c r="I45" s="33">
        <f>IFERROR(ROUND(G45/H45,0),0)</f>
        <v>3735</v>
      </c>
      <c r="J45" s="33">
        <f>+I45</f>
        <v>3735</v>
      </c>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14003</v>
      </c>
    </row>
    <row r="51" spans="1:10" ht="13.9" customHeight="1" x14ac:dyDescent="0.25"/>
    <row r="52" spans="1:10" ht="13.9" customHeight="1" x14ac:dyDescent="0.25">
      <c r="E52" s="41" t="s">
        <v>276</v>
      </c>
      <c r="I52" s="42">
        <f>+J50+J39+J32+J18</f>
        <v>22848</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sheetPr codeName="Hoja33">
    <tabColor rgb="FFFFFF00"/>
  </sheetPr>
  <dimension ref="A1:L55"/>
  <sheetViews>
    <sheetView topLeftCell="A35" workbookViewId="0">
      <selection activeCell="H58" sqref="H58"/>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27</v>
      </c>
      <c r="D6" s="23"/>
      <c r="E6" s="23"/>
      <c r="F6" s="23"/>
      <c r="G6" s="23"/>
      <c r="H6" s="24"/>
      <c r="I6" s="25" t="s">
        <v>248</v>
      </c>
      <c r="J6" s="26" t="str">
        <f>+VLOOKUP(C6,[10]Presupuesto!A3:C106,2,FALSE)</f>
        <v>M2</v>
      </c>
    </row>
    <row r="7" spans="1:10" ht="35.1" customHeight="1" x14ac:dyDescent="0.25">
      <c r="A7" s="1568" t="s">
        <v>249</v>
      </c>
      <c r="B7" s="1570"/>
      <c r="C7" s="1578" t="str">
        <f>+VLOOKUP(C6,'ANEXO PLIEGO_1'!A7:B133,2,FALSE)</f>
        <v xml:space="preserve">Instalación y/o retiro de Tableros para Señales Verticales. (Incluye señal adosada, Dúplex y todos los tamaños)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'!B33</f>
        <v>HERRAMIENTA MENOR</v>
      </c>
      <c r="B11" s="1559"/>
      <c r="C11" s="1559"/>
      <c r="D11" s="1560"/>
      <c r="E11" s="29" t="s">
        <v>259</v>
      </c>
      <c r="F11" s="131">
        <v>5.0000000000000001E-3</v>
      </c>
      <c r="G11" s="130">
        <f>+F11*J50</f>
        <v>56.01</v>
      </c>
      <c r="H11" s="30"/>
      <c r="I11" s="33" t="str">
        <f>IFERROR((F11/H11),"")</f>
        <v/>
      </c>
      <c r="J11" s="33">
        <f>ROUND((+G11),0)</f>
        <v>56</v>
      </c>
    </row>
    <row r="12" spans="1:10" s="20" customFormat="1" ht="13.9" customHeight="1" x14ac:dyDescent="0.25">
      <c r="A12" s="1558" t="str">
        <f>+'EQUIPOS '!B44</f>
        <v xml:space="preserve">TALADRO PERCUTOR  </v>
      </c>
      <c r="B12" s="1559"/>
      <c r="C12" s="1559"/>
      <c r="D12" s="1560"/>
      <c r="E12" s="29" t="s">
        <v>259</v>
      </c>
      <c r="F12" s="30" t="str">
        <f>IFERROR(VLOOKUP(A12,'[10]EQUIPOS TRANSPOR SALARIO'!$A$3:$G$42,2,FALSE),"")</f>
        <v/>
      </c>
      <c r="G12" s="31">
        <f>IFERROR(VLOOKUP(A12,'EQUIPOS '!$B$3:$N$55,12,FALSE),0)</f>
        <v>3687.5</v>
      </c>
      <c r="H12" s="30">
        <v>12</v>
      </c>
      <c r="I12" s="33">
        <f>IFERROR((G12/H12),0)</f>
        <v>307.29166666666669</v>
      </c>
      <c r="J12" s="33">
        <f t="shared" ref="J12" si="0">ROUND(I12,0)</f>
        <v>307</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t="str">
        <f>IFERROR(VLOOKUP(A13,'[10]EQUIPOS TRANSPOR SALARIO'!$A$3:$G$42,7,FALSE),"")</f>
        <v/>
      </c>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t="str">
        <f>IFERROR(VLOOKUP(A14,'[10]EQUIPOS TRANSPOR SALARIO'!$A$3:$G$42,7,FALSE),"")</f>
        <v/>
      </c>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t="str">
        <f>IFERROR(VLOOKUP(A15,'[10]EQUIPOS TRANSPOR SALARIO'!$A$3:$G$42,7,FALSE),"")</f>
        <v/>
      </c>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0" s="20" customFormat="1" ht="13.9" customHeight="1" x14ac:dyDescent="0.25">
      <c r="I18" s="30" t="s">
        <v>257</v>
      </c>
      <c r="J18" s="34">
        <f>+SUM(J11:J17)</f>
        <v>363</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tr">
        <f>+'INSUMOS '!B21</f>
        <v>BROCA PARA METAL 1/2"</v>
      </c>
      <c r="B22" s="1569"/>
      <c r="C22" s="1569"/>
      <c r="D22" s="1569"/>
      <c r="E22" s="1569"/>
      <c r="F22" s="1570"/>
      <c r="G22" s="29" t="str">
        <f>+VLOOKUP(A22,'INSUMOS '!$B$3:$C$112,2,FALSE)</f>
        <v>UN</v>
      </c>
      <c r="H22" s="35">
        <v>0.01</v>
      </c>
      <c r="I22" s="33">
        <f>+IFERROR(VLOOKUP(A22,'INSUMOS '!$B$2:$AP$167,'INSUMOS '!$AO$2+1,FALSE),0)</f>
        <v>31741.5</v>
      </c>
      <c r="J22" s="33">
        <f>ROUND(I22*H22,0)</f>
        <v>317</v>
      </c>
    </row>
    <row r="23" spans="1:10" ht="13.9" customHeight="1" x14ac:dyDescent="0.25">
      <c r="A23" s="1558" t="str">
        <f>+'INSUMOS '!B102</f>
        <v>TORNILLOS 5/16 ZINCADO  (INCLUYE TUERCA DE SEGURIDAD Y ARANDELA)</v>
      </c>
      <c r="B23" s="1559"/>
      <c r="C23" s="1559"/>
      <c r="D23" s="1559"/>
      <c r="E23" s="1559"/>
      <c r="F23" s="1560"/>
      <c r="G23" s="29" t="str">
        <f>+VLOOKUP(A23,'INSUMOS '!$B$3:$C$112,2,FALSE)</f>
        <v>UN</v>
      </c>
      <c r="H23" s="35">
        <v>4</v>
      </c>
      <c r="I23" s="33">
        <f>+IFERROR(VLOOKUP(A23,'INSUMOS '!$B$2:$AP$167,'INSUMOS '!$AO$2+1,FALSE),0)</f>
        <v>1747.5</v>
      </c>
      <c r="J23" s="33">
        <f t="shared" ref="J23:J25" si="1">ROUND(I23*H23,0)</f>
        <v>6990</v>
      </c>
    </row>
    <row r="24" spans="1:10" ht="13.9" customHeight="1" x14ac:dyDescent="0.25">
      <c r="A24" s="1558" t="str">
        <f>+'INSUMOS '!B88</f>
        <v>REMACHES CON ARANDELAS DE 4*10 MM</v>
      </c>
      <c r="B24" s="1559"/>
      <c r="C24" s="1559"/>
      <c r="D24" s="1559"/>
      <c r="E24" s="1559"/>
      <c r="F24" s="1560"/>
      <c r="G24" s="29" t="str">
        <f>+VLOOKUP(A24,'INSUMOS '!$B$3:$C$112,2,FALSE)</f>
        <v>UN</v>
      </c>
      <c r="H24" s="35">
        <f>+H23</f>
        <v>4</v>
      </c>
      <c r="I24" s="33">
        <f>+IFERROR(VLOOKUP(A24,'INSUMOS '!$B$2:$AP$167,'INSUMOS '!$AO$2+1,FALSE),0)</f>
        <v>170</v>
      </c>
      <c r="J24" s="33">
        <f t="shared" si="1"/>
        <v>680</v>
      </c>
    </row>
    <row r="25" spans="1:10" ht="13.9" customHeight="1" x14ac:dyDescent="0.25">
      <c r="A25" s="1558" t="str">
        <f>+'INSUMOS '!B94</f>
        <v xml:space="preserve">STEAKER 15 X 15 CM EN PAPEL REFLECTIVO TIPO IV O SUPERIOR </v>
      </c>
      <c r="B25" s="1559"/>
      <c r="C25" s="1559"/>
      <c r="D25" s="1559"/>
      <c r="E25" s="1559"/>
      <c r="F25" s="1560"/>
      <c r="G25" s="29" t="str">
        <f>+VLOOKUP(A25,'INSUMOS '!$B$3:$C$112,2,FALSE)</f>
        <v>UN</v>
      </c>
      <c r="H25" s="35">
        <v>1</v>
      </c>
      <c r="I25" s="33">
        <f>+IFERROR(VLOOKUP(A25,'INSUMOS '!$B$2:$AP$167,'INSUMOS '!$AO$2+1,FALSE),0)</f>
        <v>2500</v>
      </c>
      <c r="J25" s="33">
        <f t="shared" si="1"/>
        <v>2500</v>
      </c>
    </row>
    <row r="26" spans="1:10" ht="13.9" customHeight="1" x14ac:dyDescent="0.25">
      <c r="A26" s="1558"/>
      <c r="B26" s="1559"/>
      <c r="C26" s="1559"/>
      <c r="D26" s="1559"/>
      <c r="E26" s="1559"/>
      <c r="F26" s="1560"/>
      <c r="G26" s="29"/>
      <c r="H26" s="35"/>
      <c r="I26" s="33"/>
      <c r="J26" s="33"/>
    </row>
    <row r="27" spans="1:10" ht="13.9" customHeight="1" x14ac:dyDescent="0.25">
      <c r="A27" s="1558"/>
      <c r="B27" s="1559"/>
      <c r="C27" s="1559"/>
      <c r="D27" s="1559"/>
      <c r="E27" s="1559"/>
      <c r="F27" s="1560"/>
      <c r="G27" s="29"/>
      <c r="H27" s="35"/>
      <c r="I27" s="33"/>
      <c r="J27" s="33"/>
    </row>
    <row r="28" spans="1:10" ht="13.9" customHeight="1" x14ac:dyDescent="0.25">
      <c r="A28" s="1558"/>
      <c r="B28" s="1559"/>
      <c r="C28" s="1559"/>
      <c r="D28" s="1559"/>
      <c r="E28" s="1559"/>
      <c r="F28" s="1560"/>
      <c r="G28" s="29"/>
      <c r="H28" s="35"/>
      <c r="I28" s="33"/>
      <c r="J28" s="33"/>
    </row>
    <row r="29" spans="1:10" ht="13.9" customHeight="1" x14ac:dyDescent="0.25">
      <c r="A29" s="1558"/>
      <c r="B29" s="1559"/>
      <c r="C29" s="1559"/>
      <c r="D29" s="1559"/>
      <c r="E29" s="1559"/>
      <c r="F29" s="1560"/>
      <c r="G29" s="29"/>
      <c r="H29" s="37"/>
      <c r="I29" s="33"/>
      <c r="J29" s="33"/>
    </row>
    <row r="30" spans="1:10" ht="13.9" customHeight="1" x14ac:dyDescent="0.25">
      <c r="A30" s="1558"/>
      <c r="B30" s="1559"/>
      <c r="C30" s="1559"/>
      <c r="D30" s="1559"/>
      <c r="E30" s="1559"/>
      <c r="F30" s="1560"/>
      <c r="G30" s="29"/>
      <c r="H30" s="35"/>
      <c r="I30" s="33"/>
      <c r="J30" s="33"/>
    </row>
    <row r="31" spans="1:10" ht="13.9" customHeight="1" x14ac:dyDescent="0.25">
      <c r="A31" s="1558"/>
      <c r="B31" s="1559"/>
      <c r="C31" s="1559"/>
      <c r="D31" s="1559"/>
      <c r="E31" s="1559"/>
      <c r="F31" s="1560"/>
      <c r="G31" s="29"/>
      <c r="H31" s="35"/>
      <c r="I31" s="33"/>
      <c r="J31" s="33"/>
    </row>
    <row r="32" spans="1:10" ht="13.9" customHeight="1" x14ac:dyDescent="0.25">
      <c r="A32" s="20"/>
      <c r="B32" s="20"/>
      <c r="C32" s="20"/>
      <c r="D32" s="20"/>
      <c r="E32" s="20"/>
      <c r="G32" s="20"/>
      <c r="H32" s="20"/>
      <c r="I32" s="30" t="s">
        <v>257</v>
      </c>
      <c r="J32" s="34">
        <f>+SUM(J22:J31)</f>
        <v>10487</v>
      </c>
    </row>
    <row r="33" spans="1:12" ht="13.9" customHeight="1" x14ac:dyDescent="0.25"/>
    <row r="34" spans="1:12" ht="13.9" customHeight="1" x14ac:dyDescent="0.25">
      <c r="A34" s="1561" t="s">
        <v>267</v>
      </c>
      <c r="B34" s="1561"/>
      <c r="C34" s="1561"/>
      <c r="D34" s="1561"/>
      <c r="E34" s="1561"/>
      <c r="F34" s="1561"/>
      <c r="G34" s="1561"/>
      <c r="H34" s="1561"/>
      <c r="I34" s="27"/>
    </row>
    <row r="35" spans="1:12" ht="13.9" customHeight="1" x14ac:dyDescent="0.25">
      <c r="A35" s="1562" t="s">
        <v>268</v>
      </c>
      <c r="B35" s="1563"/>
      <c r="C35" s="1563"/>
      <c r="D35" s="1563"/>
      <c r="E35" s="1563"/>
      <c r="F35" s="1564"/>
      <c r="G35" s="38" t="s">
        <v>255</v>
      </c>
      <c r="H35" s="28" t="s">
        <v>269</v>
      </c>
      <c r="I35" s="28" t="s">
        <v>256</v>
      </c>
      <c r="J35" s="28" t="s">
        <v>257</v>
      </c>
    </row>
    <row r="36" spans="1:12" ht="13.9" customHeight="1" x14ac:dyDescent="0.25">
      <c r="A36" s="1558" t="str">
        <f>+'EQUIPOS '!B6</f>
        <v>CAMION INCLUYE CONDUCTOR</v>
      </c>
      <c r="B36" s="1559"/>
      <c r="C36" s="1559"/>
      <c r="D36" s="1559"/>
      <c r="E36" s="1559"/>
      <c r="F36" s="1560"/>
      <c r="G36" s="1481">
        <f>(+L36/1000)/12</f>
        <v>3.8533333333333339E-4</v>
      </c>
      <c r="H36" s="33">
        <f>+IFERROR(VLOOKUP(A36,'EQUIPOS '!$B$3:$M$78,12,FALSE),0)</f>
        <v>611492.5</v>
      </c>
      <c r="I36" s="33">
        <f>IFERROR(H36*G36,0)</f>
        <v>235.62844333333337</v>
      </c>
      <c r="J36" s="33">
        <f>ROUND(I36,0)</f>
        <v>236</v>
      </c>
      <c r="L36" s="19">
        <f>11.56*0.4</f>
        <v>4.6240000000000006</v>
      </c>
    </row>
    <row r="37" spans="1:12" ht="13.9" customHeight="1" x14ac:dyDescent="0.25">
      <c r="A37" s="1558"/>
      <c r="B37" s="1559"/>
      <c r="C37" s="1559"/>
      <c r="D37" s="1559"/>
      <c r="E37" s="1559"/>
      <c r="F37" s="1560"/>
      <c r="G37" s="29"/>
      <c r="H37" s="33"/>
      <c r="I37" s="33"/>
      <c r="J37" s="33"/>
    </row>
    <row r="38" spans="1:12" ht="13.9" customHeight="1" x14ac:dyDescent="0.25">
      <c r="A38" s="1558"/>
      <c r="B38" s="1559"/>
      <c r="C38" s="1559"/>
      <c r="D38" s="1559"/>
      <c r="E38" s="1559"/>
      <c r="F38" s="1560"/>
      <c r="G38" s="29"/>
      <c r="H38" s="33"/>
      <c r="I38" s="33"/>
      <c r="J38" s="33"/>
    </row>
    <row r="39" spans="1:12" ht="13.9" customHeight="1" x14ac:dyDescent="0.25">
      <c r="G39" s="39"/>
      <c r="H39" s="39"/>
      <c r="I39" s="30" t="s">
        <v>257</v>
      </c>
      <c r="J39" s="33">
        <f>+SUM(J36:J38)</f>
        <v>236</v>
      </c>
    </row>
    <row r="40" spans="1:12" ht="13.9" customHeight="1" x14ac:dyDescent="0.25"/>
    <row r="41" spans="1:12" ht="13.9" customHeight="1" x14ac:dyDescent="0.25">
      <c r="A41" s="1561" t="s">
        <v>270</v>
      </c>
      <c r="B41" s="1561"/>
      <c r="C41" s="1561"/>
      <c r="D41" s="1561"/>
      <c r="E41" s="1561"/>
      <c r="F41" s="1561"/>
      <c r="G41" s="1561"/>
      <c r="H41" s="1561"/>
      <c r="I41" s="27"/>
    </row>
    <row r="42" spans="1:12" s="39" customFormat="1" ht="13.9" customHeight="1" x14ac:dyDescent="0.25">
      <c r="A42" s="1562" t="s">
        <v>271</v>
      </c>
      <c r="B42" s="1563"/>
      <c r="C42" s="1563"/>
      <c r="D42" s="1564"/>
      <c r="E42" s="28" t="s">
        <v>272</v>
      </c>
      <c r="F42" s="28" t="s">
        <v>264</v>
      </c>
      <c r="G42" s="28" t="s">
        <v>273</v>
      </c>
      <c r="H42" s="28" t="s">
        <v>255</v>
      </c>
      <c r="I42" s="28" t="s">
        <v>256</v>
      </c>
      <c r="J42" s="28" t="s">
        <v>257</v>
      </c>
    </row>
    <row r="43" spans="1:12" s="39" customFormat="1" ht="13.9" customHeight="1" x14ac:dyDescent="0.25">
      <c r="A43" s="1558" t="str">
        <f>+PERSONAL!B5</f>
        <v xml:space="preserve">AYUDANTE </v>
      </c>
      <c r="B43" s="1559"/>
      <c r="C43" s="1559"/>
      <c r="D43" s="1560"/>
      <c r="E43" s="40">
        <f>+IFERROR(VLOOKUP(A43,PERSONAL!$B$3:$E$56,4,FALSE),0)</f>
        <v>72476</v>
      </c>
      <c r="F43" s="30">
        <v>2</v>
      </c>
      <c r="G43" s="40">
        <f>+E43*F43</f>
        <v>144952</v>
      </c>
      <c r="H43" s="35">
        <v>30</v>
      </c>
      <c r="I43" s="33">
        <f>IFERROR(ROUND(G43/H43,0),0)</f>
        <v>4832</v>
      </c>
      <c r="J43" s="33">
        <f>+I43</f>
        <v>4832</v>
      </c>
    </row>
    <row r="44" spans="1:12" s="39" customFormat="1" ht="13.9" customHeight="1" x14ac:dyDescent="0.25">
      <c r="A44" s="1558" t="str">
        <f>+PERSONAL!B22</f>
        <v xml:space="preserve">OFICIAL </v>
      </c>
      <c r="B44" s="1559"/>
      <c r="C44" s="1559"/>
      <c r="D44" s="1560"/>
      <c r="E44" s="40">
        <f>+IFERROR(VLOOKUP(A44,PERSONAL!$B$3:$E$56,4,FALSE),0)</f>
        <v>101471</v>
      </c>
      <c r="F44" s="30">
        <v>1</v>
      </c>
      <c r="G44" s="40">
        <f>+E44*F44</f>
        <v>101471</v>
      </c>
      <c r="H44" s="35">
        <f>+H43</f>
        <v>30</v>
      </c>
      <c r="I44" s="33">
        <f>IFERROR(ROUND(G44/H44,0),0)</f>
        <v>3382</v>
      </c>
      <c r="J44" s="33">
        <f>+I44</f>
        <v>3382</v>
      </c>
    </row>
    <row r="45" spans="1:12" s="39" customFormat="1" ht="13.9" customHeight="1" x14ac:dyDescent="0.25">
      <c r="A45" s="1558" t="s">
        <v>143</v>
      </c>
      <c r="B45" s="1559"/>
      <c r="C45" s="1559"/>
      <c r="D45" s="1560"/>
      <c r="E45" s="40">
        <f>+IFERROR(VLOOKUP(A45,PERSONAL!$B$3:$E$56,4,FALSE),0)</f>
        <v>89632</v>
      </c>
      <c r="F45" s="30">
        <v>1</v>
      </c>
      <c r="G45" s="40">
        <f>+E45*F45</f>
        <v>89632</v>
      </c>
      <c r="H45" s="35">
        <f>+H44</f>
        <v>30</v>
      </c>
      <c r="I45" s="33">
        <f>IFERROR(ROUND(G45/H45,0),0)</f>
        <v>2988</v>
      </c>
      <c r="J45" s="33">
        <f>+I45</f>
        <v>2988</v>
      </c>
    </row>
    <row r="46" spans="1:12" s="39" customFormat="1" ht="13.9" customHeight="1" x14ac:dyDescent="0.25">
      <c r="A46" s="1558"/>
      <c r="B46" s="1559"/>
      <c r="C46" s="1559"/>
      <c r="D46" s="1560"/>
      <c r="E46" s="40"/>
      <c r="F46" s="30"/>
      <c r="G46" s="40"/>
      <c r="H46" s="35"/>
      <c r="I46" s="33"/>
      <c r="J46" s="33"/>
    </row>
    <row r="47" spans="1:12" s="39" customFormat="1" ht="13.9" customHeight="1" x14ac:dyDescent="0.25">
      <c r="A47" s="1558"/>
      <c r="B47" s="1559"/>
      <c r="C47" s="1559"/>
      <c r="D47" s="1560"/>
      <c r="E47" s="40"/>
      <c r="F47" s="30"/>
      <c r="G47" s="40"/>
      <c r="H47" s="35"/>
      <c r="I47" s="33"/>
      <c r="J47" s="33"/>
    </row>
    <row r="48" spans="1:12"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ht="13.9" customHeight="1" x14ac:dyDescent="0.25">
      <c r="A50" s="20"/>
      <c r="B50" s="20"/>
      <c r="C50" s="20"/>
      <c r="E50" s="20"/>
      <c r="F50" s="20"/>
      <c r="G50" s="20"/>
      <c r="H50" s="20"/>
      <c r="I50" s="30" t="s">
        <v>257</v>
      </c>
      <c r="J50" s="34">
        <f>+SUM(J43:J49)</f>
        <v>11202</v>
      </c>
    </row>
    <row r="51" spans="1:10" ht="13.9" customHeight="1" x14ac:dyDescent="0.25"/>
    <row r="52" spans="1:10" ht="13.9" customHeight="1" x14ac:dyDescent="0.25">
      <c r="E52" s="41" t="s">
        <v>276</v>
      </c>
      <c r="I52" s="42">
        <f>+J50+J39+J32+J18</f>
        <v>22288</v>
      </c>
      <c r="J52" s="43"/>
    </row>
    <row r="53" spans="1:10" ht="13.9" customHeight="1" x14ac:dyDescent="0.25"/>
    <row r="54" spans="1:10" ht="14.1" customHeight="1" x14ac:dyDescent="0.25"/>
    <row r="55" spans="1:10" ht="14.1" customHeight="1" x14ac:dyDescent="0.25"/>
  </sheetData>
  <mergeCells count="41">
    <mergeCell ref="A14:D14"/>
    <mergeCell ref="A1:J1"/>
    <mergeCell ref="A2:J2"/>
    <mergeCell ref="A4:J4"/>
    <mergeCell ref="A6:B6"/>
    <mergeCell ref="A7:B7"/>
    <mergeCell ref="C7:J7"/>
    <mergeCell ref="A9:H9"/>
    <mergeCell ref="A10:D10"/>
    <mergeCell ref="A11:D11"/>
    <mergeCell ref="A12:D12"/>
    <mergeCell ref="A13:D13"/>
    <mergeCell ref="A28:F28"/>
    <mergeCell ref="A15:D15"/>
    <mergeCell ref="A16:D16"/>
    <mergeCell ref="A17:D17"/>
    <mergeCell ref="A20:H20"/>
    <mergeCell ref="A21:F21"/>
    <mergeCell ref="A22:F22"/>
    <mergeCell ref="A23:F23"/>
    <mergeCell ref="A24:F24"/>
    <mergeCell ref="A25:F25"/>
    <mergeCell ref="A26:F26"/>
    <mergeCell ref="A27:F27"/>
    <mergeCell ref="A44:D44"/>
    <mergeCell ref="A29:F29"/>
    <mergeCell ref="A30:F30"/>
    <mergeCell ref="A31:F31"/>
    <mergeCell ref="A34:H34"/>
    <mergeCell ref="A35:F35"/>
    <mergeCell ref="A36:F36"/>
    <mergeCell ref="A37:F37"/>
    <mergeCell ref="A38:F38"/>
    <mergeCell ref="A41:H41"/>
    <mergeCell ref="A42:D42"/>
    <mergeCell ref="A43:D43"/>
    <mergeCell ref="A45:D45"/>
    <mergeCell ref="A46:D46"/>
    <mergeCell ref="A47:D47"/>
    <mergeCell ref="A48:D48"/>
    <mergeCell ref="A49:D49"/>
  </mergeCells>
  <pageMargins left="0.70866141732283472" right="0.70866141732283472" top="0.78740157480314965" bottom="0.78740157480314965" header="0.31496062992125984" footer="0.31496062992125984"/>
  <pageSetup scale="85" orientation="portrait" r:id="rId1"/>
  <drawing r:id="rId2"/>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sheetPr codeName="Hoja32">
    <tabColor rgb="FFFFFF00"/>
  </sheetPr>
  <dimension ref="A1:M56"/>
  <sheetViews>
    <sheetView topLeftCell="A32"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3" width="0" style="19" hidden="1" customWidth="1"/>
    <col min="14"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26</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Instalación de Señales Verticales de Pedestal (incluye Señales Sencillas tipo preventiva, Reglamentaria  o informativa, Dúplex, Chevrones y Delineadores de todas las dimensiones)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62"/>
      <c r="B11" s="1563"/>
      <c r="C11" s="1563"/>
      <c r="D11" s="1564"/>
      <c r="E11" s="38"/>
      <c r="F11" s="28"/>
      <c r="G11" s="28"/>
      <c r="H11" s="28"/>
      <c r="I11" s="28"/>
      <c r="J11" s="28"/>
    </row>
    <row r="12" spans="1:10" s="20" customFormat="1" ht="13.9" customHeight="1" x14ac:dyDescent="0.25">
      <c r="A12" s="1558" t="s">
        <v>262</v>
      </c>
      <c r="B12" s="1559"/>
      <c r="C12" s="1559"/>
      <c r="D12" s="1560"/>
      <c r="E12" s="29" t="s">
        <v>259</v>
      </c>
      <c r="F12" s="79">
        <v>0.03</v>
      </c>
      <c r="G12" s="31">
        <f>+F12*J51</f>
        <v>840.12</v>
      </c>
      <c r="H12" s="30"/>
      <c r="I12" s="33" t="str">
        <f>IFERROR((G12/H12),"")</f>
        <v/>
      </c>
      <c r="J12" s="33">
        <f>ROUND((+G12),0)</f>
        <v>840</v>
      </c>
    </row>
    <row r="13" spans="1:10" s="20" customFormat="1" ht="13.9" customHeight="1" x14ac:dyDescent="0.25">
      <c r="A13" s="1558"/>
      <c r="B13" s="1559"/>
      <c r="C13" s="1559"/>
      <c r="D13" s="1560"/>
      <c r="E13" s="29"/>
      <c r="F13" s="30" t="str">
        <f>IFERROR(VLOOKUP(A13,'[10]EQUIPOS TRANSPOR SALARIO'!$A$3:$G$42,2,FALSE),"")</f>
        <v/>
      </c>
      <c r="G13" s="31" t="str">
        <f>IFERROR(VLOOKUP(A13,'[10]EQUIPOS TRANSPOR SALARIO'!$A$3:$G$42,6,FALSE),"")</f>
        <v/>
      </c>
      <c r="H13" s="30" t="str">
        <f>IFERROR(VLOOKUP(A13,'[10]EQUIPOS TRANSPOR SALARIO'!$A$3:$G$42,7,FALSE),"")</f>
        <v/>
      </c>
      <c r="I13" s="33"/>
      <c r="J13" s="33"/>
    </row>
    <row r="14" spans="1:10" s="20" customFormat="1" ht="13.9" customHeight="1" x14ac:dyDescent="0.25">
      <c r="A14" s="1558"/>
      <c r="B14" s="1559"/>
      <c r="C14" s="1559"/>
      <c r="D14" s="1560"/>
      <c r="E14" s="29"/>
      <c r="F14" s="30" t="str">
        <f>IFERROR(VLOOKUP(A14,'[10]EQUIPOS TRANSPOR SALARIO'!$A$3:$G$42,2,FALSE),"")</f>
        <v/>
      </c>
      <c r="G14" s="31" t="str">
        <f>IFERROR(VLOOKUP(A14,'[10]EQUIPOS TRANSPOR SALARIO'!$A$3:$G$42,6,FALSE),"")</f>
        <v/>
      </c>
      <c r="H14" s="30" t="str">
        <f>IFERROR(VLOOKUP(A14,'[10]EQUIPOS TRANSPOR SALARIO'!$A$3:$G$42,7,FALSE),"")</f>
        <v/>
      </c>
      <c r="I14" s="33"/>
      <c r="J14" s="33"/>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t="str">
        <f>IFERROR(VLOOKUP(A15,'[10]EQUIPOS TRANSPOR SALARIO'!$A$3:$G$42,7,FALSE),"")</f>
        <v/>
      </c>
      <c r="I15" s="33"/>
      <c r="J15" s="33"/>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t="str">
        <f>IFERROR(VLOOKUP(A16,'[10]EQUIPOS TRANSPOR SALARIO'!$A$3:$G$42,7,FALSE),"")</f>
        <v/>
      </c>
      <c r="I16" s="33"/>
      <c r="J16" s="33"/>
    </row>
    <row r="17" spans="1:13"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t="str">
        <f>IFERROR(VLOOKUP(A17,'[10]EQUIPOS TRANSPOR SALARIO'!$A$3:$G$42,7,FALSE),"")</f>
        <v/>
      </c>
      <c r="I17" s="33"/>
      <c r="J17" s="33"/>
    </row>
    <row r="18" spans="1:13" s="20" customFormat="1" ht="13.9" customHeight="1" x14ac:dyDescent="0.25">
      <c r="A18" s="1558"/>
      <c r="B18" s="1559"/>
      <c r="C18" s="1559"/>
      <c r="D18" s="1560"/>
      <c r="E18" s="29"/>
      <c r="F18" s="30" t="str">
        <f>IFERROR(VLOOKUP(A18,'[10]EQUIPOS TRANSPOR SALARIO'!$A$3:$G$42,2,FALSE),"")</f>
        <v/>
      </c>
      <c r="G18" s="31" t="str">
        <f>IFERROR(VLOOKUP(A18,'[10]EQUIPOS TRANSPOR SALARIO'!$A$3:$G$42,6,FALSE),"")</f>
        <v/>
      </c>
      <c r="H18" s="30" t="str">
        <f>IFERROR(VLOOKUP(A18,'[10]EQUIPOS TRANSPOR SALARIO'!$A$3:$G$42,7,FALSE),"")</f>
        <v/>
      </c>
      <c r="I18" s="33"/>
      <c r="J18" s="33"/>
    </row>
    <row r="19" spans="1:13" s="20" customFormat="1" ht="13.9" customHeight="1" x14ac:dyDescent="0.25">
      <c r="I19" s="30" t="s">
        <v>257</v>
      </c>
      <c r="J19" s="34">
        <f>+SUM(J12:J18)</f>
        <v>840</v>
      </c>
    </row>
    <row r="20" spans="1:13" s="20" customFormat="1" ht="13.9" customHeight="1" x14ac:dyDescent="0.25"/>
    <row r="21" spans="1:13" s="20" customFormat="1" ht="13.9" customHeight="1" x14ac:dyDescent="0.25">
      <c r="A21" s="1561" t="s">
        <v>263</v>
      </c>
      <c r="B21" s="1561"/>
      <c r="C21" s="1561"/>
      <c r="D21" s="1561"/>
      <c r="E21" s="1561"/>
      <c r="F21" s="1561"/>
      <c r="G21" s="1561"/>
      <c r="H21" s="1561"/>
      <c r="I21" s="27"/>
    </row>
    <row r="22" spans="1:13" ht="13.9" customHeight="1" x14ac:dyDescent="0.25">
      <c r="A22" s="1565" t="s">
        <v>251</v>
      </c>
      <c r="B22" s="1566"/>
      <c r="C22" s="1566"/>
      <c r="D22" s="1566"/>
      <c r="E22" s="1566"/>
      <c r="F22" s="1567"/>
      <c r="G22" s="28" t="s">
        <v>252</v>
      </c>
      <c r="H22" s="28" t="s">
        <v>264</v>
      </c>
      <c r="I22" s="28" t="s">
        <v>256</v>
      </c>
      <c r="J22" s="28" t="s">
        <v>257</v>
      </c>
    </row>
    <row r="23" spans="1:13" ht="13.9" customHeight="1" x14ac:dyDescent="0.25">
      <c r="A23" s="1697" t="str">
        <f>+'INSUMOS '!B28</f>
        <v>CONCRETO  HIDRAULICO 2500 PSI 17 MPA (175 KG/CM2)</v>
      </c>
      <c r="B23" s="1559"/>
      <c r="C23" s="1559"/>
      <c r="D23" s="1559"/>
      <c r="E23" s="1559"/>
      <c r="F23" s="1560"/>
      <c r="G23" s="29" t="str">
        <f>+VLOOKUP(A23,'INSUMOS '!$B$3:$C$112,2,FALSE)</f>
        <v>M3</v>
      </c>
      <c r="H23" s="35">
        <f>+M23/1000</f>
        <v>2.2619467105846513E-2</v>
      </c>
      <c r="I23" s="33">
        <f>+IFERROR(VLOOKUP(A23,'INSUMOS '!$B$2:$AP$167,'INSUMOS '!$AO$2+1,FALSE),0)</f>
        <v>486142</v>
      </c>
      <c r="J23" s="33">
        <f>ROUND(I23*H23,0)</f>
        <v>10996</v>
      </c>
      <c r="L23" s="19">
        <f>0.3*PI()*0.2^2/4</f>
        <v>9.4247779607693812E-3</v>
      </c>
      <c r="M23" s="19">
        <f>+L23*2400</f>
        <v>22.619467105846514</v>
      </c>
    </row>
    <row r="24" spans="1:13" ht="13.9" customHeight="1" x14ac:dyDescent="0.25">
      <c r="A24" s="1558"/>
      <c r="B24" s="1559"/>
      <c r="C24" s="1559"/>
      <c r="D24" s="1559"/>
      <c r="E24" s="1559"/>
      <c r="F24" s="1560"/>
      <c r="G24" s="29"/>
      <c r="H24" s="35"/>
      <c r="I24" s="31"/>
      <c r="J24" s="33"/>
    </row>
    <row r="25" spans="1:13" ht="13.9" customHeight="1" x14ac:dyDescent="0.25">
      <c r="A25" s="1558"/>
      <c r="B25" s="1559"/>
      <c r="C25" s="1559"/>
      <c r="D25" s="1559"/>
      <c r="E25" s="1559"/>
      <c r="F25" s="1560"/>
      <c r="G25" s="29"/>
      <c r="H25" s="35"/>
      <c r="I25" s="33"/>
      <c r="J25" s="33"/>
    </row>
    <row r="26" spans="1:13" ht="13.9" customHeight="1" x14ac:dyDescent="0.25">
      <c r="A26" s="1558"/>
      <c r="B26" s="1559"/>
      <c r="C26" s="1559"/>
      <c r="D26" s="1559"/>
      <c r="E26" s="1559"/>
      <c r="F26" s="1560"/>
      <c r="G26" s="29"/>
      <c r="H26" s="35"/>
      <c r="I26" s="33"/>
      <c r="J26" s="33"/>
    </row>
    <row r="27" spans="1:13" ht="13.9" customHeight="1" x14ac:dyDescent="0.25">
      <c r="A27" s="1558"/>
      <c r="B27" s="1559"/>
      <c r="C27" s="1559"/>
      <c r="D27" s="1559"/>
      <c r="E27" s="1559"/>
      <c r="F27" s="1560"/>
      <c r="G27" s="29"/>
      <c r="H27" s="35"/>
      <c r="I27" s="33"/>
      <c r="J27" s="33"/>
    </row>
    <row r="28" spans="1:13" ht="13.9" customHeight="1" x14ac:dyDescent="0.25">
      <c r="A28" s="1558"/>
      <c r="B28" s="1559"/>
      <c r="C28" s="1559"/>
      <c r="D28" s="1559"/>
      <c r="E28" s="1559"/>
      <c r="F28" s="1560"/>
      <c r="G28" s="29"/>
      <c r="H28" s="35"/>
      <c r="I28" s="33"/>
      <c r="J28" s="33"/>
    </row>
    <row r="29" spans="1:13" ht="13.9" customHeight="1" x14ac:dyDescent="0.25">
      <c r="A29" s="1558"/>
      <c r="B29" s="1559"/>
      <c r="C29" s="1559"/>
      <c r="D29" s="1559"/>
      <c r="E29" s="1559"/>
      <c r="F29" s="1560"/>
      <c r="G29" s="29"/>
      <c r="H29" s="35"/>
      <c r="I29" s="33"/>
      <c r="J29" s="33"/>
    </row>
    <row r="30" spans="1:13" ht="13.9" customHeight="1" x14ac:dyDescent="0.25">
      <c r="A30" s="1558"/>
      <c r="B30" s="1559"/>
      <c r="C30" s="1559"/>
      <c r="D30" s="1559"/>
      <c r="E30" s="1559"/>
      <c r="F30" s="1560"/>
      <c r="G30" s="29"/>
      <c r="H30" s="37"/>
      <c r="I30" s="33"/>
      <c r="J30" s="33"/>
    </row>
    <row r="31" spans="1:13" ht="13.9" customHeight="1" x14ac:dyDescent="0.25">
      <c r="A31" s="1558"/>
      <c r="B31" s="1559"/>
      <c r="C31" s="1559"/>
      <c r="D31" s="1559"/>
      <c r="E31" s="1559"/>
      <c r="F31" s="1560"/>
      <c r="G31" s="29"/>
      <c r="H31" s="35"/>
      <c r="I31" s="33"/>
      <c r="J31" s="33"/>
    </row>
    <row r="32" spans="1:13" ht="13.9" customHeight="1" x14ac:dyDescent="0.25">
      <c r="A32" s="1558"/>
      <c r="B32" s="1559"/>
      <c r="C32" s="1559"/>
      <c r="D32" s="1559"/>
      <c r="E32" s="1559"/>
      <c r="F32" s="1560"/>
      <c r="G32" s="29"/>
      <c r="H32" s="35"/>
      <c r="I32" s="33"/>
      <c r="J32" s="33"/>
    </row>
    <row r="33" spans="1:13" ht="13.9" customHeight="1" x14ac:dyDescent="0.25">
      <c r="A33" s="20"/>
      <c r="B33" s="20"/>
      <c r="C33" s="20"/>
      <c r="D33" s="20"/>
      <c r="E33" s="20"/>
      <c r="G33" s="20"/>
      <c r="H33" s="20"/>
      <c r="I33" s="30" t="s">
        <v>257</v>
      </c>
      <c r="J33" s="34">
        <f>+SUM(J23:J32)</f>
        <v>10996</v>
      </c>
    </row>
    <row r="34" spans="1:13" ht="13.9" customHeight="1" x14ac:dyDescent="0.25"/>
    <row r="35" spans="1:13" ht="13.9" customHeight="1" x14ac:dyDescent="0.25">
      <c r="A35" s="1561" t="s">
        <v>267</v>
      </c>
      <c r="B35" s="1561"/>
      <c r="C35" s="1561"/>
      <c r="D35" s="1561"/>
      <c r="E35" s="1561"/>
      <c r="F35" s="1561"/>
      <c r="G35" s="1561"/>
      <c r="H35" s="1561"/>
      <c r="I35" s="27"/>
    </row>
    <row r="36" spans="1:13" ht="13.9" customHeight="1" x14ac:dyDescent="0.25">
      <c r="A36" s="1562" t="s">
        <v>268</v>
      </c>
      <c r="B36" s="1563"/>
      <c r="C36" s="1563"/>
      <c r="D36" s="1563"/>
      <c r="E36" s="1563"/>
      <c r="F36" s="1564"/>
      <c r="G36" s="38" t="s">
        <v>255</v>
      </c>
      <c r="H36" s="28" t="s">
        <v>269</v>
      </c>
      <c r="I36" s="28" t="s">
        <v>256</v>
      </c>
      <c r="J36" s="28" t="s">
        <v>257</v>
      </c>
    </row>
    <row r="37" spans="1:13" ht="13.9" customHeight="1" x14ac:dyDescent="0.25">
      <c r="A37" s="1558" t="str">
        <f>+'EQUIPOS '!B6</f>
        <v>CAMION INCLUYE CONDUCTOR</v>
      </c>
      <c r="B37" s="1559"/>
      <c r="C37" s="1559"/>
      <c r="D37" s="1559"/>
      <c r="E37" s="1559"/>
      <c r="F37" s="1560"/>
      <c r="G37" s="1481">
        <f>(+M37/1000)/12</f>
        <v>4.5238934211693027E-3</v>
      </c>
      <c r="H37" s="33">
        <f>+IFERROR(VLOOKUP(A37,'EQUIPOS '!$B$3:$M$78,12,FALSE),0)</f>
        <v>611492.5</v>
      </c>
      <c r="I37" s="33">
        <f>IFERROR(H37*G37,0)</f>
        <v>2766.3268978443698</v>
      </c>
      <c r="J37" s="33">
        <f>ROUND(I37,0)</f>
        <v>2766</v>
      </c>
      <c r="L37" s="19">
        <v>25</v>
      </c>
      <c r="M37" s="19">
        <f>+H23*2400</f>
        <v>54.286721054031631</v>
      </c>
    </row>
    <row r="38" spans="1:13" ht="13.9" customHeight="1" x14ac:dyDescent="0.25">
      <c r="A38" s="1558"/>
      <c r="B38" s="1559"/>
      <c r="C38" s="1559"/>
      <c r="D38" s="1559"/>
      <c r="E38" s="1559"/>
      <c r="F38" s="1560"/>
      <c r="G38" s="29"/>
      <c r="H38" s="33"/>
      <c r="I38" s="33"/>
      <c r="J38" s="33"/>
    </row>
    <row r="39" spans="1:13" ht="13.9" customHeight="1" x14ac:dyDescent="0.25">
      <c r="A39" s="1558"/>
      <c r="B39" s="1559"/>
      <c r="C39" s="1559"/>
      <c r="D39" s="1559"/>
      <c r="E39" s="1559"/>
      <c r="F39" s="1560"/>
      <c r="G39" s="29"/>
      <c r="H39" s="33"/>
      <c r="I39" s="33"/>
      <c r="J39" s="33"/>
    </row>
    <row r="40" spans="1:13" ht="13.9" customHeight="1" x14ac:dyDescent="0.25">
      <c r="G40" s="39"/>
      <c r="H40" s="39"/>
      <c r="I40" s="30" t="s">
        <v>257</v>
      </c>
      <c r="J40" s="33">
        <f>+SUM(J37:J39)</f>
        <v>2766</v>
      </c>
    </row>
    <row r="41" spans="1:13" ht="13.9" customHeight="1" x14ac:dyDescent="0.25"/>
    <row r="42" spans="1:13" ht="13.9" customHeight="1" x14ac:dyDescent="0.25">
      <c r="A42" s="1561" t="s">
        <v>270</v>
      </c>
      <c r="B42" s="1561"/>
      <c r="C42" s="1561"/>
      <c r="D42" s="1561"/>
      <c r="E42" s="1561"/>
      <c r="F42" s="1561"/>
      <c r="G42" s="1561"/>
      <c r="H42" s="1561"/>
      <c r="I42" s="27"/>
    </row>
    <row r="43" spans="1:13" s="39" customFormat="1" ht="13.9" customHeight="1" x14ac:dyDescent="0.25">
      <c r="A43" s="1562" t="s">
        <v>271</v>
      </c>
      <c r="B43" s="1563"/>
      <c r="C43" s="1563"/>
      <c r="D43" s="1564"/>
      <c r="E43" s="28" t="s">
        <v>272</v>
      </c>
      <c r="F43" s="28" t="s">
        <v>264</v>
      </c>
      <c r="G43" s="28" t="s">
        <v>273</v>
      </c>
      <c r="H43" s="28" t="s">
        <v>255</v>
      </c>
      <c r="I43" s="28" t="s">
        <v>256</v>
      </c>
      <c r="J43" s="28" t="s">
        <v>257</v>
      </c>
    </row>
    <row r="44" spans="1:13" s="39" customFormat="1" ht="13.9" customHeight="1" x14ac:dyDescent="0.25">
      <c r="A44" s="1558" t="str">
        <f>+PERSONAL!B5</f>
        <v xml:space="preserve">AYUDANTE </v>
      </c>
      <c r="B44" s="1559"/>
      <c r="C44" s="1559"/>
      <c r="D44" s="1560"/>
      <c r="E44" s="40">
        <f>+IFERROR(VLOOKUP(A44,PERSONAL!$B$3:$E$56,4,FALSE),0)</f>
        <v>72476</v>
      </c>
      <c r="F44" s="30">
        <v>2</v>
      </c>
      <c r="G44" s="40">
        <f>+E44*F44</f>
        <v>144952</v>
      </c>
      <c r="H44" s="35">
        <v>12</v>
      </c>
      <c r="I44" s="33">
        <f>IFERROR(ROUND(G44/H44,0),0)</f>
        <v>12079</v>
      </c>
      <c r="J44" s="33">
        <f>+I44</f>
        <v>12079</v>
      </c>
    </row>
    <row r="45" spans="1:13" s="39" customFormat="1" ht="13.9" customHeight="1" x14ac:dyDescent="0.25">
      <c r="A45" s="1558" t="str">
        <f>+PERSONAL!B22</f>
        <v xml:space="preserve">OFICIAL </v>
      </c>
      <c r="B45" s="1559"/>
      <c r="C45" s="1559"/>
      <c r="D45" s="1560"/>
      <c r="E45" s="40">
        <f>+IFERROR(VLOOKUP(A45,PERSONAL!$B$3:$E$56,4,FALSE),0)</f>
        <v>101471</v>
      </c>
      <c r="F45" s="30">
        <v>1</v>
      </c>
      <c r="G45" s="40">
        <f>+E45*F45</f>
        <v>101471</v>
      </c>
      <c r="H45" s="35">
        <f>+H44</f>
        <v>12</v>
      </c>
      <c r="I45" s="33">
        <f>IFERROR(ROUND(G45/H45,0),0)</f>
        <v>8456</v>
      </c>
      <c r="J45" s="33">
        <f>+I45</f>
        <v>8456</v>
      </c>
    </row>
    <row r="46" spans="1:13" s="39" customFormat="1" ht="13.9" customHeight="1" x14ac:dyDescent="0.25">
      <c r="A46" s="1558" t="s">
        <v>143</v>
      </c>
      <c r="B46" s="1559"/>
      <c r="C46" s="1559"/>
      <c r="D46" s="1560"/>
      <c r="E46" s="40">
        <f>+IFERROR(VLOOKUP(A46,PERSONAL!$B$3:$E$56,4,FALSE),0)</f>
        <v>89632</v>
      </c>
      <c r="F46" s="30">
        <v>1</v>
      </c>
      <c r="G46" s="40">
        <f>+E46*F46</f>
        <v>89632</v>
      </c>
      <c r="H46" s="35">
        <f>+H45</f>
        <v>12</v>
      </c>
      <c r="I46" s="33">
        <f>IFERROR(ROUND(G46/H46,0),0)</f>
        <v>7469</v>
      </c>
      <c r="J46" s="33">
        <f>+I46</f>
        <v>7469</v>
      </c>
    </row>
    <row r="47" spans="1:13" s="39" customFormat="1" ht="13.9" customHeight="1" x14ac:dyDescent="0.25">
      <c r="A47" s="1558"/>
      <c r="B47" s="1559"/>
      <c r="C47" s="1559"/>
      <c r="D47" s="1560"/>
      <c r="E47" s="40"/>
      <c r="F47" s="30"/>
      <c r="G47" s="40"/>
      <c r="H47" s="35"/>
      <c r="I47" s="33"/>
      <c r="J47" s="33"/>
    </row>
    <row r="48" spans="1:13"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1558"/>
      <c r="B50" s="1559"/>
      <c r="C50" s="1559"/>
      <c r="D50" s="1560"/>
      <c r="E50" s="40"/>
      <c r="F50" s="30"/>
      <c r="G50" s="40"/>
      <c r="H50" s="35"/>
      <c r="I50" s="33"/>
      <c r="J50" s="33"/>
    </row>
    <row r="51" spans="1:10" ht="13.9" customHeight="1" x14ac:dyDescent="0.25">
      <c r="A51" s="20"/>
      <c r="B51" s="20"/>
      <c r="C51" s="20"/>
      <c r="E51" s="20"/>
      <c r="F51" s="20"/>
      <c r="G51" s="20"/>
      <c r="H51" s="20"/>
      <c r="I51" s="30" t="s">
        <v>257</v>
      </c>
      <c r="J51" s="34">
        <f>+SUM(J44:J50)</f>
        <v>28004</v>
      </c>
    </row>
    <row r="52" spans="1:10" ht="13.9" customHeight="1" x14ac:dyDescent="0.25"/>
    <row r="53" spans="1:10" ht="13.9" customHeight="1" x14ac:dyDescent="0.25">
      <c r="E53" s="41" t="s">
        <v>276</v>
      </c>
      <c r="I53" s="42">
        <f>+J51+J40+J33+J19</f>
        <v>42606</v>
      </c>
      <c r="J53" s="43"/>
    </row>
    <row r="54" spans="1:10" ht="13.9" customHeight="1" x14ac:dyDescent="0.25"/>
    <row r="55" spans="1:10" ht="14.1" customHeight="1" x14ac:dyDescent="0.25"/>
    <row r="56" spans="1:10" ht="14.1" customHeight="1" x14ac:dyDescent="0.25"/>
  </sheetData>
  <mergeCells count="42">
    <mergeCell ref="A15:D15"/>
    <mergeCell ref="A1:J1"/>
    <mergeCell ref="A2:J2"/>
    <mergeCell ref="A4:J4"/>
    <mergeCell ref="A6:B6"/>
    <mergeCell ref="A7:B7"/>
    <mergeCell ref="C7:J7"/>
    <mergeCell ref="A9:H9"/>
    <mergeCell ref="A10:D10"/>
    <mergeCell ref="A12:D12"/>
    <mergeCell ref="A13:D13"/>
    <mergeCell ref="A14:D14"/>
    <mergeCell ref="A11:D11"/>
    <mergeCell ref="A29:F29"/>
    <mergeCell ref="A16:D16"/>
    <mergeCell ref="A17:D17"/>
    <mergeCell ref="A18:D18"/>
    <mergeCell ref="A21:H21"/>
    <mergeCell ref="A22:F22"/>
    <mergeCell ref="A23:F23"/>
    <mergeCell ref="A24:F24"/>
    <mergeCell ref="A25:F25"/>
    <mergeCell ref="A26:F26"/>
    <mergeCell ref="A27:F27"/>
    <mergeCell ref="A28:F28"/>
    <mergeCell ref="A45:D45"/>
    <mergeCell ref="A30:F30"/>
    <mergeCell ref="A31:F31"/>
    <mergeCell ref="A32:F32"/>
    <mergeCell ref="A35:H35"/>
    <mergeCell ref="A36:F36"/>
    <mergeCell ref="A37:F37"/>
    <mergeCell ref="A38:F38"/>
    <mergeCell ref="A39:F39"/>
    <mergeCell ref="A42:H42"/>
    <mergeCell ref="A43:D43"/>
    <mergeCell ref="A44:D44"/>
    <mergeCell ref="A46:D46"/>
    <mergeCell ref="A47:D47"/>
    <mergeCell ref="A48:D48"/>
    <mergeCell ref="A49:D49"/>
    <mergeCell ref="A50:D50"/>
  </mergeCells>
  <pageMargins left="0.70866141732283472" right="0.70866141732283472" top="0.78740157480314965" bottom="0.78740157480314965" header="0.31496062992125984" footer="0.31496062992125984"/>
  <pageSetup scale="85" orientation="portrait" r:id="rId1"/>
  <drawing r:id="rId2"/>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sheetPr codeName="Hoja30">
    <tabColor rgb="FF00FF00"/>
  </sheetPr>
  <dimension ref="A1:L61"/>
  <sheetViews>
    <sheetView topLeftCell="A39" workbookViewId="0">
      <selection activeCell="G42" sqref="G42"/>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11.42578125" style="19"/>
    <col min="12" max="12" width="0" style="19" hidden="1" customWidth="1"/>
    <col min="13"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25</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Fabricación, suministro e instalación de tablero de 45 cm, señal preventiva, reglamentaría e informativa, lámina galvanizada C-16 E=1,5 mm y material reflectivotipo IV o superior, película antigraffiti, cumpliendo normatividad vigente. (Incluye elementos de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'!B7</f>
        <v xml:space="preserve">CIZALLA DE CORTE VERTICAL </v>
      </c>
      <c r="B11" s="1559"/>
      <c r="C11" s="1559"/>
      <c r="D11" s="1560"/>
      <c r="E11" s="29" t="s">
        <v>259</v>
      </c>
      <c r="F11" s="30">
        <f>IFERROR(VLOOKUP(A11,'[10]EQUIPOS TRANSPOR SALARIO'!$A$3:$G$42,2,FALSE),0)</f>
        <v>0</v>
      </c>
      <c r="G11" s="31">
        <f>IFERROR(VLOOKUP(A11,'EQUIPOS '!$B$3:$N$55,12,FALSE),0)</f>
        <v>5174.01</v>
      </c>
      <c r="H11" s="32">
        <v>10</v>
      </c>
      <c r="I11" s="33">
        <f>IFERROR((G11/H11),0)</f>
        <v>517.40100000000007</v>
      </c>
      <c r="J11" s="33">
        <f>ROUND(I11,0)</f>
        <v>517</v>
      </c>
    </row>
    <row r="12" spans="1:10" s="20" customFormat="1" ht="13.9" customHeight="1" x14ac:dyDescent="0.25">
      <c r="A12" s="1558" t="str">
        <f>+'EQUIPOS '!B9</f>
        <v>COMPRESOR</v>
      </c>
      <c r="B12" s="1559"/>
      <c r="C12" s="1559"/>
      <c r="D12" s="1560"/>
      <c r="E12" s="29" t="s">
        <v>259</v>
      </c>
      <c r="F12" s="30" t="str">
        <f>IFERROR(VLOOKUP(A12,'[10]EQUIPOS TRANSPOR SALARIO'!$A$3:$G$42,2,FALSE),0)</f>
        <v>Eléctrico</v>
      </c>
      <c r="G12" s="31">
        <f>IFERROR(VLOOKUP(A12,'EQUIPOS '!$B$3:$N$55,12,FALSE),0)</f>
        <v>7999.94</v>
      </c>
      <c r="H12" s="32">
        <f>+$H$11</f>
        <v>10</v>
      </c>
      <c r="I12" s="33">
        <f t="shared" ref="I12:I18" si="0">IFERROR((G12/H12),0)</f>
        <v>799.99399999999991</v>
      </c>
      <c r="J12" s="33">
        <f t="shared" ref="J12:J19" si="1">ROUND(I12,0)</f>
        <v>800</v>
      </c>
    </row>
    <row r="13" spans="1:10" s="20" customFormat="1" ht="13.9" customHeight="1" x14ac:dyDescent="0.25">
      <c r="A13" s="1558" t="str">
        <f>+'EQUIPOS '!B8</f>
        <v>COLAMINADORA</v>
      </c>
      <c r="B13" s="1559"/>
      <c r="C13" s="1559"/>
      <c r="D13" s="1560"/>
      <c r="E13" s="29" t="s">
        <v>259</v>
      </c>
      <c r="F13" s="30">
        <f>IFERROR(VLOOKUP(A13,'[10]EQUIPOS TRANSPOR SALARIO'!$A$3:$G$42,2,FALSE),0)</f>
        <v>0</v>
      </c>
      <c r="G13" s="31">
        <f>IFERROR(VLOOKUP(A13,'EQUIPOS '!$B$3:$N$55,12,FALSE),0)</f>
        <v>4701.8100000000004</v>
      </c>
      <c r="H13" s="32">
        <f t="shared" ref="H13:H18" si="2">+$H$11</f>
        <v>10</v>
      </c>
      <c r="I13" s="33">
        <f t="shared" si="0"/>
        <v>470.18100000000004</v>
      </c>
      <c r="J13" s="33">
        <f t="shared" si="1"/>
        <v>470</v>
      </c>
    </row>
    <row r="14" spans="1:10" s="20" customFormat="1" ht="13.9" customHeight="1" x14ac:dyDescent="0.25">
      <c r="A14" s="1558" t="str">
        <f>+'EQUIPOS '!B24</f>
        <v>EQUIPO PINTURA ELECTROSTÁTICA</v>
      </c>
      <c r="B14" s="1559"/>
      <c r="C14" s="1559"/>
      <c r="D14" s="1560"/>
      <c r="E14" s="29" t="s">
        <v>259</v>
      </c>
      <c r="F14" s="30" t="str">
        <f>IFERROR(VLOOKUP(A14,'[10]EQUIPOS TRANSPOR SALARIO'!$A$3:$G$42,2,FALSE),0)</f>
        <v>Electrostática</v>
      </c>
      <c r="G14" s="31">
        <f>IFERROR(VLOOKUP(A14,'EQUIPOS '!$B$3:$N$55,12,FALSE),0)</f>
        <v>4047.59</v>
      </c>
      <c r="H14" s="32">
        <f t="shared" si="2"/>
        <v>10</v>
      </c>
      <c r="I14" s="33">
        <f>IFERROR((G14/H14),0)</f>
        <v>404.75900000000001</v>
      </c>
      <c r="J14" s="33">
        <f>ROUND(I14,0)</f>
        <v>405</v>
      </c>
    </row>
    <row r="15" spans="1:10" s="20" customFormat="1" ht="13.9" customHeight="1" x14ac:dyDescent="0.25">
      <c r="A15" s="1558" t="str">
        <f>+'EQUIPOS '!B27</f>
        <v xml:space="preserve">EQUIPO SOLDADURA ELECTRICA </v>
      </c>
      <c r="B15" s="1559"/>
      <c r="C15" s="1559"/>
      <c r="D15" s="1560"/>
      <c r="E15" s="29" t="s">
        <v>259</v>
      </c>
      <c r="F15" s="30">
        <f>IFERROR(VLOOKUP(A15,'[10]EQUIPOS TRANSPOR SALARIO'!$A$3:$G$42,2,FALSE),0)</f>
        <v>0</v>
      </c>
      <c r="G15" s="31">
        <f>IFERROR(VLOOKUP(A15,'EQUIPOS '!$B$3:$N$55,12,FALSE),0)</f>
        <v>4862.5</v>
      </c>
      <c r="H15" s="32">
        <f t="shared" si="2"/>
        <v>10</v>
      </c>
      <c r="I15" s="33">
        <f>IFERROR((G15/H15),0)</f>
        <v>486.25</v>
      </c>
      <c r="J15" s="33">
        <f>ROUND(I15,0)</f>
        <v>486</v>
      </c>
    </row>
    <row r="16" spans="1:10" s="20" customFormat="1" ht="13.9" customHeight="1" x14ac:dyDescent="0.25">
      <c r="A16" s="1558" t="str">
        <f>+'EQUIPOS '!B51</f>
        <v xml:space="preserve">IMPRESORA DIGITAL PARA SEÑALES DE TRÁNSITO </v>
      </c>
      <c r="B16" s="1559"/>
      <c r="C16" s="1559"/>
      <c r="D16" s="1560"/>
      <c r="E16" s="29" t="s">
        <v>259</v>
      </c>
      <c r="F16" s="30">
        <f>IFERROR(VLOOKUP(A16,'[10]EQUIPOS TRANSPOR SALARIO'!$A$3:$G$42,2,FALSE),0)</f>
        <v>0</v>
      </c>
      <c r="G16" s="31">
        <f>IFERROR(VLOOKUP(A16,'EQUIPOS '!$B$3:$N$55,12,FALSE),0)</f>
        <v>64227.08</v>
      </c>
      <c r="H16" s="32">
        <f t="shared" si="2"/>
        <v>10</v>
      </c>
      <c r="I16" s="33">
        <f>IFERROR((G16/H16),0)</f>
        <v>6422.7080000000005</v>
      </c>
      <c r="J16" s="33">
        <f>ROUND(I16,0)</f>
        <v>6423</v>
      </c>
    </row>
    <row r="17" spans="1:10" s="20" customFormat="1" ht="13.9" customHeight="1" x14ac:dyDescent="0.25">
      <c r="A17" s="1558" t="str">
        <f>+'EQUIPOS '!B39</f>
        <v xml:space="preserve">PULIDORA </v>
      </c>
      <c r="B17" s="1559"/>
      <c r="C17" s="1559"/>
      <c r="D17" s="1560"/>
      <c r="E17" s="29" t="s">
        <v>259</v>
      </c>
      <c r="F17" s="30">
        <f>IFERROR(VLOOKUP(A17,'[10]EQUIPOS TRANSPOR SALARIO'!$A$3:$G$42,2,FALSE),0)</f>
        <v>0</v>
      </c>
      <c r="G17" s="31">
        <f>IFERROR(VLOOKUP(A17,'EQUIPOS '!$B$3:$N$55,12,FALSE),0)</f>
        <v>2821</v>
      </c>
      <c r="H17" s="32">
        <f t="shared" si="2"/>
        <v>10</v>
      </c>
      <c r="I17" s="33">
        <f>IFERROR((G17/H17),0)</f>
        <v>282.10000000000002</v>
      </c>
      <c r="J17" s="33">
        <f>ROUND(I17,0)</f>
        <v>282</v>
      </c>
    </row>
    <row r="18" spans="1:10" s="20" customFormat="1" ht="13.9" customHeight="1" x14ac:dyDescent="0.25">
      <c r="A18" s="1558" t="str">
        <f>+'EQUIPOS '!B43</f>
        <v>TALADRO DE ARBOL</v>
      </c>
      <c r="B18" s="1559"/>
      <c r="C18" s="1559"/>
      <c r="D18" s="1560"/>
      <c r="E18" s="29" t="s">
        <v>259</v>
      </c>
      <c r="F18" s="30">
        <f>IFERROR(VLOOKUP(A18,'[10]EQUIPOS TRANSPOR SALARIO'!$A$3:$G$42,2,FALSE),0)</f>
        <v>0</v>
      </c>
      <c r="G18" s="31">
        <f>IFERROR(VLOOKUP(A18,'EQUIPOS '!$B$3:$N$55,12,FALSE),0)</f>
        <v>4898</v>
      </c>
      <c r="H18" s="32">
        <f t="shared" si="2"/>
        <v>10</v>
      </c>
      <c r="I18" s="33">
        <f t="shared" si="0"/>
        <v>489.8</v>
      </c>
      <c r="J18" s="33">
        <f t="shared" si="1"/>
        <v>490</v>
      </c>
    </row>
    <row r="19" spans="1:10" s="20" customFormat="1" ht="13.9" customHeight="1" x14ac:dyDescent="0.25">
      <c r="A19" s="1558" t="str">
        <f>+'EQUIPOS '!B33</f>
        <v>HERRAMIENTA MENOR</v>
      </c>
      <c r="B19" s="1559"/>
      <c r="C19" s="1559"/>
      <c r="D19" s="1560"/>
      <c r="E19" s="29"/>
      <c r="F19" s="30"/>
      <c r="G19" s="74">
        <v>0.01</v>
      </c>
      <c r="H19" s="32"/>
      <c r="I19" s="33">
        <f>+G19*J57</f>
        <v>89.25</v>
      </c>
      <c r="J19" s="33">
        <f t="shared" si="1"/>
        <v>89</v>
      </c>
    </row>
    <row r="20" spans="1:10" s="20" customFormat="1" ht="13.9" customHeight="1" x14ac:dyDescent="0.25">
      <c r="A20" s="1558"/>
      <c r="B20" s="1559"/>
      <c r="C20" s="1559"/>
      <c r="D20" s="1560"/>
      <c r="E20" s="29"/>
      <c r="F20" s="30"/>
      <c r="G20" s="31"/>
      <c r="H20" s="32"/>
      <c r="I20" s="33"/>
      <c r="J20" s="33"/>
    </row>
    <row r="21" spans="1:10" s="20" customFormat="1" ht="13.9" customHeight="1" x14ac:dyDescent="0.25">
      <c r="A21" s="1558"/>
      <c r="B21" s="1559"/>
      <c r="C21" s="1559"/>
      <c r="D21" s="1560"/>
      <c r="E21" s="29"/>
      <c r="F21" s="30"/>
      <c r="G21" s="31"/>
      <c r="H21" s="32"/>
      <c r="I21" s="33"/>
      <c r="J21" s="33"/>
    </row>
    <row r="22" spans="1:10" s="20" customFormat="1" ht="13.9" customHeight="1" x14ac:dyDescent="0.25">
      <c r="I22" s="30" t="s">
        <v>257</v>
      </c>
      <c r="J22" s="34">
        <f>+SUM(J11:J21)</f>
        <v>9962</v>
      </c>
    </row>
    <row r="23" spans="1:10" s="20" customFormat="1" ht="13.9" customHeight="1" x14ac:dyDescent="0.25"/>
    <row r="24" spans="1:10" s="20" customFormat="1" ht="13.9" customHeight="1" x14ac:dyDescent="0.25">
      <c r="A24" s="1561" t="s">
        <v>263</v>
      </c>
      <c r="B24" s="1561"/>
      <c r="C24" s="1561"/>
      <c r="D24" s="1561"/>
      <c r="E24" s="1561"/>
      <c r="F24" s="1561"/>
      <c r="G24" s="1561"/>
      <c r="H24" s="1561"/>
      <c r="I24" s="27"/>
    </row>
    <row r="25" spans="1:10" ht="13.9" customHeight="1" x14ac:dyDescent="0.25">
      <c r="A25" s="1565" t="s">
        <v>251</v>
      </c>
      <c r="B25" s="1566"/>
      <c r="C25" s="1566"/>
      <c r="D25" s="1566"/>
      <c r="E25" s="1566"/>
      <c r="F25" s="1567"/>
      <c r="G25" s="28" t="s">
        <v>252</v>
      </c>
      <c r="H25" s="28" t="s">
        <v>264</v>
      </c>
      <c r="I25" s="28" t="s">
        <v>256</v>
      </c>
      <c r="J25" s="28" t="s">
        <v>257</v>
      </c>
    </row>
    <row r="26" spans="1:10" ht="13.9" customHeight="1" x14ac:dyDescent="0.25">
      <c r="A26" s="1558" t="str">
        <f>+'INSUMOS '!B50</f>
        <v>LÁMINA GALVANIZADA C 16 E=1,50 mm</v>
      </c>
      <c r="B26" s="1559"/>
      <c r="C26" s="1559"/>
      <c r="D26" s="1559"/>
      <c r="E26" s="1559"/>
      <c r="F26" s="1560"/>
      <c r="G26" s="29" t="str">
        <f>+VLOOKUP(A26,'INSUMOS '!$B$3:$C$112,2,FALSE)</f>
        <v>M2</v>
      </c>
      <c r="H26" s="47">
        <f>0.45*0.45</f>
        <v>0.20250000000000001</v>
      </c>
      <c r="I26" s="33">
        <f>+IFERROR(VLOOKUP(A26,'INSUMOS '!$B$2:$AP$167,'INSUMOS '!$AO$2+1,FALSE),0)</f>
        <v>85500.55</v>
      </c>
      <c r="J26" s="33">
        <f t="shared" ref="J26:J35" si="3">ROUND(I26*H26,0)</f>
        <v>17314</v>
      </c>
    </row>
    <row r="27" spans="1:10" ht="13.9" customHeight="1" x14ac:dyDescent="0.25">
      <c r="A27" s="1558" t="s">
        <v>103</v>
      </c>
      <c r="B27" s="1559"/>
      <c r="C27" s="1559"/>
      <c r="D27" s="1559"/>
      <c r="E27" s="1559"/>
      <c r="F27" s="1560"/>
      <c r="G27" s="29" t="str">
        <f>+VLOOKUP(A27,'INSUMOS '!$B$3:$C$112,2,FALSE)</f>
        <v>M2</v>
      </c>
      <c r="H27" s="47">
        <f>+H26</f>
        <v>0.20250000000000001</v>
      </c>
      <c r="I27" s="33">
        <f>+IFERROR(VLOOKUP(A27,'INSUMOS '!$B$2:$AP$167,'INSUMOS '!$AO$2+1,FALSE),0)</f>
        <v>124209.43919999998</v>
      </c>
      <c r="J27" s="33">
        <f t="shared" si="3"/>
        <v>25152</v>
      </c>
    </row>
    <row r="28" spans="1:10" ht="13.9" customHeight="1" x14ac:dyDescent="0.25">
      <c r="A28" s="1558" t="str">
        <f>+'INSUMOS '!B102</f>
        <v>TORNILLOS 5/16 ZINCADO  (INCLUYE TUERCA DE SEGURIDAD Y ARANDELA)</v>
      </c>
      <c r="B28" s="1559"/>
      <c r="C28" s="1559"/>
      <c r="D28" s="1559"/>
      <c r="E28" s="1559"/>
      <c r="F28" s="1560"/>
      <c r="G28" s="29" t="str">
        <f>+VLOOKUP(A28,'INSUMOS '!$B$3:$C$112,2,FALSE)</f>
        <v>UN</v>
      </c>
      <c r="H28" s="47">
        <v>4</v>
      </c>
      <c r="I28" s="33">
        <f>+IFERROR(VLOOKUP(A28,'INSUMOS '!$B$2:$AP$167,'INSUMOS '!$AO$2+1,FALSE),0)</f>
        <v>1747.5</v>
      </c>
      <c r="J28" s="33">
        <f t="shared" si="3"/>
        <v>6990</v>
      </c>
    </row>
    <row r="29" spans="1:10" ht="13.9" customHeight="1" x14ac:dyDescent="0.25">
      <c r="A29" s="1558" t="str">
        <f>+'INSUMOS '!B88</f>
        <v>REMACHES CON ARANDELAS DE 4*10 MM</v>
      </c>
      <c r="B29" s="1559"/>
      <c r="C29" s="1559"/>
      <c r="D29" s="1559"/>
      <c r="E29" s="1559"/>
      <c r="F29" s="1560"/>
      <c r="G29" s="29" t="str">
        <f>+VLOOKUP(A29,'INSUMOS '!$B$3:$C$112,2,FALSE)</f>
        <v>UN</v>
      </c>
      <c r="H29" s="47">
        <v>0.11</v>
      </c>
      <c r="I29" s="33">
        <f>+IFERROR(VLOOKUP(A29,'INSUMOS '!$B$2:$AP$167,'INSUMOS '!$AO$2+1,FALSE),0)</f>
        <v>170</v>
      </c>
      <c r="J29" s="33">
        <f t="shared" si="3"/>
        <v>19</v>
      </c>
    </row>
    <row r="30" spans="1:10" ht="13.9" customHeight="1" x14ac:dyDescent="0.25">
      <c r="A30" s="1558" t="str">
        <f>+'INSUMOS '!B94</f>
        <v xml:space="preserve">STEAKER 15 X 15 CM EN PAPEL REFLECTIVO TIPO IV O SUPERIOR </v>
      </c>
      <c r="B30" s="1559"/>
      <c r="C30" s="1559"/>
      <c r="D30" s="1559"/>
      <c r="E30" s="1559"/>
      <c r="F30" s="1560"/>
      <c r="G30" s="29" t="str">
        <f>+VLOOKUP(A30,'INSUMOS '!$B$3:$C$112,2,FALSE)</f>
        <v>UN</v>
      </c>
      <c r="H30" s="47">
        <f>+((0.125)/45.7)*2</f>
        <v>5.4704595185995622E-3</v>
      </c>
      <c r="I30" s="33">
        <f>+IFERROR(VLOOKUP(A30,'INSUMOS '!$B$2:$AP$167,'INSUMOS '!$AO$2+1,FALSE),0)</f>
        <v>2500</v>
      </c>
      <c r="J30" s="33">
        <f t="shared" si="3"/>
        <v>14</v>
      </c>
    </row>
    <row r="31" spans="1:10" ht="13.9" customHeight="1" x14ac:dyDescent="0.25">
      <c r="A31" s="1558" t="str">
        <f>+'INSUMOS '!B67</f>
        <v xml:space="preserve">PELÍCULA ANTIGRAFITTI </v>
      </c>
      <c r="B31" s="1559"/>
      <c r="C31" s="1559"/>
      <c r="D31" s="1559"/>
      <c r="E31" s="1559"/>
      <c r="F31" s="1560"/>
      <c r="G31" s="29" t="str">
        <f>+VLOOKUP(A31,'INSUMOS '!$B$3:$C$112,2,FALSE)</f>
        <v>M2</v>
      </c>
      <c r="H31" s="47">
        <f>+H26</f>
        <v>0.20250000000000001</v>
      </c>
      <c r="I31" s="33">
        <f>+IFERROR(VLOOKUP(A31,'INSUMOS '!$B$2:$AP$167,'INSUMOS '!$AO$2+1,FALSE),0)</f>
        <v>65174.538799999995</v>
      </c>
      <c r="J31" s="33">
        <f t="shared" si="3"/>
        <v>13198</v>
      </c>
    </row>
    <row r="32" spans="1:10" ht="13.9" customHeight="1" x14ac:dyDescent="0.25">
      <c r="A32" s="1558" t="str">
        <f>+'INSUMOS '!B100</f>
        <v>TINTA TRASLUCIDA PARA CINTA REFLECTIVA</v>
      </c>
      <c r="B32" s="1559"/>
      <c r="C32" s="1559"/>
      <c r="D32" s="1559"/>
      <c r="E32" s="1559"/>
      <c r="F32" s="1560"/>
      <c r="G32" s="29" t="str">
        <f>+VLOOKUP(A32,'INSUMOS '!$B$3:$C$112,2,FALSE)</f>
        <v>LB</v>
      </c>
      <c r="H32" s="47">
        <f>H26/3.44*0.22</f>
        <v>1.295058139534884E-2</v>
      </c>
      <c r="I32" s="33">
        <f>+IFERROR(VLOOKUP(A32,'INSUMOS '!$B$2:$AP$167,'INSUMOS '!$AO$2+1,FALSE),0)</f>
        <v>440873.77039999992</v>
      </c>
      <c r="J32" s="33">
        <f t="shared" si="3"/>
        <v>5710</v>
      </c>
    </row>
    <row r="33" spans="1:12" ht="13.9" customHeight="1" x14ac:dyDescent="0.25">
      <c r="A33" s="1558" t="str">
        <f>+'INSUMOS '!B21</f>
        <v>BROCA PARA METAL 1/2"</v>
      </c>
      <c r="B33" s="1559"/>
      <c r="C33" s="1559"/>
      <c r="D33" s="1559"/>
      <c r="E33" s="1559"/>
      <c r="F33" s="1560"/>
      <c r="G33" s="29" t="str">
        <f>+VLOOKUP(A33,'INSUMOS '!$B$3:$C$112,2,FALSE)</f>
        <v>UN</v>
      </c>
      <c r="H33" s="47">
        <v>0.01</v>
      </c>
      <c r="I33" s="33">
        <f>+IFERROR(VLOOKUP(A33,'INSUMOS '!$B$2:$AP$167,'INSUMOS '!$AO$2+1,FALSE),0)</f>
        <v>31741.5</v>
      </c>
      <c r="J33" s="33">
        <f t="shared" si="3"/>
        <v>317</v>
      </c>
    </row>
    <row r="34" spans="1:12" ht="13.9" customHeight="1" x14ac:dyDescent="0.25">
      <c r="A34" s="1558" t="str">
        <f>+'INSUMOS '!B106</f>
        <v>PINTURA  ESMALTE SINTETICO</v>
      </c>
      <c r="B34" s="1559"/>
      <c r="C34" s="1559"/>
      <c r="D34" s="1559"/>
      <c r="E34" s="1559"/>
      <c r="F34" s="1560"/>
      <c r="G34" s="29" t="str">
        <f>+VLOOKUP(A34,'INSUMOS '!$B$3:$C$112,2,FALSE)</f>
        <v>GAL</v>
      </c>
      <c r="H34" s="47">
        <f>+H26</f>
        <v>0.20250000000000001</v>
      </c>
      <c r="I34" s="33">
        <f>+IFERROR(VLOOKUP(A34,'INSUMOS '!$B$2:$AP$167,'INSUMOS '!$AO$2+1,FALSE),0)</f>
        <v>98175</v>
      </c>
      <c r="J34" s="33">
        <f t="shared" si="3"/>
        <v>19880</v>
      </c>
    </row>
    <row r="35" spans="1:12" ht="13.9" customHeight="1" x14ac:dyDescent="0.25">
      <c r="A35" s="1558" t="s">
        <v>2901</v>
      </c>
      <c r="B35" s="1559"/>
      <c r="C35" s="1559"/>
      <c r="D35" s="1559"/>
      <c r="E35" s="1559"/>
      <c r="F35" s="1560"/>
      <c r="G35" s="29"/>
      <c r="H35" s="74">
        <v>0.05</v>
      </c>
      <c r="I35" s="33">
        <f>+SUM(J26:J34)</f>
        <v>88594</v>
      </c>
      <c r="J35" s="33">
        <f t="shared" si="3"/>
        <v>4430</v>
      </c>
    </row>
    <row r="36" spans="1:12" ht="13.9" customHeight="1" x14ac:dyDescent="0.25">
      <c r="A36" s="1558"/>
      <c r="B36" s="1559"/>
      <c r="C36" s="1559"/>
      <c r="D36" s="1559"/>
      <c r="E36" s="1559"/>
      <c r="F36" s="1560"/>
      <c r="G36" s="29"/>
      <c r="H36" s="35"/>
      <c r="I36" s="33"/>
      <c r="J36" s="33"/>
    </row>
    <row r="37" spans="1:12" ht="13.9" customHeight="1" x14ac:dyDescent="0.25">
      <c r="A37" s="1558"/>
      <c r="B37" s="1559"/>
      <c r="C37" s="1559"/>
      <c r="D37" s="1559"/>
      <c r="E37" s="1559"/>
      <c r="F37" s="1560"/>
      <c r="G37" s="29"/>
      <c r="H37" s="35"/>
      <c r="I37" s="33"/>
      <c r="J37" s="33"/>
      <c r="L37" s="39"/>
    </row>
    <row r="38" spans="1:12" ht="13.9" customHeight="1" x14ac:dyDescent="0.25">
      <c r="A38" s="20"/>
      <c r="B38" s="20"/>
      <c r="C38" s="20"/>
      <c r="D38" s="20"/>
      <c r="E38" s="20"/>
      <c r="G38" s="20"/>
      <c r="H38" s="20"/>
      <c r="I38" s="30" t="s">
        <v>257</v>
      </c>
      <c r="J38" s="34">
        <f>+SUM(J26:J37)</f>
        <v>93024</v>
      </c>
      <c r="L38" s="39"/>
    </row>
    <row r="39" spans="1:12" ht="13.9" customHeight="1" x14ac:dyDescent="0.25">
      <c r="L39" s="39"/>
    </row>
    <row r="40" spans="1:12" ht="13.9" customHeight="1" x14ac:dyDescent="0.25">
      <c r="A40" s="1561" t="s">
        <v>267</v>
      </c>
      <c r="B40" s="1561"/>
      <c r="C40" s="1561"/>
      <c r="D40" s="1561"/>
      <c r="E40" s="1561"/>
      <c r="F40" s="1561"/>
      <c r="G40" s="1561"/>
      <c r="H40" s="1561"/>
      <c r="I40" s="27"/>
      <c r="L40" s="39"/>
    </row>
    <row r="41" spans="1:12" ht="13.9" customHeight="1" x14ac:dyDescent="0.25">
      <c r="A41" s="1562" t="s">
        <v>268</v>
      </c>
      <c r="B41" s="1563"/>
      <c r="C41" s="1563"/>
      <c r="D41" s="1563"/>
      <c r="E41" s="1563"/>
      <c r="F41" s="1564"/>
      <c r="G41" s="38" t="s">
        <v>255</v>
      </c>
      <c r="H41" s="28" t="s">
        <v>269</v>
      </c>
      <c r="I41" s="28" t="s">
        <v>256</v>
      </c>
      <c r="J41" s="28" t="s">
        <v>257</v>
      </c>
      <c r="L41" s="39"/>
    </row>
    <row r="42" spans="1:12" ht="13.9" customHeight="1" x14ac:dyDescent="0.25">
      <c r="A42" s="1558" t="str">
        <f>+'EQUIPOS '!B6</f>
        <v>CAMION INCLUYE CONDUCTOR</v>
      </c>
      <c r="B42" s="1559"/>
      <c r="C42" s="1559"/>
      <c r="D42" s="1559"/>
      <c r="E42" s="1559"/>
      <c r="F42" s="1560"/>
      <c r="G42" s="1481">
        <f>(+L42/1000)/12</f>
        <v>1.9709999999999999E-4</v>
      </c>
      <c r="H42" s="33">
        <f>+IFERROR(VLOOKUP(A42,'EQUIPOS '!$B$3:$M$78,12,FALSE),0)</f>
        <v>611492.5</v>
      </c>
      <c r="I42" s="33">
        <f>IFERROR(H42*G42,0)</f>
        <v>120.52517175</v>
      </c>
      <c r="J42" s="33">
        <f>ROUND(I42,0)</f>
        <v>121</v>
      </c>
      <c r="L42" s="39">
        <f>+H26*'1'!N23</f>
        <v>2.3652000000000002</v>
      </c>
    </row>
    <row r="43" spans="1:12" ht="13.9" customHeight="1" x14ac:dyDescent="0.25">
      <c r="A43" s="1558"/>
      <c r="B43" s="1559"/>
      <c r="C43" s="1559"/>
      <c r="D43" s="1559"/>
      <c r="E43" s="1559"/>
      <c r="F43" s="1560"/>
      <c r="G43" s="29"/>
      <c r="H43" s="33"/>
      <c r="I43" s="33"/>
      <c r="J43" s="33"/>
      <c r="L43" s="39"/>
    </row>
    <row r="44" spans="1:12" ht="13.9" customHeight="1" x14ac:dyDescent="0.25">
      <c r="A44" s="1558"/>
      <c r="B44" s="1559"/>
      <c r="C44" s="1559"/>
      <c r="D44" s="1559"/>
      <c r="E44" s="1559"/>
      <c r="F44" s="1560"/>
      <c r="G44" s="29"/>
      <c r="H44" s="33"/>
      <c r="I44" s="33"/>
      <c r="J44" s="33"/>
      <c r="L44" s="39"/>
    </row>
    <row r="45" spans="1:12" ht="13.9" customHeight="1" x14ac:dyDescent="0.25">
      <c r="G45" s="39"/>
      <c r="H45" s="39"/>
      <c r="I45" s="30" t="s">
        <v>257</v>
      </c>
      <c r="J45" s="33">
        <f>+SUM(J42:J44)</f>
        <v>121</v>
      </c>
    </row>
    <row r="46" spans="1:12" ht="13.9" customHeight="1" x14ac:dyDescent="0.25"/>
    <row r="47" spans="1:12" ht="13.9" customHeight="1" x14ac:dyDescent="0.25">
      <c r="A47" s="1561" t="s">
        <v>270</v>
      </c>
      <c r="B47" s="1561"/>
      <c r="C47" s="1561"/>
      <c r="D47" s="1561"/>
      <c r="E47" s="1561"/>
      <c r="F47" s="1561"/>
      <c r="G47" s="1561"/>
      <c r="H47" s="1561"/>
      <c r="I47" s="27"/>
    </row>
    <row r="48" spans="1:12" s="39" customFormat="1" ht="13.9" customHeight="1" x14ac:dyDescent="0.25">
      <c r="A48" s="1562" t="s">
        <v>271</v>
      </c>
      <c r="B48" s="1563"/>
      <c r="C48" s="1563"/>
      <c r="D48" s="1564"/>
      <c r="E48" s="28" t="s">
        <v>272</v>
      </c>
      <c r="F48" s="28" t="s">
        <v>264</v>
      </c>
      <c r="G48" s="28" t="s">
        <v>273</v>
      </c>
      <c r="H48" s="28" t="s">
        <v>255</v>
      </c>
      <c r="I48" s="28" t="s">
        <v>256</v>
      </c>
      <c r="J48" s="28" t="s">
        <v>257</v>
      </c>
      <c r="L48" s="19"/>
    </row>
    <row r="49" spans="1:10" s="39" customFormat="1" ht="13.9" customHeight="1" x14ac:dyDescent="0.25">
      <c r="A49" s="1558" t="s">
        <v>129</v>
      </c>
      <c r="B49" s="1559"/>
      <c r="C49" s="1559"/>
      <c r="D49" s="1560"/>
      <c r="E49" s="40">
        <f>+IFERROR(VLOOKUP(A49,PERSONAL!$B$3:$E$56,4,FALSE),0)</f>
        <v>110344</v>
      </c>
      <c r="F49" s="30">
        <v>1</v>
      </c>
      <c r="G49" s="40">
        <f>+E49*F49</f>
        <v>110344</v>
      </c>
      <c r="H49" s="35">
        <f>+H11*8</f>
        <v>80</v>
      </c>
      <c r="I49" s="33">
        <f>IFERROR(ROUND(G49/H49,0),0)</f>
        <v>1379</v>
      </c>
      <c r="J49" s="33">
        <f>+I49</f>
        <v>1379</v>
      </c>
    </row>
    <row r="50" spans="1:10" s="39" customFormat="1" ht="13.9" customHeight="1" x14ac:dyDescent="0.25">
      <c r="A50" s="1558" t="str">
        <f>+PERSONAL!B44</f>
        <v xml:space="preserve">TÉCNICO - DIBUJANTE 2 </v>
      </c>
      <c r="B50" s="1559"/>
      <c r="C50" s="1559"/>
      <c r="D50" s="1560"/>
      <c r="E50" s="40">
        <f>+IFERROR(VLOOKUP(A50,PERSONAL!$B$3:$E$56,4,FALSE),0)</f>
        <v>132866</v>
      </c>
      <c r="F50" s="30">
        <v>1</v>
      </c>
      <c r="G50" s="40">
        <f>+E50*F50</f>
        <v>132866</v>
      </c>
      <c r="H50" s="35">
        <f>+H12*8</f>
        <v>80</v>
      </c>
      <c r="I50" s="33">
        <f>IFERROR(ROUND(G50/H50,0),0)</f>
        <v>1661</v>
      </c>
      <c r="J50" s="33">
        <f>+I50</f>
        <v>1661</v>
      </c>
    </row>
    <row r="51" spans="1:10" s="39" customFormat="1" ht="13.9" customHeight="1" x14ac:dyDescent="0.25">
      <c r="A51" s="1558" t="s">
        <v>127</v>
      </c>
      <c r="B51" s="1559"/>
      <c r="C51" s="1559"/>
      <c r="D51" s="1560"/>
      <c r="E51" s="40">
        <f>+IFERROR(VLOOKUP(A51,PERSONAL!$B$3:$E$56,4,FALSE),0)</f>
        <v>72476</v>
      </c>
      <c r="F51" s="30">
        <v>4</v>
      </c>
      <c r="G51" s="40">
        <f>+E51*F51</f>
        <v>289904</v>
      </c>
      <c r="H51" s="35">
        <f>+H13*8</f>
        <v>80</v>
      </c>
      <c r="I51" s="33">
        <f>IFERROR(ROUND(G51/H51,0),0)</f>
        <v>3624</v>
      </c>
      <c r="J51" s="33">
        <f>+I51</f>
        <v>3624</v>
      </c>
    </row>
    <row r="52" spans="1:10" s="39" customFormat="1" ht="13.9" customHeight="1" x14ac:dyDescent="0.25">
      <c r="A52" s="1558" t="s">
        <v>131</v>
      </c>
      <c r="B52" s="1559"/>
      <c r="C52" s="1559"/>
      <c r="D52" s="1560"/>
      <c r="E52" s="40">
        <f>+IFERROR(VLOOKUP(A52,PERSONAL!$B$3:$E$56,4,FALSE),0)</f>
        <v>91275</v>
      </c>
      <c r="F52" s="30">
        <v>1</v>
      </c>
      <c r="G52" s="40">
        <f>+E52*F52</f>
        <v>91275</v>
      </c>
      <c r="H52" s="35">
        <f>+H18*8</f>
        <v>80</v>
      </c>
      <c r="I52" s="33">
        <f>IFERROR(ROUND(G52/H52,0),0)</f>
        <v>1141</v>
      </c>
      <c r="J52" s="33">
        <f>+I52</f>
        <v>1141</v>
      </c>
    </row>
    <row r="53" spans="1:10" s="39" customFormat="1" ht="13.9" customHeight="1" x14ac:dyDescent="0.25">
      <c r="A53" s="1558" t="str">
        <f>+PERSONAL!B3</f>
        <v>AUXILIAR DE TRÁFICO</v>
      </c>
      <c r="B53" s="1559"/>
      <c r="C53" s="1559"/>
      <c r="D53" s="1560"/>
      <c r="E53" s="40">
        <f>+IFERROR(VLOOKUP(A53,PERSONAL!$B$3:$E$56,4,FALSE),0)</f>
        <v>89632</v>
      </c>
      <c r="F53" s="30">
        <v>1</v>
      </c>
      <c r="G53" s="40">
        <f>+E53*F53</f>
        <v>89632</v>
      </c>
      <c r="H53" s="35">
        <f>+H52</f>
        <v>80</v>
      </c>
      <c r="I53" s="33">
        <f>IFERROR(ROUND(G53/H53,0),0)</f>
        <v>1120</v>
      </c>
      <c r="J53" s="33">
        <f>+I53</f>
        <v>1120</v>
      </c>
    </row>
    <row r="54" spans="1:10" s="39" customFormat="1" ht="13.9" customHeight="1" x14ac:dyDescent="0.25">
      <c r="A54" s="1558"/>
      <c r="B54" s="1559"/>
      <c r="C54" s="1559"/>
      <c r="D54" s="1560"/>
      <c r="E54" s="40"/>
      <c r="F54" s="30"/>
      <c r="G54" s="40"/>
      <c r="H54" s="35"/>
      <c r="I54" s="33"/>
      <c r="J54" s="33"/>
    </row>
    <row r="55" spans="1:10" s="39" customFormat="1" ht="13.9" customHeight="1" x14ac:dyDescent="0.25">
      <c r="A55" s="1558"/>
      <c r="B55" s="1559"/>
      <c r="C55" s="1559"/>
      <c r="D55" s="1560"/>
      <c r="E55" s="40"/>
      <c r="F55" s="30"/>
      <c r="G55" s="40"/>
      <c r="H55" s="35"/>
      <c r="I55" s="33"/>
      <c r="J55" s="33"/>
    </row>
    <row r="56" spans="1:10" s="39" customFormat="1" ht="13.9" customHeight="1" x14ac:dyDescent="0.25">
      <c r="A56" s="1558"/>
      <c r="B56" s="1559"/>
      <c r="C56" s="1559"/>
      <c r="D56" s="1560"/>
      <c r="E56" s="40"/>
      <c r="F56" s="30"/>
      <c r="G56" s="40"/>
      <c r="H56" s="35"/>
      <c r="I56" s="33"/>
      <c r="J56" s="33"/>
    </row>
    <row r="57" spans="1:10" ht="13.9" customHeight="1" x14ac:dyDescent="0.25">
      <c r="A57" s="20"/>
      <c r="B57" s="20"/>
      <c r="C57" s="20"/>
      <c r="E57" s="20"/>
      <c r="F57" s="20"/>
      <c r="G57" s="20"/>
      <c r="H57" s="20"/>
      <c r="I57" s="30" t="s">
        <v>257</v>
      </c>
      <c r="J57" s="34">
        <f>+SUM(J49:J56)</f>
        <v>8925</v>
      </c>
    </row>
    <row r="58" spans="1:10" ht="13.9" customHeight="1" x14ac:dyDescent="0.25"/>
    <row r="59" spans="1:10" ht="13.9" customHeight="1" x14ac:dyDescent="0.25">
      <c r="E59" s="41" t="s">
        <v>276</v>
      </c>
      <c r="I59" s="42">
        <f>+J57+J45+J38+J22</f>
        <v>112032</v>
      </c>
      <c r="J59" s="43"/>
    </row>
    <row r="60" spans="1:10" ht="13.9" customHeight="1" x14ac:dyDescent="0.25"/>
    <row r="61" spans="1:10" ht="14.1" customHeight="1" x14ac:dyDescent="0.25"/>
  </sheetData>
  <mergeCells count="48">
    <mergeCell ref="A1:J1"/>
    <mergeCell ref="A2:J2"/>
    <mergeCell ref="A4:J4"/>
    <mergeCell ref="A6:B6"/>
    <mergeCell ref="A7:B7"/>
    <mergeCell ref="C7:J7"/>
    <mergeCell ref="A25:F25"/>
    <mergeCell ref="A14:D14"/>
    <mergeCell ref="A15:D15"/>
    <mergeCell ref="A16:D16"/>
    <mergeCell ref="A17:D17"/>
    <mergeCell ref="A18:D18"/>
    <mergeCell ref="A19:D19"/>
    <mergeCell ref="A20:D20"/>
    <mergeCell ref="A21:D21"/>
    <mergeCell ref="A24:H24"/>
    <mergeCell ref="A9:H9"/>
    <mergeCell ref="A10:D10"/>
    <mergeCell ref="A11:D11"/>
    <mergeCell ref="A12:D12"/>
    <mergeCell ref="A13:D13"/>
    <mergeCell ref="A32:F32"/>
    <mergeCell ref="A33:F33"/>
    <mergeCell ref="A34:F34"/>
    <mergeCell ref="A35:F35"/>
    <mergeCell ref="A26:F26"/>
    <mergeCell ref="A27:F27"/>
    <mergeCell ref="A28:F28"/>
    <mergeCell ref="A29:F29"/>
    <mergeCell ref="A30:F30"/>
    <mergeCell ref="A31:F31"/>
    <mergeCell ref="A55:D55"/>
    <mergeCell ref="A56:D56"/>
    <mergeCell ref="A43:F43"/>
    <mergeCell ref="A44:F44"/>
    <mergeCell ref="A47:H47"/>
    <mergeCell ref="A48:D48"/>
    <mergeCell ref="A49:D49"/>
    <mergeCell ref="A52:D52"/>
    <mergeCell ref="A36:F36"/>
    <mergeCell ref="A50:D50"/>
    <mergeCell ref="A51:D51"/>
    <mergeCell ref="A53:D53"/>
    <mergeCell ref="A54:D54"/>
    <mergeCell ref="A42:F42"/>
    <mergeCell ref="A37:F37"/>
    <mergeCell ref="A40:H40"/>
    <mergeCell ref="A41:F41"/>
  </mergeCells>
  <pageMargins left="0.70866141732283472" right="0.70866141732283472" top="0.78740157480314965" bottom="0.78740157480314965" header="0.31496062992125984" footer="0.31496062992125984"/>
  <pageSetup scale="85" orientation="portrait" r:id="rId1"/>
  <rowBreaks count="1" manualBreakCount="1">
    <brk id="61" max="9" man="1"/>
  </rowBreaks>
  <drawing r:id="rId2"/>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sheetPr codeName="Hoja134">
    <tabColor rgb="FFFF0000"/>
  </sheetPr>
  <dimension ref="A1:L60"/>
  <sheetViews>
    <sheetView topLeftCell="A35" workbookViewId="0">
      <selection activeCell="G39" sqref="G39"/>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2" width="0" style="19" hidden="1" customWidth="1"/>
    <col min="13"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24</v>
      </c>
      <c r="D6" s="23"/>
      <c r="E6" s="23"/>
      <c r="F6" s="23"/>
      <c r="G6" s="23"/>
      <c r="H6" s="24"/>
      <c r="I6" s="25" t="s">
        <v>248</v>
      </c>
      <c r="J6" s="26" t="str">
        <f>+VLOOKUP(C6,'ANEXO PLIEGO_1'!$A$7:$C$133,3,FALSE)</f>
        <v>UN</v>
      </c>
    </row>
    <row r="7" spans="1:10" ht="35.1" customHeight="1" x14ac:dyDescent="0.25">
      <c r="A7" s="1568" t="s">
        <v>249</v>
      </c>
      <c r="B7" s="1570"/>
      <c r="C7" s="1578" t="str">
        <f>+VLOOKUP(C6,'ANEXO PLIEGO_1'!$A$7:$B$103,2,FALSE)</f>
        <v>Fabricación, suministro e instalación de tablero de 90 cm, señal Reglamentaria, preventiva o informativa, material reflectivo tipo XI, película antigraffiti,  en lámina galvanizada C16 E=1,5 mm, cumpliendo normatividad vigente. (Incluye elementos de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'!B7</f>
        <v xml:space="preserve">CIZALLA DE CORTE VERTICAL </v>
      </c>
      <c r="B11" s="1559"/>
      <c r="C11" s="1559"/>
      <c r="D11" s="1560"/>
      <c r="E11" s="29" t="s">
        <v>202</v>
      </c>
      <c r="F11" s="30">
        <f>IFERROR(VLOOKUP(L11,'[10]EQUIPOS TRANSPOR SALARIO'!$A$3:$G$42,2,FALSE),0)</f>
        <v>0</v>
      </c>
      <c r="G11" s="31">
        <f>IFERROR(VLOOKUP(A11,'EQUIPOS '!$B$3:$N$55,12,FALSE),0)</f>
        <v>5174.01</v>
      </c>
      <c r="H11" s="32">
        <v>10</v>
      </c>
      <c r="I11" s="33">
        <f>IFERROR((G11/H11),0)</f>
        <v>517.40100000000007</v>
      </c>
      <c r="J11" s="33">
        <f>ROUND(I11,0)</f>
        <v>517</v>
      </c>
    </row>
    <row r="12" spans="1:10" s="20" customFormat="1" ht="13.9" customHeight="1" x14ac:dyDescent="0.25">
      <c r="A12" s="1558" t="str">
        <f>+'EQUIPOS '!B9</f>
        <v>COMPRESOR</v>
      </c>
      <c r="B12" s="1559"/>
      <c r="C12" s="1559"/>
      <c r="D12" s="1560"/>
      <c r="E12" s="29" t="s">
        <v>202</v>
      </c>
      <c r="F12" s="30">
        <f>IFERROR(VLOOKUP(L12,'[10]EQUIPOS TRANSPOR SALARIO'!$A$3:$G$42,2,FALSE),0)</f>
        <v>0</v>
      </c>
      <c r="G12" s="31">
        <f>IFERROR(VLOOKUP(A12,'EQUIPOS '!$B$3:$N$55,12,FALSE),0)</f>
        <v>7999.94</v>
      </c>
      <c r="H12" s="32">
        <f t="shared" ref="H12:H17" si="0">+H11</f>
        <v>10</v>
      </c>
      <c r="I12" s="33">
        <f t="shared" ref="I12:I19" si="1">IFERROR((G12/H12),0)</f>
        <v>799.99399999999991</v>
      </c>
      <c r="J12" s="33">
        <f t="shared" ref="J12:J19" si="2">ROUND(I12,0)</f>
        <v>800</v>
      </c>
    </row>
    <row r="13" spans="1:10" s="20" customFormat="1" ht="13.9" customHeight="1" x14ac:dyDescent="0.25">
      <c r="A13" s="1558" t="str">
        <f>+'EQUIPOS '!B25</f>
        <v>EQUIPO  COLAMINADO</v>
      </c>
      <c r="B13" s="1559"/>
      <c r="C13" s="1559"/>
      <c r="D13" s="1560"/>
      <c r="E13" s="29" t="s">
        <v>202</v>
      </c>
      <c r="F13" s="30">
        <f>IFERROR(VLOOKUP(L13,'[10]EQUIPOS TRANSPOR SALARIO'!$A$3:$G$42,2,FALSE),0)</f>
        <v>0</v>
      </c>
      <c r="G13" s="31">
        <f>IFERROR(VLOOKUP(A13,'EQUIPOS '!$B$3:$N$55,12,FALSE),0)</f>
        <v>4701.8100000000004</v>
      </c>
      <c r="H13" s="32">
        <f t="shared" si="0"/>
        <v>10</v>
      </c>
      <c r="I13" s="33">
        <f t="shared" si="1"/>
        <v>470.18100000000004</v>
      </c>
      <c r="J13" s="33">
        <f t="shared" si="2"/>
        <v>470</v>
      </c>
    </row>
    <row r="14" spans="1:10" s="20" customFormat="1" ht="13.9" customHeight="1" x14ac:dyDescent="0.25">
      <c r="A14" s="1558" t="str">
        <f>+'EQUIPOS '!B24</f>
        <v>EQUIPO PINTURA ELECTROSTÁTICA</v>
      </c>
      <c r="B14" s="1559"/>
      <c r="C14" s="1559"/>
      <c r="D14" s="1560"/>
      <c r="E14" s="29" t="s">
        <v>202</v>
      </c>
      <c r="F14" s="30">
        <f>IFERROR(VLOOKUP(L14,'[10]EQUIPOS TRANSPOR SALARIO'!$A$3:$G$42,2,FALSE),0)</f>
        <v>0</v>
      </c>
      <c r="G14" s="31">
        <f>IFERROR(VLOOKUP(A14,'EQUIPOS '!$B$3:$N$55,12,FALSE),0)</f>
        <v>4047.59</v>
      </c>
      <c r="H14" s="32">
        <f t="shared" si="0"/>
        <v>10</v>
      </c>
      <c r="I14" s="33">
        <f t="shared" si="1"/>
        <v>404.75900000000001</v>
      </c>
      <c r="J14" s="33">
        <f t="shared" si="2"/>
        <v>405</v>
      </c>
    </row>
    <row r="15" spans="1:10" s="20" customFormat="1" ht="13.9" customHeight="1" x14ac:dyDescent="0.25">
      <c r="A15" s="1558" t="str">
        <f>+'EQUIPOS '!B27</f>
        <v xml:space="preserve">EQUIPO SOLDADURA ELECTRICA </v>
      </c>
      <c r="B15" s="1559"/>
      <c r="C15" s="1559"/>
      <c r="D15" s="1560"/>
      <c r="E15" s="29" t="s">
        <v>202</v>
      </c>
      <c r="F15" s="30">
        <f>IFERROR(VLOOKUP(L15,'[10]EQUIPOS TRANSPOR SALARIO'!$A$3:$G$42,2,FALSE),0)</f>
        <v>0</v>
      </c>
      <c r="G15" s="31">
        <f>IFERROR(VLOOKUP(A15,'EQUIPOS '!$B$3:$N$55,12,FALSE),0)</f>
        <v>4862.5</v>
      </c>
      <c r="H15" s="32">
        <f t="shared" si="0"/>
        <v>10</v>
      </c>
      <c r="I15" s="33">
        <f t="shared" si="1"/>
        <v>486.25</v>
      </c>
      <c r="J15" s="33">
        <f t="shared" si="2"/>
        <v>486</v>
      </c>
    </row>
    <row r="16" spans="1:10" s="20" customFormat="1" ht="22.5" customHeight="1" x14ac:dyDescent="0.25">
      <c r="A16" s="1568" t="str">
        <f>+'EQUIPOS '!B51</f>
        <v xml:space="preserve">IMPRESORA DIGITAL PARA SEÑALES DE TRÁNSITO </v>
      </c>
      <c r="B16" s="1569"/>
      <c r="C16" s="1569"/>
      <c r="D16" s="1570"/>
      <c r="E16" s="29" t="s">
        <v>202</v>
      </c>
      <c r="F16" s="30"/>
      <c r="G16" s="31">
        <f>IFERROR(VLOOKUP(A16,'EQUIPOS '!$B$3:$N$55,12,FALSE),0)</f>
        <v>64227.08</v>
      </c>
      <c r="H16" s="32">
        <f t="shared" si="0"/>
        <v>10</v>
      </c>
      <c r="I16" s="33">
        <f>IFERROR((G16/H16),0)</f>
        <v>6422.7080000000005</v>
      </c>
      <c r="J16" s="33">
        <f t="shared" si="2"/>
        <v>6423</v>
      </c>
    </row>
    <row r="17" spans="1:12" s="20" customFormat="1" ht="13.9" customHeight="1" x14ac:dyDescent="0.25">
      <c r="A17" s="1558" t="str">
        <f>+'EQUIPOS '!B39</f>
        <v xml:space="preserve">PULIDORA </v>
      </c>
      <c r="B17" s="1559"/>
      <c r="C17" s="1559"/>
      <c r="D17" s="1560"/>
      <c r="E17" s="29" t="s">
        <v>202</v>
      </c>
      <c r="F17" s="30"/>
      <c r="G17" s="31">
        <f>IFERROR(VLOOKUP(A17,'EQUIPOS '!$B$3:$N$55,12,FALSE),0)</f>
        <v>2821</v>
      </c>
      <c r="H17" s="32">
        <f t="shared" si="0"/>
        <v>10</v>
      </c>
      <c r="I17" s="33">
        <f t="shared" si="1"/>
        <v>282.10000000000002</v>
      </c>
      <c r="J17" s="33">
        <f t="shared" si="2"/>
        <v>282</v>
      </c>
      <c r="L17" s="19"/>
    </row>
    <row r="18" spans="1:12" s="20" customFormat="1" ht="13.9" customHeight="1" x14ac:dyDescent="0.25">
      <c r="A18" s="1558" t="s">
        <v>330</v>
      </c>
      <c r="B18" s="1559"/>
      <c r="C18" s="1559"/>
      <c r="D18" s="1560"/>
      <c r="E18" s="29" t="s">
        <v>202</v>
      </c>
      <c r="F18" s="30"/>
      <c r="G18" s="74">
        <v>0.01</v>
      </c>
      <c r="H18" s="32">
        <f>+J54</f>
        <v>5324</v>
      </c>
      <c r="I18" s="33">
        <f>IFERROR((G18*H18),0)</f>
        <v>53.24</v>
      </c>
      <c r="J18" s="33">
        <f t="shared" si="2"/>
        <v>53</v>
      </c>
      <c r="L18" s="78"/>
    </row>
    <row r="19" spans="1:12" s="20" customFormat="1" ht="13.9" customHeight="1" x14ac:dyDescent="0.25">
      <c r="A19" s="1558" t="str">
        <f>+'EQUIPOS '!B43</f>
        <v>TALADRO DE ARBOL</v>
      </c>
      <c r="B19" s="1559"/>
      <c r="C19" s="1559"/>
      <c r="D19" s="1560"/>
      <c r="E19" s="29" t="s">
        <v>202</v>
      </c>
      <c r="F19" s="30">
        <f>IFERROR(VLOOKUP(A19,'[10]EQUIPOS TRANSPOR SALARIO'!$A$3:$G$42,2,FALSE),0)</f>
        <v>0</v>
      </c>
      <c r="G19" s="31">
        <f>IFERROR(VLOOKUP(A19,'EQUIPOS '!$B$3:$N$55,12,FALSE),0)</f>
        <v>4898</v>
      </c>
      <c r="H19" s="32">
        <f>+H11</f>
        <v>10</v>
      </c>
      <c r="I19" s="33">
        <f t="shared" si="1"/>
        <v>489.8</v>
      </c>
      <c r="J19" s="33">
        <f t="shared" si="2"/>
        <v>490</v>
      </c>
    </row>
    <row r="20" spans="1:12" s="20" customFormat="1" ht="13.9" customHeight="1" x14ac:dyDescent="0.25">
      <c r="A20" s="1558"/>
      <c r="B20" s="1559"/>
      <c r="C20" s="1559"/>
      <c r="D20" s="1560"/>
      <c r="E20" s="29"/>
      <c r="F20" s="30"/>
      <c r="G20" s="31"/>
      <c r="H20" s="32"/>
      <c r="I20" s="33"/>
      <c r="J20" s="33"/>
    </row>
    <row r="21" spans="1:12" s="20" customFormat="1" ht="13.9" customHeight="1" x14ac:dyDescent="0.25">
      <c r="I21" s="30" t="s">
        <v>257</v>
      </c>
      <c r="J21" s="34">
        <f>+SUM(J11:J20)</f>
        <v>9926</v>
      </c>
    </row>
    <row r="22" spans="1:12" s="20" customFormat="1" ht="13.9" customHeight="1" x14ac:dyDescent="0.25"/>
    <row r="23" spans="1:12" s="20" customFormat="1" ht="13.9" customHeight="1" x14ac:dyDescent="0.25">
      <c r="A23" s="1561" t="s">
        <v>263</v>
      </c>
      <c r="B23" s="1561"/>
      <c r="C23" s="1561"/>
      <c r="D23" s="1561"/>
      <c r="E23" s="1561"/>
      <c r="F23" s="1561"/>
      <c r="G23" s="1561"/>
      <c r="H23" s="1561"/>
      <c r="I23" s="27"/>
    </row>
    <row r="24" spans="1:12" ht="13.9" customHeight="1" x14ac:dyDescent="0.25">
      <c r="A24" s="1565" t="s">
        <v>251</v>
      </c>
      <c r="B24" s="1566"/>
      <c r="C24" s="1566"/>
      <c r="D24" s="1566"/>
      <c r="E24" s="1566"/>
      <c r="F24" s="1567"/>
      <c r="G24" s="28" t="s">
        <v>252</v>
      </c>
      <c r="H24" s="28" t="s">
        <v>264</v>
      </c>
      <c r="I24" s="28" t="s">
        <v>256</v>
      </c>
      <c r="J24" s="28" t="s">
        <v>257</v>
      </c>
    </row>
    <row r="25" spans="1:12" ht="13.9" customHeight="1" x14ac:dyDescent="0.25">
      <c r="A25" s="1558" t="str">
        <f>+'1'!A24:F24</f>
        <v>LÁMINA GALVANIZADA C 16 E=1,50 mm</v>
      </c>
      <c r="B25" s="1559"/>
      <c r="C25" s="1559"/>
      <c r="D25" s="1559"/>
      <c r="E25" s="1559"/>
      <c r="F25" s="1560"/>
      <c r="G25" s="29" t="s">
        <v>12</v>
      </c>
      <c r="H25" s="35">
        <f>0.9*0.9</f>
        <v>0.81</v>
      </c>
      <c r="I25" s="33">
        <f>+IFERROR(VLOOKUP(A25,'INSUMOS '!$B$2:$AP$167,'INSUMOS '!$AO$2+1,FALSE),0)</f>
        <v>85500.55</v>
      </c>
      <c r="J25" s="33">
        <f>ROUND(I25*H25,0)</f>
        <v>69255</v>
      </c>
      <c r="K25" s="758">
        <f>+J25/$J$35</f>
        <v>0.24021852237252861</v>
      </c>
      <c r="L25" s="80" t="s">
        <v>11</v>
      </c>
    </row>
    <row r="26" spans="1:12" ht="13.9" customHeight="1" x14ac:dyDescent="0.25">
      <c r="A26" s="1558" t="str">
        <f>+'INSUMOS '!B63</f>
        <v xml:space="preserve">PAPEL REFLECTIVO TIPO XI </v>
      </c>
      <c r="B26" s="1559"/>
      <c r="C26" s="1559"/>
      <c r="D26" s="1559"/>
      <c r="E26" s="1559"/>
      <c r="F26" s="1560"/>
      <c r="G26" s="29" t="s">
        <v>12</v>
      </c>
      <c r="H26" s="35">
        <f>+H25</f>
        <v>0.81</v>
      </c>
      <c r="I26" s="33">
        <f>+IFERROR(VLOOKUP(A26,'INSUMOS '!$B$2:$AP$167,'INSUMOS '!$AO$2+1,FALSE),0)</f>
        <v>153328.9296</v>
      </c>
      <c r="J26" s="33">
        <f t="shared" ref="J26:J30" si="3">ROUND(I26*H26,0)</f>
        <v>124196</v>
      </c>
      <c r="K26" s="758">
        <f t="shared" ref="K26:K33" si="4">+J26/$J$35</f>
        <v>0.43078737426292057</v>
      </c>
      <c r="L26" s="80" t="s">
        <v>18</v>
      </c>
    </row>
    <row r="27" spans="1:12" ht="13.9" customHeight="1" x14ac:dyDescent="0.25">
      <c r="A27" s="1558" t="str">
        <f>+'1'!A26:F26</f>
        <v>TORNILLOS 5/16 ZINCADO  (INCLUYE TUERCA DE SEGURIDAD Y ARANDELA)</v>
      </c>
      <c r="B27" s="1559"/>
      <c r="C27" s="1559"/>
      <c r="D27" s="1559"/>
      <c r="E27" s="1559"/>
      <c r="F27" s="1560"/>
      <c r="G27" s="29" t="s">
        <v>266</v>
      </c>
      <c r="H27" s="35">
        <v>4</v>
      </c>
      <c r="I27" s="33">
        <f>+IFERROR(VLOOKUP(A27,'INSUMOS '!$B$2:$AP$167,'INSUMOS '!$AO$2+1,FALSE),0)</f>
        <v>1747.5</v>
      </c>
      <c r="J27" s="33">
        <f t="shared" si="3"/>
        <v>6990</v>
      </c>
      <c r="K27" s="758">
        <f t="shared" si="4"/>
        <v>2.4245577523413112E-2</v>
      </c>
      <c r="L27" s="80" t="s">
        <v>16</v>
      </c>
    </row>
    <row r="28" spans="1:12" ht="13.9" customHeight="1" x14ac:dyDescent="0.25">
      <c r="A28" s="1558" t="str">
        <f>+'INSUMOS '!B89</f>
        <v>REMACHES CON ARANDELAS POR 1"</v>
      </c>
      <c r="B28" s="1559"/>
      <c r="C28" s="1559"/>
      <c r="D28" s="1559"/>
      <c r="E28" s="1559"/>
      <c r="F28" s="1560"/>
      <c r="G28" s="29" t="s">
        <v>266</v>
      </c>
      <c r="H28" s="35">
        <v>4</v>
      </c>
      <c r="I28" s="33">
        <f>+IFERROR(VLOOKUP(A28,'INSUMOS '!$B$2:$AP$167,'INSUMOS '!$AO$2+1,FALSE),0)</f>
        <v>940</v>
      </c>
      <c r="J28" s="33">
        <f t="shared" si="3"/>
        <v>3760</v>
      </c>
      <c r="K28" s="758">
        <f t="shared" si="4"/>
        <v>1.3041970169961845E-2</v>
      </c>
      <c r="L28" s="80" t="s">
        <v>17</v>
      </c>
    </row>
    <row r="29" spans="1:12" ht="13.9" customHeight="1" x14ac:dyDescent="0.25">
      <c r="A29" s="1558" t="str">
        <f>+'1'!A29:F29</f>
        <v>TINTA TRASLUCIDA PARA CINTA REFLECTIVA</v>
      </c>
      <c r="B29" s="1559"/>
      <c r="C29" s="1559"/>
      <c r="D29" s="1559"/>
      <c r="E29" s="1559"/>
      <c r="F29" s="1560"/>
      <c r="G29" s="29" t="s">
        <v>157</v>
      </c>
      <c r="H29" s="35">
        <f>H25/3.44*0.22</f>
        <v>5.1802325581395359E-2</v>
      </c>
      <c r="I29" s="33">
        <f>+IFERROR(VLOOKUP(A29,'INSUMOS '!$B$2:$AP$167,'INSUMOS '!$AO$2+1,FALSE),0)</f>
        <v>440873.77039999992</v>
      </c>
      <c r="J29" s="33">
        <f t="shared" si="3"/>
        <v>22838</v>
      </c>
      <c r="K29" s="758">
        <f t="shared" si="4"/>
        <v>7.9216094346167193E-2</v>
      </c>
      <c r="L29" s="80" t="s">
        <v>19</v>
      </c>
    </row>
    <row r="30" spans="1:12" ht="13.9" customHeight="1" x14ac:dyDescent="0.25">
      <c r="A30" s="1558" t="str">
        <f>+'1'!A31:F31</f>
        <v xml:space="preserve">STEAKER 15 X 15 CM EN PAPEL REFLECTIVO TIPO IV O SUPERIOR </v>
      </c>
      <c r="B30" s="1559"/>
      <c r="C30" s="1559"/>
      <c r="D30" s="1559"/>
      <c r="E30" s="1559"/>
      <c r="F30" s="1560"/>
      <c r="G30" s="29" t="s">
        <v>266</v>
      </c>
      <c r="H30" s="35">
        <v>1</v>
      </c>
      <c r="I30" s="33">
        <f>+IFERROR(VLOOKUP(A30,'INSUMOS '!$B$2:$AP$167,'INSUMOS '!$AO$2+1,FALSE),0)</f>
        <v>2500</v>
      </c>
      <c r="J30" s="33">
        <f t="shared" si="3"/>
        <v>2500</v>
      </c>
      <c r="K30" s="758">
        <f t="shared" si="4"/>
        <v>8.6715227193895246E-3</v>
      </c>
      <c r="L30" s="80" t="s">
        <v>21</v>
      </c>
    </row>
    <row r="31" spans="1:12" ht="13.9" customHeight="1" x14ac:dyDescent="0.25">
      <c r="A31" s="1558" t="str">
        <f>+'1'!A32:F32</f>
        <v>BROCA PARA METAL 1/2"</v>
      </c>
      <c r="B31" s="1559"/>
      <c r="C31" s="1559"/>
      <c r="D31" s="1559"/>
      <c r="E31" s="1559"/>
      <c r="F31" s="1560"/>
      <c r="G31" s="29" t="s">
        <v>266</v>
      </c>
      <c r="H31" s="35">
        <v>0.01</v>
      </c>
      <c r="I31" s="33">
        <f>+IFERROR(VLOOKUP(A31,'INSUMOS '!$B$2:$AP$167,'INSUMOS '!$AO$2+1,FALSE),0)</f>
        <v>31741.5</v>
      </c>
      <c r="J31" s="33">
        <f>ROUND(I31*H31,0)</f>
        <v>317</v>
      </c>
      <c r="K31" s="758">
        <f t="shared" si="4"/>
        <v>1.0995490808185918E-3</v>
      </c>
      <c r="L31" s="1423" t="s">
        <v>9</v>
      </c>
    </row>
    <row r="32" spans="1:12" ht="13.9" customHeight="1" x14ac:dyDescent="0.25">
      <c r="A32" s="1558" t="str">
        <f>+'INSUMOS '!B85</f>
        <v>PROTECTOR ANTIGRAFFITI</v>
      </c>
      <c r="B32" s="1559"/>
      <c r="C32" s="1559"/>
      <c r="D32" s="1559"/>
      <c r="E32" s="1559"/>
      <c r="F32" s="1560"/>
      <c r="G32" s="29" t="s">
        <v>12</v>
      </c>
      <c r="H32" s="35">
        <f>+H25</f>
        <v>0.81</v>
      </c>
      <c r="I32" s="33">
        <f>+IFERROR(VLOOKUP(A32,'INSUMOS '!$B$2:$AP$167,'INSUMOS '!$AO$2+1,FALSE),0)</f>
        <v>65174.538799999995</v>
      </c>
      <c r="J32" s="33">
        <f>ROUND(I32*H32,0)</f>
        <v>52791</v>
      </c>
      <c r="K32" s="758">
        <f t="shared" si="4"/>
        <v>0.18311134235171697</v>
      </c>
    </row>
    <row r="33" spans="1:12" ht="13.9" customHeight="1" x14ac:dyDescent="0.25">
      <c r="A33" s="1558" t="str">
        <f>+'1'!A33:F33</f>
        <v xml:space="preserve">DESPERDICIO </v>
      </c>
      <c r="B33" s="1559"/>
      <c r="C33" s="1559"/>
      <c r="D33" s="1559"/>
      <c r="E33" s="1559"/>
      <c r="F33" s="1560"/>
      <c r="G33" s="29"/>
      <c r="H33" s="74">
        <v>0.02</v>
      </c>
      <c r="I33" s="33">
        <f>+SUM(J25:J32)</f>
        <v>282647</v>
      </c>
      <c r="J33" s="33">
        <f>ROUND(I33*H33,0)</f>
        <v>5653</v>
      </c>
      <c r="K33" s="758">
        <f t="shared" si="4"/>
        <v>1.9608047173083593E-2</v>
      </c>
    </row>
    <row r="34" spans="1:12" ht="13.9" customHeight="1" x14ac:dyDescent="0.25">
      <c r="A34" s="1558"/>
      <c r="B34" s="1559"/>
      <c r="C34" s="1559"/>
      <c r="D34" s="1559"/>
      <c r="E34" s="1559"/>
      <c r="F34" s="1560"/>
      <c r="G34" s="29"/>
      <c r="H34" s="35"/>
      <c r="I34" s="33"/>
      <c r="J34" s="33"/>
    </row>
    <row r="35" spans="1:12" ht="13.9" customHeight="1" x14ac:dyDescent="0.25">
      <c r="A35" s="20"/>
      <c r="B35" s="20"/>
      <c r="C35" s="20"/>
      <c r="D35" s="20"/>
      <c r="E35" s="20"/>
      <c r="G35" s="20"/>
      <c r="H35" s="20"/>
      <c r="I35" s="30" t="s">
        <v>257</v>
      </c>
      <c r="J35" s="34">
        <f>+SUM(J25:J34)</f>
        <v>288300</v>
      </c>
    </row>
    <row r="36" spans="1:12" ht="13.9" customHeight="1" x14ac:dyDescent="0.25"/>
    <row r="37" spans="1:12" ht="13.9" customHeight="1" x14ac:dyDescent="0.25">
      <c r="A37" s="1561" t="s">
        <v>267</v>
      </c>
      <c r="B37" s="1561"/>
      <c r="C37" s="1561"/>
      <c r="D37" s="1561"/>
      <c r="E37" s="1561"/>
      <c r="F37" s="1561"/>
      <c r="G37" s="1561"/>
      <c r="H37" s="1561"/>
      <c r="I37" s="27"/>
    </row>
    <row r="38" spans="1:12" ht="13.9" customHeight="1" x14ac:dyDescent="0.25">
      <c r="A38" s="1562" t="s">
        <v>268</v>
      </c>
      <c r="B38" s="1563"/>
      <c r="C38" s="1563"/>
      <c r="D38" s="1563"/>
      <c r="E38" s="1563"/>
      <c r="F38" s="1564"/>
      <c r="G38" s="38" t="s">
        <v>255</v>
      </c>
      <c r="H38" s="28" t="s">
        <v>269</v>
      </c>
      <c r="I38" s="28" t="s">
        <v>256</v>
      </c>
      <c r="J38" s="28" t="s">
        <v>257</v>
      </c>
    </row>
    <row r="39" spans="1:12" ht="13.9" customHeight="1" x14ac:dyDescent="0.25">
      <c r="A39" s="1558" t="str">
        <f>+'21'!A53:F53</f>
        <v>CAMION INCLUYE CONDUCTOR</v>
      </c>
      <c r="B39" s="1559"/>
      <c r="C39" s="1559"/>
      <c r="D39" s="1559"/>
      <c r="E39" s="1559"/>
      <c r="F39" s="1560"/>
      <c r="G39" s="1484">
        <f>(+L39/1000)/12</f>
        <v>1.1475000000000001E-3</v>
      </c>
      <c r="H39" s="33">
        <f>+IFERROR(VLOOKUP(A39,'EQUIPOS '!$B$3:$M$78,12,FALSE),0)</f>
        <v>611492.5</v>
      </c>
      <c r="I39" s="33">
        <f>IFERROR(H39*G39,0)</f>
        <v>701.68764375000001</v>
      </c>
      <c r="J39" s="33">
        <f>ROUND(I39,0)</f>
        <v>702</v>
      </c>
      <c r="L39" s="19">
        <f>17*H25</f>
        <v>13.770000000000001</v>
      </c>
    </row>
    <row r="40" spans="1:12" ht="13.9" customHeight="1" x14ac:dyDescent="0.25">
      <c r="A40" s="1558"/>
      <c r="B40" s="1559"/>
      <c r="C40" s="1559"/>
      <c r="D40" s="1559"/>
      <c r="E40" s="1559"/>
      <c r="F40" s="1560"/>
      <c r="G40" s="29"/>
      <c r="H40" s="33"/>
      <c r="I40" s="33"/>
      <c r="J40" s="33"/>
    </row>
    <row r="41" spans="1:12" ht="13.9" customHeight="1" x14ac:dyDescent="0.25">
      <c r="A41" s="1558"/>
      <c r="B41" s="1559"/>
      <c r="C41" s="1559"/>
      <c r="D41" s="1559"/>
      <c r="E41" s="1559"/>
      <c r="F41" s="1560"/>
      <c r="G41" s="29"/>
      <c r="H41" s="33"/>
      <c r="I41" s="33"/>
      <c r="J41" s="33"/>
    </row>
    <row r="42" spans="1:12" ht="13.9" customHeight="1" x14ac:dyDescent="0.25">
      <c r="G42" s="39"/>
      <c r="H42" s="39"/>
      <c r="I42" s="30" t="s">
        <v>257</v>
      </c>
      <c r="J42" s="33">
        <f>+SUM(J39:J41)</f>
        <v>702</v>
      </c>
    </row>
    <row r="43" spans="1:12" ht="13.9" customHeight="1" x14ac:dyDescent="0.25"/>
    <row r="44" spans="1:12" ht="13.9" customHeight="1" x14ac:dyDescent="0.25">
      <c r="A44" s="1561" t="s">
        <v>270</v>
      </c>
      <c r="B44" s="1561"/>
      <c r="C44" s="1561"/>
      <c r="D44" s="1561"/>
      <c r="E44" s="1561"/>
      <c r="F44" s="1561"/>
      <c r="G44" s="1561"/>
      <c r="H44" s="1561"/>
      <c r="I44" s="27"/>
    </row>
    <row r="45" spans="1:12" s="39" customFormat="1" ht="13.9" customHeight="1" x14ac:dyDescent="0.25">
      <c r="A45" s="1562" t="s">
        <v>271</v>
      </c>
      <c r="B45" s="1563"/>
      <c r="C45" s="1563"/>
      <c r="D45" s="1564"/>
      <c r="E45" s="28" t="s">
        <v>272</v>
      </c>
      <c r="F45" s="28" t="s">
        <v>264</v>
      </c>
      <c r="G45" s="28" t="s">
        <v>273</v>
      </c>
      <c r="H45" s="28" t="s">
        <v>255</v>
      </c>
      <c r="I45" s="28" t="s">
        <v>256</v>
      </c>
      <c r="J45" s="28" t="s">
        <v>257</v>
      </c>
    </row>
    <row r="46" spans="1:12" s="39" customFormat="1" ht="13.9" customHeight="1" x14ac:dyDescent="0.25">
      <c r="A46" s="1558" t="str">
        <f>+PERSONAL!B7</f>
        <v>COLAMINADOR</v>
      </c>
      <c r="B46" s="1559"/>
      <c r="C46" s="1559"/>
      <c r="D46" s="1560"/>
      <c r="E46" s="40">
        <f>+IFERROR(VLOOKUP(A46,PERSONAL!$B$3:$E$56,4,FALSE),0)</f>
        <v>91275</v>
      </c>
      <c r="F46" s="30">
        <v>1</v>
      </c>
      <c r="G46" s="40">
        <f>+E46*F46</f>
        <v>91275</v>
      </c>
      <c r="H46" s="35">
        <f>+H11*8</f>
        <v>80</v>
      </c>
      <c r="I46" s="33">
        <f>IFERROR(ROUND(G46/H46,0),0)</f>
        <v>1141</v>
      </c>
      <c r="J46" s="33">
        <f>+I46</f>
        <v>1141</v>
      </c>
    </row>
    <row r="47" spans="1:12" s="39" customFormat="1" ht="13.9" customHeight="1" x14ac:dyDescent="0.25">
      <c r="A47" s="1558" t="str">
        <f>+PERSONAL!B5</f>
        <v xml:space="preserve">AYUDANTE </v>
      </c>
      <c r="B47" s="1559"/>
      <c r="C47" s="1559"/>
      <c r="D47" s="1560"/>
      <c r="E47" s="40">
        <f>+IFERROR(VLOOKUP(A47,PERSONAL!$B$3:$E$56,4,FALSE),0)</f>
        <v>72476</v>
      </c>
      <c r="F47" s="30">
        <v>2</v>
      </c>
      <c r="G47" s="40">
        <f>+E47*F47</f>
        <v>144952</v>
      </c>
      <c r="H47" s="35">
        <f>+H12*8</f>
        <v>80</v>
      </c>
      <c r="I47" s="33">
        <f>IFERROR(ROUND(G47/H47,0),0)</f>
        <v>1812</v>
      </c>
      <c r="J47" s="33">
        <f>+I47</f>
        <v>1812</v>
      </c>
    </row>
    <row r="48" spans="1:12" s="39" customFormat="1" ht="13.9" customHeight="1" x14ac:dyDescent="0.25">
      <c r="A48" s="5" t="str">
        <f>+PERSONAL!B27</f>
        <v xml:space="preserve">PINTOR </v>
      </c>
      <c r="B48" s="6"/>
      <c r="C48" s="6"/>
      <c r="D48" s="7"/>
      <c r="E48" s="40">
        <f>+IFERROR(VLOOKUP(A48,PERSONAL!$B$3:$E$56,4,FALSE),0)</f>
        <v>100054</v>
      </c>
      <c r="F48" s="30">
        <v>1</v>
      </c>
      <c r="G48" s="40">
        <f>+E48*F48</f>
        <v>100054</v>
      </c>
      <c r="H48" s="35">
        <f>+H14*8</f>
        <v>80</v>
      </c>
      <c r="I48" s="33">
        <f>IFERROR(ROUND(G48/H48,0),0)</f>
        <v>1251</v>
      </c>
      <c r="J48" s="33">
        <f>+I48</f>
        <v>1251</v>
      </c>
    </row>
    <row r="49" spans="1:11" s="39" customFormat="1" ht="13.9" customHeight="1" x14ac:dyDescent="0.25">
      <c r="A49" s="1558" t="str">
        <f>+PERSONAL!B3</f>
        <v>AUXILIAR DE TRÁFICO</v>
      </c>
      <c r="B49" s="1559"/>
      <c r="C49" s="1559"/>
      <c r="D49" s="1560"/>
      <c r="E49" s="40">
        <f>+IFERROR(VLOOKUP(A49,PERSONAL!$B$3:$E$56,4,FALSE),0)</f>
        <v>89632</v>
      </c>
      <c r="F49" s="30">
        <v>1</v>
      </c>
      <c r="G49" s="40">
        <f>+E49*F49</f>
        <v>89632</v>
      </c>
      <c r="H49" s="35">
        <f>+H15*8</f>
        <v>80</v>
      </c>
      <c r="I49" s="33">
        <f>IFERROR(ROUND(G49/H49,0),0)</f>
        <v>1120</v>
      </c>
      <c r="J49" s="33">
        <f>+I49</f>
        <v>1120</v>
      </c>
    </row>
    <row r="50" spans="1:11" s="39" customFormat="1" ht="13.9" customHeight="1" x14ac:dyDescent="0.25"/>
    <row r="51" spans="1:11" s="39" customFormat="1" ht="13.9" customHeight="1" x14ac:dyDescent="0.25">
      <c r="A51" s="1558"/>
      <c r="B51" s="1559"/>
      <c r="C51" s="1559"/>
      <c r="D51" s="1560"/>
      <c r="E51" s="40"/>
      <c r="F51" s="30"/>
      <c r="G51" s="40"/>
      <c r="H51" s="35"/>
      <c r="I51" s="33"/>
      <c r="J51" s="33"/>
    </row>
    <row r="52" spans="1:11" s="39" customFormat="1" ht="13.9" customHeight="1" x14ac:dyDescent="0.25">
      <c r="A52" s="1558"/>
      <c r="B52" s="1559"/>
      <c r="C52" s="1559"/>
      <c r="D52" s="1560"/>
      <c r="E52" s="40"/>
      <c r="F52" s="30"/>
      <c r="G52" s="40"/>
      <c r="H52" s="35"/>
      <c r="I52" s="33"/>
      <c r="J52" s="33"/>
    </row>
    <row r="53" spans="1:11" s="39" customFormat="1" ht="13.9" customHeight="1" x14ac:dyDescent="0.25">
      <c r="A53" s="1558"/>
      <c r="B53" s="1559"/>
      <c r="C53" s="1559"/>
      <c r="D53" s="1560"/>
      <c r="E53" s="40"/>
      <c r="F53" s="30"/>
      <c r="G53" s="40"/>
      <c r="H53" s="35"/>
      <c r="I53" s="33"/>
      <c r="J53" s="33"/>
    </row>
    <row r="54" spans="1:11" ht="13.9" customHeight="1" x14ac:dyDescent="0.25">
      <c r="A54" s="20"/>
      <c r="B54" s="20"/>
      <c r="C54" s="20"/>
      <c r="E54" s="20"/>
      <c r="F54" s="20"/>
      <c r="G54" s="20"/>
      <c r="H54" s="20"/>
      <c r="I54" s="30" t="s">
        <v>257</v>
      </c>
      <c r="J54" s="34">
        <f>+SUM(J46:J53)</f>
        <v>5324</v>
      </c>
    </row>
    <row r="55" spans="1:11" ht="13.9" customHeight="1" x14ac:dyDescent="0.25"/>
    <row r="56" spans="1:11" ht="13.9" customHeight="1" x14ac:dyDescent="0.25">
      <c r="E56" s="41" t="s">
        <v>276</v>
      </c>
      <c r="I56" s="42">
        <f>+J54+J42+J35+J21</f>
        <v>304252</v>
      </c>
      <c r="J56" s="43"/>
      <c r="K56" s="758">
        <f>+J32/I56</f>
        <v>0.173510773963688</v>
      </c>
    </row>
    <row r="57" spans="1:11" ht="13.9" customHeight="1" x14ac:dyDescent="0.25"/>
    <row r="58" spans="1:11" ht="14.1" customHeight="1" x14ac:dyDescent="0.25"/>
    <row r="59" spans="1:11" ht="14.1" customHeight="1" x14ac:dyDescent="0.25"/>
    <row r="60" spans="1:11" x14ac:dyDescent="0.25">
      <c r="F60" s="19">
        <f>143180.8-120210</f>
        <v>22970.799999999988</v>
      </c>
    </row>
  </sheetData>
  <mergeCells count="43">
    <mergeCell ref="A53:D53"/>
    <mergeCell ref="A38:F38"/>
    <mergeCell ref="A39:F39"/>
    <mergeCell ref="A40:F40"/>
    <mergeCell ref="A41:F41"/>
    <mergeCell ref="A44:H44"/>
    <mergeCell ref="A45:D45"/>
    <mergeCell ref="A46:D46"/>
    <mergeCell ref="A47:D47"/>
    <mergeCell ref="A49:D49"/>
    <mergeCell ref="A51:D51"/>
    <mergeCell ref="A52:D52"/>
    <mergeCell ref="A37:H37"/>
    <mergeCell ref="A28:F28"/>
    <mergeCell ref="A29:F29"/>
    <mergeCell ref="A30:F30"/>
    <mergeCell ref="A31:F31"/>
    <mergeCell ref="A32:F32"/>
    <mergeCell ref="A33:F33"/>
    <mergeCell ref="A34:F34"/>
    <mergeCell ref="A27:F27"/>
    <mergeCell ref="A16:D16"/>
    <mergeCell ref="A17:D17"/>
    <mergeCell ref="A18:D18"/>
    <mergeCell ref="A19:D19"/>
    <mergeCell ref="A20:D20"/>
    <mergeCell ref="A23:H23"/>
    <mergeCell ref="A24:F24"/>
    <mergeCell ref="A25:F25"/>
    <mergeCell ref="A26:F26"/>
    <mergeCell ref="A13:D13"/>
    <mergeCell ref="A14:D14"/>
    <mergeCell ref="A15:D15"/>
    <mergeCell ref="A9:H9"/>
    <mergeCell ref="A10:D10"/>
    <mergeCell ref="A11:D11"/>
    <mergeCell ref="A12:D12"/>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rowBreaks count="1" manualBreakCount="1">
    <brk id="58" max="9" man="1"/>
  </rowBreaks>
  <ignoredErrors>
    <ignoredError sqref="I18" formula="1"/>
  </ignoredErrors>
  <drawing r:id="rId2"/>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sheetPr codeName="Hoja133">
    <tabColor rgb="FFFF0000"/>
  </sheetPr>
  <dimension ref="A1:Q58"/>
  <sheetViews>
    <sheetView topLeftCell="A37" workbookViewId="0">
      <selection activeCell="G39" sqref="G39"/>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7" width="0" style="19" hidden="1" customWidth="1"/>
    <col min="18" max="16384" width="11.42578125" style="19"/>
  </cols>
  <sheetData>
    <row r="1" spans="1:15" ht="29.25" customHeight="1" x14ac:dyDescent="0.25">
      <c r="A1" s="1574" t="s">
        <v>244</v>
      </c>
      <c r="B1" s="1575"/>
      <c r="C1" s="1575"/>
      <c r="D1" s="1575"/>
      <c r="E1" s="1575"/>
      <c r="F1" s="1575"/>
      <c r="G1" s="1575"/>
      <c r="H1" s="1575"/>
      <c r="I1" s="1575"/>
      <c r="J1" s="1575"/>
    </row>
    <row r="2" spans="1:15" ht="15" customHeight="1" x14ac:dyDescent="0.25">
      <c r="A2" s="1576" t="s">
        <v>245</v>
      </c>
      <c r="B2" s="1576"/>
      <c r="C2" s="1576"/>
      <c r="D2" s="1576"/>
      <c r="E2" s="1576"/>
      <c r="F2" s="1576"/>
      <c r="G2" s="1576"/>
      <c r="H2" s="1576"/>
      <c r="I2" s="1576"/>
      <c r="J2" s="1576"/>
    </row>
    <row r="4" spans="1:15" s="20" customFormat="1" ht="9.9499999999999993" customHeight="1" x14ac:dyDescent="0.25">
      <c r="A4" s="1577" t="s">
        <v>246</v>
      </c>
      <c r="B4" s="1577"/>
      <c r="C4" s="1577"/>
      <c r="D4" s="1577"/>
      <c r="E4" s="1577"/>
      <c r="F4" s="1577"/>
      <c r="G4" s="1577"/>
      <c r="H4" s="1577"/>
      <c r="I4" s="1577"/>
      <c r="J4" s="1577"/>
    </row>
    <row r="5" spans="1:15" s="20" customFormat="1" ht="9.9499999999999993" customHeight="1" x14ac:dyDescent="0.25">
      <c r="B5" s="21"/>
      <c r="C5" s="21"/>
      <c r="D5" s="21"/>
      <c r="E5" s="21"/>
      <c r="F5" s="21"/>
      <c r="G5" s="21"/>
    </row>
    <row r="6" spans="1:15" x14ac:dyDescent="0.25">
      <c r="A6" s="1558" t="s">
        <v>247</v>
      </c>
      <c r="B6" s="1560"/>
      <c r="C6" s="22">
        <v>23</v>
      </c>
      <c r="D6" s="23"/>
      <c r="E6" s="23"/>
      <c r="F6" s="23"/>
      <c r="G6" s="23"/>
      <c r="H6" s="24"/>
      <c r="I6" s="25" t="s">
        <v>248</v>
      </c>
      <c r="J6" s="26" t="str">
        <f>+VLOOKUP(C6,'ANEXO PLIEGO_1'!$A$7:$C$133,3,FALSE)</f>
        <v>UN</v>
      </c>
    </row>
    <row r="7" spans="1:15" ht="35.1" customHeight="1" x14ac:dyDescent="0.25">
      <c r="A7" s="1568" t="s">
        <v>249</v>
      </c>
      <c r="B7" s="1570"/>
      <c r="C7" s="1578" t="str">
        <f>+VLOOKUP(C6,'ANEXO PLIEGO_1'!$A$7:$B$103,2,FALSE)</f>
        <v>Fabricación, suministro e instalación de tablero de 75 cm, señal Reglamentaria, preventiva o informativa, material reflectivo tipo XI, película antigraffiti, en lámina galvanizada C16 E=1,5 mm, cumpliendo normatividad vigente. (Incluye elementos de fijación)</v>
      </c>
      <c r="D7" s="1579"/>
      <c r="E7" s="1579"/>
      <c r="F7" s="1579"/>
      <c r="G7" s="1579"/>
      <c r="H7" s="1579"/>
      <c r="I7" s="1579"/>
      <c r="J7" s="1580"/>
    </row>
    <row r="9" spans="1:15" s="27" customFormat="1" ht="12.75" x14ac:dyDescent="0.25">
      <c r="A9" s="1561" t="s">
        <v>250</v>
      </c>
      <c r="B9" s="1561"/>
      <c r="C9" s="1561"/>
      <c r="D9" s="1561"/>
      <c r="E9" s="1561"/>
      <c r="F9" s="1561"/>
      <c r="G9" s="1561"/>
      <c r="H9" s="1561"/>
    </row>
    <row r="10" spans="1:15" s="20" customFormat="1" ht="13.9" customHeight="1" x14ac:dyDescent="0.25">
      <c r="A10" s="1562" t="s">
        <v>251</v>
      </c>
      <c r="B10" s="1563"/>
      <c r="C10" s="1563"/>
      <c r="D10" s="1564"/>
      <c r="E10" s="28" t="s">
        <v>252</v>
      </c>
      <c r="F10" s="28" t="s">
        <v>253</v>
      </c>
      <c r="G10" s="28" t="s">
        <v>254</v>
      </c>
      <c r="H10" s="28" t="s">
        <v>255</v>
      </c>
      <c r="I10" s="28" t="s">
        <v>256</v>
      </c>
      <c r="J10" s="28" t="s">
        <v>257</v>
      </c>
    </row>
    <row r="11" spans="1:15" s="20" customFormat="1" ht="13.9" customHeight="1" x14ac:dyDescent="0.25">
      <c r="A11" s="1558" t="str">
        <f>+'EQUIPOS '!B7</f>
        <v xml:space="preserve">CIZALLA DE CORTE VERTICAL </v>
      </c>
      <c r="B11" s="1559"/>
      <c r="C11" s="1559"/>
      <c r="D11" s="1560"/>
      <c r="E11" s="29" t="s">
        <v>202</v>
      </c>
      <c r="F11" s="30" t="str">
        <f>IFERROR(VLOOKUP(L11,'[10]EQUIPOS TRANSPOR SALARIO'!$A$3:$G$42,2,FALSE),0)</f>
        <v>Eléctrico</v>
      </c>
      <c r="G11" s="31">
        <f>IFERROR(VLOOKUP(A11,'EQUIPOS '!$B$3:$N$55,12,FALSE),0)</f>
        <v>5174.01</v>
      </c>
      <c r="H11" s="32">
        <v>10</v>
      </c>
      <c r="I11" s="33">
        <f>IFERROR((G11/H11),0)</f>
        <v>517.40100000000007</v>
      </c>
      <c r="J11" s="33">
        <f>ROUND(I11,0)</f>
        <v>517</v>
      </c>
      <c r="L11" s="1558" t="s">
        <v>258</v>
      </c>
      <c r="M11" s="1559"/>
      <c r="N11" s="1559"/>
      <c r="O11" s="1560"/>
    </row>
    <row r="12" spans="1:15" s="20" customFormat="1" ht="13.9" customHeight="1" x14ac:dyDescent="0.25">
      <c r="A12" s="1558" t="str">
        <f>+'EQUIPOS '!B9</f>
        <v>COMPRESOR</v>
      </c>
      <c r="B12" s="1559"/>
      <c r="C12" s="1559"/>
      <c r="D12" s="1560"/>
      <c r="E12" s="29" t="s">
        <v>202</v>
      </c>
      <c r="F12" s="30" t="str">
        <f>IFERROR(VLOOKUP(L12,'[10]EQUIPOS TRANSPOR SALARIO'!$A$3:$G$42,2,FALSE),0)</f>
        <v>Electrostática</v>
      </c>
      <c r="G12" s="31">
        <f>IFERROR(VLOOKUP(A12,'EQUIPOS '!$B$3:$N$55,12,FALSE),0)</f>
        <v>7999.94</v>
      </c>
      <c r="H12" s="32">
        <f t="shared" ref="H12:H17" si="0">+H11</f>
        <v>10</v>
      </c>
      <c r="I12" s="33">
        <f t="shared" ref="I12:I19" si="1">IFERROR((G12/H12),0)</f>
        <v>799.99399999999991</v>
      </c>
      <c r="J12" s="33">
        <f t="shared" ref="J12:J19" si="2">ROUND(I12,0)</f>
        <v>800</v>
      </c>
      <c r="L12" s="1558" t="s">
        <v>260</v>
      </c>
      <c r="M12" s="1559"/>
      <c r="N12" s="1559"/>
      <c r="O12" s="1560"/>
    </row>
    <row r="13" spans="1:15" s="20" customFormat="1" ht="13.9" customHeight="1" x14ac:dyDescent="0.25">
      <c r="A13" s="1558" t="str">
        <f>+'EQUIPOS '!B25</f>
        <v>EQUIPO  COLAMINADO</v>
      </c>
      <c r="B13" s="1559"/>
      <c r="C13" s="1559"/>
      <c r="D13" s="1560"/>
      <c r="E13" s="29" t="s">
        <v>202</v>
      </c>
      <c r="F13" s="30" t="str">
        <f>IFERROR(VLOOKUP(L13,'[10]EQUIPOS TRANSPOR SALARIO'!$A$3:$G$42,2,FALSE),0)</f>
        <v>Eléctrico</v>
      </c>
      <c r="G13" s="31">
        <f>IFERROR(VLOOKUP(A13,'EQUIPOS '!$B$3:$N$55,12,FALSE),0)</f>
        <v>4701.8100000000004</v>
      </c>
      <c r="H13" s="32">
        <f t="shared" si="0"/>
        <v>10</v>
      </c>
      <c r="I13" s="33">
        <f t="shared" si="1"/>
        <v>470.18100000000004</v>
      </c>
      <c r="J13" s="33">
        <f t="shared" si="2"/>
        <v>470</v>
      </c>
      <c r="L13" s="1558" t="s">
        <v>261</v>
      </c>
      <c r="M13" s="1559"/>
      <c r="N13" s="1559"/>
      <c r="O13" s="1560"/>
    </row>
    <row r="14" spans="1:15" s="20" customFormat="1" ht="13.9" customHeight="1" x14ac:dyDescent="0.25">
      <c r="A14" s="1558" t="str">
        <f>+'EQUIPOS '!B24</f>
        <v>EQUIPO PINTURA ELECTROSTÁTICA</v>
      </c>
      <c r="B14" s="1559"/>
      <c r="C14" s="1559"/>
      <c r="D14" s="1560"/>
      <c r="E14" s="29" t="s">
        <v>202</v>
      </c>
      <c r="F14" s="30" t="str">
        <f>IFERROR(VLOOKUP(L14,'[10]EQUIPOS TRANSPOR SALARIO'!$A$3:$G$42,2,FALSE),0)</f>
        <v>Manual</v>
      </c>
      <c r="G14" s="31">
        <f>IFERROR(VLOOKUP(A14,'EQUIPOS '!$B$3:$N$55,12,FALSE),0)</f>
        <v>4047.59</v>
      </c>
      <c r="H14" s="32">
        <f t="shared" si="0"/>
        <v>10</v>
      </c>
      <c r="I14" s="33">
        <f t="shared" si="1"/>
        <v>404.75900000000001</v>
      </c>
      <c r="J14" s="33">
        <f t="shared" si="2"/>
        <v>405</v>
      </c>
      <c r="L14" s="1558" t="s">
        <v>94</v>
      </c>
      <c r="M14" s="1559"/>
      <c r="N14" s="1559"/>
      <c r="O14" s="1560"/>
    </row>
    <row r="15" spans="1:15" s="20" customFormat="1" ht="13.9" customHeight="1" x14ac:dyDescent="0.25">
      <c r="A15" s="1558" t="str">
        <f>+'EQUIPOS '!B27</f>
        <v xml:space="preserve">EQUIPO SOLDADURA ELECTRICA </v>
      </c>
      <c r="B15" s="1559"/>
      <c r="C15" s="1559"/>
      <c r="D15" s="1560"/>
      <c r="E15" s="29" t="s">
        <v>202</v>
      </c>
      <c r="F15" s="30" t="str">
        <f>IFERROR(VLOOKUP(L15,'[10]EQUIPOS TRANSPOR SALARIO'!$A$3:$G$42,2,FALSE),0)</f>
        <v>Global</v>
      </c>
      <c r="G15" s="31">
        <f>IFERROR(VLOOKUP(A15,'EQUIPOS '!$B$3:$N$55,12,FALSE),0)</f>
        <v>4862.5</v>
      </c>
      <c r="H15" s="32">
        <f t="shared" si="0"/>
        <v>10</v>
      </c>
      <c r="I15" s="33">
        <f t="shared" si="1"/>
        <v>486.25</v>
      </c>
      <c r="J15" s="33">
        <f t="shared" si="2"/>
        <v>486</v>
      </c>
      <c r="L15" s="1558" t="s">
        <v>262</v>
      </c>
      <c r="M15" s="1559"/>
      <c r="N15" s="1559"/>
      <c r="O15" s="1560"/>
    </row>
    <row r="16" spans="1:15" s="20" customFormat="1" ht="22.5" customHeight="1" x14ac:dyDescent="0.25">
      <c r="A16" s="1568" t="str">
        <f>+'EQUIPOS '!B51</f>
        <v xml:space="preserve">IMPRESORA DIGITAL PARA SEÑALES DE TRÁNSITO </v>
      </c>
      <c r="B16" s="1569"/>
      <c r="C16" s="1569"/>
      <c r="D16" s="1570"/>
      <c r="E16" s="29" t="s">
        <v>202</v>
      </c>
      <c r="F16" s="30"/>
      <c r="G16" s="31">
        <f>IFERROR(VLOOKUP(A16,'EQUIPOS '!$B$3:$N$55,12,FALSE),0)</f>
        <v>64227.08</v>
      </c>
      <c r="H16" s="32">
        <f t="shared" si="0"/>
        <v>10</v>
      </c>
      <c r="I16" s="33">
        <f>IFERROR((G16/H16),0)</f>
        <v>6422.7080000000005</v>
      </c>
      <c r="J16" s="33">
        <f t="shared" si="2"/>
        <v>6423</v>
      </c>
      <c r="L16" s="78"/>
      <c r="M16" s="78"/>
      <c r="N16" s="78"/>
      <c r="O16" s="78"/>
    </row>
    <row r="17" spans="1:17" s="20" customFormat="1" ht="13.9" customHeight="1" x14ac:dyDescent="0.25">
      <c r="A17" s="1558" t="str">
        <f>+'EQUIPOS '!B39</f>
        <v xml:space="preserve">PULIDORA </v>
      </c>
      <c r="B17" s="1559"/>
      <c r="C17" s="1559"/>
      <c r="D17" s="1560"/>
      <c r="E17" s="29" t="s">
        <v>202</v>
      </c>
      <c r="F17" s="30"/>
      <c r="G17" s="31">
        <f>IFERROR(VLOOKUP(A17,'EQUIPOS '!$B$3:$N$55,12,FALSE),0)</f>
        <v>2821</v>
      </c>
      <c r="H17" s="32">
        <f t="shared" si="0"/>
        <v>10</v>
      </c>
      <c r="I17" s="33">
        <f t="shared" si="1"/>
        <v>282.10000000000002</v>
      </c>
      <c r="J17" s="33">
        <f t="shared" si="2"/>
        <v>282</v>
      </c>
      <c r="L17" s="78"/>
      <c r="M17" s="78"/>
      <c r="N17" s="78"/>
      <c r="O17" s="78"/>
    </row>
    <row r="18" spans="1:17" s="20" customFormat="1" ht="13.9" customHeight="1" x14ac:dyDescent="0.25">
      <c r="A18" s="1558" t="s">
        <v>330</v>
      </c>
      <c r="B18" s="1559"/>
      <c r="C18" s="1559"/>
      <c r="D18" s="1560"/>
      <c r="E18" s="29" t="s">
        <v>202</v>
      </c>
      <c r="F18" s="30"/>
      <c r="G18" s="74">
        <v>0.01</v>
      </c>
      <c r="H18" s="32">
        <f>+J54</f>
        <v>5324</v>
      </c>
      <c r="I18" s="33">
        <f>IFERROR((G18*H18),0)</f>
        <v>53.24</v>
      </c>
      <c r="J18" s="33">
        <f t="shared" si="2"/>
        <v>53</v>
      </c>
      <c r="L18" s="78"/>
      <c r="M18" s="78"/>
      <c r="N18" s="78"/>
      <c r="O18" s="78"/>
    </row>
    <row r="19" spans="1:17" s="20" customFormat="1" ht="13.9" customHeight="1" x14ac:dyDescent="0.25">
      <c r="A19" s="1558" t="str">
        <f>+'EQUIPOS '!B43</f>
        <v>TALADRO DE ARBOL</v>
      </c>
      <c r="B19" s="1559"/>
      <c r="C19" s="1559"/>
      <c r="D19" s="1560"/>
      <c r="E19" s="29" t="s">
        <v>202</v>
      </c>
      <c r="F19" s="30">
        <f>IFERROR(VLOOKUP(A19,'[10]EQUIPOS TRANSPOR SALARIO'!$A$3:$G$42,2,FALSE),0)</f>
        <v>0</v>
      </c>
      <c r="G19" s="31">
        <f>IFERROR(VLOOKUP(A19,'EQUIPOS '!$B$3:$N$55,12,FALSE),0)</f>
        <v>4898</v>
      </c>
      <c r="H19" s="32">
        <v>5.5</v>
      </c>
      <c r="I19" s="33">
        <f t="shared" si="1"/>
        <v>890.5454545454545</v>
      </c>
      <c r="J19" s="33">
        <f t="shared" si="2"/>
        <v>891</v>
      </c>
    </row>
    <row r="20" spans="1:17" s="20" customFormat="1" ht="13.9" customHeight="1" x14ac:dyDescent="0.25">
      <c r="A20" s="1558"/>
      <c r="B20" s="1559"/>
      <c r="C20" s="1559"/>
      <c r="D20" s="1560"/>
      <c r="E20" s="29"/>
      <c r="F20" s="30"/>
      <c r="G20" s="31"/>
      <c r="H20" s="32"/>
      <c r="I20" s="33"/>
      <c r="J20" s="33"/>
    </row>
    <row r="21" spans="1:17" s="20" customFormat="1" ht="13.9" customHeight="1" x14ac:dyDescent="0.25">
      <c r="I21" s="30" t="s">
        <v>257</v>
      </c>
      <c r="J21" s="34">
        <f>+SUM(J11:J20)</f>
        <v>10327</v>
      </c>
    </row>
    <row r="22" spans="1:17" s="20" customFormat="1" ht="13.9" customHeight="1" x14ac:dyDescent="0.25"/>
    <row r="23" spans="1:17" s="20" customFormat="1" ht="13.9" customHeight="1" x14ac:dyDescent="0.25">
      <c r="A23" s="1561" t="s">
        <v>263</v>
      </c>
      <c r="B23" s="1561"/>
      <c r="C23" s="1561"/>
      <c r="D23" s="1561"/>
      <c r="E23" s="1561"/>
      <c r="F23" s="1561"/>
      <c r="G23" s="1561"/>
      <c r="H23" s="1561"/>
      <c r="I23" s="27"/>
    </row>
    <row r="24" spans="1:17" ht="13.9" customHeight="1" x14ac:dyDescent="0.25">
      <c r="A24" s="1565" t="s">
        <v>251</v>
      </c>
      <c r="B24" s="1566"/>
      <c r="C24" s="1566"/>
      <c r="D24" s="1566"/>
      <c r="E24" s="1566"/>
      <c r="F24" s="1567"/>
      <c r="G24" s="28" t="s">
        <v>252</v>
      </c>
      <c r="H24" s="28" t="s">
        <v>264</v>
      </c>
      <c r="I24" s="28" t="s">
        <v>256</v>
      </c>
      <c r="J24" s="28" t="s">
        <v>257</v>
      </c>
    </row>
    <row r="25" spans="1:17" ht="13.9" customHeight="1" x14ac:dyDescent="0.25">
      <c r="A25" s="1558" t="str">
        <f>+'1'!A24:F24</f>
        <v>LÁMINA GALVANIZADA C 16 E=1,50 mm</v>
      </c>
      <c r="B25" s="1559"/>
      <c r="C25" s="1559"/>
      <c r="D25" s="1559"/>
      <c r="E25" s="1559"/>
      <c r="F25" s="1560"/>
      <c r="G25" s="29" t="s">
        <v>265</v>
      </c>
      <c r="H25" s="35">
        <f>0.75*0.75</f>
        <v>0.5625</v>
      </c>
      <c r="I25" s="33">
        <f>+IFERROR(VLOOKUP(A25,'INSUMOS '!$B$2:$AP$167,'INSUMOS '!$AO$2+1,FALSE),0)</f>
        <v>85500.55</v>
      </c>
      <c r="J25" s="33">
        <f>ROUND(I25*H25,0)</f>
        <v>48094</v>
      </c>
      <c r="K25" s="758">
        <f>+J25/$J$35</f>
        <v>0.23524865607834122</v>
      </c>
      <c r="L25" s="1558" t="s">
        <v>11</v>
      </c>
      <c r="M25" s="1559"/>
      <c r="N25" s="1559"/>
      <c r="O25" s="1559"/>
      <c r="P25" s="1559"/>
      <c r="Q25" s="1560"/>
    </row>
    <row r="26" spans="1:17" ht="13.9" customHeight="1" x14ac:dyDescent="0.25">
      <c r="A26" s="1558" t="str">
        <f>+'INSUMOS '!B63</f>
        <v xml:space="preserve">PAPEL REFLECTIVO TIPO XI </v>
      </c>
      <c r="B26" s="1559"/>
      <c r="C26" s="1559"/>
      <c r="D26" s="1559"/>
      <c r="E26" s="1559"/>
      <c r="F26" s="1560"/>
      <c r="G26" s="29" t="s">
        <v>265</v>
      </c>
      <c r="H26" s="35">
        <f>+H25</f>
        <v>0.5625</v>
      </c>
      <c r="I26" s="33">
        <f>+IFERROR(VLOOKUP(A26,'INSUMOS '!$B$2:$AP$167,'INSUMOS '!$AO$2+1,FALSE),0)</f>
        <v>153328.9296</v>
      </c>
      <c r="J26" s="33">
        <f t="shared" ref="J26:J30" si="3">ROUND(I26*H26,0)</f>
        <v>86248</v>
      </c>
      <c r="K26" s="758">
        <f t="shared" ref="K26:K33" si="4">+J26/$J$35</f>
        <v>0.42187645214464953</v>
      </c>
      <c r="L26" s="1558" t="s">
        <v>18</v>
      </c>
      <c r="M26" s="1559"/>
      <c r="N26" s="1559"/>
      <c r="O26" s="1559"/>
      <c r="P26" s="1559"/>
      <c r="Q26" s="1560"/>
    </row>
    <row r="27" spans="1:17" ht="13.9" customHeight="1" x14ac:dyDescent="0.25">
      <c r="A27" s="1558" t="str">
        <f>+'1'!A26:F26</f>
        <v>TORNILLOS 5/16 ZINCADO  (INCLUYE TUERCA DE SEGURIDAD Y ARANDELA)</v>
      </c>
      <c r="B27" s="1559"/>
      <c r="C27" s="1559"/>
      <c r="D27" s="1559"/>
      <c r="E27" s="1559"/>
      <c r="F27" s="1560"/>
      <c r="G27" s="29" t="s">
        <v>266</v>
      </c>
      <c r="H27" s="35">
        <v>4</v>
      </c>
      <c r="I27" s="33">
        <f>+IFERROR(VLOOKUP(A27,'INSUMOS '!$B$2:$AP$167,'INSUMOS '!$AO$2+1,FALSE),0)</f>
        <v>1747.5</v>
      </c>
      <c r="J27" s="33">
        <f t="shared" si="3"/>
        <v>6990</v>
      </c>
      <c r="K27" s="758">
        <f t="shared" si="4"/>
        <v>3.4191127915906457E-2</v>
      </c>
      <c r="L27" s="1558" t="s">
        <v>16</v>
      </c>
      <c r="M27" s="1559"/>
      <c r="N27" s="1559"/>
      <c r="O27" s="1559"/>
      <c r="P27" s="1559"/>
      <c r="Q27" s="1560"/>
    </row>
    <row r="28" spans="1:17" ht="13.9" customHeight="1" x14ac:dyDescent="0.25">
      <c r="A28" s="1558" t="str">
        <f>+'INSUMOS '!B89</f>
        <v>REMACHES CON ARANDELAS POR 1"</v>
      </c>
      <c r="B28" s="1559"/>
      <c r="C28" s="1559"/>
      <c r="D28" s="1559"/>
      <c r="E28" s="1559"/>
      <c r="F28" s="1560"/>
      <c r="G28" s="29" t="s">
        <v>266</v>
      </c>
      <c r="H28" s="35">
        <v>4</v>
      </c>
      <c r="I28" s="33">
        <f>+IFERROR(VLOOKUP(A28,'INSUMOS '!$B$2:$AP$167,'INSUMOS '!$AO$2+1,FALSE),0)</f>
        <v>940</v>
      </c>
      <c r="J28" s="33">
        <f t="shared" si="3"/>
        <v>3760</v>
      </c>
      <c r="K28" s="758">
        <f t="shared" si="4"/>
        <v>1.8391794129300181E-2</v>
      </c>
      <c r="L28" s="1558" t="s">
        <v>17</v>
      </c>
      <c r="M28" s="1559"/>
      <c r="N28" s="1559"/>
      <c r="O28" s="1559"/>
      <c r="P28" s="1559"/>
      <c r="Q28" s="1560"/>
    </row>
    <row r="29" spans="1:17" ht="13.9" customHeight="1" x14ac:dyDescent="0.25">
      <c r="A29" s="1558" t="str">
        <f>+'1'!A29:F29</f>
        <v>TINTA TRASLUCIDA PARA CINTA REFLECTIVA</v>
      </c>
      <c r="B29" s="1559"/>
      <c r="C29" s="1559"/>
      <c r="D29" s="1559"/>
      <c r="E29" s="1559"/>
      <c r="F29" s="1560"/>
      <c r="G29" s="29" t="s">
        <v>157</v>
      </c>
      <c r="H29" s="35">
        <f>H25/3.44*0.22</f>
        <v>3.5973837209302327E-2</v>
      </c>
      <c r="I29" s="33">
        <f>+IFERROR(VLOOKUP(A29,'INSUMOS '!$B$2:$AP$167,'INSUMOS '!$AO$2+1,FALSE),0)</f>
        <v>440873.77039999992</v>
      </c>
      <c r="J29" s="33">
        <f t="shared" si="3"/>
        <v>15860</v>
      </c>
      <c r="K29" s="758">
        <f t="shared" si="4"/>
        <v>7.7578152896462999E-2</v>
      </c>
      <c r="L29" s="1558" t="s">
        <v>19</v>
      </c>
      <c r="M29" s="1559"/>
      <c r="N29" s="1559"/>
      <c r="O29" s="1559"/>
      <c r="P29" s="1559"/>
      <c r="Q29" s="1560"/>
    </row>
    <row r="30" spans="1:17" ht="13.9" customHeight="1" x14ac:dyDescent="0.25">
      <c r="A30" s="1558" t="str">
        <f>+'1'!A31:F31</f>
        <v xml:space="preserve">STEAKER 15 X 15 CM EN PAPEL REFLECTIVO TIPO IV O SUPERIOR </v>
      </c>
      <c r="B30" s="1559"/>
      <c r="C30" s="1559"/>
      <c r="D30" s="1559"/>
      <c r="E30" s="1559"/>
      <c r="F30" s="1560"/>
      <c r="G30" s="29" t="s">
        <v>266</v>
      </c>
      <c r="H30" s="35">
        <v>1</v>
      </c>
      <c r="I30" s="33">
        <f>+IFERROR(VLOOKUP(A30,'INSUMOS '!$B$2:$AP$167,'INSUMOS '!$AO$2+1,FALSE),0)</f>
        <v>2500</v>
      </c>
      <c r="J30" s="33">
        <f t="shared" si="3"/>
        <v>2500</v>
      </c>
      <c r="K30" s="758">
        <f t="shared" si="4"/>
        <v>1.2228586522141078E-2</v>
      </c>
      <c r="L30" s="1558" t="s">
        <v>21</v>
      </c>
      <c r="M30" s="1559"/>
      <c r="N30" s="1559"/>
      <c r="O30" s="1559"/>
      <c r="P30" s="1559"/>
      <c r="Q30" s="1560"/>
    </row>
    <row r="31" spans="1:17" ht="13.9" customHeight="1" x14ac:dyDescent="0.25">
      <c r="A31" s="1558" t="str">
        <f>+'1'!A32:F32</f>
        <v>BROCA PARA METAL 1/2"</v>
      </c>
      <c r="B31" s="1559"/>
      <c r="C31" s="1559"/>
      <c r="D31" s="1559"/>
      <c r="E31" s="1559"/>
      <c r="F31" s="1560"/>
      <c r="G31" s="29" t="s">
        <v>266</v>
      </c>
      <c r="H31" s="35">
        <v>0.01</v>
      </c>
      <c r="I31" s="33">
        <f>+IFERROR(VLOOKUP(A31,'INSUMOS '!$B$2:$AP$167,'INSUMOS '!$AO$2+1,FALSE),0)</f>
        <v>31741.5</v>
      </c>
      <c r="J31" s="33">
        <f>ROUND(I31*H31,0)</f>
        <v>317</v>
      </c>
      <c r="K31" s="758">
        <f t="shared" si="4"/>
        <v>1.5505847710074888E-3</v>
      </c>
      <c r="L31" s="1568" t="s">
        <v>9</v>
      </c>
      <c r="M31" s="1569"/>
      <c r="N31" s="1569"/>
      <c r="O31" s="1569"/>
      <c r="P31" s="1569"/>
      <c r="Q31" s="1570"/>
    </row>
    <row r="32" spans="1:17" ht="13.9" customHeight="1" x14ac:dyDescent="0.25">
      <c r="A32" s="1558" t="str">
        <f>+'INSUMOS '!B85</f>
        <v>PROTECTOR ANTIGRAFFITI</v>
      </c>
      <c r="B32" s="1559"/>
      <c r="C32" s="1559"/>
      <c r="D32" s="1559"/>
      <c r="E32" s="1559"/>
      <c r="F32" s="1560"/>
      <c r="G32" s="29" t="s">
        <v>12</v>
      </c>
      <c r="H32" s="35">
        <f>+H25</f>
        <v>0.5625</v>
      </c>
      <c r="I32" s="33">
        <f>+IFERROR(VLOOKUP(A32,'INSUMOS '!$B$2:$AP$167,'INSUMOS '!$AO$2+1,FALSE),0)</f>
        <v>65174.538799999995</v>
      </c>
      <c r="J32" s="33">
        <f>ROUND(I32*H32,0)</f>
        <v>36661</v>
      </c>
      <c r="K32" s="758">
        <f t="shared" si="4"/>
        <v>0.17932488419528564</v>
      </c>
    </row>
    <row r="33" spans="1:12" ht="13.9" customHeight="1" x14ac:dyDescent="0.25">
      <c r="A33" s="1558" t="str">
        <f>+'1'!A33:F33</f>
        <v xml:space="preserve">DESPERDICIO </v>
      </c>
      <c r="B33" s="1559"/>
      <c r="C33" s="1559"/>
      <c r="D33" s="1559"/>
      <c r="E33" s="1559"/>
      <c r="F33" s="1560"/>
      <c r="G33" s="29"/>
      <c r="H33" s="74">
        <v>0.02</v>
      </c>
      <c r="I33" s="33">
        <f>+SUM(J25:J32)</f>
        <v>200430</v>
      </c>
      <c r="J33" s="33">
        <f>ROUND(I33*H33,0)</f>
        <v>4009</v>
      </c>
      <c r="K33" s="758">
        <f t="shared" si="4"/>
        <v>1.9609761346905435E-2</v>
      </c>
    </row>
    <row r="34" spans="1:12" ht="13.9" customHeight="1" x14ac:dyDescent="0.25">
      <c r="A34" s="1558"/>
      <c r="B34" s="1559"/>
      <c r="C34" s="1559"/>
      <c r="D34" s="1559"/>
      <c r="E34" s="1559"/>
      <c r="F34" s="1560"/>
      <c r="G34" s="29"/>
      <c r="H34" s="35"/>
      <c r="I34" s="33"/>
      <c r="J34" s="33"/>
    </row>
    <row r="35" spans="1:12" ht="13.9" customHeight="1" x14ac:dyDescent="0.25">
      <c r="A35" s="20"/>
      <c r="B35" s="20"/>
      <c r="C35" s="20"/>
      <c r="D35" s="20"/>
      <c r="E35" s="20"/>
      <c r="G35" s="20"/>
      <c r="H35" s="20"/>
      <c r="I35" s="30" t="s">
        <v>257</v>
      </c>
      <c r="J35" s="34">
        <f>+SUM(J25:J34)</f>
        <v>204439</v>
      </c>
      <c r="K35" s="758">
        <f>+J35/I56</f>
        <v>0.92683734024853004</v>
      </c>
    </row>
    <row r="36" spans="1:12" ht="13.9" customHeight="1" x14ac:dyDescent="0.25"/>
    <row r="37" spans="1:12" ht="13.9" customHeight="1" x14ac:dyDescent="0.25">
      <c r="A37" s="1561" t="s">
        <v>267</v>
      </c>
      <c r="B37" s="1561"/>
      <c r="C37" s="1561"/>
      <c r="D37" s="1561"/>
      <c r="E37" s="1561"/>
      <c r="F37" s="1561"/>
      <c r="G37" s="1561"/>
      <c r="H37" s="1561"/>
      <c r="I37" s="27"/>
    </row>
    <row r="38" spans="1:12" ht="13.9" customHeight="1" x14ac:dyDescent="0.25">
      <c r="A38" s="1562" t="s">
        <v>268</v>
      </c>
      <c r="B38" s="1563"/>
      <c r="C38" s="1563"/>
      <c r="D38" s="1563"/>
      <c r="E38" s="1563"/>
      <c r="F38" s="1564"/>
      <c r="G38" s="38" t="s">
        <v>255</v>
      </c>
      <c r="H38" s="28" t="s">
        <v>269</v>
      </c>
      <c r="I38" s="28" t="s">
        <v>256</v>
      </c>
      <c r="J38" s="28" t="s">
        <v>257</v>
      </c>
    </row>
    <row r="39" spans="1:12" ht="13.9" customHeight="1" x14ac:dyDescent="0.25">
      <c r="A39" s="1558" t="str">
        <f>+'21'!A53:F53</f>
        <v>CAMION INCLUYE CONDUCTOR</v>
      </c>
      <c r="B39" s="1559"/>
      <c r="C39" s="1559"/>
      <c r="D39" s="1559"/>
      <c r="E39" s="1559"/>
      <c r="F39" s="1560"/>
      <c r="G39" s="1481">
        <f>(+L39/1000)/12</f>
        <v>7.9687499999999995E-4</v>
      </c>
      <c r="H39" s="33">
        <f>+IFERROR(VLOOKUP(A39,'EQUIPOS '!$B$3:$M$78,12,FALSE),0)</f>
        <v>611492.5</v>
      </c>
      <c r="I39" s="33">
        <f>IFERROR(H39*G39,0)</f>
        <v>487.28308593749995</v>
      </c>
      <c r="J39" s="33">
        <f>ROUND(I39,0)</f>
        <v>487</v>
      </c>
      <c r="L39" s="19">
        <f>17*H25</f>
        <v>9.5625</v>
      </c>
    </row>
    <row r="40" spans="1:12" ht="13.9" customHeight="1" x14ac:dyDescent="0.25">
      <c r="A40" s="1558"/>
      <c r="B40" s="1559"/>
      <c r="C40" s="1559"/>
      <c r="D40" s="1559"/>
      <c r="E40" s="1559"/>
      <c r="F40" s="1560"/>
      <c r="G40" s="29"/>
      <c r="H40" s="33"/>
      <c r="I40" s="33"/>
      <c r="J40" s="33"/>
    </row>
    <row r="41" spans="1:12" ht="13.9" customHeight="1" x14ac:dyDescent="0.25">
      <c r="A41" s="1558"/>
      <c r="B41" s="1559"/>
      <c r="C41" s="1559"/>
      <c r="D41" s="1559"/>
      <c r="E41" s="1559"/>
      <c r="F41" s="1560"/>
      <c r="G41" s="29"/>
      <c r="H41" s="33"/>
      <c r="I41" s="33"/>
      <c r="J41" s="33"/>
    </row>
    <row r="42" spans="1:12" ht="13.9" customHeight="1" x14ac:dyDescent="0.25">
      <c r="G42" s="39"/>
      <c r="H42" s="39"/>
      <c r="I42" s="30" t="s">
        <v>257</v>
      </c>
      <c r="J42" s="33">
        <f>+SUM(J39:J41)</f>
        <v>487</v>
      </c>
    </row>
    <row r="43" spans="1:12" ht="13.9" customHeight="1" x14ac:dyDescent="0.25"/>
    <row r="44" spans="1:12" ht="13.9" customHeight="1" x14ac:dyDescent="0.25">
      <c r="A44" s="1561" t="s">
        <v>270</v>
      </c>
      <c r="B44" s="1561"/>
      <c r="C44" s="1561"/>
      <c r="D44" s="1561"/>
      <c r="E44" s="1561"/>
      <c r="F44" s="1561"/>
      <c r="G44" s="1561"/>
      <c r="H44" s="1561"/>
      <c r="I44" s="27"/>
    </row>
    <row r="45" spans="1:12" s="39" customFormat="1" ht="13.9" customHeight="1" x14ac:dyDescent="0.25">
      <c r="A45" s="1562" t="s">
        <v>271</v>
      </c>
      <c r="B45" s="1563"/>
      <c r="C45" s="1563"/>
      <c r="D45" s="1564"/>
      <c r="E45" s="28" t="s">
        <v>272</v>
      </c>
      <c r="F45" s="28" t="s">
        <v>264</v>
      </c>
      <c r="G45" s="28" t="s">
        <v>273</v>
      </c>
      <c r="H45" s="28" t="s">
        <v>255</v>
      </c>
      <c r="I45" s="28" t="s">
        <v>256</v>
      </c>
      <c r="J45" s="28" t="s">
        <v>257</v>
      </c>
    </row>
    <row r="46" spans="1:12" s="39" customFormat="1" ht="13.9" customHeight="1" x14ac:dyDescent="0.25">
      <c r="A46" s="1558" t="str">
        <f>+PERSONAL!B7</f>
        <v>COLAMINADOR</v>
      </c>
      <c r="B46" s="1559"/>
      <c r="C46" s="1559"/>
      <c r="D46" s="1560"/>
      <c r="E46" s="40">
        <f>+IFERROR(VLOOKUP(A46,PERSONAL!$B$3:$E$56,4,FALSE),0)</f>
        <v>91275</v>
      </c>
      <c r="F46" s="30">
        <v>1</v>
      </c>
      <c r="G46" s="40">
        <f>+E46*F46</f>
        <v>91275</v>
      </c>
      <c r="H46" s="35">
        <f>+H11*8</f>
        <v>80</v>
      </c>
      <c r="I46" s="33">
        <f>IFERROR(ROUND(G46/H46,0),0)</f>
        <v>1141</v>
      </c>
      <c r="J46" s="33">
        <f>+I46</f>
        <v>1141</v>
      </c>
    </row>
    <row r="47" spans="1:12" s="39" customFormat="1" ht="13.9" customHeight="1" x14ac:dyDescent="0.25">
      <c r="A47" s="1558" t="str">
        <f>+PERSONAL!B5</f>
        <v xml:space="preserve">AYUDANTE </v>
      </c>
      <c r="B47" s="1559"/>
      <c r="C47" s="1559"/>
      <c r="D47" s="1560"/>
      <c r="E47" s="40">
        <f>+IFERROR(VLOOKUP(A47,PERSONAL!$B$3:$E$56,4,FALSE),0)</f>
        <v>72476</v>
      </c>
      <c r="F47" s="30">
        <v>2</v>
      </c>
      <c r="G47" s="40">
        <f>+E47*F47</f>
        <v>144952</v>
      </c>
      <c r="H47" s="35">
        <f>+H12*8</f>
        <v>80</v>
      </c>
      <c r="I47" s="33">
        <f>IFERROR(ROUND(G47/H47,0),0)</f>
        <v>1812</v>
      </c>
      <c r="J47" s="33">
        <f>+I47</f>
        <v>1812</v>
      </c>
    </row>
    <row r="48" spans="1:12" s="39" customFormat="1" ht="13.9" customHeight="1" x14ac:dyDescent="0.25">
      <c r="A48" s="5" t="str">
        <f>+PERSONAL!B27</f>
        <v xml:space="preserve">PINTOR </v>
      </c>
      <c r="B48" s="6"/>
      <c r="C48" s="6"/>
      <c r="D48" s="7"/>
      <c r="E48" s="40">
        <f>+IFERROR(VLOOKUP(A48,PERSONAL!$B$3:$E$56,4,FALSE),0)</f>
        <v>100054</v>
      </c>
      <c r="F48" s="30">
        <v>1</v>
      </c>
      <c r="G48" s="40">
        <f>+E48*F48</f>
        <v>100054</v>
      </c>
      <c r="H48" s="35">
        <f>+H14*8</f>
        <v>80</v>
      </c>
      <c r="I48" s="33">
        <f>IFERROR(ROUND(G48/H48,0),0)</f>
        <v>1251</v>
      </c>
      <c r="J48" s="33">
        <f>+I48</f>
        <v>1251</v>
      </c>
    </row>
    <row r="49" spans="1:11" s="39" customFormat="1" ht="13.9" customHeight="1" x14ac:dyDescent="0.25">
      <c r="A49" s="1558" t="str">
        <f>+PERSONAL!B3</f>
        <v>AUXILIAR DE TRÁFICO</v>
      </c>
      <c r="B49" s="1559"/>
      <c r="C49" s="1559"/>
      <c r="D49" s="1560"/>
      <c r="E49" s="40">
        <f>+IFERROR(VLOOKUP(A49,PERSONAL!$B$3:$E$56,4,FALSE),0)</f>
        <v>89632</v>
      </c>
      <c r="F49" s="30">
        <v>1</v>
      </c>
      <c r="G49" s="1370">
        <f>+E49*F49</f>
        <v>89632</v>
      </c>
      <c r="H49" s="35">
        <f>+H15*8</f>
        <v>80</v>
      </c>
      <c r="I49" s="33">
        <f>IFERROR(ROUND(G49/H49,0),0)</f>
        <v>1120</v>
      </c>
      <c r="J49" s="33">
        <f>+I49</f>
        <v>1120</v>
      </c>
    </row>
    <row r="50" spans="1:11" s="39" customFormat="1" ht="13.9" customHeight="1" x14ac:dyDescent="0.25">
      <c r="A50" s="1558"/>
      <c r="B50" s="1559"/>
      <c r="C50" s="1559"/>
      <c r="D50" s="1560"/>
      <c r="E50" s="40"/>
      <c r="F50" s="30"/>
      <c r="G50" s="40"/>
      <c r="H50" s="35"/>
      <c r="I50" s="33"/>
      <c r="J50" s="33"/>
    </row>
    <row r="51" spans="1:11" s="39" customFormat="1" ht="13.9" customHeight="1" x14ac:dyDescent="0.25">
      <c r="A51" s="1558"/>
      <c r="B51" s="1559"/>
      <c r="C51" s="1559"/>
      <c r="D51" s="1560"/>
      <c r="E51" s="40"/>
      <c r="F51" s="30"/>
      <c r="G51" s="40"/>
      <c r="H51" s="35"/>
      <c r="I51" s="33"/>
      <c r="J51" s="33"/>
    </row>
    <row r="52" spans="1:11" s="39" customFormat="1" ht="13.9" customHeight="1" x14ac:dyDescent="0.25">
      <c r="A52" s="1558"/>
      <c r="B52" s="1559"/>
      <c r="C52" s="1559"/>
      <c r="D52" s="1560"/>
      <c r="E52" s="40"/>
      <c r="F52" s="30"/>
      <c r="G52" s="40"/>
      <c r="H52" s="35"/>
      <c r="I52" s="33"/>
      <c r="J52" s="33"/>
    </row>
    <row r="53" spans="1:11" s="39" customFormat="1" ht="13.9" customHeight="1" x14ac:dyDescent="0.25">
      <c r="A53" s="1558"/>
      <c r="B53" s="1559"/>
      <c r="C53" s="1559"/>
      <c r="D53" s="1560"/>
      <c r="E53" s="40"/>
      <c r="F53" s="30"/>
      <c r="G53" s="40"/>
      <c r="H53" s="35"/>
      <c r="I53" s="33"/>
      <c r="J53" s="33"/>
    </row>
    <row r="54" spans="1:11" ht="13.9" customHeight="1" x14ac:dyDescent="0.25">
      <c r="A54" s="20"/>
      <c r="B54" s="20"/>
      <c r="C54" s="20"/>
      <c r="E54" s="20"/>
      <c r="F54" s="20"/>
      <c r="G54" s="20"/>
      <c r="H54" s="20"/>
      <c r="I54" s="30" t="s">
        <v>257</v>
      </c>
      <c r="J54" s="34">
        <f>+SUM(J46:J53)</f>
        <v>5324</v>
      </c>
    </row>
    <row r="55" spans="1:11" ht="13.9" customHeight="1" x14ac:dyDescent="0.25"/>
    <row r="56" spans="1:11" ht="13.9" customHeight="1" x14ac:dyDescent="0.25">
      <c r="E56" s="41" t="s">
        <v>276</v>
      </c>
      <c r="I56" s="42">
        <f>+J54+J42+J35+J21</f>
        <v>220577</v>
      </c>
      <c r="J56" s="43"/>
      <c r="K56" s="757">
        <f>+J32/I56</f>
        <v>0.1662049987079342</v>
      </c>
    </row>
    <row r="57" spans="1:11" ht="13.9" customHeight="1" x14ac:dyDescent="0.25">
      <c r="I57" s="591"/>
    </row>
    <row r="58" spans="1:11" ht="14.1" customHeight="1" x14ac:dyDescent="0.25">
      <c r="I58" s="591"/>
    </row>
  </sheetData>
  <mergeCells count="56">
    <mergeCell ref="A53:D53"/>
    <mergeCell ref="A38:F38"/>
    <mergeCell ref="A39:F39"/>
    <mergeCell ref="A40:F40"/>
    <mergeCell ref="A41:F41"/>
    <mergeCell ref="A44:H44"/>
    <mergeCell ref="A45:D45"/>
    <mergeCell ref="A46:D46"/>
    <mergeCell ref="A47:D47"/>
    <mergeCell ref="A49:D49"/>
    <mergeCell ref="A51:D51"/>
    <mergeCell ref="A52:D52"/>
    <mergeCell ref="A50:D50"/>
    <mergeCell ref="A37:H37"/>
    <mergeCell ref="A28:F28"/>
    <mergeCell ref="L28:Q28"/>
    <mergeCell ref="A29:F29"/>
    <mergeCell ref="L29:Q29"/>
    <mergeCell ref="A30:F30"/>
    <mergeCell ref="L30:Q30"/>
    <mergeCell ref="A31:F31"/>
    <mergeCell ref="L31:Q31"/>
    <mergeCell ref="A32:F32"/>
    <mergeCell ref="A33:F33"/>
    <mergeCell ref="A34:F34"/>
    <mergeCell ref="A27:F27"/>
    <mergeCell ref="L27:Q27"/>
    <mergeCell ref="A16:D16"/>
    <mergeCell ref="A17:D17"/>
    <mergeCell ref="A18:D18"/>
    <mergeCell ref="A19:D19"/>
    <mergeCell ref="A20:D20"/>
    <mergeCell ref="A23:H23"/>
    <mergeCell ref="A24:F24"/>
    <mergeCell ref="A25:F25"/>
    <mergeCell ref="L25:Q25"/>
    <mergeCell ref="A26:F26"/>
    <mergeCell ref="L26:Q26"/>
    <mergeCell ref="A13:D13"/>
    <mergeCell ref="L13:O13"/>
    <mergeCell ref="A14:D14"/>
    <mergeCell ref="L14:O14"/>
    <mergeCell ref="A15:D15"/>
    <mergeCell ref="L15:O15"/>
    <mergeCell ref="A9:H9"/>
    <mergeCell ref="A10:D10"/>
    <mergeCell ref="A11:D11"/>
    <mergeCell ref="L11:O11"/>
    <mergeCell ref="A12:D12"/>
    <mergeCell ref="L12:O12"/>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rowBreaks count="1" manualBreakCount="1">
    <brk id="58" max="9" man="1"/>
  </rowBreaks>
  <ignoredErrors>
    <ignoredError sqref="I18" formula="1"/>
  </ignoredErrors>
  <drawing r:id="rId2"/>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sheetPr codeName="Hoja132">
    <tabColor rgb="FFFF0000"/>
  </sheetPr>
  <dimension ref="A1:Q58"/>
  <sheetViews>
    <sheetView topLeftCell="A41" workbookViewId="0">
      <selection activeCell="G40" sqref="G40"/>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5.28515625" style="19" bestFit="1" customWidth="1"/>
    <col min="10" max="10" width="12" style="19" customWidth="1"/>
    <col min="11" max="17" width="0" style="19" hidden="1" customWidth="1"/>
    <col min="18" max="16384" width="11.42578125" style="19"/>
  </cols>
  <sheetData>
    <row r="1" spans="1:12" ht="29.25" customHeight="1" x14ac:dyDescent="0.25">
      <c r="A1" s="1574" t="s">
        <v>244</v>
      </c>
      <c r="B1" s="1575"/>
      <c r="C1" s="1575"/>
      <c r="D1" s="1575"/>
      <c r="E1" s="1575"/>
      <c r="F1" s="1575"/>
      <c r="G1" s="1575"/>
      <c r="H1" s="1575"/>
      <c r="I1" s="1575"/>
      <c r="J1" s="1575"/>
    </row>
    <row r="2" spans="1:12" ht="15" customHeight="1" x14ac:dyDescent="0.25">
      <c r="A2" s="1576" t="s">
        <v>245</v>
      </c>
      <c r="B2" s="1576"/>
      <c r="C2" s="1576"/>
      <c r="D2" s="1576"/>
      <c r="E2" s="1576"/>
      <c r="F2" s="1576"/>
      <c r="G2" s="1576"/>
      <c r="H2" s="1576"/>
      <c r="I2" s="1576"/>
      <c r="J2" s="1576"/>
    </row>
    <row r="4" spans="1:12" s="20" customFormat="1" ht="9.9499999999999993" customHeight="1" x14ac:dyDescent="0.25">
      <c r="A4" s="1577" t="s">
        <v>246</v>
      </c>
      <c r="B4" s="1577"/>
      <c r="C4" s="1577"/>
      <c r="D4" s="1577"/>
      <c r="E4" s="1577"/>
      <c r="F4" s="1577"/>
      <c r="G4" s="1577"/>
      <c r="H4" s="1577"/>
      <c r="I4" s="1577"/>
      <c r="J4" s="1577"/>
    </row>
    <row r="5" spans="1:12" s="20" customFormat="1" ht="9.9499999999999993" customHeight="1" x14ac:dyDescent="0.25">
      <c r="B5" s="21"/>
      <c r="C5" s="21"/>
      <c r="D5" s="21"/>
      <c r="E5" s="21"/>
      <c r="F5" s="21"/>
      <c r="G5" s="21"/>
    </row>
    <row r="6" spans="1:12" x14ac:dyDescent="0.25">
      <c r="A6" s="1558" t="s">
        <v>247</v>
      </c>
      <c r="B6" s="1560"/>
      <c r="C6" s="22">
        <v>22</v>
      </c>
      <c r="D6" s="23"/>
      <c r="E6" s="23"/>
      <c r="F6" s="23"/>
      <c r="G6" s="23"/>
      <c r="H6" s="24"/>
      <c r="I6" s="25" t="s">
        <v>248</v>
      </c>
      <c r="J6" s="26" t="str">
        <f>+VLOOKUP(C6,'ANEXO PLIEGO_1'!$A$7:$C$133,3,FALSE)</f>
        <v>UN</v>
      </c>
    </row>
    <row r="7" spans="1:12" ht="35.1" customHeight="1" x14ac:dyDescent="0.25">
      <c r="A7" s="1568" t="s">
        <v>249</v>
      </c>
      <c r="B7" s="1570"/>
      <c r="C7" s="1578" t="str">
        <f>+VLOOKUP(C6,'ANEXO PLIEGO_1'!$A$7:$B$103,2,FALSE)</f>
        <v>Fabricación, suministro e instalación de tablero de 60 cm, señal Reglamentaria, preventiva o informativa, material reflectivo tipo XI, película antigraffiti, en lámina galvanizada C16 E=1,5 mm, cumpliendo normatividad vigente. (Incluye elementos de fijación)</v>
      </c>
      <c r="D7" s="1579"/>
      <c r="E7" s="1579"/>
      <c r="F7" s="1579"/>
      <c r="G7" s="1579"/>
      <c r="H7" s="1579"/>
      <c r="I7" s="1579"/>
      <c r="J7" s="1580"/>
    </row>
    <row r="9" spans="1:12" s="27" customFormat="1" ht="12.75" x14ac:dyDescent="0.25">
      <c r="A9" s="1561" t="s">
        <v>250</v>
      </c>
      <c r="B9" s="1561"/>
      <c r="C9" s="1561"/>
      <c r="D9" s="1561"/>
      <c r="E9" s="1561"/>
      <c r="F9" s="1561"/>
      <c r="G9" s="1561"/>
      <c r="H9" s="1561"/>
    </row>
    <row r="10" spans="1:12" s="20" customFormat="1" ht="13.9" customHeight="1" x14ac:dyDescent="0.25">
      <c r="A10" s="1562" t="s">
        <v>251</v>
      </c>
      <c r="B10" s="1563"/>
      <c r="C10" s="1563"/>
      <c r="D10" s="1564"/>
      <c r="E10" s="28" t="s">
        <v>252</v>
      </c>
      <c r="F10" s="28" t="s">
        <v>253</v>
      </c>
      <c r="G10" s="28" t="s">
        <v>254</v>
      </c>
      <c r="H10" s="28" t="s">
        <v>255</v>
      </c>
      <c r="I10" s="28" t="s">
        <v>256</v>
      </c>
      <c r="J10" s="28" t="s">
        <v>257</v>
      </c>
    </row>
    <row r="11" spans="1:12" s="20" customFormat="1" ht="13.9" customHeight="1" x14ac:dyDescent="0.25">
      <c r="A11" s="1558" t="str">
        <f>+'EQUIPOS '!B7</f>
        <v xml:space="preserve">CIZALLA DE CORTE VERTICAL </v>
      </c>
      <c r="B11" s="1559"/>
      <c r="C11" s="1559"/>
      <c r="D11" s="1560"/>
      <c r="E11" s="29" t="s">
        <v>202</v>
      </c>
      <c r="F11" s="30" t="str">
        <f>IFERROR(VLOOKUP(L11,'[10]EQUIPOS TRANSPOR SALARIO'!$A$3:$G$42,2,FALSE),0)</f>
        <v>Eléctrico</v>
      </c>
      <c r="G11" s="31">
        <f>IFERROR(VLOOKUP(A11,'EQUIPOS '!$B$3:$N$55,12,FALSE),0)</f>
        <v>5174.01</v>
      </c>
      <c r="H11" s="32">
        <v>10</v>
      </c>
      <c r="I11" s="33">
        <f>IFERROR((G11/H11),0)</f>
        <v>517.40100000000007</v>
      </c>
      <c r="J11" s="33">
        <f>ROUND(I11,0)</f>
        <v>517</v>
      </c>
      <c r="L11" s="80" t="s">
        <v>258</v>
      </c>
    </row>
    <row r="12" spans="1:12" s="20" customFormat="1" ht="13.9" customHeight="1" x14ac:dyDescent="0.25">
      <c r="A12" s="1558" t="str">
        <f>+'EQUIPOS '!B9</f>
        <v>COMPRESOR</v>
      </c>
      <c r="B12" s="1559"/>
      <c r="C12" s="1559"/>
      <c r="D12" s="1560"/>
      <c r="E12" s="29" t="s">
        <v>202</v>
      </c>
      <c r="F12" s="30" t="str">
        <f>IFERROR(VLOOKUP(L12,'[10]EQUIPOS TRANSPOR SALARIO'!$A$3:$G$42,2,FALSE),0)</f>
        <v>Electrostática</v>
      </c>
      <c r="G12" s="31">
        <f>IFERROR(VLOOKUP(A12,'EQUIPOS '!$B$3:$N$55,12,FALSE),0)</f>
        <v>7999.94</v>
      </c>
      <c r="H12" s="32">
        <f t="shared" ref="H12:H17" si="0">+H11</f>
        <v>10</v>
      </c>
      <c r="I12" s="33">
        <f t="shared" ref="I12:I19" si="1">IFERROR((G12/H12),0)</f>
        <v>799.99399999999991</v>
      </c>
      <c r="J12" s="33">
        <f t="shared" ref="J12:J19" si="2">ROUND(I12,0)</f>
        <v>800</v>
      </c>
      <c r="L12" s="80" t="s">
        <v>260</v>
      </c>
    </row>
    <row r="13" spans="1:12" s="20" customFormat="1" ht="13.9" customHeight="1" x14ac:dyDescent="0.25">
      <c r="A13" s="1558" t="str">
        <f>+'EQUIPOS '!B25</f>
        <v>EQUIPO  COLAMINADO</v>
      </c>
      <c r="B13" s="1559"/>
      <c r="C13" s="1559"/>
      <c r="D13" s="1560"/>
      <c r="E13" s="29" t="s">
        <v>202</v>
      </c>
      <c r="F13" s="30" t="str">
        <f>IFERROR(VLOOKUP(L13,'[10]EQUIPOS TRANSPOR SALARIO'!$A$3:$G$42,2,FALSE),0)</f>
        <v>Eléctrico</v>
      </c>
      <c r="G13" s="31">
        <f>IFERROR(VLOOKUP(A13,'EQUIPOS '!$B$3:$N$55,12,FALSE),0)</f>
        <v>4701.8100000000004</v>
      </c>
      <c r="H13" s="32">
        <f t="shared" si="0"/>
        <v>10</v>
      </c>
      <c r="I13" s="33">
        <f t="shared" si="1"/>
        <v>470.18100000000004</v>
      </c>
      <c r="J13" s="33">
        <f t="shared" si="2"/>
        <v>470</v>
      </c>
      <c r="L13" s="80" t="s">
        <v>261</v>
      </c>
    </row>
    <row r="14" spans="1:12" s="20" customFormat="1" ht="13.9" customHeight="1" x14ac:dyDescent="0.25">
      <c r="A14" s="1558" t="str">
        <f>+'EQUIPOS '!B24</f>
        <v>EQUIPO PINTURA ELECTROSTÁTICA</v>
      </c>
      <c r="B14" s="1559"/>
      <c r="C14" s="1559"/>
      <c r="D14" s="1560"/>
      <c r="E14" s="29" t="s">
        <v>202</v>
      </c>
      <c r="F14" s="30" t="str">
        <f>IFERROR(VLOOKUP(L14,'[10]EQUIPOS TRANSPOR SALARIO'!$A$3:$G$42,2,FALSE),0)</f>
        <v>Manual</v>
      </c>
      <c r="G14" s="31">
        <f>IFERROR(VLOOKUP(A14,'EQUIPOS '!$B$3:$N$55,12,FALSE),0)</f>
        <v>4047.59</v>
      </c>
      <c r="H14" s="32">
        <f t="shared" si="0"/>
        <v>10</v>
      </c>
      <c r="I14" s="33">
        <f t="shared" si="1"/>
        <v>404.75900000000001</v>
      </c>
      <c r="J14" s="33">
        <f t="shared" si="2"/>
        <v>405</v>
      </c>
      <c r="L14" s="80" t="s">
        <v>94</v>
      </c>
    </row>
    <row r="15" spans="1:12" s="20" customFormat="1" ht="13.9" customHeight="1" x14ac:dyDescent="0.25">
      <c r="A15" s="1558" t="str">
        <f>+'EQUIPOS '!B27</f>
        <v xml:space="preserve">EQUIPO SOLDADURA ELECTRICA </v>
      </c>
      <c r="B15" s="1559"/>
      <c r="C15" s="1559"/>
      <c r="D15" s="1560"/>
      <c r="E15" s="29" t="s">
        <v>202</v>
      </c>
      <c r="F15" s="30" t="str">
        <f>IFERROR(VLOOKUP(L15,'[10]EQUIPOS TRANSPOR SALARIO'!$A$3:$G$42,2,FALSE),0)</f>
        <v>Global</v>
      </c>
      <c r="G15" s="31">
        <f>IFERROR(VLOOKUP(A15,'EQUIPOS '!$B$3:$N$55,12,FALSE),0)</f>
        <v>4862.5</v>
      </c>
      <c r="H15" s="32">
        <f t="shared" si="0"/>
        <v>10</v>
      </c>
      <c r="I15" s="33">
        <f t="shared" si="1"/>
        <v>486.25</v>
      </c>
      <c r="J15" s="33">
        <f t="shared" si="2"/>
        <v>486</v>
      </c>
      <c r="L15" s="80" t="s">
        <v>262</v>
      </c>
    </row>
    <row r="16" spans="1:12" s="20" customFormat="1" ht="22.5" customHeight="1" x14ac:dyDescent="0.25">
      <c r="A16" s="1568" t="str">
        <f>+'EQUIPOS '!B51</f>
        <v xml:space="preserve">IMPRESORA DIGITAL PARA SEÑALES DE TRÁNSITO </v>
      </c>
      <c r="B16" s="1569"/>
      <c r="C16" s="1569"/>
      <c r="D16" s="1570"/>
      <c r="E16" s="29" t="s">
        <v>202</v>
      </c>
      <c r="F16" s="30"/>
      <c r="G16" s="31">
        <f>IFERROR(VLOOKUP(A16,'EQUIPOS '!$B$3:$N$55,12,FALSE),0)</f>
        <v>64227.08</v>
      </c>
      <c r="H16" s="32">
        <f t="shared" si="0"/>
        <v>10</v>
      </c>
      <c r="I16" s="33">
        <f>IFERROR((G16/H16),0)</f>
        <v>6422.7080000000005</v>
      </c>
      <c r="J16" s="33">
        <f t="shared" si="2"/>
        <v>6423</v>
      </c>
      <c r="L16" s="78"/>
    </row>
    <row r="17" spans="1:17" s="20" customFormat="1" ht="13.9" customHeight="1" x14ac:dyDescent="0.25">
      <c r="A17" s="1558" t="str">
        <f>+'EQUIPOS '!B39</f>
        <v xml:space="preserve">PULIDORA </v>
      </c>
      <c r="B17" s="1559"/>
      <c r="C17" s="1559"/>
      <c r="D17" s="1560"/>
      <c r="E17" s="29" t="s">
        <v>202</v>
      </c>
      <c r="F17" s="30"/>
      <c r="G17" s="31">
        <f>IFERROR(VLOOKUP(A17,'EQUIPOS '!$B$3:$N$55,12,FALSE),0)</f>
        <v>2821</v>
      </c>
      <c r="H17" s="32">
        <f t="shared" si="0"/>
        <v>10</v>
      </c>
      <c r="I17" s="33">
        <f t="shared" si="1"/>
        <v>282.10000000000002</v>
      </c>
      <c r="J17" s="33">
        <f t="shared" si="2"/>
        <v>282</v>
      </c>
      <c r="L17" s="78"/>
      <c r="M17" s="27"/>
      <c r="N17" s="27"/>
      <c r="O17" s="27"/>
    </row>
    <row r="18" spans="1:17" s="20" customFormat="1" ht="13.9" customHeight="1" x14ac:dyDescent="0.25">
      <c r="A18" s="1558" t="s">
        <v>330</v>
      </c>
      <c r="B18" s="1559"/>
      <c r="C18" s="1559"/>
      <c r="D18" s="1560"/>
      <c r="E18" s="29" t="s">
        <v>202</v>
      </c>
      <c r="F18" s="30"/>
      <c r="G18" s="74">
        <v>0.01</v>
      </c>
      <c r="H18" s="32">
        <f>+J54</f>
        <v>5324</v>
      </c>
      <c r="I18" s="33">
        <f>IFERROR((G18*H18),0)</f>
        <v>53.24</v>
      </c>
      <c r="J18" s="33">
        <f t="shared" si="2"/>
        <v>53</v>
      </c>
      <c r="L18" s="78"/>
      <c r="M18" s="78"/>
      <c r="N18" s="78"/>
      <c r="O18" s="78"/>
    </row>
    <row r="19" spans="1:17" s="20" customFormat="1" ht="13.9" customHeight="1" x14ac:dyDescent="0.25">
      <c r="A19" s="1558" t="str">
        <f>+'EQUIPOS '!B43</f>
        <v>TALADRO DE ARBOL</v>
      </c>
      <c r="B19" s="1559"/>
      <c r="C19" s="1559"/>
      <c r="D19" s="1560"/>
      <c r="E19" s="29" t="s">
        <v>202</v>
      </c>
      <c r="F19" s="30">
        <f>IFERROR(VLOOKUP(A19,'[10]EQUIPOS TRANSPOR SALARIO'!$A$3:$G$42,2,FALSE),0)</f>
        <v>0</v>
      </c>
      <c r="G19" s="31">
        <f>IFERROR(VLOOKUP(A19,'EQUIPOS '!$B$3:$N$55,12,FALSE),0)</f>
        <v>4898</v>
      </c>
      <c r="H19" s="32">
        <v>5.5</v>
      </c>
      <c r="I19" s="33">
        <f t="shared" si="1"/>
        <v>890.5454545454545</v>
      </c>
      <c r="J19" s="33">
        <f t="shared" si="2"/>
        <v>891</v>
      </c>
    </row>
    <row r="20" spans="1:17" s="20" customFormat="1" ht="13.9" customHeight="1" x14ac:dyDescent="0.25">
      <c r="A20" s="1558"/>
      <c r="B20" s="1559"/>
      <c r="C20" s="1559"/>
      <c r="D20" s="1560"/>
      <c r="E20" s="29"/>
      <c r="F20" s="30"/>
      <c r="G20" s="31"/>
      <c r="H20" s="32"/>
      <c r="I20" s="33"/>
      <c r="J20" s="33"/>
    </row>
    <row r="21" spans="1:17" s="20" customFormat="1" ht="13.9" customHeight="1" x14ac:dyDescent="0.25">
      <c r="I21" s="30" t="s">
        <v>257</v>
      </c>
      <c r="J21" s="34">
        <f>+SUM(J11:J20)</f>
        <v>10327</v>
      </c>
    </row>
    <row r="22" spans="1:17" s="20" customFormat="1" ht="13.9" customHeight="1" x14ac:dyDescent="0.25"/>
    <row r="23" spans="1:17" s="20" customFormat="1" ht="13.9" customHeight="1" x14ac:dyDescent="0.25">
      <c r="A23" s="1561" t="s">
        <v>263</v>
      </c>
      <c r="B23" s="1561"/>
      <c r="C23" s="1561"/>
      <c r="D23" s="1561"/>
      <c r="E23" s="1561"/>
      <c r="F23" s="1561"/>
      <c r="G23" s="1561"/>
      <c r="H23" s="1561"/>
      <c r="I23" s="27"/>
    </row>
    <row r="24" spans="1:17" ht="13.9" customHeight="1" x14ac:dyDescent="0.25">
      <c r="A24" s="1565" t="s">
        <v>251</v>
      </c>
      <c r="B24" s="1566"/>
      <c r="C24" s="1566"/>
      <c r="D24" s="1566"/>
      <c r="E24" s="1566"/>
      <c r="F24" s="1567"/>
      <c r="G24" s="28" t="s">
        <v>252</v>
      </c>
      <c r="H24" s="28" t="s">
        <v>264</v>
      </c>
      <c r="I24" s="28" t="s">
        <v>256</v>
      </c>
      <c r="J24" s="28" t="s">
        <v>257</v>
      </c>
    </row>
    <row r="25" spans="1:17" ht="13.9" customHeight="1" x14ac:dyDescent="0.25">
      <c r="A25" s="1558" t="str">
        <f>+'1'!A24:F24</f>
        <v>LÁMINA GALVANIZADA C 16 E=1,50 mm</v>
      </c>
      <c r="B25" s="1559"/>
      <c r="C25" s="1559"/>
      <c r="D25" s="1559"/>
      <c r="E25" s="1559"/>
      <c r="F25" s="1560"/>
      <c r="G25" s="29" t="s">
        <v>12</v>
      </c>
      <c r="H25" s="35">
        <f>0.6*0.6</f>
        <v>0.36</v>
      </c>
      <c r="I25" s="33">
        <f>+IFERROR(VLOOKUP(A25,'INSUMOS '!$B$2:$AP$167,'INSUMOS '!$AO$2+1,FALSE),0)</f>
        <v>85500.55</v>
      </c>
      <c r="J25" s="33">
        <f>ROUND(I25*H25,0)</f>
        <v>30780</v>
      </c>
      <c r="K25" s="758">
        <f>+J25/$J$35</f>
        <v>0.22662180369751364</v>
      </c>
      <c r="L25" s="1558" t="s">
        <v>11</v>
      </c>
      <c r="M25" s="1559"/>
      <c r="N25" s="1559"/>
      <c r="O25" s="1559"/>
      <c r="P25" s="1559"/>
      <c r="Q25" s="1560"/>
    </row>
    <row r="26" spans="1:17" ht="13.9" customHeight="1" x14ac:dyDescent="0.25">
      <c r="A26" s="1558" t="str">
        <f>+'INSUMOS '!B63</f>
        <v xml:space="preserve">PAPEL REFLECTIVO TIPO XI </v>
      </c>
      <c r="B26" s="1559"/>
      <c r="C26" s="1559"/>
      <c r="D26" s="1559"/>
      <c r="E26" s="1559"/>
      <c r="F26" s="1560"/>
      <c r="G26" s="29" t="s">
        <v>12</v>
      </c>
      <c r="H26" s="35">
        <f>+H25</f>
        <v>0.36</v>
      </c>
      <c r="I26" s="33">
        <f>+IFERROR(VLOOKUP(A26,'INSUMOS '!$B$2:$AP$167,'INSUMOS '!$AO$2+1,FALSE),0)</f>
        <v>153328.9296</v>
      </c>
      <c r="J26" s="33">
        <f t="shared" ref="J26:J30" si="3">ROUND(I26*H26,0)</f>
        <v>55198</v>
      </c>
      <c r="K26" s="758">
        <f t="shared" ref="K26:K33" si="4">+J26/$J$35</f>
        <v>0.40640254452551522</v>
      </c>
      <c r="L26" s="1558" t="s">
        <v>18</v>
      </c>
      <c r="M26" s="1559"/>
      <c r="N26" s="1559"/>
      <c r="O26" s="1559"/>
      <c r="P26" s="1559"/>
      <c r="Q26" s="1560"/>
    </row>
    <row r="27" spans="1:17" ht="13.9" customHeight="1" x14ac:dyDescent="0.25">
      <c r="A27" s="1558" t="str">
        <f>+'1'!A26:F26</f>
        <v>TORNILLOS 5/16 ZINCADO  (INCLUYE TUERCA DE SEGURIDAD Y ARANDELA)</v>
      </c>
      <c r="B27" s="1559"/>
      <c r="C27" s="1559"/>
      <c r="D27" s="1559"/>
      <c r="E27" s="1559"/>
      <c r="F27" s="1560"/>
      <c r="G27" s="29" t="s">
        <v>266</v>
      </c>
      <c r="H27" s="35">
        <v>4</v>
      </c>
      <c r="I27" s="33">
        <f>+IFERROR(VLOOKUP(A27,'INSUMOS '!$B$2:$AP$167,'INSUMOS '!$AO$2+1,FALSE),0)</f>
        <v>1747.5</v>
      </c>
      <c r="J27" s="33">
        <f t="shared" si="3"/>
        <v>6990</v>
      </c>
      <c r="K27" s="758">
        <f t="shared" si="4"/>
        <v>5.1464795576530872E-2</v>
      </c>
      <c r="L27" s="1558" t="s">
        <v>16</v>
      </c>
      <c r="M27" s="1559"/>
      <c r="N27" s="1559"/>
      <c r="O27" s="1559"/>
      <c r="P27" s="1559"/>
      <c r="Q27" s="1560"/>
    </row>
    <row r="28" spans="1:17" ht="13.9" customHeight="1" x14ac:dyDescent="0.25">
      <c r="A28" s="1558" t="str">
        <f>+'INSUMOS '!B89</f>
        <v>REMACHES CON ARANDELAS POR 1"</v>
      </c>
      <c r="B28" s="1559"/>
      <c r="C28" s="1559"/>
      <c r="D28" s="1559"/>
      <c r="E28" s="1559"/>
      <c r="F28" s="1560"/>
      <c r="G28" s="29" t="s">
        <v>266</v>
      </c>
      <c r="H28" s="35">
        <v>4</v>
      </c>
      <c r="I28" s="33">
        <f>+IFERROR(VLOOKUP(A28,'INSUMOS '!$B$2:$AP$167,'INSUMOS '!$AO$2+1,FALSE),0)</f>
        <v>940</v>
      </c>
      <c r="J28" s="33">
        <f t="shared" si="3"/>
        <v>3760</v>
      </c>
      <c r="K28" s="758">
        <f t="shared" si="4"/>
        <v>2.7683495188520185E-2</v>
      </c>
      <c r="L28" s="1558" t="s">
        <v>17</v>
      </c>
      <c r="M28" s="1559"/>
      <c r="N28" s="1559"/>
      <c r="O28" s="1559"/>
      <c r="P28" s="1559"/>
      <c r="Q28" s="1560"/>
    </row>
    <row r="29" spans="1:17" ht="13.9" customHeight="1" x14ac:dyDescent="0.25">
      <c r="A29" s="1558" t="str">
        <f>+'1'!A29:F29</f>
        <v>TINTA TRASLUCIDA PARA CINTA REFLECTIVA</v>
      </c>
      <c r="B29" s="1559"/>
      <c r="C29" s="1559"/>
      <c r="D29" s="1559"/>
      <c r="E29" s="1559"/>
      <c r="F29" s="1560"/>
      <c r="G29" s="29" t="s">
        <v>157</v>
      </c>
      <c r="H29" s="35">
        <f>H25/3.44*0.22</f>
        <v>2.3023255813953487E-2</v>
      </c>
      <c r="I29" s="33">
        <f>+IFERROR(VLOOKUP(A29,'INSUMOS '!$B$2:$AP$167,'INSUMOS '!$AO$2+1,FALSE),0)</f>
        <v>440873.77039999992</v>
      </c>
      <c r="J29" s="33">
        <f t="shared" si="3"/>
        <v>10150</v>
      </c>
      <c r="K29" s="758">
        <f t="shared" si="4"/>
        <v>7.4730711745606346E-2</v>
      </c>
      <c r="L29" s="1558" t="s">
        <v>19</v>
      </c>
      <c r="M29" s="1559"/>
      <c r="N29" s="1559"/>
      <c r="O29" s="1559"/>
      <c r="P29" s="1559"/>
      <c r="Q29" s="1560"/>
    </row>
    <row r="30" spans="1:17" ht="13.9" customHeight="1" x14ac:dyDescent="0.25">
      <c r="A30" s="1558" t="str">
        <f>+'1'!A31:F31</f>
        <v xml:space="preserve">STEAKER 15 X 15 CM EN PAPEL REFLECTIVO TIPO IV O SUPERIOR </v>
      </c>
      <c r="B30" s="1559"/>
      <c r="C30" s="1559"/>
      <c r="D30" s="1559"/>
      <c r="E30" s="1559"/>
      <c r="F30" s="1560"/>
      <c r="G30" s="29" t="s">
        <v>266</v>
      </c>
      <c r="H30" s="35">
        <v>1</v>
      </c>
      <c r="I30" s="33">
        <f>+IFERROR(VLOOKUP(A30,'INSUMOS '!$B$2:$AP$167,'INSUMOS '!$AO$2+1,FALSE),0)</f>
        <v>2500</v>
      </c>
      <c r="J30" s="33">
        <f t="shared" si="3"/>
        <v>2500</v>
      </c>
      <c r="K30" s="758">
        <f t="shared" si="4"/>
        <v>1.8406579247686294E-2</v>
      </c>
      <c r="L30" s="1558" t="s">
        <v>21</v>
      </c>
      <c r="M30" s="1559"/>
      <c r="N30" s="1559"/>
      <c r="O30" s="1559"/>
      <c r="P30" s="1559"/>
      <c r="Q30" s="1560"/>
    </row>
    <row r="31" spans="1:17" ht="13.9" customHeight="1" x14ac:dyDescent="0.25">
      <c r="A31" s="1558" t="str">
        <f>+'1'!A32:F32</f>
        <v>BROCA PARA METAL 1/2"</v>
      </c>
      <c r="B31" s="1559"/>
      <c r="C31" s="1559"/>
      <c r="D31" s="1559"/>
      <c r="E31" s="1559"/>
      <c r="F31" s="1560"/>
      <c r="G31" s="29" t="s">
        <v>266</v>
      </c>
      <c r="H31" s="35">
        <v>0.01</v>
      </c>
      <c r="I31" s="33">
        <f>+IFERROR(VLOOKUP(A31,'INSUMOS '!$B$2:$AP$167,'INSUMOS '!$AO$2+1,FALSE),0)</f>
        <v>31741.5</v>
      </c>
      <c r="J31" s="33">
        <f>ROUND(I31*H31,0)</f>
        <v>317</v>
      </c>
      <c r="K31" s="758">
        <f t="shared" si="4"/>
        <v>2.3339542486066219E-3</v>
      </c>
      <c r="L31" s="1568" t="s">
        <v>9</v>
      </c>
      <c r="M31" s="1569"/>
      <c r="N31" s="1569"/>
      <c r="O31" s="1569"/>
      <c r="P31" s="1569"/>
      <c r="Q31" s="1570"/>
    </row>
    <row r="32" spans="1:17" ht="13.9" customHeight="1" x14ac:dyDescent="0.25">
      <c r="A32" s="1558" t="str">
        <f>+'INSUMOS '!B85</f>
        <v>PROTECTOR ANTIGRAFFITI</v>
      </c>
      <c r="B32" s="1559"/>
      <c r="C32" s="1559"/>
      <c r="D32" s="1559"/>
      <c r="E32" s="1559"/>
      <c r="F32" s="1560"/>
      <c r="G32" s="29" t="s">
        <v>12</v>
      </c>
      <c r="H32" s="35">
        <f>+H25</f>
        <v>0.36</v>
      </c>
      <c r="I32" s="33">
        <f>+IFERROR(VLOOKUP(A32,'INSUMOS '!$B$2:$AP$167,'INSUMOS '!$AO$2+1,FALSE),0)</f>
        <v>65174.538799999995</v>
      </c>
      <c r="J32" s="33">
        <f>ROUND(I32*H32,0)</f>
        <v>23463</v>
      </c>
      <c r="K32" s="758">
        <f t="shared" si="4"/>
        <v>0.17274942755538539</v>
      </c>
    </row>
    <row r="33" spans="1:12" ht="13.9" customHeight="1" x14ac:dyDescent="0.25">
      <c r="A33" s="1558" t="str">
        <f>+'1'!A33:F33</f>
        <v xml:space="preserve">DESPERDICIO </v>
      </c>
      <c r="B33" s="1559"/>
      <c r="C33" s="1559"/>
      <c r="D33" s="1559"/>
      <c r="E33" s="1559"/>
      <c r="F33" s="1560"/>
      <c r="G33" s="29"/>
      <c r="H33" s="74">
        <v>0.02</v>
      </c>
      <c r="I33" s="33">
        <f>+SUM(J25:J32)</f>
        <v>133158</v>
      </c>
      <c r="J33" s="33">
        <f>ROUND(I33*H33,0)</f>
        <v>2663</v>
      </c>
      <c r="K33" s="758">
        <f t="shared" si="4"/>
        <v>1.9606688214635438E-2</v>
      </c>
    </row>
    <row r="34" spans="1:12" ht="13.9" customHeight="1" x14ac:dyDescent="0.25">
      <c r="A34" s="1558"/>
      <c r="B34" s="1559"/>
      <c r="C34" s="1559"/>
      <c r="D34" s="1559"/>
      <c r="E34" s="1559"/>
      <c r="F34" s="1560"/>
      <c r="G34" s="29"/>
      <c r="H34" s="35"/>
      <c r="I34" s="33"/>
      <c r="J34" s="33"/>
    </row>
    <row r="35" spans="1:12" ht="13.9" customHeight="1" x14ac:dyDescent="0.25">
      <c r="A35" s="20"/>
      <c r="B35" s="20"/>
      <c r="C35" s="20"/>
      <c r="D35" s="20"/>
      <c r="E35" s="20"/>
      <c r="G35" s="20"/>
      <c r="H35" s="20"/>
      <c r="I35" s="30" t="s">
        <v>257</v>
      </c>
      <c r="J35" s="34">
        <f>+SUM(J25:J34)</f>
        <v>135821</v>
      </c>
      <c r="K35" s="758">
        <f>+J35/I56</f>
        <v>0.89483081220682026</v>
      </c>
    </row>
    <row r="36" spans="1:12" ht="13.9" customHeight="1" x14ac:dyDescent="0.25"/>
    <row r="37" spans="1:12" ht="13.9" customHeight="1" x14ac:dyDescent="0.25">
      <c r="A37" s="1561" t="s">
        <v>267</v>
      </c>
      <c r="B37" s="1561"/>
      <c r="C37" s="1561"/>
      <c r="D37" s="1561"/>
      <c r="E37" s="1561"/>
      <c r="F37" s="1561"/>
      <c r="G37" s="1561"/>
      <c r="H37" s="1561"/>
      <c r="I37" s="27"/>
    </row>
    <row r="38" spans="1:12" ht="13.9" customHeight="1" x14ac:dyDescent="0.25">
      <c r="A38" s="1562" t="s">
        <v>268</v>
      </c>
      <c r="B38" s="1563"/>
      <c r="C38" s="1563"/>
      <c r="D38" s="1563"/>
      <c r="E38" s="1563"/>
      <c r="F38" s="1564"/>
      <c r="G38" s="38" t="s">
        <v>255</v>
      </c>
      <c r="H38" s="28" t="s">
        <v>269</v>
      </c>
      <c r="I38" s="28" t="s">
        <v>256</v>
      </c>
      <c r="J38" s="28" t="s">
        <v>257</v>
      </c>
    </row>
    <row r="39" spans="1:12" ht="13.9" customHeight="1" x14ac:dyDescent="0.25">
      <c r="A39" s="1558" t="str">
        <f>+'21'!A53:F53</f>
        <v>CAMION INCLUYE CONDUCTOR</v>
      </c>
      <c r="B39" s="1559"/>
      <c r="C39" s="1559"/>
      <c r="D39" s="1559"/>
      <c r="E39" s="1559"/>
      <c r="F39" s="1560"/>
      <c r="G39" s="29">
        <f>(+L39/1000)/12</f>
        <v>5.1000000000000004E-4</v>
      </c>
      <c r="H39" s="33">
        <f>+IFERROR(VLOOKUP(A39,'EQUIPOS '!$B$3:$M$78,12,FALSE),0)</f>
        <v>611492.5</v>
      </c>
      <c r="I39" s="33">
        <f>IFERROR(H39*G39,0)</f>
        <v>311.861175</v>
      </c>
      <c r="J39" s="33">
        <f>ROUND(I39,0)</f>
        <v>312</v>
      </c>
      <c r="L39" s="19">
        <f>17*H25</f>
        <v>6.12</v>
      </c>
    </row>
    <row r="40" spans="1:12" ht="13.9" customHeight="1" x14ac:dyDescent="0.25">
      <c r="A40" s="1558"/>
      <c r="B40" s="1559"/>
      <c r="C40" s="1559"/>
      <c r="D40" s="1559"/>
      <c r="E40" s="1559"/>
      <c r="F40" s="1560"/>
      <c r="G40" s="29"/>
      <c r="H40" s="33"/>
      <c r="I40" s="33"/>
      <c r="J40" s="33"/>
    </row>
    <row r="41" spans="1:12" ht="13.9" customHeight="1" x14ac:dyDescent="0.25">
      <c r="A41" s="1558"/>
      <c r="B41" s="1559"/>
      <c r="C41" s="1559"/>
      <c r="D41" s="1559"/>
      <c r="E41" s="1559"/>
      <c r="F41" s="1560"/>
      <c r="G41" s="29"/>
      <c r="H41" s="33"/>
      <c r="I41" s="33"/>
      <c r="J41" s="33"/>
    </row>
    <row r="42" spans="1:12" ht="13.9" customHeight="1" x14ac:dyDescent="0.25">
      <c r="G42" s="39"/>
      <c r="H42" s="39"/>
      <c r="I42" s="30" t="s">
        <v>257</v>
      </c>
      <c r="J42" s="33">
        <f>+SUM(J39:J41)</f>
        <v>312</v>
      </c>
    </row>
    <row r="43" spans="1:12" ht="13.9" customHeight="1" x14ac:dyDescent="0.25"/>
    <row r="44" spans="1:12" ht="13.9" customHeight="1" x14ac:dyDescent="0.25">
      <c r="A44" s="1561" t="s">
        <v>270</v>
      </c>
      <c r="B44" s="1561"/>
      <c r="C44" s="1561"/>
      <c r="D44" s="1561"/>
      <c r="E44" s="1561"/>
      <c r="F44" s="1561"/>
      <c r="G44" s="1561"/>
      <c r="H44" s="1561"/>
      <c r="I44" s="27"/>
    </row>
    <row r="45" spans="1:12" s="39" customFormat="1" ht="13.9" customHeight="1" x14ac:dyDescent="0.25">
      <c r="A45" s="1562" t="s">
        <v>271</v>
      </c>
      <c r="B45" s="1563"/>
      <c r="C45" s="1563"/>
      <c r="D45" s="1564"/>
      <c r="E45" s="28" t="s">
        <v>272</v>
      </c>
      <c r="F45" s="28" t="s">
        <v>264</v>
      </c>
      <c r="G45" s="28" t="s">
        <v>273</v>
      </c>
      <c r="H45" s="28" t="s">
        <v>255</v>
      </c>
      <c r="I45" s="28" t="s">
        <v>256</v>
      </c>
      <c r="J45" s="28" t="s">
        <v>257</v>
      </c>
    </row>
    <row r="46" spans="1:12" s="39" customFormat="1" ht="13.9" customHeight="1" x14ac:dyDescent="0.25">
      <c r="A46" s="1558" t="str">
        <f>+PERSONAL!B7</f>
        <v>COLAMINADOR</v>
      </c>
      <c r="B46" s="1559"/>
      <c r="C46" s="1559"/>
      <c r="D46" s="1560"/>
      <c r="E46" s="40">
        <f>+IFERROR(VLOOKUP(A46,PERSONAL!$B$3:$E$56,4,FALSE),0)</f>
        <v>91275</v>
      </c>
      <c r="F46" s="30">
        <v>1</v>
      </c>
      <c r="G46" s="40">
        <f>+E46*F46</f>
        <v>91275</v>
      </c>
      <c r="H46" s="35">
        <f>+H11*8</f>
        <v>80</v>
      </c>
      <c r="I46" s="33">
        <f>IFERROR(ROUND(G46/H46,0),0)</f>
        <v>1141</v>
      </c>
      <c r="J46" s="33">
        <f>+I46</f>
        <v>1141</v>
      </c>
    </row>
    <row r="47" spans="1:12" s="39" customFormat="1" ht="13.9" customHeight="1" x14ac:dyDescent="0.25">
      <c r="A47" s="1558" t="str">
        <f>+PERSONAL!B5</f>
        <v xml:space="preserve">AYUDANTE </v>
      </c>
      <c r="B47" s="1559"/>
      <c r="C47" s="1559"/>
      <c r="D47" s="1560"/>
      <c r="E47" s="40">
        <f>+IFERROR(VLOOKUP(A47,PERSONAL!$B$3:$E$56,4,FALSE),0)</f>
        <v>72476</v>
      </c>
      <c r="F47" s="30">
        <v>2</v>
      </c>
      <c r="G47" s="40">
        <f>+E47*F47</f>
        <v>144952</v>
      </c>
      <c r="H47" s="35">
        <f>+H12*8</f>
        <v>80</v>
      </c>
      <c r="I47" s="33">
        <f>IFERROR(ROUND(G47/H47,0),0)</f>
        <v>1812</v>
      </c>
      <c r="J47" s="33">
        <f>+I47</f>
        <v>1812</v>
      </c>
    </row>
    <row r="48" spans="1:12" s="39" customFormat="1" ht="13.9" customHeight="1" x14ac:dyDescent="0.25">
      <c r="A48" s="5" t="str">
        <f>+PERSONAL!B27</f>
        <v xml:space="preserve">PINTOR </v>
      </c>
      <c r="B48" s="6"/>
      <c r="C48" s="6"/>
      <c r="D48" s="7"/>
      <c r="E48" s="40">
        <f>+IFERROR(VLOOKUP(A48,PERSONAL!$B$3:$E$56,4,FALSE),0)</f>
        <v>100054</v>
      </c>
      <c r="F48" s="30">
        <v>1</v>
      </c>
      <c r="G48" s="40">
        <f>+E48*F48</f>
        <v>100054</v>
      </c>
      <c r="H48" s="35">
        <f>+H14*8</f>
        <v>80</v>
      </c>
      <c r="I48" s="33">
        <f>IFERROR(ROUND(G48/H48,0),0)</f>
        <v>1251</v>
      </c>
      <c r="J48" s="33">
        <f>+I48</f>
        <v>1251</v>
      </c>
    </row>
    <row r="49" spans="1:11" s="39" customFormat="1" ht="13.9" customHeight="1" x14ac:dyDescent="0.25">
      <c r="A49" s="1558" t="str">
        <f>+PERSONAL!B3</f>
        <v>AUXILIAR DE TRÁFICO</v>
      </c>
      <c r="B49" s="1559"/>
      <c r="C49" s="1559"/>
      <c r="D49" s="1560"/>
      <c r="E49" s="40">
        <f>+IFERROR(VLOOKUP(A49,PERSONAL!$B$3:$E$56,4,FALSE),0)</f>
        <v>89632</v>
      </c>
      <c r="F49" s="30">
        <v>1</v>
      </c>
      <c r="G49" s="1422">
        <f>+E49*F49</f>
        <v>89632</v>
      </c>
      <c r="H49" s="35">
        <f>+H15*8</f>
        <v>80</v>
      </c>
      <c r="I49" s="33">
        <f>IFERROR(ROUND(G49/H49,0),0)</f>
        <v>1120</v>
      </c>
      <c r="J49" s="33">
        <f>+I49</f>
        <v>1120</v>
      </c>
    </row>
    <row r="50" spans="1:11" s="39" customFormat="1" ht="13.9" hidden="1" customHeight="1" x14ac:dyDescent="0.25"/>
    <row r="51" spans="1:11" s="39" customFormat="1" ht="13.9" customHeight="1" x14ac:dyDescent="0.25">
      <c r="A51" s="1558"/>
      <c r="B51" s="1559"/>
      <c r="C51" s="1559"/>
      <c r="D51" s="1560"/>
      <c r="E51" s="40"/>
      <c r="F51" s="30"/>
      <c r="G51" s="40"/>
      <c r="H51" s="35"/>
      <c r="I51" s="33"/>
      <c r="J51" s="33"/>
    </row>
    <row r="52" spans="1:11" s="39" customFormat="1" ht="13.9" customHeight="1" x14ac:dyDescent="0.25">
      <c r="A52" s="1558"/>
      <c r="B52" s="1559"/>
      <c r="C52" s="1559"/>
      <c r="D52" s="1560"/>
      <c r="E52" s="40"/>
      <c r="F52" s="30"/>
      <c r="G52" s="40"/>
      <c r="H52" s="35"/>
      <c r="I52" s="33"/>
      <c r="J52" s="33"/>
    </row>
    <row r="53" spans="1:11" s="39" customFormat="1" ht="13.9" customHeight="1" x14ac:dyDescent="0.25">
      <c r="A53" s="1558"/>
      <c r="B53" s="1559"/>
      <c r="C53" s="1559"/>
      <c r="D53" s="1560"/>
      <c r="E53" s="40"/>
      <c r="F53" s="30"/>
      <c r="G53" s="40"/>
      <c r="H53" s="35"/>
      <c r="I53" s="33"/>
      <c r="J53" s="33"/>
    </row>
    <row r="54" spans="1:11" ht="13.9" customHeight="1" x14ac:dyDescent="0.25">
      <c r="A54" s="20"/>
      <c r="B54" s="20"/>
      <c r="C54" s="20"/>
      <c r="E54" s="20"/>
      <c r="F54" s="20"/>
      <c r="G54" s="20"/>
      <c r="H54" s="20"/>
      <c r="I54" s="30" t="s">
        <v>257</v>
      </c>
      <c r="J54" s="34">
        <f>+SUM(J46:J53)</f>
        <v>5324</v>
      </c>
    </row>
    <row r="55" spans="1:11" ht="13.9" customHeight="1" x14ac:dyDescent="0.25"/>
    <row r="56" spans="1:11" ht="13.9" customHeight="1" x14ac:dyDescent="0.25">
      <c r="E56" s="41" t="s">
        <v>276</v>
      </c>
      <c r="I56" s="42">
        <f>+J54+J42+J35+J21</f>
        <v>151784</v>
      </c>
      <c r="J56" s="43"/>
      <c r="K56" s="758">
        <f>+J32/I56</f>
        <v>0.15458151056764877</v>
      </c>
    </row>
    <row r="57" spans="1:11" ht="13.9" customHeight="1" x14ac:dyDescent="0.25">
      <c r="I57" s="591"/>
    </row>
    <row r="58" spans="1:11" ht="14.1" customHeight="1" x14ac:dyDescent="0.25">
      <c r="I58" s="591"/>
    </row>
  </sheetData>
  <mergeCells count="50">
    <mergeCell ref="A53:D53"/>
    <mergeCell ref="A38:F38"/>
    <mergeCell ref="A39:F39"/>
    <mergeCell ref="A40:F40"/>
    <mergeCell ref="A41:F41"/>
    <mergeCell ref="A44:H44"/>
    <mergeCell ref="A45:D45"/>
    <mergeCell ref="A46:D46"/>
    <mergeCell ref="A47:D47"/>
    <mergeCell ref="A49:D49"/>
    <mergeCell ref="A51:D51"/>
    <mergeCell ref="A52:D52"/>
    <mergeCell ref="A37:H37"/>
    <mergeCell ref="A28:F28"/>
    <mergeCell ref="L28:Q28"/>
    <mergeCell ref="A29:F29"/>
    <mergeCell ref="L29:Q29"/>
    <mergeCell ref="A30:F30"/>
    <mergeCell ref="L30:Q30"/>
    <mergeCell ref="A31:F31"/>
    <mergeCell ref="L31:Q31"/>
    <mergeCell ref="A32:F32"/>
    <mergeCell ref="A33:F33"/>
    <mergeCell ref="A34:F34"/>
    <mergeCell ref="A27:F27"/>
    <mergeCell ref="L27:Q27"/>
    <mergeCell ref="A16:D16"/>
    <mergeCell ref="A17:D17"/>
    <mergeCell ref="A18:D18"/>
    <mergeCell ref="A19:D19"/>
    <mergeCell ref="A20:D20"/>
    <mergeCell ref="A23:H23"/>
    <mergeCell ref="A24:F24"/>
    <mergeCell ref="A25:F25"/>
    <mergeCell ref="L25:Q25"/>
    <mergeCell ref="A26:F26"/>
    <mergeCell ref="L26:Q26"/>
    <mergeCell ref="A13:D13"/>
    <mergeCell ref="A14:D14"/>
    <mergeCell ref="A15:D15"/>
    <mergeCell ref="A9:H9"/>
    <mergeCell ref="A10:D10"/>
    <mergeCell ref="A11:D11"/>
    <mergeCell ref="A12:D12"/>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rowBreaks count="1" manualBreakCount="1">
    <brk id="58" max="9" man="1"/>
  </rowBreaks>
  <ignoredErrors>
    <ignoredError sqref="I18" formula="1"/>
  </ignoredErrors>
  <drawing r:id="rId2"/>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sheetPr codeName="Hoja25">
    <tabColor rgb="FF00B050"/>
    <pageSetUpPr fitToPage="1"/>
  </sheetPr>
  <dimension ref="A1:P73"/>
  <sheetViews>
    <sheetView topLeftCell="A52" workbookViewId="0">
      <selection activeCell="P55" sqref="P5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11.42578125" style="19"/>
    <col min="12" max="15" width="0" style="19" hidden="1" customWidth="1"/>
    <col min="16" max="16384" width="11.42578125" style="19"/>
  </cols>
  <sheetData>
    <row r="1" spans="1:16" ht="29.25" customHeight="1" x14ac:dyDescent="0.25">
      <c r="A1" s="1574" t="s">
        <v>244</v>
      </c>
      <c r="B1" s="1575"/>
      <c r="C1" s="1575"/>
      <c r="D1" s="1575"/>
      <c r="E1" s="1575"/>
      <c r="F1" s="1575"/>
      <c r="G1" s="1575"/>
      <c r="H1" s="1575"/>
      <c r="I1" s="1575"/>
      <c r="J1" s="1575"/>
    </row>
    <row r="2" spans="1:16" ht="15" customHeight="1" x14ac:dyDescent="0.25">
      <c r="A2" s="1576" t="s">
        <v>245</v>
      </c>
      <c r="B2" s="1576"/>
      <c r="C2" s="1576"/>
      <c r="D2" s="1576"/>
      <c r="E2" s="1576"/>
      <c r="F2" s="1576"/>
      <c r="G2" s="1576"/>
      <c r="H2" s="1576"/>
      <c r="I2" s="1576"/>
      <c r="J2" s="1576"/>
    </row>
    <row r="4" spans="1:16" s="20" customFormat="1" ht="9.9499999999999993" customHeight="1" x14ac:dyDescent="0.25">
      <c r="A4" s="1577" t="s">
        <v>246</v>
      </c>
      <c r="B4" s="1577"/>
      <c r="C4" s="1577"/>
      <c r="D4" s="1577"/>
      <c r="E4" s="1577"/>
      <c r="F4" s="1577"/>
      <c r="G4" s="1577"/>
      <c r="H4" s="1577"/>
      <c r="I4" s="1577"/>
      <c r="J4" s="1577"/>
    </row>
    <row r="5" spans="1:16" s="20" customFormat="1" ht="9.9499999999999993" customHeight="1" x14ac:dyDescent="0.25">
      <c r="B5" s="21"/>
      <c r="C5" s="21"/>
      <c r="D5" s="21"/>
      <c r="E5" s="21"/>
      <c r="F5" s="21"/>
      <c r="G5" s="21"/>
    </row>
    <row r="6" spans="1:16" x14ac:dyDescent="0.25">
      <c r="A6" s="1558" t="s">
        <v>247</v>
      </c>
      <c r="B6" s="1560"/>
      <c r="C6" s="22">
        <v>21</v>
      </c>
      <c r="D6" s="23"/>
      <c r="E6" s="23"/>
      <c r="F6" s="23"/>
      <c r="G6" s="23"/>
      <c r="H6" s="24"/>
      <c r="I6" s="25" t="s">
        <v>248</v>
      </c>
      <c r="J6" s="26" t="str">
        <f>+VLOOKUP(C6,'ANEXO PLIEGO_1'!$A$7:$C$133,3,FALSE)</f>
        <v>UN</v>
      </c>
    </row>
    <row r="7" spans="1:16" ht="35.1" customHeight="1" x14ac:dyDescent="0.25">
      <c r="A7" s="1568" t="s">
        <v>249</v>
      </c>
      <c r="B7" s="1570"/>
      <c r="C7" s="1578" t="str">
        <f>+VLOOKUP(C6,'ANEXO PLIEGO_1'!$A$7:$B$103,2,FALSE)</f>
        <v>Fabricación, suministro e instalación de señal preventiva, Reglamentaria  e informativa de 45 cm con tablero doble en lámina galvanizada C-16 E=1,5mm y material reflectivoTipo IV o superior, película antigraffiti, con tubo galvanizado de 2" de diámetro interno y espesor de 3.9 mm  cumpliendo normatividad vigente. (Incluye la cimentación del soporte para la señal)</v>
      </c>
      <c r="D7" s="1579"/>
      <c r="E7" s="1579"/>
      <c r="F7" s="1579"/>
      <c r="G7" s="1579"/>
      <c r="H7" s="1579"/>
      <c r="I7" s="1579"/>
      <c r="J7" s="1580"/>
    </row>
    <row r="9" spans="1:16" s="27" customFormat="1" x14ac:dyDescent="0.25">
      <c r="A9" s="1561" t="s">
        <v>250</v>
      </c>
      <c r="B9" s="1561"/>
      <c r="C9" s="1561"/>
      <c r="D9" s="1561"/>
      <c r="E9" s="1561"/>
      <c r="F9" s="1561"/>
      <c r="G9" s="1561"/>
      <c r="H9" s="1561"/>
      <c r="P9" s="19"/>
    </row>
    <row r="10" spans="1:16" s="20" customFormat="1" ht="13.9" customHeight="1" x14ac:dyDescent="0.25">
      <c r="A10" s="1562" t="s">
        <v>251</v>
      </c>
      <c r="B10" s="1563"/>
      <c r="C10" s="1563"/>
      <c r="D10" s="1564"/>
      <c r="E10" s="28" t="s">
        <v>252</v>
      </c>
      <c r="F10" s="28" t="s">
        <v>253</v>
      </c>
      <c r="G10" s="28" t="s">
        <v>254</v>
      </c>
      <c r="H10" s="28" t="s">
        <v>255</v>
      </c>
      <c r="I10" s="28" t="s">
        <v>256</v>
      </c>
      <c r="J10" s="28" t="s">
        <v>257</v>
      </c>
      <c r="P10" s="19"/>
    </row>
    <row r="11" spans="1:16" s="20" customFormat="1" ht="13.9" customHeight="1" x14ac:dyDescent="0.25">
      <c r="A11" s="1558" t="str">
        <f>+'20'!A11:D11</f>
        <v>TRONZADORA</v>
      </c>
      <c r="B11" s="1559"/>
      <c r="C11" s="1559"/>
      <c r="D11" s="1560"/>
      <c r="E11" s="29" t="s">
        <v>202</v>
      </c>
      <c r="F11" s="30">
        <f>IFERROR(VLOOKUP(A11,'[10]EQUIPOS TRANSPOR SALARIO'!$A$3:$G$42,2,FALSE),0)</f>
        <v>0</v>
      </c>
      <c r="G11" s="31">
        <f>IFERROR(VLOOKUP(A11,'EQUIPOS '!$B$3:$N$55,12,FALSE),0)</f>
        <v>3779.5</v>
      </c>
      <c r="H11" s="30">
        <v>8</v>
      </c>
      <c r="I11" s="33">
        <f>IFERROR((G11/H11),0)</f>
        <v>472.4375</v>
      </c>
      <c r="J11" s="33">
        <f>ROUND(I11,0)</f>
        <v>472</v>
      </c>
      <c r="P11" s="19"/>
    </row>
    <row r="12" spans="1:16" s="20" customFormat="1" ht="13.9" customHeight="1" x14ac:dyDescent="0.25">
      <c r="A12" s="1558" t="str">
        <f>+'20'!A12:D12</f>
        <v xml:space="preserve">CIZALLA DE CORTE VERTICAL </v>
      </c>
      <c r="B12" s="1559"/>
      <c r="C12" s="1559"/>
      <c r="D12" s="1560"/>
      <c r="E12" s="29" t="s">
        <v>202</v>
      </c>
      <c r="F12" s="30">
        <f>IFERROR(VLOOKUP(A12,'[10]EQUIPOS TRANSPOR SALARIO'!$A$3:$G$42,2,FALSE),0)</f>
        <v>0</v>
      </c>
      <c r="G12" s="31">
        <f>IFERROR(VLOOKUP(A12,'EQUIPOS '!$B$3:$N$55,12,FALSE),0)</f>
        <v>5174.01</v>
      </c>
      <c r="H12" s="30">
        <f>+H11</f>
        <v>8</v>
      </c>
      <c r="I12" s="33">
        <f t="shared" ref="I12:I19" si="0">IFERROR((G12/H12),0)</f>
        <v>646.75125000000003</v>
      </c>
      <c r="J12" s="33">
        <f t="shared" ref="J12:J20" si="1">ROUND(I12,0)</f>
        <v>647</v>
      </c>
      <c r="P12" s="19"/>
    </row>
    <row r="13" spans="1:16" s="20" customFormat="1" ht="13.9" customHeight="1" x14ac:dyDescent="0.25">
      <c r="A13" s="1558" t="str">
        <f>+'20'!A13:D13</f>
        <v>EQUIPO PINTURA ELECTROSTÁTICA</v>
      </c>
      <c r="B13" s="1559"/>
      <c r="C13" s="1559"/>
      <c r="D13" s="1560"/>
      <c r="E13" s="29" t="s">
        <v>202</v>
      </c>
      <c r="F13" s="30" t="str">
        <f>IFERROR(VLOOKUP(A13,'[10]EQUIPOS TRANSPOR SALARIO'!$A$3:$G$42,2,FALSE),0)</f>
        <v>Electrostática</v>
      </c>
      <c r="G13" s="31">
        <f>IFERROR(VLOOKUP(A13,'EQUIPOS '!$B$3:$N$55,12,FALSE),0)</f>
        <v>4047.59</v>
      </c>
      <c r="H13" s="30">
        <v>40</v>
      </c>
      <c r="I13" s="33">
        <f t="shared" si="0"/>
        <v>101.18975</v>
      </c>
      <c r="J13" s="33">
        <f t="shared" si="1"/>
        <v>101</v>
      </c>
      <c r="P13" s="19"/>
    </row>
    <row r="14" spans="1:16" s="20" customFormat="1" ht="13.9" customHeight="1" x14ac:dyDescent="0.25">
      <c r="A14" s="1558" t="str">
        <f>+'20'!A14:D14</f>
        <v>TALADRO DE ARBOL</v>
      </c>
      <c r="B14" s="1559"/>
      <c r="C14" s="1559"/>
      <c r="D14" s="1560"/>
      <c r="E14" s="29" t="s">
        <v>202</v>
      </c>
      <c r="F14" s="30">
        <f>IFERROR(VLOOKUP(A14,'[10]EQUIPOS TRANSPOR SALARIO'!$A$3:$G$42,2,FALSE),0)</f>
        <v>0</v>
      </c>
      <c r="G14" s="31">
        <f>IFERROR(VLOOKUP(A14,'EQUIPOS '!$B$3:$N$55,12,FALSE),0)</f>
        <v>4898</v>
      </c>
      <c r="H14" s="30">
        <f>H12</f>
        <v>8</v>
      </c>
      <c r="I14" s="33">
        <f>IFERROR((G14/H14),0)</f>
        <v>612.25</v>
      </c>
      <c r="J14" s="33">
        <f>ROUND(I14,0)</f>
        <v>612</v>
      </c>
      <c r="P14" s="19"/>
    </row>
    <row r="15" spans="1:16" s="20" customFormat="1" ht="13.9" customHeight="1" x14ac:dyDescent="0.25">
      <c r="A15" s="1558" t="str">
        <f>+'20'!A15:D15</f>
        <v xml:space="preserve">EQUIPO SOLDADURA ELECTRICA </v>
      </c>
      <c r="B15" s="1559"/>
      <c r="C15" s="1559"/>
      <c r="D15" s="1560"/>
      <c r="E15" s="29" t="s">
        <v>202</v>
      </c>
      <c r="F15" s="30">
        <f>IFERROR(VLOOKUP(A15,'[10]EQUIPOS TRANSPOR SALARIO'!$A$3:$G$42,2,FALSE),0)</f>
        <v>0</v>
      </c>
      <c r="G15" s="31">
        <f>IFERROR(VLOOKUP(A15,'EQUIPOS '!$B$3:$N$55,12,FALSE),0)</f>
        <v>4862.5</v>
      </c>
      <c r="H15" s="30">
        <f t="shared" ref="H15:H19" si="2">+H14</f>
        <v>8</v>
      </c>
      <c r="I15" s="33">
        <f>IFERROR((G15/H15),0)</f>
        <v>607.8125</v>
      </c>
      <c r="J15" s="33">
        <f>ROUND(I15,0)</f>
        <v>608</v>
      </c>
      <c r="P15" s="19"/>
    </row>
    <row r="16" spans="1:16" s="20" customFormat="1" ht="13.9" customHeight="1" x14ac:dyDescent="0.25">
      <c r="A16" s="1558" t="str">
        <f>+'20'!A16:D16</f>
        <v>EQUIPO  COLAMINADO</v>
      </c>
      <c r="B16" s="1559"/>
      <c r="C16" s="1559"/>
      <c r="D16" s="1560"/>
      <c r="E16" s="29" t="s">
        <v>202</v>
      </c>
      <c r="F16" s="30">
        <f>IFERROR(VLOOKUP(A16,'[10]EQUIPOS TRANSPOR SALARIO'!$A$3:$G$42,2,FALSE),0)</f>
        <v>0</v>
      </c>
      <c r="G16" s="31">
        <f>IFERROR(VLOOKUP(A16,'EQUIPOS '!$B$3:$N$55,12,FALSE),0)</f>
        <v>4701.8100000000004</v>
      </c>
      <c r="H16" s="30">
        <f t="shared" si="2"/>
        <v>8</v>
      </c>
      <c r="I16" s="33">
        <f>IFERROR((G16/H16),0)</f>
        <v>587.72625000000005</v>
      </c>
      <c r="J16" s="33">
        <f>ROUND(I16,0)</f>
        <v>588</v>
      </c>
      <c r="P16" s="19"/>
    </row>
    <row r="17" spans="1:16" s="20" customFormat="1" ht="13.9" customHeight="1" x14ac:dyDescent="0.25">
      <c r="A17" s="1558" t="str">
        <f>+'20'!A17:D17</f>
        <v>COMPRESOR</v>
      </c>
      <c r="B17" s="1559"/>
      <c r="C17" s="1559"/>
      <c r="D17" s="1560"/>
      <c r="E17" s="29" t="s">
        <v>202</v>
      </c>
      <c r="F17" s="30" t="str">
        <f>IFERROR(VLOOKUP(A17,'[10]EQUIPOS TRANSPOR SALARIO'!$A$3:$G$42,2,FALSE),0)</f>
        <v>Eléctrico</v>
      </c>
      <c r="G17" s="31">
        <f>IFERROR(VLOOKUP(A17,'EQUIPOS '!$B$3:$N$55,12,FALSE),0)</f>
        <v>7999.94</v>
      </c>
      <c r="H17" s="30">
        <f t="shared" si="2"/>
        <v>8</v>
      </c>
      <c r="I17" s="33">
        <f>IFERROR((G17/H17),0)</f>
        <v>999.99249999999995</v>
      </c>
      <c r="J17" s="33">
        <f>ROUND(I17,0)</f>
        <v>1000</v>
      </c>
      <c r="P17" s="19"/>
    </row>
    <row r="18" spans="1:16" s="20" customFormat="1" ht="13.9" customHeight="1" x14ac:dyDescent="0.25">
      <c r="A18" s="1558" t="str">
        <f>+'20'!A18:D18</f>
        <v xml:space="preserve">IMPRESORA DIGITAL PARA SEÑALES DE TRÁNSITO </v>
      </c>
      <c r="B18" s="1559"/>
      <c r="C18" s="1559"/>
      <c r="D18" s="1560"/>
      <c r="E18" s="29" t="s">
        <v>202</v>
      </c>
      <c r="F18" s="30">
        <f>IFERROR(VLOOKUP(A18,'[10]EQUIPOS TRANSPOR SALARIO'!$A$3:$G$42,2,FALSE),0)</f>
        <v>0</v>
      </c>
      <c r="G18" s="31">
        <f>IFERROR(VLOOKUP(A18,'EQUIPOS '!$B$3:$N$55,12,FALSE),0)</f>
        <v>64227.08</v>
      </c>
      <c r="H18" s="30">
        <f t="shared" si="2"/>
        <v>8</v>
      </c>
      <c r="I18" s="33">
        <f>IFERROR((G18/H18),0)</f>
        <v>8028.3850000000002</v>
      </c>
      <c r="J18" s="33">
        <f>ROUND(I18,0)</f>
        <v>8028</v>
      </c>
      <c r="P18" s="19"/>
    </row>
    <row r="19" spans="1:16" s="20" customFormat="1" ht="13.9" customHeight="1" x14ac:dyDescent="0.25">
      <c r="A19" s="1558" t="str">
        <f>+'20'!A19:D19</f>
        <v xml:space="preserve">PULIDORA </v>
      </c>
      <c r="B19" s="1559"/>
      <c r="C19" s="1559"/>
      <c r="D19" s="1560"/>
      <c r="E19" s="29" t="s">
        <v>202</v>
      </c>
      <c r="F19" s="30">
        <f>IFERROR(VLOOKUP(A19,'[10]EQUIPOS TRANSPOR SALARIO'!$A$3:$G$42,2,FALSE),0)</f>
        <v>0</v>
      </c>
      <c r="G19" s="31">
        <f>IFERROR(VLOOKUP(A19,'EQUIPOS '!$B$3:$N$55,12,FALSE),0)</f>
        <v>2821</v>
      </c>
      <c r="H19" s="30">
        <f t="shared" si="2"/>
        <v>8</v>
      </c>
      <c r="I19" s="33">
        <f t="shared" si="0"/>
        <v>352.625</v>
      </c>
      <c r="J19" s="33">
        <f t="shared" si="1"/>
        <v>353</v>
      </c>
      <c r="P19" s="19"/>
    </row>
    <row r="20" spans="1:16" s="20" customFormat="1" ht="13.9" customHeight="1" x14ac:dyDescent="0.25">
      <c r="A20" s="1558" t="str">
        <f>+'20'!A20:D20</f>
        <v xml:space="preserve">HERRAMIENTA MENOR </v>
      </c>
      <c r="B20" s="1559"/>
      <c r="C20" s="1559"/>
      <c r="D20" s="1560"/>
      <c r="E20" s="29" t="s">
        <v>202</v>
      </c>
      <c r="F20" s="30">
        <f>IFERROR(VLOOKUP(A20,'[10]EQUIPOS TRANSPOR SALARIO'!$A$3:$G$42,2,FALSE),0)</f>
        <v>0</v>
      </c>
      <c r="G20" s="74">
        <v>0.01</v>
      </c>
      <c r="H20" s="30"/>
      <c r="I20" s="33">
        <f>+G20*J70</f>
        <v>177.02</v>
      </c>
      <c r="J20" s="33">
        <f t="shared" si="1"/>
        <v>177</v>
      </c>
      <c r="P20" s="19"/>
    </row>
    <row r="21" spans="1:16" s="20" customFormat="1" ht="13.9" customHeight="1" x14ac:dyDescent="0.25">
      <c r="A21" s="1558"/>
      <c r="B21" s="1559"/>
      <c r="C21" s="1559"/>
      <c r="D21" s="1560"/>
      <c r="E21" s="29"/>
      <c r="F21" s="30"/>
      <c r="G21" s="31"/>
      <c r="H21" s="30"/>
      <c r="I21" s="33"/>
      <c r="J21" s="33"/>
      <c r="P21" s="19"/>
    </row>
    <row r="22" spans="1:16" s="20" customFormat="1" ht="13.9" customHeight="1" x14ac:dyDescent="0.25">
      <c r="A22" s="1558"/>
      <c r="B22" s="1559"/>
      <c r="C22" s="1559"/>
      <c r="D22" s="1560"/>
      <c r="E22" s="29"/>
      <c r="F22" s="30"/>
      <c r="G22" s="31"/>
      <c r="H22" s="32"/>
      <c r="I22" s="33"/>
      <c r="J22" s="33"/>
    </row>
    <row r="23" spans="1:16" s="20" customFormat="1" ht="13.9" customHeight="1" x14ac:dyDescent="0.25">
      <c r="A23" s="1558"/>
      <c r="B23" s="1559"/>
      <c r="C23" s="1559"/>
      <c r="D23" s="1560"/>
      <c r="E23" s="29"/>
      <c r="F23" s="30"/>
      <c r="G23" s="31"/>
      <c r="H23" s="30"/>
      <c r="I23" s="33"/>
      <c r="J23" s="33"/>
    </row>
    <row r="24" spans="1:16" s="20" customFormat="1" ht="13.9" customHeight="1" x14ac:dyDescent="0.25">
      <c r="I24" s="30" t="s">
        <v>257</v>
      </c>
      <c r="J24" s="34">
        <f>+SUM(J11:J23)</f>
        <v>12586</v>
      </c>
    </row>
    <row r="25" spans="1:16" s="20" customFormat="1" ht="13.9" customHeight="1" x14ac:dyDescent="0.25"/>
    <row r="26" spans="1:16" s="20" customFormat="1" ht="13.9" customHeight="1" x14ac:dyDescent="0.25">
      <c r="A26" s="1561" t="s">
        <v>263</v>
      </c>
      <c r="B26" s="1561"/>
      <c r="C26" s="1561"/>
      <c r="D26" s="1561"/>
      <c r="E26" s="1561"/>
      <c r="F26" s="1561"/>
      <c r="G26" s="1561"/>
      <c r="H26" s="1561"/>
      <c r="I26" s="27"/>
    </row>
    <row r="27" spans="1:16" ht="13.9" customHeight="1" x14ac:dyDescent="0.25">
      <c r="A27" s="1565" t="s">
        <v>251</v>
      </c>
      <c r="B27" s="1566"/>
      <c r="C27" s="1566"/>
      <c r="D27" s="1566"/>
      <c r="E27" s="1566"/>
      <c r="F27" s="1567"/>
      <c r="G27" s="28" t="s">
        <v>252</v>
      </c>
      <c r="H27" s="28" t="s">
        <v>264</v>
      </c>
      <c r="I27" s="28" t="s">
        <v>256</v>
      </c>
      <c r="J27" s="28" t="s">
        <v>257</v>
      </c>
      <c r="P27" s="20"/>
    </row>
    <row r="28" spans="1:16" ht="13.9" customHeight="1" x14ac:dyDescent="0.25">
      <c r="A28" s="1558" t="str">
        <f>+'20'!A26:F26</f>
        <v>LÁMINA GALVANIZADA C 16 E=1,50 mm</v>
      </c>
      <c r="B28" s="1559"/>
      <c r="C28" s="1559"/>
      <c r="D28" s="1559"/>
      <c r="E28" s="1559"/>
      <c r="F28" s="1560"/>
      <c r="G28" s="29" t="str">
        <f>+VLOOKUP(A28,'INSUMOS '!$B$3:$C$112,2,FALSE)</f>
        <v>M2</v>
      </c>
      <c r="H28" s="37">
        <f>2*0.45*0.45</f>
        <v>0.40500000000000003</v>
      </c>
      <c r="I28" s="33">
        <f>+IFERROR(VLOOKUP(A28,'INSUMOS '!$B$2:$AP$167,'INSUMOS '!$AO$2+1,FALSE),0)</f>
        <v>85500.55</v>
      </c>
      <c r="J28" s="33">
        <f>ROUND(I28*H28,0)</f>
        <v>34628</v>
      </c>
      <c r="M28" s="19">
        <f>0.45*0.45</f>
        <v>0.20250000000000001</v>
      </c>
      <c r="N28" s="1405">
        <f>H28*0.0015*7850</f>
        <v>4.7688750000000004</v>
      </c>
      <c r="O28" s="1406" t="s">
        <v>106</v>
      </c>
      <c r="P28" s="20"/>
    </row>
    <row r="29" spans="1:16" ht="13.9" customHeight="1" x14ac:dyDescent="0.25">
      <c r="A29" s="1558" t="str">
        <f>+'INSUMOS '!B62</f>
        <v xml:space="preserve">PAPEL REFLECTIVO PRISMÁTICO ALTA INTENSIDAD TIPO IV </v>
      </c>
      <c r="B29" s="1559"/>
      <c r="C29" s="1559"/>
      <c r="D29" s="1559"/>
      <c r="E29" s="1559"/>
      <c r="F29" s="1560"/>
      <c r="G29" s="29" t="str">
        <f>+VLOOKUP(A29,'INSUMOS '!$B$3:$C$112,2,FALSE)</f>
        <v>M2</v>
      </c>
      <c r="H29" s="37">
        <f>+H28</f>
        <v>0.40500000000000003</v>
      </c>
      <c r="I29" s="1397">
        <f>+IFERROR(VLOOKUP(A29,'INSUMOS '!$B$2:$AP$167,'INSUMOS '!$AO$2+1,FALSE),0)</f>
        <v>124209.43919999998</v>
      </c>
      <c r="J29" s="33">
        <f t="shared" ref="J29:J46" si="3">ROUND(I29*H29,0)</f>
        <v>50305</v>
      </c>
      <c r="N29" s="1405">
        <f>H29*0.2/0.36</f>
        <v>0.22500000000000006</v>
      </c>
      <c r="O29" s="1406" t="s">
        <v>90</v>
      </c>
      <c r="P29" s="20"/>
    </row>
    <row r="30" spans="1:16" ht="13.9" customHeight="1" x14ac:dyDescent="0.25">
      <c r="A30" s="1558" t="str">
        <f>+'20'!A28:F28</f>
        <v>TUBO GALVANIZADO DE 2" X 2,0 mm ESPESOR DE PARED</v>
      </c>
      <c r="B30" s="1559"/>
      <c r="C30" s="1559"/>
      <c r="D30" s="1559"/>
      <c r="E30" s="1559"/>
      <c r="F30" s="1560"/>
      <c r="G30" s="29" t="str">
        <f>+VLOOKUP(A30,'INSUMOS '!$B$3:$C$112,2,FALSE)</f>
        <v>M</v>
      </c>
      <c r="H30" s="37">
        <f>4.51+0.6</f>
        <v>5.1099999999999994</v>
      </c>
      <c r="I30" s="1397">
        <f>+IFERROR(VLOOKUP(A30,'INSUMOS '!$B$2:$AP$167,'INSUMOS '!$AO$2+1,FALSE),0)</f>
        <v>16939</v>
      </c>
      <c r="J30" s="33">
        <f t="shared" si="3"/>
        <v>86558</v>
      </c>
      <c r="M30" s="19">
        <f>2.8+1.018+1.08</f>
        <v>4.8979999999999997</v>
      </c>
      <c r="N30" s="1405">
        <f>(((2*0.0254+0.004)^2*PI()/4)-(2*0.0254)^2*PI()/4)*7850*H30</f>
        <v>13.307741241672165</v>
      </c>
      <c r="O30" s="1406" t="s">
        <v>7315</v>
      </c>
      <c r="P30" s="20"/>
    </row>
    <row r="31" spans="1:16" ht="13.9" customHeight="1" x14ac:dyDescent="0.25">
      <c r="A31" s="1558" t="str">
        <f>+'20'!A29:F29</f>
        <v>TORNILLO HEXAGONAL ZINCADO 1/2 X 4", ARANDELA DE PRESIÓN ZINCADA Y TUERCA DE SEGURIDAD.</v>
      </c>
      <c r="B31" s="1559"/>
      <c r="C31" s="1559"/>
      <c r="D31" s="1559"/>
      <c r="E31" s="1559"/>
      <c r="F31" s="1560"/>
      <c r="G31" s="29" t="str">
        <f>+VLOOKUP(A31,'INSUMOS '!$B$3:$C$112,2,FALSE)</f>
        <v>UN</v>
      </c>
      <c r="H31" s="37">
        <v>4</v>
      </c>
      <c r="I31" s="1397">
        <f>+IFERROR(VLOOKUP(A31,'INSUMOS '!$B$2:$AP$167,'INSUMOS '!$AO$2+1,FALSE),0)</f>
        <v>5600</v>
      </c>
      <c r="J31" s="33">
        <f t="shared" si="3"/>
        <v>22400</v>
      </c>
      <c r="N31" s="1405">
        <f>H31*0.3/4</f>
        <v>0.3</v>
      </c>
      <c r="O31" s="1406" t="s">
        <v>42</v>
      </c>
      <c r="P31" s="20"/>
    </row>
    <row r="32" spans="1:16" ht="13.9" customHeight="1" x14ac:dyDescent="0.25">
      <c r="A32" s="1558" t="str">
        <f>+'20'!A30:F30</f>
        <v>ÁNGULO METÁLICO DE 2"X2"X1/8" L=6M</v>
      </c>
      <c r="B32" s="1559"/>
      <c r="C32" s="1559"/>
      <c r="D32" s="1559"/>
      <c r="E32" s="1559"/>
      <c r="F32" s="1560"/>
      <c r="G32" s="29" t="str">
        <f>+VLOOKUP(A32,'INSUMOS '!$B$3:$C$112,2,FALSE)</f>
        <v>M</v>
      </c>
      <c r="H32" s="37">
        <v>0.15</v>
      </c>
      <c r="I32" s="1397">
        <f>+IFERROR(VLOOKUP(A32,'INSUMOS '!$B$2:$AP$167,'INSUMOS '!$AO$2+1,FALSE),0)</f>
        <v>16804.093333333331</v>
      </c>
      <c r="J32" s="33">
        <f t="shared" si="3"/>
        <v>2521</v>
      </c>
      <c r="N32" s="1374">
        <f>4*0.0254*(0.0254/8)*H32*7850</f>
        <v>0.37983794999999998</v>
      </c>
      <c r="O32" s="593" t="s">
        <v>156</v>
      </c>
      <c r="P32" s="20"/>
    </row>
    <row r="33" spans="1:16" ht="13.9" customHeight="1" x14ac:dyDescent="0.25">
      <c r="A33" s="1558" t="str">
        <f>+'20'!A31:F31</f>
        <v>TORNILLOS 5/16 ZINCADO  (INCLUYE TUERCA DE SEGURIDAD Y ARANDELA)</v>
      </c>
      <c r="B33" s="1559"/>
      <c r="C33" s="1559"/>
      <c r="D33" s="1559"/>
      <c r="E33" s="1559"/>
      <c r="F33" s="1560"/>
      <c r="G33" s="29" t="str">
        <f>+VLOOKUP(A33,'INSUMOS '!$B$3:$C$112,2,FALSE)</f>
        <v>UN</v>
      </c>
      <c r="H33" s="37">
        <v>8</v>
      </c>
      <c r="I33" s="1397">
        <f>+IFERROR(VLOOKUP(A33,'INSUMOS '!$B$2:$AP$167,'INSUMOS '!$AO$2+1,FALSE),0)</f>
        <v>1747.5</v>
      </c>
      <c r="J33" s="33">
        <f t="shared" si="3"/>
        <v>13980</v>
      </c>
      <c r="N33" s="1405">
        <f>H33*0.3/4</f>
        <v>0.6</v>
      </c>
      <c r="O33" s="1406" t="s">
        <v>42</v>
      </c>
      <c r="P33" s="20"/>
    </row>
    <row r="34" spans="1:16" ht="13.9" customHeight="1" x14ac:dyDescent="0.25">
      <c r="A34" s="1558" t="str">
        <f>+'20'!A32:F32</f>
        <v>REMACHES CON ARANDELAS DE 4*10 MM</v>
      </c>
      <c r="B34" s="1559"/>
      <c r="C34" s="1559"/>
      <c r="D34" s="1559"/>
      <c r="E34" s="1559"/>
      <c r="F34" s="1560"/>
      <c r="G34" s="29" t="str">
        <f>+VLOOKUP(A34,'INSUMOS '!$B$3:$C$112,2,FALSE)</f>
        <v>UN</v>
      </c>
      <c r="H34" s="37">
        <f>+H33</f>
        <v>8</v>
      </c>
      <c r="I34" s="1397">
        <f>+IFERROR(VLOOKUP(A34,'INSUMOS '!$B$2:$AP$167,'INSUMOS '!$AO$2+1,FALSE),0)</f>
        <v>170</v>
      </c>
      <c r="J34" s="33">
        <f t="shared" si="3"/>
        <v>1360</v>
      </c>
      <c r="N34" s="1374">
        <f>H34/4*0.1</f>
        <v>0.2</v>
      </c>
      <c r="O34" s="593" t="s">
        <v>43</v>
      </c>
      <c r="P34" s="20"/>
    </row>
    <row r="35" spans="1:16" ht="13.9" customHeight="1" x14ac:dyDescent="0.25">
      <c r="A35" s="1558" t="str">
        <f>+'20'!A33:F33</f>
        <v xml:space="preserve">STEAKER 15 X 15 CM EN PAPEL REFLECTIVO TIPO IV O SUPERIOR </v>
      </c>
      <c r="B35" s="1559"/>
      <c r="C35" s="1559"/>
      <c r="D35" s="1559"/>
      <c r="E35" s="1559"/>
      <c r="F35" s="1560"/>
      <c r="G35" s="29" t="str">
        <f>+VLOOKUP(A35,'INSUMOS '!$B$3:$C$112,2,FALSE)</f>
        <v>UN</v>
      </c>
      <c r="H35" s="37">
        <v>1</v>
      </c>
      <c r="I35" s="1397">
        <f>+IFERROR(VLOOKUP(A35,'INSUMOS '!$B$2:$AP$167,'INSUMOS '!$AO$2+1,FALSE),0)</f>
        <v>2500</v>
      </c>
      <c r="J35" s="33">
        <f t="shared" si="3"/>
        <v>2500</v>
      </c>
      <c r="N35" s="1405">
        <f>H35*0.05</f>
        <v>0.05</v>
      </c>
      <c r="O35" s="1406" t="s">
        <v>92</v>
      </c>
      <c r="P35" s="20"/>
    </row>
    <row r="36" spans="1:16" ht="13.9" customHeight="1" x14ac:dyDescent="0.25">
      <c r="A36" s="1558" t="str">
        <f>+'20'!A34:F34</f>
        <v xml:space="preserve">PELÍCULA ANTIGRAFITTI </v>
      </c>
      <c r="B36" s="1559"/>
      <c r="C36" s="1559"/>
      <c r="D36" s="1559"/>
      <c r="E36" s="1559"/>
      <c r="F36" s="1560"/>
      <c r="G36" s="29" t="str">
        <f>+VLOOKUP(A36,'INSUMOS '!$B$3:$C$112,2,FALSE)</f>
        <v>M2</v>
      </c>
      <c r="H36" s="37">
        <f>+H28</f>
        <v>0.40500000000000003</v>
      </c>
      <c r="I36" s="1397">
        <f>+IFERROR(VLOOKUP(A36,'INSUMOS '!$B$2:$AP$167,'INSUMOS '!$AO$2+1,FALSE),0)</f>
        <v>65174.538799999995</v>
      </c>
      <c r="J36" s="33">
        <f t="shared" si="3"/>
        <v>26396</v>
      </c>
      <c r="N36" s="1405">
        <f>H36/0.36*0.3</f>
        <v>0.33750000000000008</v>
      </c>
      <c r="O36" s="1406" t="s">
        <v>89</v>
      </c>
      <c r="P36" s="20"/>
    </row>
    <row r="37" spans="1:16" ht="13.9" customHeight="1" x14ac:dyDescent="0.25">
      <c r="A37" s="1558" t="str">
        <f>+'20'!A35:F35</f>
        <v>PINTURA ELECTROSTÁTICA M2</v>
      </c>
      <c r="B37" s="1559"/>
      <c r="C37" s="1559"/>
      <c r="D37" s="1559"/>
      <c r="E37" s="1559"/>
      <c r="F37" s="1560"/>
      <c r="G37" s="29" t="str">
        <f>+VLOOKUP(A37,'INSUMOS '!$B$3:$C$112,2,FALSE)</f>
        <v>KG</v>
      </c>
      <c r="H37" s="37">
        <f>((0.0254*2+0.004)*PI()*H31+H29+8*H32*0.0254+5*0.0588^2*PI()/4)/3</f>
        <v>0.37923148159905568</v>
      </c>
      <c r="I37" s="1397">
        <f>+IFERROR(VLOOKUP(A37,'INSUMOS '!$B$2:$AP$167,'INSUMOS '!$AO$2+1,FALSE),0)</f>
        <v>26664.5</v>
      </c>
      <c r="J37" s="33">
        <f t="shared" si="3"/>
        <v>10112</v>
      </c>
      <c r="N37" s="1405">
        <f>H37</f>
        <v>0.37923148159905568</v>
      </c>
      <c r="O37" s="1406" t="s">
        <v>334</v>
      </c>
      <c r="P37" s="20"/>
    </row>
    <row r="38" spans="1:16" ht="13.9" customHeight="1" x14ac:dyDescent="0.25">
      <c r="A38" s="1558" t="str">
        <f>+'20'!A36:F36</f>
        <v>TINTA TRASLUCIDA PARA CINTA REFLECTIVA</v>
      </c>
      <c r="B38" s="1559"/>
      <c r="C38" s="1559"/>
      <c r="D38" s="1559"/>
      <c r="E38" s="1559"/>
      <c r="F38" s="1560"/>
      <c r="G38" s="29" t="str">
        <f>+VLOOKUP(A38,'INSUMOS '!$B$3:$C$112,2,FALSE)</f>
        <v>LB</v>
      </c>
      <c r="H38" s="37">
        <f>H28/3.44*0.22</f>
        <v>2.5901162790697679E-2</v>
      </c>
      <c r="I38" s="1397">
        <f>+IFERROR(VLOOKUP(A38,'INSUMOS '!$B$2:$AP$167,'INSUMOS '!$AO$2+1,FALSE),0)</f>
        <v>440873.77039999992</v>
      </c>
      <c r="J38" s="33">
        <f t="shared" si="3"/>
        <v>11419</v>
      </c>
      <c r="N38" s="1405">
        <f>H38*0.454</f>
        <v>1.1759127906976747E-2</v>
      </c>
      <c r="O38" s="1406" t="s">
        <v>45</v>
      </c>
      <c r="P38" s="20"/>
    </row>
    <row r="39" spans="1:16" ht="13.9" customHeight="1" x14ac:dyDescent="0.25">
      <c r="A39" s="1558" t="str">
        <f>+'20'!A37:F37</f>
        <v>CONCRETO  HIDRAULICO 2500 PSI 17 MPA (175 KG/CM2)</v>
      </c>
      <c r="B39" s="1559"/>
      <c r="C39" s="1559"/>
      <c r="D39" s="1559"/>
      <c r="E39" s="1559"/>
      <c r="F39" s="1560"/>
      <c r="G39" s="29" t="str">
        <f>+VLOOKUP(A39,'INSUMOS '!$B$3:$C$112,2,FALSE)</f>
        <v>M3</v>
      </c>
      <c r="H39" s="606">
        <f>+PI()*0.25*0.25/4*0.55</f>
        <v>2.6998061866787288E-2</v>
      </c>
      <c r="I39" s="1397">
        <f>+IFERROR(VLOOKUP(A39,'INSUMOS '!$B$2:$AP$167,'INSUMOS '!$AO$2+1,FALSE),0)</f>
        <v>486142</v>
      </c>
      <c r="J39" s="33">
        <f t="shared" si="3"/>
        <v>13125</v>
      </c>
      <c r="N39" s="1405">
        <f>H39*2400</f>
        <v>64.795348480289491</v>
      </c>
      <c r="O39" s="1406" t="s">
        <v>98</v>
      </c>
      <c r="P39" s="20"/>
    </row>
    <row r="40" spans="1:16" ht="13.9" customHeight="1" x14ac:dyDescent="0.25">
      <c r="A40" s="1558" t="str">
        <f>+'20'!A38:F38</f>
        <v>SOLDADURA ELECTRICA  E 6013 O SIMILAR</v>
      </c>
      <c r="B40" s="1559"/>
      <c r="C40" s="1559"/>
      <c r="D40" s="1559"/>
      <c r="E40" s="1559"/>
      <c r="F40" s="1560"/>
      <c r="G40" s="29" t="str">
        <f>+VLOOKUP(A40,'INSUMOS '!$B$3:$C$112,2,FALSE)</f>
        <v>KG</v>
      </c>
      <c r="H40" s="37">
        <f>0.8*PI()*(2*0.0254)*4</f>
        <v>0.51069730176755679</v>
      </c>
      <c r="I40" s="1397">
        <f>+IFERROR(VLOOKUP(A40,'INSUMOS '!$B$2:$AP$167,'INSUMOS '!$AO$2+1,FALSE),0)</f>
        <v>19163.666666666668</v>
      </c>
      <c r="J40" s="33">
        <f t="shared" si="3"/>
        <v>9787</v>
      </c>
      <c r="N40" s="1405">
        <f>H40</f>
        <v>0.51069730176755679</v>
      </c>
      <c r="O40" s="1406" t="s">
        <v>87</v>
      </c>
      <c r="P40" s="20"/>
    </row>
    <row r="41" spans="1:16" ht="13.9" customHeight="1" x14ac:dyDescent="0.25">
      <c r="A41" s="1558" t="str">
        <f>+'20'!A39:F39</f>
        <v>BROCA PARA METAL 1/2"</v>
      </c>
      <c r="B41" s="1559"/>
      <c r="C41" s="1559"/>
      <c r="D41" s="1559"/>
      <c r="E41" s="1559"/>
      <c r="F41" s="1560"/>
      <c r="G41" s="29" t="str">
        <f>+VLOOKUP(A41,'INSUMOS '!$B$3:$C$112,2,FALSE)</f>
        <v>UN</v>
      </c>
      <c r="H41" s="37">
        <v>0.01</v>
      </c>
      <c r="I41" s="1397">
        <f>+IFERROR(VLOOKUP(A41,'INSUMOS '!$B$2:$AP$167,'INSUMOS '!$AO$2+1,FALSE),0)</f>
        <v>31741.5</v>
      </c>
      <c r="J41" s="33">
        <f t="shared" si="3"/>
        <v>317</v>
      </c>
      <c r="N41" s="1405">
        <f>H41*0.106</f>
        <v>1.06E-3</v>
      </c>
      <c r="O41" s="1406" t="s">
        <v>26</v>
      </c>
      <c r="P41" s="20"/>
    </row>
    <row r="42" spans="1:16" ht="13.9" customHeight="1" x14ac:dyDescent="0.25">
      <c r="A42" s="1558" t="str">
        <f>+'20'!A40:F40</f>
        <v>PLATINA  1/4" x  1" CON ESPESOR DE 6,35 MM</v>
      </c>
      <c r="B42" s="1559"/>
      <c r="C42" s="1559"/>
      <c r="D42" s="1559"/>
      <c r="E42" s="1559"/>
      <c r="F42" s="1560"/>
      <c r="G42" s="29" t="str">
        <f>+VLOOKUP(A42,'INSUMOS '!$B$3:$C$112,2,FALSE)</f>
        <v>M</v>
      </c>
      <c r="H42" s="37">
        <f>3*(PI()*0.05^2)/4</f>
        <v>5.8904862254808626E-3</v>
      </c>
      <c r="I42" s="1397">
        <f>+IFERROR(VLOOKUP(A42,'INSUMOS '!$B$2:$AP$167,'INSUMOS '!$AO$2+1,FALSE),0)</f>
        <v>47400</v>
      </c>
      <c r="J42" s="33">
        <f t="shared" si="3"/>
        <v>279</v>
      </c>
      <c r="N42" s="1405">
        <f>H42*0.00635*0.0254/4*7850</f>
        <v>1.8645251769915736E-3</v>
      </c>
      <c r="O42" s="1406" t="s">
        <v>332</v>
      </c>
      <c r="P42" s="20"/>
    </row>
    <row r="43" spans="1:16" ht="13.9" customHeight="1" x14ac:dyDescent="0.25">
      <c r="A43" s="1558" t="str">
        <f>+'20'!A41:F41</f>
        <v>ACERO DE REFUERZO   FY 36000 PSI</v>
      </c>
      <c r="B43" s="1559"/>
      <c r="C43" s="1559"/>
      <c r="D43" s="1559"/>
      <c r="E43" s="1559"/>
      <c r="F43" s="1560"/>
      <c r="G43" s="29" t="str">
        <f>+VLOOKUP(A43,'INSUMOS '!$B$3:$C$112,2,FALSE)</f>
        <v>KG</v>
      </c>
      <c r="H43" s="37">
        <v>0.01</v>
      </c>
      <c r="I43" s="1397">
        <f>+IFERROR(VLOOKUP(A43,'INSUMOS '!$B$2:$AP$167,'INSUMOS '!$AO$2+1,FALSE),0)</f>
        <v>7857</v>
      </c>
      <c r="J43" s="33">
        <f>ROUND(I43*H43,0)</f>
        <v>79</v>
      </c>
      <c r="N43" s="1405">
        <f>H43</f>
        <v>0.01</v>
      </c>
      <c r="O43" s="1406" t="s">
        <v>116</v>
      </c>
      <c r="P43" s="20"/>
    </row>
    <row r="44" spans="1:16" ht="13.9" customHeight="1" x14ac:dyDescent="0.25">
      <c r="A44" s="1558" t="str">
        <f>+'20'!A42:F42</f>
        <v>ACERO DE REFUERZO FY 60000 PSI</v>
      </c>
      <c r="B44" s="1559"/>
      <c r="C44" s="1559"/>
      <c r="D44" s="1559"/>
      <c r="E44" s="1559"/>
      <c r="F44" s="1560"/>
      <c r="G44" s="29" t="str">
        <f>+VLOOKUP(A44,'INSUMOS '!$B$3:$C$112,2,FALSE)</f>
        <v>KG</v>
      </c>
      <c r="H44" s="37">
        <v>0.63</v>
      </c>
      <c r="I44" s="1397">
        <f>+IFERROR(VLOOKUP(A44,'INSUMOS '!$B$2:$AP$167,'INSUMOS '!$AO$2+1,FALSE),0)</f>
        <v>6392</v>
      </c>
      <c r="J44" s="33">
        <f t="shared" si="3"/>
        <v>4027</v>
      </c>
      <c r="N44" s="1405">
        <f>H44</f>
        <v>0.63</v>
      </c>
      <c r="O44" s="1406" t="s">
        <v>117</v>
      </c>
      <c r="P44" s="20"/>
    </row>
    <row r="45" spans="1:16" ht="13.9" customHeight="1" x14ac:dyDescent="0.25">
      <c r="A45" s="1558" t="str">
        <f>'INSUMOS '!B50</f>
        <v>LÁMINA GALVANIZADA C 16 E=1,50 mm</v>
      </c>
      <c r="B45" s="1559"/>
      <c r="C45" s="1559"/>
      <c r="D45" s="1559"/>
      <c r="E45" s="1559"/>
      <c r="F45" s="1560"/>
      <c r="G45" s="29" t="str">
        <f>+VLOOKUP(A45,'INSUMOS '!$B$3:$C$112,2,FALSE)</f>
        <v>M2</v>
      </c>
      <c r="H45" s="1408">
        <f>0.0588^2*PI()/4*3</f>
        <v>8.1464010781706203E-3</v>
      </c>
      <c r="I45" s="1397">
        <f>+IFERROR(VLOOKUP(A45,'INSUMOS '!$B$2:$AP$167,'INSUMOS '!$AO$2+1,FALSE),0)</f>
        <v>85500.55</v>
      </c>
      <c r="J45" s="33">
        <f>ROUND(I45*H45,0)</f>
        <v>697</v>
      </c>
      <c r="N45" s="1405">
        <f>H45*0.0015*7850</f>
        <v>9.5923872695459059E-2</v>
      </c>
      <c r="O45" s="1406" t="s">
        <v>106</v>
      </c>
      <c r="P45" s="20"/>
    </row>
    <row r="46" spans="1:16" ht="13.9" customHeight="1" x14ac:dyDescent="0.25">
      <c r="A46" s="1558" t="str">
        <f>+'20'!A44:F44</f>
        <v xml:space="preserve">DESPERDICIO </v>
      </c>
      <c r="B46" s="1559"/>
      <c r="C46" s="1559"/>
      <c r="D46" s="1559"/>
      <c r="E46" s="1559"/>
      <c r="F46" s="1560"/>
      <c r="G46" s="29"/>
      <c r="H46" s="74">
        <v>0.05</v>
      </c>
      <c r="I46" s="33">
        <f>+SUM(J28:J45)</f>
        <v>290490</v>
      </c>
      <c r="J46" s="33">
        <f t="shared" si="3"/>
        <v>14525</v>
      </c>
      <c r="N46" s="1374"/>
      <c r="O46" s="593"/>
      <c r="P46" s="20"/>
    </row>
    <row r="47" spans="1:16" ht="13.9" customHeight="1" x14ac:dyDescent="0.25">
      <c r="A47" s="1558"/>
      <c r="B47" s="1559"/>
      <c r="C47" s="1559"/>
      <c r="D47" s="1559"/>
      <c r="E47" s="1559"/>
      <c r="F47" s="1560"/>
      <c r="G47" s="29"/>
      <c r="H47" s="35"/>
      <c r="I47" s="33"/>
      <c r="J47" s="33"/>
      <c r="N47" s="1374">
        <f>SUM(N28:N45)</f>
        <v>86.60483898110769</v>
      </c>
      <c r="O47" s="593"/>
      <c r="P47" s="20"/>
    </row>
    <row r="48" spans="1:16" ht="13.9" customHeight="1" x14ac:dyDescent="0.25">
      <c r="A48" s="1558"/>
      <c r="B48" s="1559"/>
      <c r="C48" s="1559"/>
      <c r="D48" s="1559"/>
      <c r="E48" s="1559"/>
      <c r="F48" s="1560"/>
      <c r="G48" s="29"/>
      <c r="H48" s="35"/>
      <c r="I48" s="33"/>
      <c r="J48" s="33"/>
    </row>
    <row r="49" spans="1:12" ht="13.9" customHeight="1" x14ac:dyDescent="0.25">
      <c r="A49" s="20"/>
      <c r="B49" s="20"/>
      <c r="C49" s="20"/>
      <c r="D49" s="20"/>
      <c r="E49" s="20"/>
      <c r="G49" s="20"/>
      <c r="H49" s="20"/>
      <c r="I49" s="30" t="s">
        <v>257</v>
      </c>
      <c r="J49" s="34">
        <f>+SUM(J28:J48)</f>
        <v>305015</v>
      </c>
    </row>
    <row r="50" spans="1:12" ht="13.9" customHeight="1" x14ac:dyDescent="0.25"/>
    <row r="51" spans="1:12" ht="13.9" customHeight="1" x14ac:dyDescent="0.25">
      <c r="A51" s="1561" t="s">
        <v>267</v>
      </c>
      <c r="B51" s="1561"/>
      <c r="C51" s="1561"/>
      <c r="D51" s="1561"/>
      <c r="E51" s="1561"/>
      <c r="F51" s="1561"/>
      <c r="G51" s="1561"/>
      <c r="H51" s="1561"/>
      <c r="I51" s="27"/>
    </row>
    <row r="52" spans="1:12" ht="13.9" customHeight="1" x14ac:dyDescent="0.25">
      <c r="A52" s="1562" t="s">
        <v>268</v>
      </c>
      <c r="B52" s="1563"/>
      <c r="C52" s="1563"/>
      <c r="D52" s="1563"/>
      <c r="E52" s="1563"/>
      <c r="F52" s="1564"/>
      <c r="G52" s="38" t="s">
        <v>255</v>
      </c>
      <c r="H52" s="28" t="s">
        <v>269</v>
      </c>
      <c r="I52" s="28" t="s">
        <v>256</v>
      </c>
      <c r="J52" s="28" t="s">
        <v>257</v>
      </c>
    </row>
    <row r="53" spans="1:12" ht="13.9" customHeight="1" x14ac:dyDescent="0.25">
      <c r="A53" s="1558" t="str">
        <f>+'20'!A49:F49</f>
        <v>CAMION INCLUYE CONDUCTOR</v>
      </c>
      <c r="B53" s="1559"/>
      <c r="C53" s="1559"/>
      <c r="D53" s="1559"/>
      <c r="E53" s="1559"/>
      <c r="F53" s="1560"/>
      <c r="G53" s="1403">
        <f>(N47/1000)/12</f>
        <v>7.2170699150923071E-3</v>
      </c>
      <c r="H53" s="33">
        <f>+IFERROR(VLOOKUP(A53,'EQUIPOS '!$B$3:$M$78,12,FALSE),0)</f>
        <v>611492.5</v>
      </c>
      <c r="I53" s="33">
        <f>IFERROR(H53*G53,0)</f>
        <v>4413.1841250545822</v>
      </c>
      <c r="J53" s="33">
        <f>ROUND(I53,0)</f>
        <v>4413</v>
      </c>
      <c r="L53" s="19">
        <f>+H28*'1'!N23+'1'!O26*'21'!H30</f>
        <v>18.885099999999998</v>
      </c>
    </row>
    <row r="54" spans="1:12" ht="13.9" customHeight="1" x14ac:dyDescent="0.25">
      <c r="A54" s="1558"/>
      <c r="B54" s="1559"/>
      <c r="C54" s="1559"/>
      <c r="D54" s="1559"/>
      <c r="E54" s="1559"/>
      <c r="F54" s="1560"/>
      <c r="G54" s="29"/>
      <c r="H54" s="33"/>
      <c r="I54" s="33"/>
      <c r="J54" s="33"/>
    </row>
    <row r="55" spans="1:12" ht="13.9" customHeight="1" x14ac:dyDescent="0.25">
      <c r="A55" s="1558"/>
      <c r="B55" s="1559"/>
      <c r="C55" s="1559"/>
      <c r="D55" s="1559"/>
      <c r="E55" s="1559"/>
      <c r="F55" s="1560"/>
      <c r="G55" s="29"/>
      <c r="H55" s="33"/>
      <c r="I55" s="33"/>
      <c r="J55" s="33"/>
    </row>
    <row r="56" spans="1:12" ht="13.9" customHeight="1" x14ac:dyDescent="0.25">
      <c r="G56" s="39"/>
      <c r="H56" s="39"/>
      <c r="I56" s="30" t="s">
        <v>257</v>
      </c>
      <c r="J56" s="33">
        <f>+SUM(J53:J55)</f>
        <v>4413</v>
      </c>
    </row>
    <row r="57" spans="1:12" ht="13.9" customHeight="1" x14ac:dyDescent="0.25"/>
    <row r="58" spans="1:12" ht="13.9" customHeight="1" x14ac:dyDescent="0.25">
      <c r="A58" s="1561" t="s">
        <v>270</v>
      </c>
      <c r="B58" s="1561"/>
      <c r="C58" s="1561"/>
      <c r="D58" s="1561"/>
      <c r="E58" s="1561"/>
      <c r="F58" s="1561"/>
      <c r="G58" s="1561"/>
      <c r="H58" s="1561"/>
      <c r="I58" s="27"/>
    </row>
    <row r="59" spans="1:12" s="39" customFormat="1" ht="13.9" customHeight="1" x14ac:dyDescent="0.25">
      <c r="A59" s="1562" t="s">
        <v>271</v>
      </c>
      <c r="B59" s="1563"/>
      <c r="C59" s="1563"/>
      <c r="D59" s="1564"/>
      <c r="E59" s="28" t="s">
        <v>272</v>
      </c>
      <c r="F59" s="28" t="s">
        <v>264</v>
      </c>
      <c r="G59" s="28" t="s">
        <v>273</v>
      </c>
      <c r="H59" s="28" t="s">
        <v>255</v>
      </c>
      <c r="I59" s="28" t="s">
        <v>256</v>
      </c>
      <c r="J59" s="28" t="s">
        <v>257</v>
      </c>
    </row>
    <row r="60" spans="1:12" s="39" customFormat="1" ht="13.9" customHeight="1" x14ac:dyDescent="0.25">
      <c r="A60" s="1558" t="str">
        <f>+'20'!A56:D56</f>
        <v xml:space="preserve">SOLDADOR </v>
      </c>
      <c r="B60" s="1559"/>
      <c r="C60" s="1559"/>
      <c r="D60" s="1560"/>
      <c r="E60" s="40">
        <f>+IFERROR(VLOOKUP(A60,PERSONAL!$B$3:$E$56,4,FALSE),0)</f>
        <v>110344</v>
      </c>
      <c r="F60" s="30">
        <v>1</v>
      </c>
      <c r="G60" s="40">
        <f t="shared" ref="G60:G65" si="4">+E60*F60</f>
        <v>110344</v>
      </c>
      <c r="H60" s="35">
        <f>+H15*8</f>
        <v>64</v>
      </c>
      <c r="I60" s="33">
        <f t="shared" ref="I60:I65" si="5">IFERROR(ROUND(G60/H60,0),0)</f>
        <v>1724</v>
      </c>
      <c r="J60" s="33">
        <f t="shared" ref="J60:J65" si="6">+I60</f>
        <v>1724</v>
      </c>
    </row>
    <row r="61" spans="1:12" s="39" customFormat="1" ht="13.9" customHeight="1" x14ac:dyDescent="0.25">
      <c r="A61" s="1558" t="str">
        <f>+'20'!A57:D57</f>
        <v xml:space="preserve">PINTOR </v>
      </c>
      <c r="B61" s="1559"/>
      <c r="C61" s="1559"/>
      <c r="D61" s="1560"/>
      <c r="E61" s="40">
        <f>+IFERROR(VLOOKUP(A61,PERSONAL!$B$3:$E$56,4,FALSE),0)</f>
        <v>100054</v>
      </c>
      <c r="F61" s="30">
        <v>1</v>
      </c>
      <c r="G61" s="40">
        <f t="shared" si="4"/>
        <v>100054</v>
      </c>
      <c r="H61" s="35">
        <f>H60</f>
        <v>64</v>
      </c>
      <c r="I61" s="33">
        <f t="shared" si="5"/>
        <v>1563</v>
      </c>
      <c r="J61" s="33">
        <f t="shared" si="6"/>
        <v>1563</v>
      </c>
    </row>
    <row r="62" spans="1:12" s="39" customFormat="1" ht="13.9" customHeight="1" x14ac:dyDescent="0.25">
      <c r="A62" s="1558" t="str">
        <f>+'20'!A58:D58</f>
        <v>COLAMINADOR</v>
      </c>
      <c r="B62" s="1559"/>
      <c r="C62" s="1559"/>
      <c r="D62" s="1560"/>
      <c r="E62" s="40">
        <f>+IFERROR(VLOOKUP(A62,PERSONAL!$B$3:$E$56,4,FALSE),0)</f>
        <v>91275</v>
      </c>
      <c r="F62" s="30">
        <v>1</v>
      </c>
      <c r="G62" s="40">
        <f t="shared" si="4"/>
        <v>91275</v>
      </c>
      <c r="H62" s="35">
        <f>H61</f>
        <v>64</v>
      </c>
      <c r="I62" s="33">
        <f t="shared" si="5"/>
        <v>1426</v>
      </c>
      <c r="J62" s="33">
        <f t="shared" si="6"/>
        <v>1426</v>
      </c>
    </row>
    <row r="63" spans="1:12" s="39" customFormat="1" ht="13.9" customHeight="1" x14ac:dyDescent="0.25">
      <c r="A63" s="1558" t="str">
        <f>+'20'!A59:D59</f>
        <v xml:space="preserve">AYUDANTE </v>
      </c>
      <c r="B63" s="1559"/>
      <c r="C63" s="1559"/>
      <c r="D63" s="1560"/>
      <c r="E63" s="40">
        <f>+IFERROR(VLOOKUP(A63,PERSONAL!$B$3:$E$56,4,FALSE),0)</f>
        <v>72476</v>
      </c>
      <c r="F63" s="30">
        <v>4</v>
      </c>
      <c r="G63" s="40">
        <f t="shared" si="4"/>
        <v>289904</v>
      </c>
      <c r="H63" s="35">
        <v>42</v>
      </c>
      <c r="I63" s="33">
        <f t="shared" si="5"/>
        <v>6902</v>
      </c>
      <c r="J63" s="33">
        <f t="shared" si="6"/>
        <v>6902</v>
      </c>
    </row>
    <row r="64" spans="1:12" s="39" customFormat="1" ht="13.9" customHeight="1" x14ac:dyDescent="0.25">
      <c r="A64" s="1571" t="s">
        <v>143</v>
      </c>
      <c r="B64" s="1572"/>
      <c r="C64" s="1572"/>
      <c r="D64" s="1573"/>
      <c r="E64" s="40">
        <f>+IFERROR(VLOOKUP(A64,PERSONAL!$B$3:$E$56,4,FALSE),0)</f>
        <v>89632</v>
      </c>
      <c r="F64" s="30">
        <v>1</v>
      </c>
      <c r="G64" s="40">
        <f t="shared" si="4"/>
        <v>89632</v>
      </c>
      <c r="H64" s="35">
        <f>+H63</f>
        <v>42</v>
      </c>
      <c r="I64" s="33">
        <f t="shared" si="5"/>
        <v>2134</v>
      </c>
      <c r="J64" s="33">
        <f t="shared" si="6"/>
        <v>2134</v>
      </c>
    </row>
    <row r="65" spans="1:10" s="39" customFormat="1" ht="13.9" customHeight="1" x14ac:dyDescent="0.25">
      <c r="A65" s="1571" t="s">
        <v>178</v>
      </c>
      <c r="B65" s="1572"/>
      <c r="C65" s="1572"/>
      <c r="D65" s="1573"/>
      <c r="E65" s="40">
        <f>+IFERROR(VLOOKUP(A65,PERSONAL!$B$3:$E$56,4,FALSE),0)</f>
        <v>166031</v>
      </c>
      <c r="F65" s="30">
        <v>1</v>
      </c>
      <c r="G65" s="40">
        <f t="shared" si="4"/>
        <v>166031</v>
      </c>
      <c r="H65" s="35">
        <f>H64</f>
        <v>42</v>
      </c>
      <c r="I65" s="33">
        <f t="shared" si="5"/>
        <v>3953</v>
      </c>
      <c r="J65" s="33">
        <f t="shared" si="6"/>
        <v>3953</v>
      </c>
    </row>
    <row r="66" spans="1:10" s="39" customFormat="1" ht="13.9" customHeight="1" x14ac:dyDescent="0.25">
      <c r="A66" s="1558"/>
      <c r="B66" s="1559"/>
      <c r="C66" s="1559"/>
      <c r="D66" s="1560"/>
      <c r="E66" s="40"/>
      <c r="F66" s="30"/>
      <c r="G66" s="40"/>
      <c r="H66" s="35"/>
      <c r="I66" s="33"/>
      <c r="J66" s="33"/>
    </row>
    <row r="67" spans="1:10" s="39" customFormat="1" ht="13.9" customHeight="1" x14ac:dyDescent="0.25">
      <c r="A67" s="1558"/>
      <c r="B67" s="1559"/>
      <c r="C67" s="1559"/>
      <c r="D67" s="1560"/>
      <c r="E67" s="40"/>
      <c r="F67" s="30"/>
      <c r="G67" s="40"/>
      <c r="H67" s="35"/>
      <c r="I67" s="33"/>
      <c r="J67" s="33"/>
    </row>
    <row r="68" spans="1:10" s="39" customFormat="1" ht="13.9" customHeight="1" x14ac:dyDescent="0.25">
      <c r="A68" s="1558"/>
      <c r="B68" s="1559"/>
      <c r="C68" s="1559"/>
      <c r="D68" s="1560"/>
      <c r="E68" s="40"/>
      <c r="F68" s="30"/>
      <c r="G68" s="40"/>
      <c r="H68" s="35"/>
      <c r="I68" s="33"/>
      <c r="J68" s="33"/>
    </row>
    <row r="69" spans="1:10" s="39" customFormat="1" ht="13.9" customHeight="1" x14ac:dyDescent="0.25">
      <c r="A69" s="1558"/>
      <c r="B69" s="1559"/>
      <c r="C69" s="1559"/>
      <c r="D69" s="1560"/>
      <c r="E69" s="40"/>
      <c r="F69" s="30"/>
      <c r="G69" s="40"/>
      <c r="H69" s="35"/>
      <c r="I69" s="33"/>
      <c r="J69" s="33"/>
    </row>
    <row r="70" spans="1:10" ht="13.9" customHeight="1" x14ac:dyDescent="0.25">
      <c r="A70" s="20"/>
      <c r="B70" s="20"/>
      <c r="C70" s="20"/>
      <c r="E70" s="20"/>
      <c r="F70" s="20"/>
      <c r="G70" s="20"/>
      <c r="H70" s="20"/>
      <c r="I70" s="30" t="s">
        <v>257</v>
      </c>
      <c r="J70" s="34">
        <f>+SUM(J60:J69)</f>
        <v>17702</v>
      </c>
    </row>
    <row r="71" spans="1:10" ht="13.9" customHeight="1" x14ac:dyDescent="0.25"/>
    <row r="72" spans="1:10" ht="13.9" customHeight="1" x14ac:dyDescent="0.25">
      <c r="E72" s="41" t="s">
        <v>276</v>
      </c>
      <c r="I72" s="42">
        <f>+J70+J56+J49+J24</f>
        <v>339716</v>
      </c>
      <c r="J72" s="43"/>
    </row>
    <row r="73" spans="1:10" ht="13.9" customHeight="1" x14ac:dyDescent="0.25"/>
  </sheetData>
  <mergeCells count="61">
    <mergeCell ref="A17:D17"/>
    <mergeCell ref="A1:J1"/>
    <mergeCell ref="A2:J2"/>
    <mergeCell ref="A4:J4"/>
    <mergeCell ref="A6:B6"/>
    <mergeCell ref="A7:B7"/>
    <mergeCell ref="C7:J7"/>
    <mergeCell ref="A38:F38"/>
    <mergeCell ref="A27:F27"/>
    <mergeCell ref="A9:H9"/>
    <mergeCell ref="A10:D10"/>
    <mergeCell ref="A11:D11"/>
    <mergeCell ref="A12:D12"/>
    <mergeCell ref="A13:D13"/>
    <mergeCell ref="A19:D19"/>
    <mergeCell ref="A20:D20"/>
    <mergeCell ref="A21:D21"/>
    <mergeCell ref="A22:D22"/>
    <mergeCell ref="A23:D23"/>
    <mergeCell ref="A26:H26"/>
    <mergeCell ref="A14:D14"/>
    <mergeCell ref="A15:D15"/>
    <mergeCell ref="A16:D16"/>
    <mergeCell ref="A59:D59"/>
    <mergeCell ref="A40:F40"/>
    <mergeCell ref="A41:F41"/>
    <mergeCell ref="A42:F42"/>
    <mergeCell ref="A47:F47"/>
    <mergeCell ref="A48:F48"/>
    <mergeCell ref="A51:H51"/>
    <mergeCell ref="A52:F52"/>
    <mergeCell ref="A53:F53"/>
    <mergeCell ref="A54:F54"/>
    <mergeCell ref="A55:F55"/>
    <mergeCell ref="A58:H58"/>
    <mergeCell ref="A66:D66"/>
    <mergeCell ref="A67:D67"/>
    <mergeCell ref="A68:D68"/>
    <mergeCell ref="A69:D69"/>
    <mergeCell ref="A60:D60"/>
    <mergeCell ref="A61:D61"/>
    <mergeCell ref="A62:D62"/>
    <mergeCell ref="A63:D63"/>
    <mergeCell ref="A64:D64"/>
    <mergeCell ref="A65:D65"/>
    <mergeCell ref="A18:D18"/>
    <mergeCell ref="A43:F43"/>
    <mergeCell ref="A44:F44"/>
    <mergeCell ref="A45:F45"/>
    <mergeCell ref="A46:F46"/>
    <mergeCell ref="A39:F39"/>
    <mergeCell ref="A28:F28"/>
    <mergeCell ref="A29:F29"/>
    <mergeCell ref="A30:F30"/>
    <mergeCell ref="A31:F31"/>
    <mergeCell ref="A32:F32"/>
    <mergeCell ref="A33:F33"/>
    <mergeCell ref="A34:F34"/>
    <mergeCell ref="A35:F35"/>
    <mergeCell ref="A36:F36"/>
    <mergeCell ref="A37:F37"/>
  </mergeCells>
  <pageMargins left="0.70866141732283472" right="0.70866141732283472" top="0.78740157480314965" bottom="0.78740157480314965" header="0.31496062992125984" footer="0.31496062992125984"/>
  <pageSetup scale="67" orientation="portrait" r:id="rId1"/>
  <drawing r:id="rId2"/>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sheetPr codeName="Hoja24">
    <tabColor rgb="FF00B050"/>
    <pageSetUpPr fitToPage="1"/>
  </sheetPr>
  <dimension ref="A1:O69"/>
  <sheetViews>
    <sheetView topLeftCell="A52" workbookViewId="0">
      <selection activeCell="G49" sqref="G49"/>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11.42578125" style="19"/>
    <col min="12" max="12" width="0" style="19" hidden="1" customWidth="1"/>
    <col min="13"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20</v>
      </c>
      <c r="D6" s="23"/>
      <c r="E6" s="23"/>
      <c r="F6" s="23"/>
      <c r="G6" s="23"/>
      <c r="H6" s="24"/>
      <c r="I6" s="25" t="s">
        <v>248</v>
      </c>
      <c r="J6" s="26" t="str">
        <f>+VLOOKUP(C6,'ANEXO PLIEGO_1'!$A$7:$C$133,3,FALSE)</f>
        <v>UN</v>
      </c>
    </row>
    <row r="7" spans="1:10" ht="34.5" customHeight="1" x14ac:dyDescent="0.25">
      <c r="A7" s="1568" t="s">
        <v>249</v>
      </c>
      <c r="B7" s="1570"/>
      <c r="C7" s="1578" t="str">
        <f>+VLOOKUP(C6,'ANEXO PLIEGO_1'!$A$7:$B$103,2,FALSE)</f>
        <v>Fabricación, suministro e instalación de señal preventiva, reglamentaría e informativa de 45 cm, lámina galvanizada C-16 E=1,5 mm y material reflectivoTipo IV o superior, película antigraffiti, con tubo galvanizado de 2" de diámetro interno y espesor de 2.0 mm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'!B45</f>
        <v>TRONZADORA</v>
      </c>
      <c r="B11" s="1559"/>
      <c r="C11" s="1559"/>
      <c r="D11" s="1560"/>
      <c r="E11" s="29" t="s">
        <v>202</v>
      </c>
      <c r="F11" s="30">
        <f>IFERROR(VLOOKUP(A11,'[10]EQUIPOS TRANSPOR SALARIO'!$A$3:$G$42,2,FALSE),0)</f>
        <v>0</v>
      </c>
      <c r="G11" s="31">
        <f>IFERROR(VLOOKUP(A11,'EQUIPOS '!$B$3:$N$55,12,FALSE),0)</f>
        <v>3779.5</v>
      </c>
      <c r="H11" s="32">
        <v>10</v>
      </c>
      <c r="I11" s="33">
        <f>IFERROR((G11/H11),0)</f>
        <v>377.95</v>
      </c>
      <c r="J11" s="33">
        <f>ROUND(I11,0)</f>
        <v>378</v>
      </c>
    </row>
    <row r="12" spans="1:10" s="20" customFormat="1" ht="13.9" customHeight="1" x14ac:dyDescent="0.25">
      <c r="A12" s="1558" t="str">
        <f>+'EQUIPOS '!B7</f>
        <v xml:space="preserve">CIZALLA DE CORTE VERTICAL </v>
      </c>
      <c r="B12" s="1559"/>
      <c r="C12" s="1559"/>
      <c r="D12" s="1560"/>
      <c r="E12" s="29" t="s">
        <v>202</v>
      </c>
      <c r="F12" s="30">
        <f>IFERROR(VLOOKUP(A12,'[10]EQUIPOS TRANSPOR SALARIO'!$A$3:$G$42,2,FALSE),0)</f>
        <v>0</v>
      </c>
      <c r="G12" s="31">
        <f>IFERROR(VLOOKUP(A12,'EQUIPOS '!$B$3:$N$55,12,FALSE),0)</f>
        <v>5174.01</v>
      </c>
      <c r="H12" s="32">
        <f>+H11</f>
        <v>10</v>
      </c>
      <c r="I12" s="33">
        <f t="shared" ref="I12:I19" si="0">IFERROR((G12/H12),0)</f>
        <v>517.40100000000007</v>
      </c>
      <c r="J12" s="33">
        <f t="shared" ref="J12:J20" si="1">ROUND(I12,0)</f>
        <v>517</v>
      </c>
    </row>
    <row r="13" spans="1:10" s="20" customFormat="1" ht="13.9" customHeight="1" x14ac:dyDescent="0.25">
      <c r="A13" s="1558" t="str">
        <f>+'EQUIPOS '!B24</f>
        <v>EQUIPO PINTURA ELECTROSTÁTICA</v>
      </c>
      <c r="B13" s="1559"/>
      <c r="C13" s="1559"/>
      <c r="D13" s="1560"/>
      <c r="E13" s="29" t="s">
        <v>202</v>
      </c>
      <c r="F13" s="30" t="str">
        <f>IFERROR(VLOOKUP(A13,'[10]EQUIPOS TRANSPOR SALARIO'!$A$3:$G$42,2,FALSE),0)</f>
        <v>Electrostática</v>
      </c>
      <c r="G13" s="31">
        <f>IFERROR(VLOOKUP(A13,'EQUIPOS '!$B$3:$N$55,12,FALSE),0)</f>
        <v>4047.59</v>
      </c>
      <c r="H13" s="32">
        <v>50</v>
      </c>
      <c r="I13" s="33">
        <f t="shared" si="0"/>
        <v>80.951800000000006</v>
      </c>
      <c r="J13" s="33">
        <f t="shared" si="1"/>
        <v>81</v>
      </c>
    </row>
    <row r="14" spans="1:10" s="20" customFormat="1" ht="13.9" customHeight="1" x14ac:dyDescent="0.25">
      <c r="A14" s="1558" t="str">
        <f>+'EQUIPOS '!B43</f>
        <v>TALADRO DE ARBOL</v>
      </c>
      <c r="B14" s="1559"/>
      <c r="C14" s="1559"/>
      <c r="D14" s="1560"/>
      <c r="E14" s="29" t="s">
        <v>202</v>
      </c>
      <c r="F14" s="30">
        <f>IFERROR(VLOOKUP(A14,'[10]EQUIPOS TRANSPOR SALARIO'!$A$3:$G$42,2,FALSE),0)</f>
        <v>0</v>
      </c>
      <c r="G14" s="31">
        <f>IFERROR(VLOOKUP(A14,'EQUIPOS '!$B$3:$N$55,12,FALSE),0)</f>
        <v>4898</v>
      </c>
      <c r="H14" s="32">
        <f>+H12</f>
        <v>10</v>
      </c>
      <c r="I14" s="33">
        <f t="shared" si="0"/>
        <v>489.8</v>
      </c>
      <c r="J14" s="33">
        <f t="shared" si="1"/>
        <v>490</v>
      </c>
    </row>
    <row r="15" spans="1:10" s="20" customFormat="1" ht="13.9" customHeight="1" x14ac:dyDescent="0.25">
      <c r="A15" s="1558" t="str">
        <f>+'EQUIPOS '!B27</f>
        <v xml:space="preserve">EQUIPO SOLDADURA ELECTRICA </v>
      </c>
      <c r="B15" s="1559"/>
      <c r="C15" s="1559"/>
      <c r="D15" s="1560"/>
      <c r="E15" s="29" t="s">
        <v>202</v>
      </c>
      <c r="F15" s="30">
        <f>IFERROR(VLOOKUP(A15,'[10]EQUIPOS TRANSPOR SALARIO'!$A$3:$G$42,2,FALSE),0)</f>
        <v>0</v>
      </c>
      <c r="G15" s="31">
        <f>IFERROR(VLOOKUP(A15,'EQUIPOS '!$B$3:$N$55,12,FALSE),0)</f>
        <v>4862.5</v>
      </c>
      <c r="H15" s="32">
        <f>+H14</f>
        <v>10</v>
      </c>
      <c r="I15" s="33">
        <f t="shared" si="0"/>
        <v>486.25</v>
      </c>
      <c r="J15" s="33">
        <f t="shared" si="1"/>
        <v>486</v>
      </c>
    </row>
    <row r="16" spans="1:10" s="20" customFormat="1" ht="13.9" customHeight="1" x14ac:dyDescent="0.25">
      <c r="A16" s="1558" t="str">
        <f>+'EQUIPOS '!B25</f>
        <v>EQUIPO  COLAMINADO</v>
      </c>
      <c r="B16" s="1559"/>
      <c r="C16" s="1559"/>
      <c r="D16" s="1560"/>
      <c r="E16" s="29" t="s">
        <v>202</v>
      </c>
      <c r="F16" s="30">
        <f>IFERROR(VLOOKUP(A16,'[10]EQUIPOS TRANSPOR SALARIO'!$A$3:$G$42,2,FALSE),0)</f>
        <v>0</v>
      </c>
      <c r="G16" s="31">
        <f>IFERROR(VLOOKUP(A16,'EQUIPOS '!$B$3:$N$55,12,FALSE),0)</f>
        <v>4701.8100000000004</v>
      </c>
      <c r="H16" s="32">
        <f>+H15</f>
        <v>10</v>
      </c>
      <c r="I16" s="33">
        <f t="shared" si="0"/>
        <v>470.18100000000004</v>
      </c>
      <c r="J16" s="33">
        <f t="shared" si="1"/>
        <v>470</v>
      </c>
    </row>
    <row r="17" spans="1:15" s="20" customFormat="1" ht="13.9" customHeight="1" x14ac:dyDescent="0.25">
      <c r="A17" s="5" t="str">
        <f>+'EQUIPOS '!B9</f>
        <v>COMPRESOR</v>
      </c>
      <c r="B17" s="6"/>
      <c r="C17" s="6"/>
      <c r="D17" s="7"/>
      <c r="E17" s="29" t="s">
        <v>202</v>
      </c>
      <c r="F17" s="30"/>
      <c r="G17" s="31">
        <f>IFERROR(VLOOKUP(A17,'EQUIPOS '!$B$3:$N$55,12,FALSE),0)</f>
        <v>7999.94</v>
      </c>
      <c r="H17" s="32">
        <f>+H16</f>
        <v>10</v>
      </c>
      <c r="I17" s="33">
        <f t="shared" si="0"/>
        <v>799.99399999999991</v>
      </c>
      <c r="J17" s="33">
        <f t="shared" si="1"/>
        <v>800</v>
      </c>
    </row>
    <row r="18" spans="1:15" s="20" customFormat="1" ht="13.9" customHeight="1" x14ac:dyDescent="0.25">
      <c r="A18" s="20" t="str">
        <f>+'EQUIPOS '!B51</f>
        <v xml:space="preserve">IMPRESORA DIGITAL PARA SEÑALES DE TRÁNSITO </v>
      </c>
      <c r="E18" s="29" t="s">
        <v>202</v>
      </c>
      <c r="G18" s="31">
        <f>IFERROR(VLOOKUP(A18,'EQUIPOS '!$B$3:$N$55,12,FALSE),0)</f>
        <v>64227.08</v>
      </c>
      <c r="H18" s="32">
        <f>+H17</f>
        <v>10</v>
      </c>
      <c r="I18" s="33">
        <f t="shared" si="0"/>
        <v>6422.7080000000005</v>
      </c>
      <c r="J18" s="33">
        <f t="shared" si="1"/>
        <v>6423</v>
      </c>
    </row>
    <row r="19" spans="1:15" s="20" customFormat="1" ht="13.9" customHeight="1" x14ac:dyDescent="0.25">
      <c r="A19" s="5" t="str">
        <f>+'EQUIPOS '!B39</f>
        <v xml:space="preserve">PULIDORA </v>
      </c>
      <c r="B19" s="6"/>
      <c r="C19" s="6"/>
      <c r="D19" s="7"/>
      <c r="E19" s="29" t="s">
        <v>202</v>
      </c>
      <c r="F19" s="30"/>
      <c r="G19" s="31">
        <f>IFERROR(VLOOKUP(A19,'EQUIPOS '!$B$3:$N$55,12,FALSE),0)</f>
        <v>2821</v>
      </c>
      <c r="H19" s="32">
        <f>+H18</f>
        <v>10</v>
      </c>
      <c r="I19" s="33">
        <f t="shared" si="0"/>
        <v>282.10000000000002</v>
      </c>
      <c r="J19" s="33">
        <f t="shared" si="1"/>
        <v>282</v>
      </c>
    </row>
    <row r="20" spans="1:15" s="20" customFormat="1" ht="13.9" customHeight="1" x14ac:dyDescent="0.25">
      <c r="A20" s="1558" t="s">
        <v>330</v>
      </c>
      <c r="B20" s="1559"/>
      <c r="C20" s="1559"/>
      <c r="D20" s="1560"/>
      <c r="E20" s="29"/>
      <c r="F20" s="30"/>
      <c r="G20" s="74">
        <v>0.01</v>
      </c>
      <c r="H20" s="32"/>
      <c r="I20" s="33">
        <f>+G20*J66</f>
        <v>151.37</v>
      </c>
      <c r="J20" s="33">
        <f t="shared" si="1"/>
        <v>151</v>
      </c>
    </row>
    <row r="21" spans="1:15" s="20" customFormat="1" ht="13.9" customHeight="1" x14ac:dyDescent="0.25">
      <c r="A21" s="1558"/>
      <c r="B21" s="1559"/>
      <c r="C21" s="1559"/>
      <c r="D21" s="1560"/>
      <c r="E21" s="29"/>
      <c r="F21" s="30"/>
      <c r="G21" s="31"/>
      <c r="H21" s="30"/>
      <c r="I21" s="33"/>
      <c r="J21" s="33"/>
    </row>
    <row r="22" spans="1:15" s="20" customFormat="1" ht="13.9" customHeight="1" x14ac:dyDescent="0.25">
      <c r="I22" s="30" t="s">
        <v>257</v>
      </c>
      <c r="J22" s="34">
        <f>+SUM(J11:J21)</f>
        <v>10078</v>
      </c>
      <c r="L22" s="19"/>
    </row>
    <row r="23" spans="1:15" s="20" customFormat="1" ht="13.9" customHeight="1" x14ac:dyDescent="0.25">
      <c r="L23" s="19"/>
    </row>
    <row r="24" spans="1:15" s="20" customFormat="1" ht="13.9" customHeight="1" x14ac:dyDescent="0.25">
      <c r="A24" s="1561" t="s">
        <v>263</v>
      </c>
      <c r="B24" s="1561"/>
      <c r="C24" s="1561"/>
      <c r="D24" s="1561"/>
      <c r="E24" s="1561"/>
      <c r="F24" s="1561"/>
      <c r="G24" s="1561"/>
      <c r="H24" s="1561"/>
      <c r="I24" s="27"/>
      <c r="L24" s="19"/>
    </row>
    <row r="25" spans="1:15" ht="13.9" customHeight="1" x14ac:dyDescent="0.25">
      <c r="A25" s="1565" t="s">
        <v>251</v>
      </c>
      <c r="B25" s="1566"/>
      <c r="C25" s="1566"/>
      <c r="D25" s="1566"/>
      <c r="E25" s="1566"/>
      <c r="F25" s="1567"/>
      <c r="G25" s="28" t="s">
        <v>252</v>
      </c>
      <c r="H25" s="28" t="s">
        <v>264</v>
      </c>
      <c r="I25" s="28" t="s">
        <v>256</v>
      </c>
      <c r="J25" s="28" t="s">
        <v>257</v>
      </c>
      <c r="N25" s="593"/>
      <c r="O25" s="593"/>
    </row>
    <row r="26" spans="1:15" ht="13.9" customHeight="1" x14ac:dyDescent="0.25">
      <c r="A26" s="1558" t="s">
        <v>106</v>
      </c>
      <c r="B26" s="1559"/>
      <c r="C26" s="1559"/>
      <c r="D26" s="1559"/>
      <c r="E26" s="1559"/>
      <c r="F26" s="1560"/>
      <c r="G26" s="29" t="str">
        <f>+VLOOKUP(A26,'INSUMOS '!$B$3:$C$112,2,FALSE)</f>
        <v>M2</v>
      </c>
      <c r="H26" s="35">
        <f>0.45*0.45</f>
        <v>0.20250000000000001</v>
      </c>
      <c r="I26" s="33">
        <f>+IFERROR(VLOOKUP(A26,'INSUMOS '!$B$2:$AP$167,'INSUMOS '!$AO$2+1,FALSE),0)</f>
        <v>85500.55</v>
      </c>
      <c r="J26" s="33">
        <f>ROUND(I26*H26,0)</f>
        <v>17314</v>
      </c>
      <c r="N26" s="1405">
        <f>H26*0.0015*7850</f>
        <v>2.3844375000000002</v>
      </c>
      <c r="O26" s="1406" t="s">
        <v>106</v>
      </c>
    </row>
    <row r="27" spans="1:15" ht="13.9" customHeight="1" x14ac:dyDescent="0.25">
      <c r="A27" s="1558" t="str">
        <f>+'INSUMOS '!B62</f>
        <v xml:space="preserve">PAPEL REFLECTIVO PRISMÁTICO ALTA INTENSIDAD TIPO IV </v>
      </c>
      <c r="B27" s="1559"/>
      <c r="C27" s="1559"/>
      <c r="D27" s="1559"/>
      <c r="E27" s="1559"/>
      <c r="F27" s="1560"/>
      <c r="G27" s="29" t="str">
        <f>+VLOOKUP(A27,'INSUMOS '!$B$3:$C$112,2,FALSE)</f>
        <v>M2</v>
      </c>
      <c r="H27" s="35">
        <f>+H26</f>
        <v>0.20250000000000001</v>
      </c>
      <c r="I27" s="33">
        <f>+IFERROR(VLOOKUP(A27,'INSUMOS '!$B$2:$AP$167,'INSUMOS '!$AO$2+1,FALSE),0)</f>
        <v>124209.43919999998</v>
      </c>
      <c r="J27" s="33">
        <f t="shared" ref="J27:J39" si="2">ROUND(I27*H27,0)</f>
        <v>25152</v>
      </c>
      <c r="N27" s="1405">
        <f>H27*0.2/0.36</f>
        <v>0.11250000000000003</v>
      </c>
      <c r="O27" s="1406" t="s">
        <v>90</v>
      </c>
    </row>
    <row r="28" spans="1:15" ht="13.9" customHeight="1" x14ac:dyDescent="0.25">
      <c r="A28" s="1558" t="str">
        <f>'INSUMOS '!B105</f>
        <v>TUBO GALVANIZADO DE 2" X 2,0 mm ESPESOR DE PARED</v>
      </c>
      <c r="B28" s="1559"/>
      <c r="C28" s="1559"/>
      <c r="D28" s="1559"/>
      <c r="E28" s="1559"/>
      <c r="F28" s="1560"/>
      <c r="G28" s="29" t="str">
        <f>+VLOOKUP(A28,'INSUMOS '!$B$3:$C$112,2,FALSE)</f>
        <v>M</v>
      </c>
      <c r="H28" s="35">
        <f>3.315+0.6</f>
        <v>3.915</v>
      </c>
      <c r="I28" s="33">
        <f>+IFERROR(VLOOKUP(A28,'INSUMOS '!$B$2:$AP$167,'INSUMOS '!$AO$2+1,FALSE),0)</f>
        <v>16939</v>
      </c>
      <c r="J28" s="33">
        <f>ROUND(I28*H28,0)</f>
        <v>66316</v>
      </c>
      <c r="L28" s="124"/>
      <c r="N28" s="1405">
        <f>(((2*0.0254+0.004)^2*PI()/4)-(2*0.0254)^2*PI()/4)*7850*H28</f>
        <v>10.195656939559008</v>
      </c>
      <c r="O28" s="1406" t="s">
        <v>7315</v>
      </c>
    </row>
    <row r="29" spans="1:15" ht="13.9" customHeight="1" x14ac:dyDescent="0.25">
      <c r="A29" s="1558" t="s">
        <v>34</v>
      </c>
      <c r="B29" s="1559"/>
      <c r="C29" s="1559"/>
      <c r="D29" s="1559"/>
      <c r="E29" s="1559"/>
      <c r="F29" s="1560"/>
      <c r="G29" s="29" t="str">
        <f>+VLOOKUP(A29,'INSUMOS '!$B$3:$C$112,2,FALSE)</f>
        <v>UN</v>
      </c>
      <c r="H29" s="35">
        <v>4</v>
      </c>
      <c r="I29" s="33">
        <f>+IFERROR(VLOOKUP(A29,'INSUMOS '!$B$2:$AP$167,'INSUMOS '!$AO$2+1,FALSE),0)</f>
        <v>5600</v>
      </c>
      <c r="J29" s="33">
        <f>ROUND(I29*H29,0)</f>
        <v>22400</v>
      </c>
      <c r="L29" s="124"/>
      <c r="N29" s="1405">
        <f>H29*0.3/4</f>
        <v>0.3</v>
      </c>
      <c r="O29" s="1406" t="s">
        <v>42</v>
      </c>
    </row>
    <row r="30" spans="1:15" ht="13.9" customHeight="1" x14ac:dyDescent="0.25">
      <c r="A30" s="1558" t="str">
        <f>'INSUMOS '!B8</f>
        <v>ÁNGULO METÁLICO DE 2"X2"X1/8" L=6M</v>
      </c>
      <c r="B30" s="1559"/>
      <c r="C30" s="1559"/>
      <c r="D30" s="1559"/>
      <c r="E30" s="1559"/>
      <c r="F30" s="1560"/>
      <c r="G30" s="29" t="str">
        <f>+VLOOKUP(A30,'INSUMOS '!$B$3:$C$112,2,FALSE)</f>
        <v>M</v>
      </c>
      <c r="H30" s="35">
        <f>0.15</f>
        <v>0.15</v>
      </c>
      <c r="I30" s="33">
        <f>+IFERROR(VLOOKUP(A30,'INSUMOS '!$B$2:$AP$167,'INSUMOS '!$AO$2+1,FALSE),0)</f>
        <v>16804.093333333331</v>
      </c>
      <c r="J30" s="33">
        <f>ROUND(I30*H30,0)</f>
        <v>2521</v>
      </c>
      <c r="L30" s="124"/>
      <c r="N30" s="1374">
        <f>4*0.0254*(0.0254/8)*H30*7850</f>
        <v>0.37983794999999998</v>
      </c>
      <c r="O30" s="593" t="s">
        <v>156</v>
      </c>
    </row>
    <row r="31" spans="1:15" ht="13.9" customHeight="1" x14ac:dyDescent="0.25">
      <c r="A31" s="1558" t="s">
        <v>42</v>
      </c>
      <c r="B31" s="1559"/>
      <c r="C31" s="1559"/>
      <c r="D31" s="1559"/>
      <c r="E31" s="1559"/>
      <c r="F31" s="1560"/>
      <c r="G31" s="29" t="str">
        <f>+VLOOKUP(A31,'INSUMOS '!$B$3:$C$112,2,FALSE)</f>
        <v>UN</v>
      </c>
      <c r="H31" s="35">
        <f>4</f>
        <v>4</v>
      </c>
      <c r="I31" s="33">
        <f>+IFERROR(VLOOKUP(A31,'INSUMOS '!$B$2:$AP$167,'INSUMOS '!$AO$2+1,FALSE),0)</f>
        <v>1747.5</v>
      </c>
      <c r="J31" s="33">
        <f>ROUND(I31*H31,0)</f>
        <v>6990</v>
      </c>
      <c r="N31" s="1405">
        <f>H31*0.3/4</f>
        <v>0.3</v>
      </c>
      <c r="O31" s="1406" t="s">
        <v>42</v>
      </c>
    </row>
    <row r="32" spans="1:15" ht="13.9" customHeight="1" x14ac:dyDescent="0.25">
      <c r="A32" s="1558" t="s">
        <v>43</v>
      </c>
      <c r="B32" s="1559"/>
      <c r="C32" s="1559"/>
      <c r="D32" s="1559"/>
      <c r="E32" s="1559"/>
      <c r="F32" s="1560"/>
      <c r="G32" s="29" t="str">
        <f>+VLOOKUP(A32,'INSUMOS '!$B$3:$C$112,2,FALSE)</f>
        <v>UN</v>
      </c>
      <c r="H32" s="35">
        <v>4</v>
      </c>
      <c r="I32" s="33">
        <f>+IFERROR(VLOOKUP(A32,'INSUMOS '!$B$2:$AP$167,'INSUMOS '!$AO$2+1,FALSE),0)</f>
        <v>170</v>
      </c>
      <c r="J32" s="33">
        <f t="shared" si="2"/>
        <v>680</v>
      </c>
      <c r="N32" s="1374">
        <f>H32/4*0.1</f>
        <v>0.1</v>
      </c>
      <c r="O32" s="593" t="s">
        <v>43</v>
      </c>
    </row>
    <row r="33" spans="1:15" ht="13.9" customHeight="1" x14ac:dyDescent="0.25">
      <c r="A33" s="1558" t="s">
        <v>92</v>
      </c>
      <c r="B33" s="1559"/>
      <c r="C33" s="1559"/>
      <c r="D33" s="1559"/>
      <c r="E33" s="1559"/>
      <c r="F33" s="1560"/>
      <c r="G33" s="29" t="str">
        <f>+VLOOKUP(A33,'INSUMOS '!$B$3:$C$112,2,FALSE)</f>
        <v>UN</v>
      </c>
      <c r="H33" s="35">
        <v>1</v>
      </c>
      <c r="I33" s="33">
        <f>+IFERROR(VLOOKUP(A33,'INSUMOS '!$B$2:$AP$167,'INSUMOS '!$AO$2+1,FALSE),0)</f>
        <v>2500</v>
      </c>
      <c r="J33" s="33">
        <f t="shared" si="2"/>
        <v>2500</v>
      </c>
      <c r="N33" s="1405">
        <f>H33*0.05</f>
        <v>0.05</v>
      </c>
      <c r="O33" s="1406" t="s">
        <v>92</v>
      </c>
    </row>
    <row r="34" spans="1:15" ht="13.9" customHeight="1" x14ac:dyDescent="0.25">
      <c r="A34" s="1558" t="s">
        <v>89</v>
      </c>
      <c r="B34" s="1559"/>
      <c r="C34" s="1559"/>
      <c r="D34" s="1559"/>
      <c r="E34" s="1559"/>
      <c r="F34" s="1560"/>
      <c r="G34" s="29" t="str">
        <f>+VLOOKUP(A34,'INSUMOS '!$B$3:$C$112,2,FALSE)</f>
        <v>M2</v>
      </c>
      <c r="H34" s="37">
        <f>+H26</f>
        <v>0.20250000000000001</v>
      </c>
      <c r="I34" s="33">
        <f>+IFERROR(VLOOKUP(A34,'INSUMOS '!$B$2:$AP$167,'INSUMOS '!$AO$2+1,FALSE),0)</f>
        <v>65174.538799999995</v>
      </c>
      <c r="J34" s="33">
        <f t="shared" si="2"/>
        <v>13198</v>
      </c>
      <c r="N34" s="1405">
        <f>H34/0.36*0.3</f>
        <v>0.16875000000000004</v>
      </c>
      <c r="O34" s="1406" t="s">
        <v>89</v>
      </c>
    </row>
    <row r="35" spans="1:15" ht="13.9" customHeight="1" x14ac:dyDescent="0.25">
      <c r="A35" s="1558" t="s">
        <v>334</v>
      </c>
      <c r="B35" s="1559"/>
      <c r="C35" s="1559"/>
      <c r="D35" s="1559"/>
      <c r="E35" s="1559"/>
      <c r="F35" s="1560"/>
      <c r="G35" s="29" t="str">
        <f>+VLOOKUP(A35,'INSUMOS '!$B$3:$C$112,2,FALSE)</f>
        <v>KG</v>
      </c>
      <c r="H35" s="37">
        <f>((0.0254*2+0.004)*PI()*H29+H27+8*H30*0.0254+5*0.0588^2*PI()/4)/3</f>
        <v>0.31173148159905567</v>
      </c>
      <c r="I35" s="33">
        <f>+IFERROR(VLOOKUP(A35,'INSUMOS '!$B$2:$AP$167,'INSUMOS '!$AO$2+1,FALSE),0)</f>
        <v>26664.5</v>
      </c>
      <c r="J35" s="33">
        <f t="shared" si="2"/>
        <v>8312</v>
      </c>
      <c r="N35" s="1405">
        <f>H35</f>
        <v>0.31173148159905567</v>
      </c>
      <c r="O35" s="1406" t="s">
        <v>334</v>
      </c>
    </row>
    <row r="36" spans="1:15" ht="13.9" customHeight="1" x14ac:dyDescent="0.25">
      <c r="A36" s="1558" t="s">
        <v>45</v>
      </c>
      <c r="B36" s="1559"/>
      <c r="C36" s="1559"/>
      <c r="D36" s="1559"/>
      <c r="E36" s="1559"/>
      <c r="F36" s="1560"/>
      <c r="G36" s="29" t="str">
        <f>+VLOOKUP(A36,'INSUMOS '!$B$3:$C$112,2,FALSE)</f>
        <v>LB</v>
      </c>
      <c r="H36" s="37">
        <f>H27/3.44*0.22</f>
        <v>1.295058139534884E-2</v>
      </c>
      <c r="I36" s="33">
        <f>+IFERROR(VLOOKUP(A36,'INSUMOS '!$B$2:$AP$167,'INSUMOS '!$AO$2+1,FALSE),0)</f>
        <v>440873.77039999992</v>
      </c>
      <c r="J36" s="33">
        <f t="shared" si="2"/>
        <v>5710</v>
      </c>
      <c r="N36" s="1405">
        <f>H36*0.454</f>
        <v>5.8795639534883733E-3</v>
      </c>
      <c r="O36" s="1406" t="s">
        <v>45</v>
      </c>
    </row>
    <row r="37" spans="1:15" ht="13.9" customHeight="1" x14ac:dyDescent="0.25">
      <c r="A37" s="1558" t="str">
        <f>'INSUMOS '!B28</f>
        <v>CONCRETO  HIDRAULICO 2500 PSI 17 MPA (175 KG/CM2)</v>
      </c>
      <c r="B37" s="1559"/>
      <c r="C37" s="1559"/>
      <c r="D37" s="1559"/>
      <c r="E37" s="1559"/>
      <c r="F37" s="1560"/>
      <c r="G37" s="29" t="str">
        <f>+VLOOKUP(A37,'INSUMOS '!$B$3:$C$112,2,FALSE)</f>
        <v>M3</v>
      </c>
      <c r="H37" s="606">
        <f>+PI()*0.25*0.25/4*0.55</f>
        <v>2.6998061866787288E-2</v>
      </c>
      <c r="I37" s="33">
        <f>+IFERROR(VLOOKUP(A37,'INSUMOS '!$B$2:$AP$167,'INSUMOS '!$AO$2+1,FALSE),0)</f>
        <v>486142</v>
      </c>
      <c r="J37" s="33">
        <f t="shared" si="2"/>
        <v>13125</v>
      </c>
      <c r="N37" s="1405">
        <f>H37*2400</f>
        <v>64.795348480289491</v>
      </c>
      <c r="O37" s="1406" t="s">
        <v>98</v>
      </c>
    </row>
    <row r="38" spans="1:15" ht="13.9" customHeight="1" x14ac:dyDescent="0.25">
      <c r="A38" s="1558" t="s">
        <v>87</v>
      </c>
      <c r="B38" s="1559"/>
      <c r="C38" s="1559"/>
      <c r="D38" s="1559"/>
      <c r="E38" s="1559"/>
      <c r="F38" s="1560"/>
      <c r="G38" s="29" t="str">
        <f>+VLOOKUP(A38,'INSUMOS '!$B$3:$C$112,2,FALSE)</f>
        <v>KG</v>
      </c>
      <c r="H38" s="606">
        <f>0.005^2/2*(6*0.0588*PI())*7850</f>
        <v>0.10875722527829824</v>
      </c>
      <c r="I38" s="33">
        <f>+IFERROR(VLOOKUP(A38,'INSUMOS '!$B$2:$AP$167,'INSUMOS '!$AO$2+1,FALSE),0)</f>
        <v>19163.666666666668</v>
      </c>
      <c r="J38" s="33">
        <f t="shared" si="2"/>
        <v>2084</v>
      </c>
      <c r="N38" s="1405">
        <f>H38</f>
        <v>0.10875722527829824</v>
      </c>
      <c r="O38" s="1406" t="s">
        <v>87</v>
      </c>
    </row>
    <row r="39" spans="1:15" ht="13.9" customHeight="1" x14ac:dyDescent="0.25">
      <c r="A39" s="1558" t="s">
        <v>26</v>
      </c>
      <c r="B39" s="1559"/>
      <c r="C39" s="1559"/>
      <c r="D39" s="1559"/>
      <c r="E39" s="1559"/>
      <c r="F39" s="1560"/>
      <c r="G39" s="29" t="str">
        <f>+VLOOKUP(A39,'INSUMOS '!$B$3:$C$112,2,FALSE)</f>
        <v>UN</v>
      </c>
      <c r="H39" s="37">
        <v>0.01</v>
      </c>
      <c r="I39" s="33">
        <f>+IFERROR(VLOOKUP(A39,'INSUMOS '!$B$2:$AP$167,'INSUMOS '!$AO$2+1,FALSE),0)</f>
        <v>31741.5</v>
      </c>
      <c r="J39" s="33">
        <f t="shared" si="2"/>
        <v>317</v>
      </c>
      <c r="N39" s="1405">
        <f>H39*0.106</f>
        <v>1.06E-3</v>
      </c>
      <c r="O39" s="1406" t="s">
        <v>26</v>
      </c>
    </row>
    <row r="40" spans="1:15" ht="13.9" customHeight="1" x14ac:dyDescent="0.25">
      <c r="A40" s="1558" t="str">
        <f>+'INSUMOS '!B79</f>
        <v>PLATINA  1/4" x  1" CON ESPESOR DE 6,35 MM</v>
      </c>
      <c r="B40" s="1559"/>
      <c r="C40" s="1559"/>
      <c r="D40" s="1559"/>
      <c r="E40" s="1559"/>
      <c r="F40" s="1560"/>
      <c r="G40" s="29" t="str">
        <f>+VLOOKUP(A40,'INSUMOS '!$B$3:$C$112,2,FALSE)</f>
        <v>M</v>
      </c>
      <c r="H40" s="37">
        <f>3*PI()*(0.05^2)/4</f>
        <v>5.8904862254808635E-3</v>
      </c>
      <c r="I40" s="33">
        <f>+IFERROR(VLOOKUP(A40,'INSUMOS '!$B$2:$AP$167,'INSUMOS '!$AO$2+1,FALSE),0)</f>
        <v>47400</v>
      </c>
      <c r="J40" s="33">
        <f>ROUND(I40*H40,0)</f>
        <v>279</v>
      </c>
      <c r="N40" s="1405">
        <f>H40*0.00635*0.0254/4*7850</f>
        <v>1.8645251769915736E-3</v>
      </c>
      <c r="O40" s="1406" t="s">
        <v>332</v>
      </c>
    </row>
    <row r="41" spans="1:15" ht="13.9" customHeight="1" x14ac:dyDescent="0.25">
      <c r="A41" s="1558" t="s">
        <v>116</v>
      </c>
      <c r="B41" s="1559"/>
      <c r="C41" s="1559"/>
      <c r="D41" s="1559"/>
      <c r="E41" s="1559"/>
      <c r="F41" s="1560"/>
      <c r="G41" s="29" t="str">
        <f>+VLOOKUP(A41,'INSUMOS '!$B$3:$C$112,2,FALSE)</f>
        <v>KG</v>
      </c>
      <c r="H41" s="37">
        <v>0.01</v>
      </c>
      <c r="I41" s="33">
        <f>+IFERROR(VLOOKUP(A41,'INSUMOS '!$B$2:$AP$167,'INSUMOS '!$AO$2+1,FALSE),0)</f>
        <v>7857</v>
      </c>
      <c r="J41" s="33">
        <f>ROUND(I41*H41,0)</f>
        <v>79</v>
      </c>
      <c r="N41" s="1405">
        <f>H41</f>
        <v>0.01</v>
      </c>
      <c r="O41" s="1406" t="s">
        <v>116</v>
      </c>
    </row>
    <row r="42" spans="1:15" ht="13.9" customHeight="1" x14ac:dyDescent="0.25">
      <c r="A42" s="1558" t="s">
        <v>117</v>
      </c>
      <c r="B42" s="1559"/>
      <c r="C42" s="1559"/>
      <c r="D42" s="1559"/>
      <c r="E42" s="1559"/>
      <c r="F42" s="1560"/>
      <c r="G42" s="29" t="s">
        <v>6</v>
      </c>
      <c r="H42" s="35">
        <f>+PI()*0.2*4*0.25</f>
        <v>0.62831853071795862</v>
      </c>
      <c r="I42" s="33">
        <f>+IFERROR(VLOOKUP(A42,'INSUMOS '!$B$2:$AP$167,'INSUMOS '!$AO$2+1,FALSE),0)</f>
        <v>6392</v>
      </c>
      <c r="J42" s="33">
        <f>ROUND(I42*H42,0)</f>
        <v>4016</v>
      </c>
      <c r="N42" s="1405">
        <f>H42</f>
        <v>0.62831853071795862</v>
      </c>
      <c r="O42" s="1406" t="s">
        <v>117</v>
      </c>
    </row>
    <row r="43" spans="1:15" ht="13.9" customHeight="1" x14ac:dyDescent="0.25">
      <c r="A43" s="1558" t="str">
        <f>'INSUMOS '!B50</f>
        <v>LÁMINA GALVANIZADA C 16 E=1,50 mm</v>
      </c>
      <c r="B43" s="1559"/>
      <c r="C43" s="1559"/>
      <c r="D43" s="1559"/>
      <c r="E43" s="1559"/>
      <c r="F43" s="1560"/>
      <c r="G43" s="29" t="str">
        <f>+VLOOKUP(A43,'INSUMOS '!$B$3:$C$112,2,FALSE)</f>
        <v>M2</v>
      </c>
      <c r="H43" s="1408">
        <f>0.0588^2*PI()/4*3</f>
        <v>8.1464010781706203E-3</v>
      </c>
      <c r="I43" s="33">
        <f>+IFERROR(VLOOKUP(A43,'INSUMOS '!$B$2:$AP$167,'INSUMOS '!$AO$2+1,FALSE),0)</f>
        <v>85500.55</v>
      </c>
      <c r="J43" s="33">
        <f>ROUND(I43*H43,0)</f>
        <v>697</v>
      </c>
      <c r="N43" s="1405">
        <f>H43*0.0015*7850</f>
        <v>9.5923872695459059E-2</v>
      </c>
      <c r="O43" s="1406" t="s">
        <v>106</v>
      </c>
    </row>
    <row r="44" spans="1:15" ht="13.9" customHeight="1" x14ac:dyDescent="0.25">
      <c r="A44" s="1558" t="s">
        <v>333</v>
      </c>
      <c r="B44" s="1559"/>
      <c r="C44" s="1559"/>
      <c r="D44" s="1559"/>
      <c r="E44" s="1559"/>
      <c r="F44" s="1560"/>
      <c r="G44" s="29"/>
      <c r="H44" s="74">
        <v>0.05</v>
      </c>
      <c r="I44" s="33">
        <f>+SUM(J26:J43)</f>
        <v>191690</v>
      </c>
      <c r="J44" s="33">
        <f>ROUND(I44*H44,0)</f>
        <v>9585</v>
      </c>
      <c r="N44" s="1374"/>
      <c r="O44" s="593"/>
    </row>
    <row r="45" spans="1:15" ht="13.9" customHeight="1" x14ac:dyDescent="0.25">
      <c r="A45" s="20"/>
      <c r="B45" s="20"/>
      <c r="C45" s="20"/>
      <c r="D45" s="20"/>
      <c r="E45" s="20"/>
      <c r="G45" s="20"/>
      <c r="H45" s="20"/>
      <c r="I45" s="30" t="s">
        <v>257</v>
      </c>
      <c r="J45" s="34">
        <f>+SUM(J26:J44)</f>
        <v>201275</v>
      </c>
      <c r="N45" s="1374">
        <f>SUM(N26:N43)</f>
        <v>79.950066069269766</v>
      </c>
      <c r="O45" s="593"/>
    </row>
    <row r="46" spans="1:15" ht="13.9" customHeight="1" x14ac:dyDescent="0.25">
      <c r="N46" s="1405"/>
      <c r="O46" s="1406"/>
    </row>
    <row r="47" spans="1:15" ht="13.9" customHeight="1" x14ac:dyDescent="0.25">
      <c r="A47" s="1561" t="s">
        <v>267</v>
      </c>
      <c r="B47" s="1561"/>
      <c r="C47" s="1561"/>
      <c r="D47" s="1561"/>
      <c r="E47" s="1561"/>
      <c r="F47" s="1561"/>
      <c r="G47" s="1561"/>
      <c r="H47" s="1561"/>
      <c r="I47" s="27"/>
      <c r="N47" s="1405"/>
      <c r="O47" s="1406"/>
    </row>
    <row r="48" spans="1:15" ht="13.9" customHeight="1" x14ac:dyDescent="0.25">
      <c r="A48" s="1562" t="s">
        <v>268</v>
      </c>
      <c r="B48" s="1563"/>
      <c r="C48" s="1563"/>
      <c r="D48" s="1563"/>
      <c r="E48" s="1563"/>
      <c r="F48" s="1564"/>
      <c r="G48" s="38" t="s">
        <v>255</v>
      </c>
      <c r="H48" s="28" t="s">
        <v>269</v>
      </c>
      <c r="I48" s="28" t="s">
        <v>256</v>
      </c>
      <c r="J48" s="28" t="s">
        <v>257</v>
      </c>
      <c r="N48" s="1405"/>
      <c r="O48" s="1406"/>
    </row>
    <row r="49" spans="1:12" ht="13.9" customHeight="1" x14ac:dyDescent="0.25">
      <c r="A49" s="1558" t="str">
        <f>+'EQUIPOS '!B6</f>
        <v>CAMION INCLUYE CONDUCTOR</v>
      </c>
      <c r="B49" s="1559"/>
      <c r="C49" s="1559"/>
      <c r="D49" s="1559"/>
      <c r="E49" s="1559"/>
      <c r="F49" s="1560"/>
      <c r="G49" s="1488">
        <f>(N45/1000)/12</f>
        <v>6.6625055057724812E-3</v>
      </c>
      <c r="H49" s="33">
        <f>+IFERROR(VLOOKUP(A49,'EQUIPOS '!$B$3:$M$78,12,FALSE),0)</f>
        <v>611492.5</v>
      </c>
      <c r="I49" s="33">
        <f>IFERROR(H49*G49,0)</f>
        <v>4074.0721479885788</v>
      </c>
      <c r="J49" s="33">
        <f>ROUND(I49,0)</f>
        <v>4074</v>
      </c>
      <c r="L49" s="19">
        <f>+H26*'1'!N23+'1'!O26*'20'!H28</f>
        <v>13.20975</v>
      </c>
    </row>
    <row r="50" spans="1:12" ht="13.9" customHeight="1" x14ac:dyDescent="0.25">
      <c r="A50" s="1558"/>
      <c r="B50" s="1559"/>
      <c r="C50" s="1559"/>
      <c r="D50" s="1559"/>
      <c r="E50" s="1559"/>
      <c r="F50" s="1560"/>
      <c r="G50" s="29"/>
      <c r="H50" s="33"/>
      <c r="I50" s="33"/>
      <c r="J50" s="33"/>
      <c r="L50" s="39"/>
    </row>
    <row r="51" spans="1:12" ht="13.9" customHeight="1" x14ac:dyDescent="0.25">
      <c r="A51" s="1558"/>
      <c r="B51" s="1559"/>
      <c r="C51" s="1559"/>
      <c r="D51" s="1559"/>
      <c r="E51" s="1559"/>
      <c r="F51" s="1560"/>
      <c r="G51" s="29"/>
      <c r="H51" s="33"/>
      <c r="I51" s="33"/>
      <c r="J51" s="33"/>
      <c r="L51" s="39"/>
    </row>
    <row r="52" spans="1:12" ht="13.9" customHeight="1" x14ac:dyDescent="0.25">
      <c r="G52" s="39"/>
      <c r="H52" s="39"/>
      <c r="I52" s="30" t="s">
        <v>257</v>
      </c>
      <c r="J52" s="33">
        <f>+SUM(J49:J51)</f>
        <v>4074</v>
      </c>
      <c r="L52" s="39"/>
    </row>
    <row r="53" spans="1:12" s="39" customFormat="1" ht="13.9" customHeight="1" x14ac:dyDescent="0.25">
      <c r="A53" s="19"/>
      <c r="B53" s="19"/>
      <c r="C53" s="19"/>
      <c r="D53" s="19"/>
      <c r="E53" s="19"/>
      <c r="F53" s="19"/>
      <c r="G53" s="19"/>
      <c r="H53" s="19"/>
      <c r="I53" s="19"/>
      <c r="J53" s="19"/>
    </row>
    <row r="54" spans="1:12" s="39" customFormat="1" ht="13.9" customHeight="1" x14ac:dyDescent="0.25">
      <c r="A54" s="1561" t="s">
        <v>270</v>
      </c>
      <c r="B54" s="1561"/>
      <c r="C54" s="1561"/>
      <c r="D54" s="1561"/>
      <c r="E54" s="1561"/>
      <c r="F54" s="1561"/>
      <c r="G54" s="1561"/>
      <c r="H54" s="1561"/>
      <c r="I54" s="27"/>
      <c r="J54" s="19"/>
    </row>
    <row r="55" spans="1:12" s="39" customFormat="1" ht="13.9" customHeight="1" x14ac:dyDescent="0.25">
      <c r="A55" s="1562" t="s">
        <v>271</v>
      </c>
      <c r="B55" s="1563"/>
      <c r="C55" s="1563"/>
      <c r="D55" s="1564"/>
      <c r="E55" s="28" t="s">
        <v>272</v>
      </c>
      <c r="F55" s="28" t="s">
        <v>264</v>
      </c>
      <c r="G55" s="28" t="s">
        <v>273</v>
      </c>
      <c r="H55" s="28" t="s">
        <v>255</v>
      </c>
      <c r="I55" s="28" t="s">
        <v>256</v>
      </c>
      <c r="J55" s="28" t="s">
        <v>257</v>
      </c>
    </row>
    <row r="56" spans="1:12" s="39" customFormat="1" ht="13.9" customHeight="1" x14ac:dyDescent="0.25">
      <c r="A56" s="1558" t="s">
        <v>129</v>
      </c>
      <c r="B56" s="1559"/>
      <c r="C56" s="1559"/>
      <c r="D56" s="1560"/>
      <c r="E56" s="40">
        <f>+IFERROR(VLOOKUP(A56,PERSONAL!$B$3:$E$56,4,FALSE),0)</f>
        <v>110344</v>
      </c>
      <c r="F56" s="30">
        <v>1</v>
      </c>
      <c r="G56" s="40">
        <f t="shared" ref="G56:G61" si="3">+E56*F56</f>
        <v>110344</v>
      </c>
      <c r="H56" s="35">
        <f>+H17*8</f>
        <v>80</v>
      </c>
      <c r="I56" s="33">
        <f t="shared" ref="I56:I61" si="4">IFERROR(ROUND(G56/H56,0),0)</f>
        <v>1379</v>
      </c>
      <c r="J56" s="33">
        <f t="shared" ref="J56:J61" si="5">+I56</f>
        <v>1379</v>
      </c>
    </row>
    <row r="57" spans="1:12" s="39" customFormat="1" ht="13.9" customHeight="1" x14ac:dyDescent="0.25">
      <c r="A57" s="1558" t="s">
        <v>130</v>
      </c>
      <c r="B57" s="1559"/>
      <c r="C57" s="1559"/>
      <c r="D57" s="1560"/>
      <c r="E57" s="40">
        <f>+IFERROR(VLOOKUP(A57,PERSONAL!$B$3:$E$56,4,FALSE),0)</f>
        <v>100054</v>
      </c>
      <c r="F57" s="30">
        <v>1</v>
      </c>
      <c r="G57" s="40">
        <f t="shared" si="3"/>
        <v>100054</v>
      </c>
      <c r="H57" s="35">
        <v>80</v>
      </c>
      <c r="I57" s="33">
        <f t="shared" si="4"/>
        <v>1251</v>
      </c>
      <c r="J57" s="33">
        <f t="shared" si="5"/>
        <v>1251</v>
      </c>
    </row>
    <row r="58" spans="1:12" s="39" customFormat="1" ht="13.9" customHeight="1" x14ac:dyDescent="0.25">
      <c r="A58" s="1558" t="s">
        <v>131</v>
      </c>
      <c r="B58" s="1559"/>
      <c r="C58" s="1559"/>
      <c r="D58" s="1560"/>
      <c r="E58" s="40">
        <f>+IFERROR(VLOOKUP(A58,PERSONAL!$B$3:$E$56,4,FALSE),0)</f>
        <v>91275</v>
      </c>
      <c r="F58" s="30">
        <v>1</v>
      </c>
      <c r="G58" s="40">
        <f t="shared" si="3"/>
        <v>91275</v>
      </c>
      <c r="H58" s="35">
        <v>80</v>
      </c>
      <c r="I58" s="33">
        <f t="shared" si="4"/>
        <v>1141</v>
      </c>
      <c r="J58" s="33">
        <f t="shared" si="5"/>
        <v>1141</v>
      </c>
    </row>
    <row r="59" spans="1:12" s="39" customFormat="1" ht="13.9" customHeight="1" x14ac:dyDescent="0.25">
      <c r="A59" s="1558" t="s">
        <v>127</v>
      </c>
      <c r="B59" s="1559"/>
      <c r="C59" s="1559"/>
      <c r="D59" s="1560"/>
      <c r="E59" s="40">
        <f>+IFERROR(VLOOKUP(A59,PERSONAL!$B$3:$E$56,4,FALSE),0)</f>
        <v>72476</v>
      </c>
      <c r="F59" s="30">
        <v>4</v>
      </c>
      <c r="G59" s="40">
        <f t="shared" si="3"/>
        <v>289904</v>
      </c>
      <c r="H59" s="35">
        <v>48</v>
      </c>
      <c r="I59" s="33">
        <f t="shared" si="4"/>
        <v>6040</v>
      </c>
      <c r="J59" s="33">
        <f t="shared" si="5"/>
        <v>6040</v>
      </c>
    </row>
    <row r="60" spans="1:12" s="39" customFormat="1" ht="13.9" customHeight="1" x14ac:dyDescent="0.25">
      <c r="A60" s="1571" t="s">
        <v>143</v>
      </c>
      <c r="B60" s="1572"/>
      <c r="C60" s="1572"/>
      <c r="D60" s="1573"/>
      <c r="E60" s="40">
        <f>+IFERROR(VLOOKUP(A60,PERSONAL!$B$3:$E$56,4,FALSE),0)</f>
        <v>89632</v>
      </c>
      <c r="F60" s="30">
        <v>1</v>
      </c>
      <c r="G60" s="40">
        <f t="shared" si="3"/>
        <v>89632</v>
      </c>
      <c r="H60" s="35">
        <f>H59</f>
        <v>48</v>
      </c>
      <c r="I60" s="33">
        <f t="shared" si="4"/>
        <v>1867</v>
      </c>
      <c r="J60" s="33">
        <f t="shared" si="5"/>
        <v>1867</v>
      </c>
    </row>
    <row r="61" spans="1:12" s="39" customFormat="1" ht="13.9" customHeight="1" x14ac:dyDescent="0.25">
      <c r="A61" s="1571" t="s">
        <v>178</v>
      </c>
      <c r="B61" s="1572"/>
      <c r="C61" s="1572"/>
      <c r="D61" s="1573"/>
      <c r="E61" s="40">
        <f>+IFERROR(VLOOKUP(A61,PERSONAL!$B$3:$E$56,4,FALSE),0)</f>
        <v>166031</v>
      </c>
      <c r="F61" s="30">
        <v>1</v>
      </c>
      <c r="G61" s="40">
        <f t="shared" si="3"/>
        <v>166031</v>
      </c>
      <c r="H61" s="35">
        <f>H60</f>
        <v>48</v>
      </c>
      <c r="I61" s="33">
        <f t="shared" si="4"/>
        <v>3459</v>
      </c>
      <c r="J61" s="33">
        <f t="shared" si="5"/>
        <v>3459</v>
      </c>
      <c r="L61" s="19"/>
    </row>
    <row r="62" spans="1:12" s="39" customFormat="1" ht="13.9" customHeight="1" x14ac:dyDescent="0.25">
      <c r="A62" s="1558"/>
      <c r="B62" s="1559"/>
      <c r="C62" s="1559"/>
      <c r="D62" s="1560"/>
      <c r="E62" s="40"/>
      <c r="F62" s="30"/>
      <c r="G62" s="40"/>
      <c r="H62" s="35"/>
      <c r="I62" s="33"/>
      <c r="J62" s="33"/>
      <c r="L62" s="19"/>
    </row>
    <row r="63" spans="1:12" s="39" customFormat="1" ht="13.9" customHeight="1" x14ac:dyDescent="0.25">
      <c r="A63" s="1558"/>
      <c r="B63" s="1559"/>
      <c r="C63" s="1559"/>
      <c r="D63" s="1560"/>
      <c r="E63" s="40"/>
      <c r="F63" s="30"/>
      <c r="G63" s="40"/>
      <c r="H63" s="35"/>
      <c r="I63" s="33"/>
      <c r="J63" s="33"/>
      <c r="L63" s="19"/>
    </row>
    <row r="64" spans="1:12" ht="13.9" customHeight="1" x14ac:dyDescent="0.25">
      <c r="A64" s="1558"/>
      <c r="B64" s="1559"/>
      <c r="C64" s="1559"/>
      <c r="D64" s="1560"/>
      <c r="E64" s="40"/>
      <c r="F64" s="30"/>
      <c r="G64" s="40"/>
      <c r="H64" s="35"/>
      <c r="I64" s="33"/>
      <c r="J64" s="33"/>
    </row>
    <row r="65" spans="1:10" ht="13.9" customHeight="1" x14ac:dyDescent="0.25">
      <c r="A65" s="1558"/>
      <c r="B65" s="1559"/>
      <c r="C65" s="1559"/>
      <c r="D65" s="1560"/>
      <c r="E65" s="40"/>
      <c r="F65" s="30"/>
      <c r="G65" s="40"/>
      <c r="H65" s="35"/>
      <c r="I65" s="33"/>
      <c r="J65" s="33"/>
    </row>
    <row r="66" spans="1:10" ht="13.9" customHeight="1" x14ac:dyDescent="0.25">
      <c r="A66" s="20"/>
      <c r="B66" s="20"/>
      <c r="C66" s="20"/>
      <c r="E66" s="20"/>
      <c r="F66" s="20"/>
      <c r="G66" s="20"/>
      <c r="H66" s="20"/>
      <c r="I66" s="30" t="s">
        <v>257</v>
      </c>
      <c r="J66" s="34">
        <f>+SUM(J56:J65)</f>
        <v>15137</v>
      </c>
    </row>
    <row r="67" spans="1:10" ht="13.9" customHeight="1" x14ac:dyDescent="0.25"/>
    <row r="68" spans="1:10" ht="14.1" customHeight="1" x14ac:dyDescent="0.25">
      <c r="E68" s="41" t="s">
        <v>276</v>
      </c>
      <c r="I68" s="42">
        <f>+J66+J52+J45+J22</f>
        <v>230564</v>
      </c>
      <c r="J68" s="43"/>
    </row>
    <row r="69" spans="1:10" ht="14.1" customHeight="1" x14ac:dyDescent="0.25"/>
  </sheetData>
  <mergeCells count="54">
    <mergeCell ref="A1:J1"/>
    <mergeCell ref="A2:J2"/>
    <mergeCell ref="A4:J4"/>
    <mergeCell ref="A6:B6"/>
    <mergeCell ref="A7:B7"/>
    <mergeCell ref="C7:J7"/>
    <mergeCell ref="A14:D14"/>
    <mergeCell ref="A20:D20"/>
    <mergeCell ref="A21:D21"/>
    <mergeCell ref="A24:H24"/>
    <mergeCell ref="A15:D15"/>
    <mergeCell ref="A16:D16"/>
    <mergeCell ref="A9:H9"/>
    <mergeCell ref="A10:D10"/>
    <mergeCell ref="A11:D11"/>
    <mergeCell ref="A12:D12"/>
    <mergeCell ref="A13:D13"/>
    <mergeCell ref="A32:F32"/>
    <mergeCell ref="A33:F33"/>
    <mergeCell ref="A34:F34"/>
    <mergeCell ref="A29:F29"/>
    <mergeCell ref="A25:F25"/>
    <mergeCell ref="A26:F26"/>
    <mergeCell ref="A27:F27"/>
    <mergeCell ref="A28:F28"/>
    <mergeCell ref="A30:F30"/>
    <mergeCell ref="A31:F31"/>
    <mergeCell ref="A36:F36"/>
    <mergeCell ref="A41:F41"/>
    <mergeCell ref="A35:F35"/>
    <mergeCell ref="A37:F37"/>
    <mergeCell ref="A38:F38"/>
    <mergeCell ref="A55:D55"/>
    <mergeCell ref="A39:F39"/>
    <mergeCell ref="A44:F44"/>
    <mergeCell ref="A47:H47"/>
    <mergeCell ref="A48:F48"/>
    <mergeCell ref="A49:F49"/>
    <mergeCell ref="A50:F50"/>
    <mergeCell ref="A51:F51"/>
    <mergeCell ref="A54:H54"/>
    <mergeCell ref="A42:F42"/>
    <mergeCell ref="A43:F43"/>
    <mergeCell ref="A40:F40"/>
    <mergeCell ref="A62:D62"/>
    <mergeCell ref="A63:D63"/>
    <mergeCell ref="A64:D64"/>
    <mergeCell ref="A65:D65"/>
    <mergeCell ref="A56:D56"/>
    <mergeCell ref="A57:D57"/>
    <mergeCell ref="A58:D58"/>
    <mergeCell ref="A59:D59"/>
    <mergeCell ref="A60:D60"/>
    <mergeCell ref="A61:D61"/>
  </mergeCells>
  <pageMargins left="0.70866141732283472" right="0.70866141732283472" top="0.78740157480314965" bottom="0.78740157480314965" header="0.31496062992125984" footer="0.31496062992125984"/>
  <pageSetup scale="71" orientation="portrait" r:id="rId1"/>
  <ignoredErrors>
    <ignoredError sqref="H27" formula="1"/>
  </ignoredErrors>
  <drawing r:id="rId2"/>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sheetPr codeName="Hoja23">
    <tabColor rgb="FF00B050"/>
  </sheetPr>
  <dimension ref="A1:O65"/>
  <sheetViews>
    <sheetView topLeftCell="A48" workbookViewId="0">
      <selection activeCell="G45" sqref="G4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2" width="11.42578125" style="19"/>
    <col min="13"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19</v>
      </c>
      <c r="D6" s="23"/>
      <c r="E6" s="23"/>
      <c r="F6" s="23"/>
      <c r="G6" s="23"/>
      <c r="H6" s="24"/>
      <c r="I6" s="25" t="s">
        <v>248</v>
      </c>
      <c r="J6" s="26" t="str">
        <f>+VLOOKUP(C6,'ANEXO PLIEGO_1'!$A$7:$C$133,3,FALSE)</f>
        <v>UN</v>
      </c>
    </row>
    <row r="7" spans="1:10" ht="35.1" customHeight="1" x14ac:dyDescent="0.25">
      <c r="A7" s="1568" t="s">
        <v>249</v>
      </c>
      <c r="B7" s="1570"/>
      <c r="C7" s="1578" t="str">
        <f>+VLOOKUP(C6,'ANEXO PLIEGO_1'!$A$7:$B$103,2,FALSE)</f>
        <v>Fabricación, suministro e instalación de Señal SR-38 o SR-39 de 75 x 25 cm, material reflectivo tipo XI, película antigraffiti, en lámina galvanizada C-16 E=1,5 mm, pedestal en tubo galvanizado  de sección circular con diámetro interior de 2" y e=2 mm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'!B45</f>
        <v>TRONZADORA</v>
      </c>
      <c r="B11" s="1559"/>
      <c r="C11" s="1559"/>
      <c r="D11" s="1560"/>
      <c r="E11" s="29" t="s">
        <v>259</v>
      </c>
      <c r="F11" s="30">
        <f>IFERROR(VLOOKUP(A11,'[10]EQUIPOS TRANSPOR SALARIO'!$A$3:$G$42,2,FALSE),0)</f>
        <v>0</v>
      </c>
      <c r="G11" s="31">
        <f>IFERROR(VLOOKUP(A11,'EQUIPOS '!$B$3:$N$55,12,FALSE),0)</f>
        <v>3779.5</v>
      </c>
      <c r="H11" s="32">
        <v>10</v>
      </c>
      <c r="I11" s="33">
        <f>IFERROR((G11/H11),0)</f>
        <v>377.95</v>
      </c>
      <c r="J11" s="33">
        <f>ROUND(I11,0)</f>
        <v>378</v>
      </c>
    </row>
    <row r="12" spans="1:10" s="20" customFormat="1" ht="13.9" customHeight="1" x14ac:dyDescent="0.25">
      <c r="A12" s="1558" t="str">
        <f>+'EQUIPOS '!B7</f>
        <v xml:space="preserve">CIZALLA DE CORTE VERTICAL </v>
      </c>
      <c r="B12" s="1559"/>
      <c r="C12" s="1559"/>
      <c r="D12" s="1560"/>
      <c r="E12" s="29" t="s">
        <v>259</v>
      </c>
      <c r="F12" s="30">
        <f>IFERROR(VLOOKUP(A12,'[10]EQUIPOS TRANSPOR SALARIO'!$A$3:$G$42,2,FALSE),0)</f>
        <v>0</v>
      </c>
      <c r="G12" s="31">
        <f>IFERROR(VLOOKUP(A12,'EQUIPOS '!$B$3:$N$55,12,FALSE),0)</f>
        <v>5174.01</v>
      </c>
      <c r="H12" s="32">
        <f>+H11</f>
        <v>10</v>
      </c>
      <c r="I12" s="33">
        <f t="shared" ref="I12:I19" si="0">IFERROR((G12/H12),0)</f>
        <v>517.40100000000007</v>
      </c>
      <c r="J12" s="33">
        <f t="shared" ref="J12:J20" si="1">ROUND(I12,0)</f>
        <v>517</v>
      </c>
    </row>
    <row r="13" spans="1:10" s="20" customFormat="1" ht="13.9" customHeight="1" x14ac:dyDescent="0.25">
      <c r="A13" s="1558" t="str">
        <f>+'EQUIPOS '!B24</f>
        <v>EQUIPO PINTURA ELECTROSTÁTICA</v>
      </c>
      <c r="B13" s="1559"/>
      <c r="C13" s="1559"/>
      <c r="D13" s="1560"/>
      <c r="E13" s="29" t="s">
        <v>259</v>
      </c>
      <c r="F13" s="30" t="str">
        <f>IFERROR(VLOOKUP(A13,'[10]EQUIPOS TRANSPOR SALARIO'!$A$3:$G$42,2,FALSE),0)</f>
        <v>Electrostática</v>
      </c>
      <c r="G13" s="31">
        <f>IFERROR(VLOOKUP(A13,'EQUIPOS '!$B$3:$N$55,12,FALSE),0)</f>
        <v>4047.59</v>
      </c>
      <c r="H13" s="32">
        <f t="shared" ref="H13:H19" si="2">+H12</f>
        <v>10</v>
      </c>
      <c r="I13" s="33">
        <f t="shared" si="0"/>
        <v>404.75900000000001</v>
      </c>
      <c r="J13" s="33">
        <f t="shared" si="1"/>
        <v>405</v>
      </c>
    </row>
    <row r="14" spans="1:10" s="20" customFormat="1" ht="13.9" customHeight="1" x14ac:dyDescent="0.25">
      <c r="A14" s="1558" t="str">
        <f>+'EQUIPOS '!B43</f>
        <v>TALADRO DE ARBOL</v>
      </c>
      <c r="B14" s="1559"/>
      <c r="C14" s="1559"/>
      <c r="D14" s="1560"/>
      <c r="E14" s="29" t="s">
        <v>259</v>
      </c>
      <c r="F14" s="30">
        <f>IFERROR(VLOOKUP(A14,'[10]EQUIPOS TRANSPOR SALARIO'!$A$3:$G$42,2,FALSE),0)</f>
        <v>0</v>
      </c>
      <c r="G14" s="31">
        <f>IFERROR(VLOOKUP(A14,'EQUIPOS '!$B$3:$N$55,12,FALSE),0)</f>
        <v>4898</v>
      </c>
      <c r="H14" s="32">
        <f t="shared" si="2"/>
        <v>10</v>
      </c>
      <c r="I14" s="33">
        <f t="shared" si="0"/>
        <v>489.8</v>
      </c>
      <c r="J14" s="33">
        <f t="shared" si="1"/>
        <v>490</v>
      </c>
    </row>
    <row r="15" spans="1:10" s="20" customFormat="1" ht="13.9" customHeight="1" x14ac:dyDescent="0.25">
      <c r="A15" s="1558" t="str">
        <f>+'EQUIPOS '!B27</f>
        <v xml:space="preserve">EQUIPO SOLDADURA ELECTRICA </v>
      </c>
      <c r="B15" s="1559"/>
      <c r="C15" s="1559"/>
      <c r="D15" s="1560"/>
      <c r="E15" s="29" t="s">
        <v>259</v>
      </c>
      <c r="F15" s="30">
        <f>IFERROR(VLOOKUP(A15,'[10]EQUIPOS TRANSPOR SALARIO'!$A$3:$G$42,2,FALSE),0)</f>
        <v>0</v>
      </c>
      <c r="G15" s="31">
        <f>IFERROR(VLOOKUP(A15,'EQUIPOS '!$B$3:$N$55,12,FALSE),0)</f>
        <v>4862.5</v>
      </c>
      <c r="H15" s="32">
        <f t="shared" si="2"/>
        <v>10</v>
      </c>
      <c r="I15" s="33">
        <f t="shared" si="0"/>
        <v>486.25</v>
      </c>
      <c r="J15" s="33">
        <f t="shared" si="1"/>
        <v>486</v>
      </c>
    </row>
    <row r="16" spans="1:10" s="20" customFormat="1" ht="13.9" customHeight="1" x14ac:dyDescent="0.25">
      <c r="A16" s="1558" t="str">
        <f>+'EQUIPOS '!B25</f>
        <v>EQUIPO  COLAMINADO</v>
      </c>
      <c r="B16" s="1559"/>
      <c r="C16" s="1559"/>
      <c r="D16" s="1560"/>
      <c r="E16" s="29" t="s">
        <v>259</v>
      </c>
      <c r="F16" s="30">
        <f>IFERROR(VLOOKUP(A16,'[10]EQUIPOS TRANSPOR SALARIO'!$A$3:$G$42,2,FALSE),0)</f>
        <v>0</v>
      </c>
      <c r="G16" s="31">
        <f>IFERROR(VLOOKUP(A16,'EQUIPOS '!$B$3:$N$55,12,FALSE),0)</f>
        <v>4701.8100000000004</v>
      </c>
      <c r="H16" s="32">
        <f t="shared" si="2"/>
        <v>10</v>
      </c>
      <c r="I16" s="33">
        <f t="shared" si="0"/>
        <v>470.18100000000004</v>
      </c>
      <c r="J16" s="33">
        <f t="shared" si="1"/>
        <v>470</v>
      </c>
    </row>
    <row r="17" spans="1:15" s="20" customFormat="1" ht="13.9" customHeight="1" x14ac:dyDescent="0.25">
      <c r="A17" s="5" t="str">
        <f>+'EQUIPOS '!B9</f>
        <v>COMPRESOR</v>
      </c>
      <c r="B17" s="6"/>
      <c r="C17" s="6"/>
      <c r="D17" s="7"/>
      <c r="E17" s="29" t="s">
        <v>259</v>
      </c>
      <c r="F17" s="30"/>
      <c r="G17" s="31">
        <f>IFERROR(VLOOKUP(A17,'EQUIPOS '!$B$3:$N$55,12,FALSE),0)</f>
        <v>7999.94</v>
      </c>
      <c r="H17" s="32">
        <f t="shared" si="2"/>
        <v>10</v>
      </c>
      <c r="I17" s="33">
        <f t="shared" si="0"/>
        <v>799.99399999999991</v>
      </c>
      <c r="J17" s="33">
        <f t="shared" si="1"/>
        <v>800</v>
      </c>
    </row>
    <row r="18" spans="1:15" s="20" customFormat="1" ht="13.9" customHeight="1" x14ac:dyDescent="0.25">
      <c r="A18" s="20" t="str">
        <f>+'EQUIPOS '!B51</f>
        <v xml:space="preserve">IMPRESORA DIGITAL PARA SEÑALES DE TRÁNSITO </v>
      </c>
      <c r="E18" s="29" t="s">
        <v>259</v>
      </c>
      <c r="G18" s="31">
        <f>IFERROR(VLOOKUP(A18,'EQUIPOS '!$B$3:$N$55,12,FALSE),0)</f>
        <v>64227.08</v>
      </c>
      <c r="H18" s="32">
        <f t="shared" si="2"/>
        <v>10</v>
      </c>
      <c r="I18" s="33">
        <f t="shared" si="0"/>
        <v>6422.7080000000005</v>
      </c>
      <c r="J18" s="33">
        <f t="shared" si="1"/>
        <v>6423</v>
      </c>
    </row>
    <row r="19" spans="1:15" s="20" customFormat="1" ht="13.9" customHeight="1" x14ac:dyDescent="0.25">
      <c r="A19" s="5" t="str">
        <f>+'EQUIPOS '!B39</f>
        <v xml:space="preserve">PULIDORA </v>
      </c>
      <c r="B19" s="6"/>
      <c r="C19" s="6"/>
      <c r="D19" s="7"/>
      <c r="E19" s="29" t="s">
        <v>259</v>
      </c>
      <c r="F19" s="30"/>
      <c r="G19" s="31">
        <f>IFERROR(VLOOKUP(A19,'EQUIPOS '!$B$3:$N$55,12,FALSE),0)</f>
        <v>2821</v>
      </c>
      <c r="H19" s="32">
        <f t="shared" si="2"/>
        <v>10</v>
      </c>
      <c r="I19" s="33">
        <f t="shared" si="0"/>
        <v>282.10000000000002</v>
      </c>
      <c r="J19" s="33">
        <f t="shared" si="1"/>
        <v>282</v>
      </c>
    </row>
    <row r="20" spans="1:15" s="20" customFormat="1" ht="13.9" customHeight="1" x14ac:dyDescent="0.25">
      <c r="A20" s="1558" t="s">
        <v>330</v>
      </c>
      <c r="B20" s="1559"/>
      <c r="C20" s="1559"/>
      <c r="D20" s="1560"/>
      <c r="E20" s="29"/>
      <c r="F20" s="30"/>
      <c r="G20" s="74">
        <v>0.01</v>
      </c>
      <c r="H20" s="32"/>
      <c r="I20" s="33">
        <f>+G20*J61</f>
        <v>163.94</v>
      </c>
      <c r="J20" s="33">
        <f t="shared" si="1"/>
        <v>164</v>
      </c>
    </row>
    <row r="21" spans="1:15" s="20" customFormat="1" ht="13.9" customHeight="1" x14ac:dyDescent="0.25">
      <c r="I21" s="30" t="s">
        <v>257</v>
      </c>
      <c r="J21" s="34">
        <f>+SUM(J11:J20)</f>
        <v>10415</v>
      </c>
    </row>
    <row r="22" spans="1:15" s="20" customFormat="1" ht="13.9" customHeight="1" x14ac:dyDescent="0.25"/>
    <row r="23" spans="1:15" s="20" customFormat="1" ht="13.9" customHeight="1" x14ac:dyDescent="0.25">
      <c r="A23" s="1561" t="s">
        <v>263</v>
      </c>
      <c r="B23" s="1561"/>
      <c r="C23" s="1561"/>
      <c r="D23" s="1561"/>
      <c r="E23" s="1561"/>
      <c r="F23" s="1561"/>
      <c r="G23" s="1561"/>
      <c r="H23" s="1561"/>
      <c r="I23" s="27"/>
    </row>
    <row r="24" spans="1:15" ht="13.9" customHeight="1" x14ac:dyDescent="0.25">
      <c r="A24" s="1565" t="s">
        <v>251</v>
      </c>
      <c r="B24" s="1566"/>
      <c r="C24" s="1566"/>
      <c r="D24" s="1566"/>
      <c r="E24" s="1566"/>
      <c r="F24" s="1567"/>
      <c r="G24" s="28" t="s">
        <v>252</v>
      </c>
      <c r="H24" s="28" t="s">
        <v>264</v>
      </c>
      <c r="I24" s="28" t="s">
        <v>256</v>
      </c>
      <c r="J24" s="28" t="s">
        <v>257</v>
      </c>
      <c r="N24" s="1378" t="s">
        <v>7369</v>
      </c>
      <c r="O24" s="592"/>
    </row>
    <row r="25" spans="1:15" ht="13.9" customHeight="1" x14ac:dyDescent="0.25">
      <c r="A25" s="1558" t="s">
        <v>106</v>
      </c>
      <c r="B25" s="1559"/>
      <c r="C25" s="1559"/>
      <c r="D25" s="1559"/>
      <c r="E25" s="1559"/>
      <c r="F25" s="1560"/>
      <c r="G25" s="29" t="str">
        <f>+VLOOKUP(A25,'INSUMOS '!$B$3:$C$112,2,FALSE)</f>
        <v>M2</v>
      </c>
      <c r="H25" s="35">
        <f>0.75*0.25</f>
        <v>0.1875</v>
      </c>
      <c r="I25" s="33">
        <f>+IFERROR(VLOOKUP(A25,'INSUMOS '!$B$2:$AP$167,'INSUMOS '!$AO$2+1,FALSE),0)</f>
        <v>85500.55</v>
      </c>
      <c r="J25" s="33">
        <f>ROUND(I25*H25,0)</f>
        <v>16031</v>
      </c>
      <c r="N25" s="1374">
        <f>H25*0.0015*7850</f>
        <v>2.2078125000000002</v>
      </c>
      <c r="O25" s="593" t="s">
        <v>106</v>
      </c>
    </row>
    <row r="26" spans="1:15" ht="13.9" customHeight="1" x14ac:dyDescent="0.25">
      <c r="A26" s="1558" t="str">
        <f>+'INSUMOS '!B63</f>
        <v xml:space="preserve">PAPEL REFLECTIVO TIPO XI </v>
      </c>
      <c r="B26" s="1559"/>
      <c r="C26" s="1559"/>
      <c r="D26" s="1559"/>
      <c r="E26" s="1559"/>
      <c r="F26" s="1560"/>
      <c r="G26" s="29" t="str">
        <f>+VLOOKUP(A26,'INSUMOS '!$B$3:$C$112,2,FALSE)</f>
        <v>M2</v>
      </c>
      <c r="H26" s="35">
        <f>+H25</f>
        <v>0.1875</v>
      </c>
      <c r="I26" s="33">
        <f>+IFERROR(VLOOKUP(A26,'INSUMOS '!$B$2:$AP$167,'INSUMOS '!$AO$2+1,FALSE),0)</f>
        <v>153328.9296</v>
      </c>
      <c r="J26" s="33">
        <f t="shared" ref="J26:J37" si="3">ROUND(I26*H26,0)</f>
        <v>28749</v>
      </c>
      <c r="N26" s="1374">
        <f>H26*0.2/0.36</f>
        <v>0.10416666666666669</v>
      </c>
      <c r="O26" s="593" t="s">
        <v>90</v>
      </c>
    </row>
    <row r="27" spans="1:15" ht="13.9" customHeight="1" x14ac:dyDescent="0.25">
      <c r="A27" s="1558" t="str">
        <f>'INSUMOS '!B105</f>
        <v>TUBO GALVANIZADO DE 2" X 2,0 mm ESPESOR DE PARED</v>
      </c>
      <c r="B27" s="1559"/>
      <c r="C27" s="1559"/>
      <c r="D27" s="1559"/>
      <c r="E27" s="1559"/>
      <c r="F27" s="1560"/>
      <c r="G27" s="29" t="str">
        <f>+VLOOKUP(A27,'INSUMOS '!$B$3:$C$112,2,FALSE)</f>
        <v>M</v>
      </c>
      <c r="H27" s="35">
        <f>2.91+0.6</f>
        <v>3.5100000000000002</v>
      </c>
      <c r="I27" s="33">
        <f>+IFERROR(VLOOKUP(A27,'INSUMOS '!$B$2:$AP$167,'INSUMOS '!$AO$2+1,FALSE),0)</f>
        <v>16939</v>
      </c>
      <c r="J27" s="33">
        <f t="shared" si="3"/>
        <v>59456</v>
      </c>
      <c r="N27" s="1374">
        <f>(((2*0.0254+0.004)^2*PI()/4)-(2*0.0254)^2*PI()/4)*7850*H27</f>
        <v>9.14093380788049</v>
      </c>
      <c r="O27" s="593" t="s">
        <v>7315</v>
      </c>
    </row>
    <row r="28" spans="1:15" ht="13.9" customHeight="1" x14ac:dyDescent="0.25">
      <c r="A28" s="1558" t="s">
        <v>156</v>
      </c>
      <c r="B28" s="1559"/>
      <c r="C28" s="1559"/>
      <c r="D28" s="1559"/>
      <c r="E28" s="1559"/>
      <c r="F28" s="1560"/>
      <c r="G28" s="29" t="str">
        <f>+VLOOKUP(A28,'INSUMOS '!$B$3:$C$112,2,FALSE)</f>
        <v>M</v>
      </c>
      <c r="H28" s="35">
        <v>0.15</v>
      </c>
      <c r="I28" s="33">
        <f>+IFERROR(VLOOKUP(A28,'INSUMOS '!$B$2:$AP$167,'INSUMOS '!$AO$2+1,FALSE),0)</f>
        <v>16804.093333333331</v>
      </c>
      <c r="J28" s="33">
        <f t="shared" si="3"/>
        <v>2521</v>
      </c>
      <c r="N28" s="1374">
        <f>4*0.0254*(0.0254/8)*H28*7850</f>
        <v>0.37983794999999998</v>
      </c>
      <c r="O28" s="593" t="s">
        <v>156</v>
      </c>
    </row>
    <row r="29" spans="1:15" ht="13.9" customHeight="1" x14ac:dyDescent="0.25">
      <c r="A29" s="1558" t="s">
        <v>42</v>
      </c>
      <c r="B29" s="1559"/>
      <c r="C29" s="1559"/>
      <c r="D29" s="1559"/>
      <c r="E29" s="1559"/>
      <c r="F29" s="1560"/>
      <c r="G29" s="29" t="str">
        <f>+VLOOKUP(A29,'INSUMOS '!$B$3:$C$112,2,FALSE)</f>
        <v>UN</v>
      </c>
      <c r="H29" s="35">
        <f>4</f>
        <v>4</v>
      </c>
      <c r="I29" s="33">
        <f>+IFERROR(VLOOKUP(A29,'INSUMOS '!$B$2:$AP$167,'INSUMOS '!$AO$2+1,FALSE),0)</f>
        <v>1747.5</v>
      </c>
      <c r="J29" s="33">
        <f t="shared" si="3"/>
        <v>6990</v>
      </c>
      <c r="N29" s="1374">
        <f>H29*0.3/4</f>
        <v>0.3</v>
      </c>
      <c r="O29" s="593" t="s">
        <v>42</v>
      </c>
    </row>
    <row r="30" spans="1:15" ht="13.9" customHeight="1" x14ac:dyDescent="0.25">
      <c r="A30" s="1558" t="s">
        <v>43</v>
      </c>
      <c r="B30" s="1559"/>
      <c r="C30" s="1559"/>
      <c r="D30" s="1559"/>
      <c r="E30" s="1559"/>
      <c r="F30" s="1560"/>
      <c r="G30" s="29" t="str">
        <f>+VLOOKUP(A30,'INSUMOS '!$B$3:$C$112,2,FALSE)</f>
        <v>UN</v>
      </c>
      <c r="H30" s="35">
        <v>4</v>
      </c>
      <c r="I30" s="33">
        <f>+IFERROR(VLOOKUP(A30,'INSUMOS '!$B$2:$AP$167,'INSUMOS '!$AO$2+1,FALSE),0)</f>
        <v>170</v>
      </c>
      <c r="J30" s="33">
        <f t="shared" si="3"/>
        <v>680</v>
      </c>
      <c r="N30" s="1374">
        <f>H30/4*0.1</f>
        <v>0.1</v>
      </c>
      <c r="O30" s="593" t="s">
        <v>43</v>
      </c>
    </row>
    <row r="31" spans="1:15" ht="13.9" customHeight="1" x14ac:dyDescent="0.25">
      <c r="A31" s="1558" t="s">
        <v>92</v>
      </c>
      <c r="B31" s="1559"/>
      <c r="C31" s="1559"/>
      <c r="D31" s="1559"/>
      <c r="E31" s="1559"/>
      <c r="F31" s="1560"/>
      <c r="G31" s="29" t="str">
        <f>+VLOOKUP(A31,'INSUMOS '!$B$3:$C$112,2,FALSE)</f>
        <v>UN</v>
      </c>
      <c r="H31" s="35">
        <v>1</v>
      </c>
      <c r="I31" s="33">
        <f>+IFERROR(VLOOKUP(A31,'INSUMOS '!$B$2:$AP$167,'INSUMOS '!$AO$2+1,FALSE),0)</f>
        <v>2500</v>
      </c>
      <c r="J31" s="33">
        <f t="shared" si="3"/>
        <v>2500</v>
      </c>
      <c r="N31" s="1374">
        <f>H31*0.05</f>
        <v>0.05</v>
      </c>
      <c r="O31" s="593" t="s">
        <v>92</v>
      </c>
    </row>
    <row r="32" spans="1:15" ht="13.9" customHeight="1" x14ac:dyDescent="0.25">
      <c r="A32" s="1558" t="s">
        <v>89</v>
      </c>
      <c r="B32" s="1559"/>
      <c r="C32" s="1559"/>
      <c r="D32" s="1559"/>
      <c r="E32" s="1559"/>
      <c r="F32" s="1560"/>
      <c r="G32" s="29" t="str">
        <f>+VLOOKUP(A32,'INSUMOS '!$B$3:$C$112,2,FALSE)</f>
        <v>M2</v>
      </c>
      <c r="H32" s="37">
        <f>+H25</f>
        <v>0.1875</v>
      </c>
      <c r="I32" s="33">
        <f>+IFERROR(VLOOKUP(A32,'INSUMOS '!$B$2:$AP$167,'INSUMOS '!$AO$2+1,FALSE),0)</f>
        <v>65174.538799999995</v>
      </c>
      <c r="J32" s="33">
        <f t="shared" si="3"/>
        <v>12220</v>
      </c>
      <c r="N32" s="1374">
        <f>H32/0.36*0.3</f>
        <v>0.15625</v>
      </c>
      <c r="O32" s="593" t="s">
        <v>89</v>
      </c>
    </row>
    <row r="33" spans="1:15" ht="13.9" customHeight="1" x14ac:dyDescent="0.25">
      <c r="A33" s="1558" t="s">
        <v>334</v>
      </c>
      <c r="B33" s="1559"/>
      <c r="C33" s="1559"/>
      <c r="D33" s="1559"/>
      <c r="E33" s="1559"/>
      <c r="F33" s="1560"/>
      <c r="G33" s="29" t="str">
        <f>+VLOOKUP(A33,'INSUMOS '!$B$3:$C$112,2,FALSE)</f>
        <v>KG</v>
      </c>
      <c r="H33" s="37">
        <f>((0.0254*2+0.004)*PI()*H27+H25+8*H28*0.0254+5*0.0588^2*PI()/4)/3</f>
        <v>0.27861213295432463</v>
      </c>
      <c r="I33" s="33">
        <f>+IFERROR(VLOOKUP(A33,'INSUMOS '!$B$2:$AP$167,'INSUMOS '!$AO$2+1,FALSE),0)</f>
        <v>26664.5</v>
      </c>
      <c r="J33" s="33">
        <f t="shared" si="3"/>
        <v>7429</v>
      </c>
      <c r="N33" s="1374">
        <f>H33</f>
        <v>0.27861213295432463</v>
      </c>
      <c r="O33" s="593" t="s">
        <v>334</v>
      </c>
    </row>
    <row r="34" spans="1:15" ht="13.9" customHeight="1" x14ac:dyDescent="0.25">
      <c r="A34" s="1558" t="s">
        <v>45</v>
      </c>
      <c r="B34" s="1559"/>
      <c r="C34" s="1559"/>
      <c r="D34" s="1559"/>
      <c r="E34" s="1559"/>
      <c r="F34" s="1560"/>
      <c r="G34" s="29" t="str">
        <f>+VLOOKUP(A34,'INSUMOS '!$B$3:$C$112,2,FALSE)</f>
        <v>LB</v>
      </c>
      <c r="H34" s="37">
        <f>H25/3.44*0.22</f>
        <v>1.1991279069767442E-2</v>
      </c>
      <c r="I34" s="33">
        <f>+IFERROR(VLOOKUP(A34,'INSUMOS '!$B$2:$AP$167,'INSUMOS '!$AO$2+1,FALSE),0)</f>
        <v>440873.77039999992</v>
      </c>
      <c r="J34" s="33">
        <f t="shared" si="3"/>
        <v>5287</v>
      </c>
      <c r="N34" s="1374">
        <f>H34*0.454</f>
        <v>5.4440406976744189E-3</v>
      </c>
      <c r="O34" s="593" t="s">
        <v>45</v>
      </c>
    </row>
    <row r="35" spans="1:15" ht="13.9" customHeight="1" x14ac:dyDescent="0.25">
      <c r="A35" s="1558" t="str">
        <f>'INSUMOS '!B28</f>
        <v>CONCRETO  HIDRAULICO 2500 PSI 17 MPA (175 KG/CM2)</v>
      </c>
      <c r="B35" s="1559"/>
      <c r="C35" s="1559"/>
      <c r="D35" s="1559"/>
      <c r="E35" s="1559"/>
      <c r="F35" s="1560"/>
      <c r="G35" s="29" t="str">
        <f>+VLOOKUP(A35,'INSUMOS '!$B$3:$C$112,2,FALSE)</f>
        <v>M3</v>
      </c>
      <c r="H35" s="606">
        <f>+PI()*0.25*0.25/4*0.55</f>
        <v>2.6998061866787288E-2</v>
      </c>
      <c r="I35" s="33">
        <f>+IFERROR(VLOOKUP(A35,'INSUMOS '!$B$2:$AP$167,'INSUMOS '!$AO$2+1,FALSE),0)</f>
        <v>486142</v>
      </c>
      <c r="J35" s="33">
        <f t="shared" si="3"/>
        <v>13125</v>
      </c>
      <c r="N35" s="1374">
        <f>H35*2400</f>
        <v>64.795348480289491</v>
      </c>
      <c r="O35" s="593" t="s">
        <v>98</v>
      </c>
    </row>
    <row r="36" spans="1:15" ht="13.9" customHeight="1" x14ac:dyDescent="0.25">
      <c r="A36" s="1558" t="s">
        <v>87</v>
      </c>
      <c r="B36" s="1559"/>
      <c r="C36" s="1559"/>
      <c r="D36" s="1559"/>
      <c r="E36" s="1559"/>
      <c r="F36" s="1560"/>
      <c r="G36" s="29" t="str">
        <f>+VLOOKUP(A36,'INSUMOS '!$B$3:$C$112,2,FALSE)</f>
        <v>KG</v>
      </c>
      <c r="H36" s="606">
        <f>0.005^2/2*(6*0.0588*PI())*7850</f>
        <v>0.10875722527829824</v>
      </c>
      <c r="I36" s="33">
        <f>+IFERROR(VLOOKUP(A36,'INSUMOS '!$B$2:$AP$167,'INSUMOS '!$AO$2+1,FALSE),0)</f>
        <v>19163.666666666668</v>
      </c>
      <c r="J36" s="33">
        <f t="shared" si="3"/>
        <v>2084</v>
      </c>
      <c r="N36" s="1374">
        <f>H36</f>
        <v>0.10875722527829824</v>
      </c>
      <c r="O36" s="593" t="s">
        <v>87</v>
      </c>
    </row>
    <row r="37" spans="1:15" ht="13.9" customHeight="1" x14ac:dyDescent="0.25">
      <c r="A37" s="1558" t="s">
        <v>26</v>
      </c>
      <c r="B37" s="1559"/>
      <c r="C37" s="1559"/>
      <c r="D37" s="1559"/>
      <c r="E37" s="1559"/>
      <c r="F37" s="1560"/>
      <c r="G37" s="29" t="str">
        <f>+VLOOKUP(A37,'INSUMOS '!$B$3:$C$112,2,FALSE)</f>
        <v>UN</v>
      </c>
      <c r="H37" s="37">
        <v>0.01</v>
      </c>
      <c r="I37" s="33">
        <f>+IFERROR(VLOOKUP(A37,'INSUMOS '!$B$2:$AP$167,'INSUMOS '!$AO$2+1,FALSE),0)</f>
        <v>31741.5</v>
      </c>
      <c r="J37" s="33">
        <f t="shared" si="3"/>
        <v>317</v>
      </c>
      <c r="N37" s="1374">
        <f>H37*0.106</f>
        <v>1.06E-3</v>
      </c>
      <c r="O37" s="593" t="s">
        <v>26</v>
      </c>
    </row>
    <row r="38" spans="1:15" ht="13.9" customHeight="1" x14ac:dyDescent="0.25">
      <c r="A38" s="1558" t="s">
        <v>106</v>
      </c>
      <c r="B38" s="1559"/>
      <c r="C38" s="1559"/>
      <c r="D38" s="1559"/>
      <c r="E38" s="1559"/>
      <c r="F38" s="1560"/>
      <c r="G38" s="29" t="str">
        <f>+VLOOKUP(A38,'INSUMOS '!$B$3:$C$112,2,FALSE)</f>
        <v>M2</v>
      </c>
      <c r="H38" s="1408">
        <f>0.0588^2*PI()/4*3</f>
        <v>8.1464010781706203E-3</v>
      </c>
      <c r="I38" s="33">
        <f>+IFERROR(VLOOKUP(A38,'INSUMOS '!$B$2:$AP$167,'INSUMOS '!$AO$2+1,FALSE),0)</f>
        <v>85500.55</v>
      </c>
      <c r="J38" s="33">
        <f>ROUND(I38*H38,0)</f>
        <v>697</v>
      </c>
      <c r="N38" s="1374">
        <f>H38*0.0015*7850</f>
        <v>9.5923872695459059E-2</v>
      </c>
      <c r="O38" s="593" t="s">
        <v>106</v>
      </c>
    </row>
    <row r="39" spans="1:15" ht="13.9" customHeight="1" x14ac:dyDescent="0.25">
      <c r="A39" s="1558" t="s">
        <v>333</v>
      </c>
      <c r="B39" s="1559"/>
      <c r="C39" s="1559"/>
      <c r="D39" s="1559"/>
      <c r="E39" s="1559"/>
      <c r="F39" s="1560"/>
      <c r="G39" s="29"/>
      <c r="H39" s="1410">
        <v>0.05</v>
      </c>
      <c r="I39" s="33">
        <f>+SUM(J25:J38)</f>
        <v>158086</v>
      </c>
      <c r="J39" s="33">
        <f t="shared" ref="J39" si="4">ROUND(I39*H39,0)</f>
        <v>7904</v>
      </c>
    </row>
    <row r="40" spans="1:15" ht="13.9" customHeight="1" x14ac:dyDescent="0.25">
      <c r="A40" s="20"/>
      <c r="B40" s="20"/>
      <c r="C40" s="20"/>
      <c r="D40" s="20"/>
      <c r="E40" s="20"/>
      <c r="G40" s="20"/>
      <c r="H40" s="20"/>
      <c r="I40" s="30" t="s">
        <v>257</v>
      </c>
      <c r="J40" s="34">
        <f>+SUM(J25:J39)</f>
        <v>165990</v>
      </c>
      <c r="N40" s="1376">
        <f>SUM(N25:N38)</f>
        <v>77.724146676462411</v>
      </c>
    </row>
    <row r="41" spans="1:15" ht="13.9" customHeight="1" x14ac:dyDescent="0.25"/>
    <row r="42" spans="1:15" ht="13.9" customHeight="1" x14ac:dyDescent="0.25">
      <c r="A42" s="1561" t="s">
        <v>267</v>
      </c>
      <c r="B42" s="1561"/>
      <c r="C42" s="1561"/>
      <c r="D42" s="1561"/>
      <c r="E42" s="1561"/>
      <c r="F42" s="1561"/>
      <c r="G42" s="1561"/>
      <c r="H42" s="1561"/>
      <c r="I42" s="27"/>
    </row>
    <row r="43" spans="1:15" ht="13.9" customHeight="1" x14ac:dyDescent="0.25">
      <c r="A43" s="1562" t="s">
        <v>268</v>
      </c>
      <c r="B43" s="1563"/>
      <c r="C43" s="1563"/>
      <c r="D43" s="1563"/>
      <c r="E43" s="1563"/>
      <c r="F43" s="1564"/>
      <c r="G43" s="38" t="s">
        <v>255</v>
      </c>
      <c r="H43" s="28" t="s">
        <v>269</v>
      </c>
      <c r="I43" s="28" t="s">
        <v>256</v>
      </c>
      <c r="J43" s="28" t="s">
        <v>257</v>
      </c>
    </row>
    <row r="44" spans="1:15" ht="13.9" customHeight="1" x14ac:dyDescent="0.25">
      <c r="A44" s="1558" t="str">
        <f>+'EQUIPOS '!B6</f>
        <v>CAMION INCLUYE CONDUCTOR</v>
      </c>
      <c r="B44" s="1559"/>
      <c r="C44" s="1559"/>
      <c r="D44" s="1559"/>
      <c r="E44" s="1559"/>
      <c r="F44" s="1560"/>
      <c r="G44" s="1403">
        <f>(N40/1000)/12</f>
        <v>6.4770122230385337E-3</v>
      </c>
      <c r="H44" s="33">
        <f>+IFERROR(VLOOKUP(A44,'EQUIPOS '!$B$3:$M$78,12,FALSE),0)</f>
        <v>611492.5</v>
      </c>
      <c r="I44" s="33">
        <f>IFERROR(H44*G44,0)</f>
        <v>3960.6443967963905</v>
      </c>
      <c r="J44" s="33">
        <f>ROUND(I44,0)</f>
        <v>3961</v>
      </c>
    </row>
    <row r="45" spans="1:15" ht="13.9" customHeight="1" x14ac:dyDescent="0.25">
      <c r="A45" s="1558"/>
      <c r="B45" s="1559"/>
      <c r="C45" s="1559"/>
      <c r="D45" s="1559"/>
      <c r="E45" s="1559"/>
      <c r="F45" s="1560"/>
      <c r="G45" s="29"/>
      <c r="H45" s="33"/>
      <c r="I45" s="33"/>
      <c r="J45" s="33"/>
    </row>
    <row r="46" spans="1:15" ht="13.9" customHeight="1" x14ac:dyDescent="0.25">
      <c r="A46" s="1558"/>
      <c r="B46" s="1559"/>
      <c r="C46" s="1559"/>
      <c r="D46" s="1559"/>
      <c r="E46" s="1559"/>
      <c r="F46" s="1560"/>
      <c r="G46" s="29"/>
      <c r="H46" s="33"/>
      <c r="I46" s="33"/>
      <c r="J46" s="33"/>
    </row>
    <row r="47" spans="1:15" ht="13.9" customHeight="1" x14ac:dyDescent="0.25">
      <c r="G47" s="39"/>
      <c r="H47" s="39"/>
      <c r="I47" s="30" t="s">
        <v>257</v>
      </c>
      <c r="J47" s="33">
        <f>+SUM(J44:J46)</f>
        <v>3961</v>
      </c>
    </row>
    <row r="48" spans="1:15" ht="13.9" customHeight="1" x14ac:dyDescent="0.25"/>
    <row r="49" spans="1:10" ht="13.9" customHeight="1" x14ac:dyDescent="0.25">
      <c r="A49" s="1561" t="s">
        <v>270</v>
      </c>
      <c r="B49" s="1561"/>
      <c r="C49" s="1561"/>
      <c r="D49" s="1561"/>
      <c r="E49" s="1561"/>
      <c r="F49" s="1561"/>
      <c r="G49" s="1561"/>
      <c r="H49" s="1561"/>
      <c r="I49" s="27"/>
    </row>
    <row r="50" spans="1:10" s="39" customFormat="1" ht="13.9" customHeight="1" x14ac:dyDescent="0.25">
      <c r="A50" s="1562" t="s">
        <v>271</v>
      </c>
      <c r="B50" s="1563"/>
      <c r="C50" s="1563"/>
      <c r="D50" s="1564"/>
      <c r="E50" s="28" t="s">
        <v>272</v>
      </c>
      <c r="F50" s="28" t="s">
        <v>264</v>
      </c>
      <c r="G50" s="28" t="s">
        <v>273</v>
      </c>
      <c r="H50" s="28" t="s">
        <v>255</v>
      </c>
      <c r="I50" s="28" t="s">
        <v>256</v>
      </c>
      <c r="J50" s="28" t="s">
        <v>257</v>
      </c>
    </row>
    <row r="51" spans="1:10" s="39" customFormat="1" ht="13.9" customHeight="1" x14ac:dyDescent="0.25">
      <c r="A51" s="1571" t="s">
        <v>129</v>
      </c>
      <c r="B51" s="1572"/>
      <c r="C51" s="1572"/>
      <c r="D51" s="1573"/>
      <c r="E51" s="609">
        <f>+IFERROR(VLOOKUP(A51,PERSONAL!$B$3:$E$56,4,FALSE),0)</f>
        <v>110344</v>
      </c>
      <c r="F51" s="601">
        <v>1</v>
      </c>
      <c r="G51" s="609">
        <f>+E51*F51</f>
        <v>110344</v>
      </c>
      <c r="H51" s="54">
        <v>60</v>
      </c>
      <c r="I51" s="55">
        <f>IFERROR(ROUND(G51/H51,0),0)</f>
        <v>1839</v>
      </c>
      <c r="J51" s="55">
        <f>+I51</f>
        <v>1839</v>
      </c>
    </row>
    <row r="52" spans="1:10" s="39" customFormat="1" ht="13.9" customHeight="1" x14ac:dyDescent="0.25">
      <c r="A52" s="1571" t="s">
        <v>130</v>
      </c>
      <c r="B52" s="1572"/>
      <c r="C52" s="1572"/>
      <c r="D52" s="1573"/>
      <c r="E52" s="609">
        <f>+IFERROR(VLOOKUP(A52,PERSONAL!$B$3:$E$56,4,FALSE),0)</f>
        <v>100054</v>
      </c>
      <c r="F52" s="601">
        <v>1</v>
      </c>
      <c r="G52" s="609">
        <f t="shared" ref="G52:G55" si="5">+E52*F52</f>
        <v>100054</v>
      </c>
      <c r="H52" s="54">
        <v>60</v>
      </c>
      <c r="I52" s="55">
        <f t="shared" ref="I52:I55" si="6">IFERROR(ROUND(G52/H52,0),0)</f>
        <v>1668</v>
      </c>
      <c r="J52" s="55">
        <f t="shared" ref="J52:J55" si="7">+I52</f>
        <v>1668</v>
      </c>
    </row>
    <row r="53" spans="1:10" s="39" customFormat="1" ht="13.9" customHeight="1" x14ac:dyDescent="0.25">
      <c r="A53" s="1571" t="s">
        <v>131</v>
      </c>
      <c r="B53" s="1572"/>
      <c r="C53" s="1572"/>
      <c r="D53" s="1573"/>
      <c r="E53" s="609">
        <f>+IFERROR(VLOOKUP(A53,PERSONAL!$B$3:$E$56,4,FALSE),0)</f>
        <v>91275</v>
      </c>
      <c r="F53" s="601">
        <v>1</v>
      </c>
      <c r="G53" s="609">
        <f t="shared" si="5"/>
        <v>91275</v>
      </c>
      <c r="H53" s="54">
        <v>60</v>
      </c>
      <c r="I53" s="55">
        <f t="shared" si="6"/>
        <v>1521</v>
      </c>
      <c r="J53" s="55">
        <f t="shared" si="7"/>
        <v>1521</v>
      </c>
    </row>
    <row r="54" spans="1:10" s="39" customFormat="1" ht="13.9" customHeight="1" x14ac:dyDescent="0.25">
      <c r="A54" s="1571" t="s">
        <v>178</v>
      </c>
      <c r="B54" s="1572"/>
      <c r="C54" s="1572"/>
      <c r="D54" s="1573"/>
      <c r="E54" s="1412">
        <f>+IFERROR(VLOOKUP(A54,PERSONAL!$B$3:$E$56,4,FALSE),0)</f>
        <v>166031</v>
      </c>
      <c r="F54" s="601">
        <v>1</v>
      </c>
      <c r="G54" s="1412">
        <f t="shared" si="5"/>
        <v>166031</v>
      </c>
      <c r="H54" s="54">
        <v>48</v>
      </c>
      <c r="I54" s="1398">
        <f t="shared" si="6"/>
        <v>3459</v>
      </c>
      <c r="J54" s="1398">
        <f t="shared" si="7"/>
        <v>3459</v>
      </c>
    </row>
    <row r="55" spans="1:10" s="39" customFormat="1" ht="13.9" customHeight="1" x14ac:dyDescent="0.25">
      <c r="A55" s="1571" t="s">
        <v>127</v>
      </c>
      <c r="B55" s="1572"/>
      <c r="C55" s="1572"/>
      <c r="D55" s="1573"/>
      <c r="E55" s="1412">
        <f>+IFERROR(VLOOKUP(A55,PERSONAL!$B$3:$E$56,4,FALSE),0)</f>
        <v>72476</v>
      </c>
      <c r="F55" s="601">
        <v>4</v>
      </c>
      <c r="G55" s="1412">
        <f t="shared" si="5"/>
        <v>289904</v>
      </c>
      <c r="H55" s="54">
        <v>48</v>
      </c>
      <c r="I55" s="1398">
        <f t="shared" si="6"/>
        <v>6040</v>
      </c>
      <c r="J55" s="1398">
        <f t="shared" si="7"/>
        <v>6040</v>
      </c>
    </row>
    <row r="56" spans="1:10" s="39" customFormat="1" ht="13.9" customHeight="1" x14ac:dyDescent="0.25">
      <c r="A56" s="1571" t="s">
        <v>143</v>
      </c>
      <c r="B56" s="1572"/>
      <c r="C56" s="1572"/>
      <c r="D56" s="1573"/>
      <c r="E56" s="1412">
        <f>+IFERROR(VLOOKUP(A56,PERSONAL!$B$3:$E$56,4,FALSE),0)</f>
        <v>89632</v>
      </c>
      <c r="F56" s="601">
        <v>1</v>
      </c>
      <c r="G56" s="1412">
        <f>+E56*F56</f>
        <v>89632</v>
      </c>
      <c r="H56" s="54">
        <v>48</v>
      </c>
      <c r="I56" s="1398">
        <f>IFERROR(ROUND(G56/H56,0),0)</f>
        <v>1867</v>
      </c>
      <c r="J56" s="1398">
        <f>+I56</f>
        <v>1867</v>
      </c>
    </row>
    <row r="57" spans="1:10" s="39" customFormat="1" ht="13.9" customHeight="1" x14ac:dyDescent="0.25">
      <c r="A57" s="1558"/>
      <c r="B57" s="1559"/>
      <c r="C57" s="1559"/>
      <c r="D57" s="1560"/>
      <c r="E57" s="40"/>
      <c r="F57" s="30"/>
      <c r="G57" s="40"/>
      <c r="H57" s="35"/>
      <c r="I57" s="33"/>
      <c r="J57" s="33"/>
    </row>
    <row r="58" spans="1:10" s="39" customFormat="1" ht="13.9" customHeight="1" x14ac:dyDescent="0.25">
      <c r="A58" s="1558"/>
      <c r="B58" s="1559"/>
      <c r="C58" s="1559"/>
      <c r="D58" s="1560"/>
      <c r="E58" s="40"/>
      <c r="F58" s="30"/>
      <c r="G58" s="40"/>
      <c r="H58" s="35"/>
      <c r="I58" s="33"/>
      <c r="J58" s="33"/>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ht="13.9" customHeight="1" x14ac:dyDescent="0.25">
      <c r="A61" s="20"/>
      <c r="B61" s="20"/>
      <c r="C61" s="20"/>
      <c r="E61" s="20"/>
      <c r="F61" s="20"/>
      <c r="G61" s="20"/>
      <c r="H61" s="20"/>
      <c r="I61" s="30" t="s">
        <v>257</v>
      </c>
      <c r="J61" s="34">
        <f>+SUM(J51:J60)</f>
        <v>16394</v>
      </c>
    </row>
    <row r="62" spans="1:10" ht="13.9" customHeight="1" x14ac:dyDescent="0.25"/>
    <row r="63" spans="1:10" ht="13.9" customHeight="1" x14ac:dyDescent="0.25">
      <c r="E63" s="41" t="s">
        <v>276</v>
      </c>
      <c r="I63" s="42">
        <f>+J61+J47+J40+J21</f>
        <v>196760</v>
      </c>
      <c r="J63" s="43"/>
    </row>
    <row r="64" spans="1:10" ht="13.9" customHeight="1" x14ac:dyDescent="0.25"/>
    <row r="65" ht="14.1" customHeight="1" x14ac:dyDescent="0.25"/>
  </sheetData>
  <mergeCells count="49">
    <mergeCell ref="A14:D14"/>
    <mergeCell ref="A15:D15"/>
    <mergeCell ref="A16:D16"/>
    <mergeCell ref="A9:H9"/>
    <mergeCell ref="A10:D10"/>
    <mergeCell ref="A11:D11"/>
    <mergeCell ref="A12:D12"/>
    <mergeCell ref="A13:D13"/>
    <mergeCell ref="A1:J1"/>
    <mergeCell ref="A2:J2"/>
    <mergeCell ref="A4:J4"/>
    <mergeCell ref="A6:B6"/>
    <mergeCell ref="A7:B7"/>
    <mergeCell ref="C7:J7"/>
    <mergeCell ref="A36:F36"/>
    <mergeCell ref="A20:D20"/>
    <mergeCell ref="A23:H23"/>
    <mergeCell ref="A24:F24"/>
    <mergeCell ref="A25:F25"/>
    <mergeCell ref="A26:F26"/>
    <mergeCell ref="A27:F27"/>
    <mergeCell ref="A33:F33"/>
    <mergeCell ref="A34:F34"/>
    <mergeCell ref="A35:F35"/>
    <mergeCell ref="A28:F28"/>
    <mergeCell ref="A29:F29"/>
    <mergeCell ref="A30:F30"/>
    <mergeCell ref="A31:F31"/>
    <mergeCell ref="A32:F32"/>
    <mergeCell ref="A37:F37"/>
    <mergeCell ref="A38:F38"/>
    <mergeCell ref="A39:F39"/>
    <mergeCell ref="A42:H42"/>
    <mergeCell ref="A43:F43"/>
    <mergeCell ref="A44:F44"/>
    <mergeCell ref="A45:F45"/>
    <mergeCell ref="A46:F46"/>
    <mergeCell ref="A49:H49"/>
    <mergeCell ref="A50:D50"/>
    <mergeCell ref="A59:D59"/>
    <mergeCell ref="A60:D60"/>
    <mergeCell ref="A51:D51"/>
    <mergeCell ref="A52:D52"/>
    <mergeCell ref="A53:D53"/>
    <mergeCell ref="A54:D54"/>
    <mergeCell ref="A55:D55"/>
    <mergeCell ref="A56:D56"/>
    <mergeCell ref="A57:D57"/>
    <mergeCell ref="A58:D58"/>
  </mergeCells>
  <pageMargins left="0.70866141732283472" right="0.70866141732283472" top="0.78740157480314965" bottom="0.78740157480314965" header="0.31496062992125984" footer="0.31496062992125984"/>
  <pageSetup scale="85" orientation="portrait" r:id="rId1"/>
  <drawing r:id="rId2"/>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sheetPr>
    <tabColor rgb="FF00B050"/>
  </sheetPr>
  <dimension ref="A1:O66"/>
  <sheetViews>
    <sheetView topLeftCell="A49" zoomScale="115" zoomScaleNormal="115" workbookViewId="0">
      <selection activeCell="L47" sqref="L47"/>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1" width="13.7109375" style="592" bestFit="1" customWidth="1"/>
    <col min="12" max="12" width="11.42578125" style="592"/>
    <col min="13" max="13" width="15.7109375" style="592" hidden="1" customWidth="1"/>
    <col min="14" max="14" width="11" style="592" hidden="1" customWidth="1"/>
    <col min="15" max="15" width="0" style="592" hidden="1" customWidth="1"/>
    <col min="16" max="16384" width="11.42578125" style="592"/>
  </cols>
  <sheetData>
    <row r="1" spans="1:13" ht="29.25" customHeight="1" x14ac:dyDescent="0.25">
      <c r="A1" s="1680"/>
      <c r="B1" s="1681"/>
      <c r="C1" s="1681"/>
      <c r="D1" s="1681"/>
      <c r="E1" s="1681"/>
      <c r="F1" s="1681"/>
      <c r="G1" s="1681"/>
      <c r="H1" s="1681"/>
      <c r="I1" s="1681"/>
      <c r="J1" s="1681"/>
    </row>
    <row r="2" spans="1:13" ht="15" customHeight="1" x14ac:dyDescent="0.25">
      <c r="A2" s="1682" t="s">
        <v>245</v>
      </c>
      <c r="B2" s="1682"/>
      <c r="C2" s="1682"/>
      <c r="D2" s="1682"/>
      <c r="E2" s="1682"/>
      <c r="F2" s="1682"/>
      <c r="G2" s="1682"/>
      <c r="H2" s="1682"/>
      <c r="I2" s="1682"/>
      <c r="J2" s="1682"/>
    </row>
    <row r="4" spans="1:13" s="593" customFormat="1" ht="9.9499999999999993" customHeight="1" x14ac:dyDescent="0.25">
      <c r="A4" s="1683" t="s">
        <v>246</v>
      </c>
      <c r="B4" s="1683"/>
      <c r="C4" s="1683"/>
      <c r="D4" s="1683"/>
      <c r="E4" s="1683"/>
      <c r="F4" s="1683"/>
      <c r="G4" s="1683"/>
      <c r="H4" s="1683"/>
      <c r="I4" s="1683"/>
      <c r="J4" s="1683"/>
    </row>
    <row r="5" spans="1:13" s="593" customFormat="1" ht="9.9499999999999993" customHeight="1" x14ac:dyDescent="0.25">
      <c r="B5" s="594"/>
      <c r="C5" s="594"/>
      <c r="D5" s="594"/>
      <c r="E5" s="594"/>
      <c r="F5" s="594"/>
      <c r="G5" s="594"/>
    </row>
    <row r="6" spans="1:13" x14ac:dyDescent="0.25">
      <c r="A6" s="1571" t="s">
        <v>247</v>
      </c>
      <c r="B6" s="1573"/>
      <c r="C6" s="595">
        <v>18</v>
      </c>
      <c r="D6" s="596"/>
      <c r="E6" s="596"/>
      <c r="F6" s="596"/>
      <c r="G6" s="596"/>
      <c r="H6" s="597"/>
      <c r="I6" s="598" t="s">
        <v>248</v>
      </c>
      <c r="J6" s="599" t="str">
        <f>+VLOOKUP(C6,'ANEXO PLIEGO_1'!$A$7:$C$133,3,FALSE)</f>
        <v>UN</v>
      </c>
    </row>
    <row r="7" spans="1:13" ht="35.1" customHeight="1" x14ac:dyDescent="0.25">
      <c r="A7" s="1637" t="s">
        <v>249</v>
      </c>
      <c r="B7" s="1639"/>
      <c r="C7" s="1684" t="str">
        <f>+VLOOKUP(C6,'ANEXO PLIEGO_1'!$A$7:$B$103,2,FALSE)</f>
        <v>Fabricación, suministro e instalación de Señal SP-46 B, material reflectivo Tipo XI amarillo/verde fluorescente, película antigraffiti, en lámina  galvanizada C-16 E=1,5 mm, pedestal en tubo galvanizado de 2" cumpliendo con normatividad vigente.</v>
      </c>
      <c r="D7" s="1685"/>
      <c r="E7" s="1685"/>
      <c r="F7" s="1685"/>
      <c r="G7" s="1685"/>
      <c r="H7" s="1685"/>
      <c r="I7" s="1685"/>
      <c r="J7" s="1686"/>
    </row>
    <row r="9" spans="1:13" s="390" customFormat="1" ht="12.75" x14ac:dyDescent="0.25">
      <c r="A9" s="1673" t="s">
        <v>250</v>
      </c>
      <c r="B9" s="1673"/>
      <c r="C9" s="1673"/>
      <c r="D9" s="1673"/>
      <c r="E9" s="1673"/>
      <c r="F9" s="1673"/>
      <c r="G9" s="1673"/>
      <c r="H9" s="1673"/>
    </row>
    <row r="10" spans="1:13" s="593" customFormat="1" ht="13.9" customHeight="1" x14ac:dyDescent="0.25">
      <c r="A10" s="1674" t="s">
        <v>251</v>
      </c>
      <c r="B10" s="1675"/>
      <c r="C10" s="1675"/>
      <c r="D10" s="1676"/>
      <c r="E10" s="600" t="s">
        <v>252</v>
      </c>
      <c r="F10" s="600" t="s">
        <v>253</v>
      </c>
      <c r="G10" s="600" t="s">
        <v>254</v>
      </c>
      <c r="H10" s="600" t="s">
        <v>255</v>
      </c>
      <c r="I10" s="600" t="s">
        <v>256</v>
      </c>
      <c r="J10" s="600" t="s">
        <v>257</v>
      </c>
      <c r="M10" s="593" t="s">
        <v>7371</v>
      </c>
    </row>
    <row r="11" spans="1:13" s="593" customFormat="1" ht="13.9" customHeight="1" x14ac:dyDescent="0.25">
      <c r="A11" s="1571" t="str">
        <f>+'EQUIPOS '!B45</f>
        <v>TRONZADORA</v>
      </c>
      <c r="B11" s="1572"/>
      <c r="C11" s="1572"/>
      <c r="D11" s="1573"/>
      <c r="E11" s="53" t="s">
        <v>259</v>
      </c>
      <c r="F11" s="601">
        <f>IFERROR(VLOOKUP(A11,'[10]EQUIPOS TRANSPOR SALARIO'!$A$3:$G$42,2,FALSE),0)</f>
        <v>0</v>
      </c>
      <c r="G11" s="602">
        <f>+IFERROR(VLOOKUP(A11,'EQUIPOS '!$B$3:$M$56,12,FALSE),0)</f>
        <v>3779.5</v>
      </c>
      <c r="H11" s="601">
        <v>10</v>
      </c>
      <c r="I11" s="55">
        <f t="shared" ref="I11:I19" si="0">IFERROR((G11/H11),0)</f>
        <v>377.95</v>
      </c>
      <c r="J11" s="55">
        <f t="shared" ref="J11:J20" si="1">ROUND(I11,0)</f>
        <v>378</v>
      </c>
      <c r="M11" s="593">
        <v>1.5</v>
      </c>
    </row>
    <row r="12" spans="1:13" s="593" customFormat="1" ht="13.9" customHeight="1" x14ac:dyDescent="0.25">
      <c r="A12" s="1571" t="str">
        <f>+'EQUIPOS '!B7</f>
        <v xml:space="preserve">CIZALLA DE CORTE VERTICAL </v>
      </c>
      <c r="B12" s="1572"/>
      <c r="C12" s="1572"/>
      <c r="D12" s="1573"/>
      <c r="E12" s="53" t="s">
        <v>259</v>
      </c>
      <c r="F12" s="601">
        <f>IFERROR(VLOOKUP(A12,'[10]EQUIPOS TRANSPOR SALARIO'!$A$3:$G$42,2,FALSE),0)</f>
        <v>0</v>
      </c>
      <c r="G12" s="602">
        <f>+IFERROR(VLOOKUP(A12,'EQUIPOS '!$B$3:$M$56,12,FALSE),0)</f>
        <v>5174.01</v>
      </c>
      <c r="H12" s="601">
        <f>+$H$11</f>
        <v>10</v>
      </c>
      <c r="I12" s="55">
        <f t="shared" si="0"/>
        <v>517.40100000000007</v>
      </c>
      <c r="J12" s="55">
        <f t="shared" si="1"/>
        <v>517</v>
      </c>
      <c r="M12" s="593">
        <v>1</v>
      </c>
    </row>
    <row r="13" spans="1:13" s="593" customFormat="1" ht="13.9" customHeight="1" x14ac:dyDescent="0.25">
      <c r="A13" s="1571" t="str">
        <f>+'EQUIPOS '!B24</f>
        <v>EQUIPO PINTURA ELECTROSTÁTICA</v>
      </c>
      <c r="B13" s="1572"/>
      <c r="C13" s="1572"/>
      <c r="D13" s="1573"/>
      <c r="E13" s="53" t="s">
        <v>259</v>
      </c>
      <c r="F13" s="601" t="str">
        <f>IFERROR(VLOOKUP(A13,'[10]EQUIPOS TRANSPOR SALARIO'!$A$3:$G$42,2,FALSE),0)</f>
        <v>Electrostática</v>
      </c>
      <c r="G13" s="602">
        <f>+IFERROR(VLOOKUP(A13,'EQUIPOS '!$B$3:$M$56,12,FALSE),0)</f>
        <v>4047.59</v>
      </c>
      <c r="H13" s="601">
        <f t="shared" ref="H13:H19" si="2">+$H$11</f>
        <v>10</v>
      </c>
      <c r="I13" s="55">
        <f t="shared" si="0"/>
        <v>404.75900000000001</v>
      </c>
      <c r="J13" s="55">
        <f t="shared" si="1"/>
        <v>405</v>
      </c>
      <c r="M13" s="593">
        <v>3</v>
      </c>
    </row>
    <row r="14" spans="1:13" s="593" customFormat="1" ht="13.9" customHeight="1" x14ac:dyDescent="0.25">
      <c r="A14" s="1571" t="str">
        <f>+'EQUIPOS '!B43</f>
        <v>TALADRO DE ARBOL</v>
      </c>
      <c r="B14" s="1572"/>
      <c r="C14" s="1572"/>
      <c r="D14" s="1573"/>
      <c r="E14" s="53" t="s">
        <v>259</v>
      </c>
      <c r="F14" s="601">
        <f>IFERROR(VLOOKUP(A14,'[10]EQUIPOS TRANSPOR SALARIO'!$A$3:$G$42,2,FALSE),0)</f>
        <v>0</v>
      </c>
      <c r="G14" s="602">
        <f>+IFERROR(VLOOKUP(A14,'EQUIPOS '!$B$3:$M$56,12,FALSE),0)</f>
        <v>4898</v>
      </c>
      <c r="H14" s="601">
        <f t="shared" si="2"/>
        <v>10</v>
      </c>
      <c r="I14" s="55">
        <f t="shared" si="0"/>
        <v>489.8</v>
      </c>
      <c r="J14" s="55">
        <f t="shared" si="1"/>
        <v>490</v>
      </c>
      <c r="M14" s="593">
        <v>1.5</v>
      </c>
    </row>
    <row r="15" spans="1:13" s="593" customFormat="1" ht="13.9" customHeight="1" x14ac:dyDescent="0.25">
      <c r="A15" s="1571" t="str">
        <f>+'EQUIPOS '!B27</f>
        <v xml:space="preserve">EQUIPO SOLDADURA ELECTRICA </v>
      </c>
      <c r="B15" s="1572"/>
      <c r="C15" s="1572"/>
      <c r="D15" s="1573"/>
      <c r="E15" s="53" t="s">
        <v>259</v>
      </c>
      <c r="F15" s="601">
        <f>IFERROR(VLOOKUP(A15,'[10]EQUIPOS TRANSPOR SALARIO'!$A$3:$G$42,2,FALSE),0)</f>
        <v>0</v>
      </c>
      <c r="G15" s="602">
        <f>+IFERROR(VLOOKUP(A15,'EQUIPOS '!$B$3:$M$56,12,FALSE),0)</f>
        <v>4862.5</v>
      </c>
      <c r="H15" s="601">
        <f t="shared" si="2"/>
        <v>10</v>
      </c>
      <c r="I15" s="55">
        <f t="shared" si="0"/>
        <v>486.25</v>
      </c>
      <c r="J15" s="55">
        <f t="shared" si="1"/>
        <v>486</v>
      </c>
      <c r="M15" s="593">
        <v>3</v>
      </c>
    </row>
    <row r="16" spans="1:13" s="593" customFormat="1" ht="13.9" customHeight="1" x14ac:dyDescent="0.25">
      <c r="A16" s="1571" t="str">
        <f>+'EQUIPOS '!B25</f>
        <v>EQUIPO  COLAMINADO</v>
      </c>
      <c r="B16" s="1572"/>
      <c r="C16" s="1572"/>
      <c r="D16" s="1573"/>
      <c r="E16" s="53" t="s">
        <v>259</v>
      </c>
      <c r="F16" s="601">
        <f>IFERROR(VLOOKUP(A16,'[10]EQUIPOS TRANSPOR SALARIO'!$A$3:$G$42,2,FALSE),0)</f>
        <v>0</v>
      </c>
      <c r="G16" s="602">
        <f>+IFERROR(VLOOKUP(A16,'EQUIPOS '!$B$3:$M$56,12,FALSE),0)</f>
        <v>4701.8100000000004</v>
      </c>
      <c r="H16" s="601">
        <f t="shared" si="2"/>
        <v>10</v>
      </c>
      <c r="I16" s="55">
        <f t="shared" si="0"/>
        <v>470.18100000000004</v>
      </c>
      <c r="J16" s="55">
        <f t="shared" si="1"/>
        <v>470</v>
      </c>
      <c r="M16" s="593">
        <v>2.5</v>
      </c>
    </row>
    <row r="17" spans="1:15" s="593" customFormat="1" ht="13.9" customHeight="1" x14ac:dyDescent="0.25">
      <c r="A17" s="1571" t="str">
        <f>+'EQUIPOS '!B9</f>
        <v>COMPRESOR</v>
      </c>
      <c r="B17" s="1572"/>
      <c r="C17" s="1572"/>
      <c r="D17" s="1573"/>
      <c r="E17" s="53" t="s">
        <v>259</v>
      </c>
      <c r="F17" s="601" t="str">
        <f>IFERROR(VLOOKUP(A17,'[10]EQUIPOS TRANSPOR SALARIO'!$A$3:$G$42,2,FALSE),0)</f>
        <v>Eléctrico</v>
      </c>
      <c r="G17" s="602">
        <f>+IFERROR(VLOOKUP(A17,'EQUIPOS '!$B$3:$M$56,12,FALSE),0)</f>
        <v>7999.94</v>
      </c>
      <c r="H17" s="601">
        <f t="shared" si="2"/>
        <v>10</v>
      </c>
      <c r="I17" s="55">
        <f t="shared" si="0"/>
        <v>799.99399999999991</v>
      </c>
      <c r="J17" s="55">
        <f t="shared" si="1"/>
        <v>800</v>
      </c>
      <c r="M17" s="593">
        <v>5</v>
      </c>
    </row>
    <row r="18" spans="1:15" s="593" customFormat="1" ht="13.9" customHeight="1" x14ac:dyDescent="0.25">
      <c r="A18" s="1571" t="str">
        <f>+'EQUIPOS '!B51</f>
        <v xml:space="preserve">IMPRESORA DIGITAL PARA SEÑALES DE TRÁNSITO </v>
      </c>
      <c r="B18" s="1572"/>
      <c r="C18" s="1572"/>
      <c r="D18" s="1573"/>
      <c r="E18" s="53" t="s">
        <v>259</v>
      </c>
      <c r="F18" s="601">
        <f>IFERROR(VLOOKUP(A18,'[10]EQUIPOS TRANSPOR SALARIO'!$A$3:$G$42,2,FALSE),0)</f>
        <v>0</v>
      </c>
      <c r="G18" s="602">
        <f>+IFERROR(VLOOKUP(A18,'EQUIPOS '!$B$3:$M$56,12,FALSE),0)</f>
        <v>64227.08</v>
      </c>
      <c r="H18" s="601">
        <f t="shared" si="2"/>
        <v>10</v>
      </c>
      <c r="I18" s="55">
        <f t="shared" si="0"/>
        <v>6422.7080000000005</v>
      </c>
      <c r="J18" s="55">
        <f t="shared" si="1"/>
        <v>6423</v>
      </c>
      <c r="M18" s="593">
        <v>2</v>
      </c>
    </row>
    <row r="19" spans="1:15" s="593" customFormat="1" ht="13.9" customHeight="1" x14ac:dyDescent="0.25">
      <c r="A19" s="1571" t="str">
        <f>+'EQUIPOS '!B39</f>
        <v xml:space="preserve">PULIDORA </v>
      </c>
      <c r="B19" s="1572"/>
      <c r="C19" s="1572"/>
      <c r="D19" s="1573"/>
      <c r="E19" s="53" t="s">
        <v>259</v>
      </c>
      <c r="F19" s="601">
        <f>IFERROR(VLOOKUP(A19,'[10]EQUIPOS TRANSPOR SALARIO'!$A$3:$G$42,2,FALSE),0)</f>
        <v>0</v>
      </c>
      <c r="G19" s="602">
        <f>+IFERROR(VLOOKUP(A19,'EQUIPOS '!$B$3:$M$56,12,FALSE),0)</f>
        <v>2821</v>
      </c>
      <c r="H19" s="601">
        <f t="shared" si="2"/>
        <v>10</v>
      </c>
      <c r="I19" s="55">
        <f t="shared" si="0"/>
        <v>282.10000000000002</v>
      </c>
      <c r="J19" s="55">
        <f t="shared" si="1"/>
        <v>282</v>
      </c>
      <c r="M19" s="593">
        <v>1.5</v>
      </c>
    </row>
    <row r="20" spans="1:15" s="593" customFormat="1" ht="13.9" customHeight="1" x14ac:dyDescent="0.25">
      <c r="A20" s="1571" t="s">
        <v>151</v>
      </c>
      <c r="B20" s="1572"/>
      <c r="C20" s="1572"/>
      <c r="D20" s="1573"/>
      <c r="E20" s="53" t="s">
        <v>259</v>
      </c>
      <c r="F20" s="601" t="str">
        <f>IFERROR(VLOOKUP(A20,'[10]EQUIPOS TRANSPOR SALARIO'!$A$3:$G$42,2,FALSE),0)</f>
        <v>Global</v>
      </c>
      <c r="G20" s="603">
        <v>0.02</v>
      </c>
      <c r="H20" s="601"/>
      <c r="I20" s="55">
        <f>+G20*J62</f>
        <v>327.88</v>
      </c>
      <c r="J20" s="55">
        <f t="shared" si="1"/>
        <v>328</v>
      </c>
      <c r="M20" s="593">
        <v>3</v>
      </c>
    </row>
    <row r="21" spans="1:15" s="593" customFormat="1" ht="13.9" customHeight="1" x14ac:dyDescent="0.25">
      <c r="A21" s="1571"/>
      <c r="B21" s="1572"/>
      <c r="C21" s="1572"/>
      <c r="D21" s="1573"/>
      <c r="E21" s="53"/>
      <c r="F21" s="601"/>
      <c r="G21" s="602"/>
      <c r="H21" s="601"/>
      <c r="I21" s="55"/>
      <c r="J21" s="55"/>
      <c r="M21" s="1381">
        <f>SUM(M11:M20)</f>
        <v>24</v>
      </c>
      <c r="N21" s="593" t="s">
        <v>7370</v>
      </c>
    </row>
    <row r="22" spans="1:15" s="593" customFormat="1" ht="13.9" customHeight="1" x14ac:dyDescent="0.25">
      <c r="I22" s="601" t="s">
        <v>257</v>
      </c>
      <c r="J22" s="605">
        <f>+SUM(J11:J21)</f>
        <v>10579</v>
      </c>
      <c r="K22" s="1379"/>
      <c r="M22" s="593">
        <f>M21/SUM(F52:F54)</f>
        <v>8</v>
      </c>
      <c r="N22" s="593">
        <f>480/M22</f>
        <v>60</v>
      </c>
    </row>
    <row r="23" spans="1:15" s="593" customFormat="1" ht="13.9" customHeight="1" x14ac:dyDescent="0.25"/>
    <row r="24" spans="1:15" s="593" customFormat="1" ht="13.9" customHeight="1" x14ac:dyDescent="0.25">
      <c r="A24" s="1673" t="s">
        <v>263</v>
      </c>
      <c r="B24" s="1673"/>
      <c r="C24" s="1673"/>
      <c r="D24" s="1673"/>
      <c r="E24" s="1673"/>
      <c r="F24" s="1673"/>
      <c r="G24" s="1673"/>
      <c r="H24" s="1673"/>
      <c r="I24" s="390"/>
    </row>
    <row r="25" spans="1:15" ht="13.9" customHeight="1" x14ac:dyDescent="0.25">
      <c r="A25" s="1677" t="s">
        <v>251</v>
      </c>
      <c r="B25" s="1678"/>
      <c r="C25" s="1678"/>
      <c r="D25" s="1678"/>
      <c r="E25" s="1678"/>
      <c r="F25" s="1679"/>
      <c r="G25" s="600" t="s">
        <v>252</v>
      </c>
      <c r="H25" s="600" t="s">
        <v>264</v>
      </c>
      <c r="I25" s="600" t="s">
        <v>256</v>
      </c>
      <c r="J25" s="600" t="s">
        <v>257</v>
      </c>
      <c r="N25" s="1378" t="s">
        <v>7369</v>
      </c>
    </row>
    <row r="26" spans="1:15" ht="13.9" customHeight="1" x14ac:dyDescent="0.25">
      <c r="A26" s="1721" t="str">
        <f>+'INSUMOS '!B50</f>
        <v>LÁMINA GALVANIZADA C 16 E=1,50 mm</v>
      </c>
      <c r="B26" s="1722"/>
      <c r="C26" s="1722"/>
      <c r="D26" s="1722"/>
      <c r="E26" s="1722"/>
      <c r="F26" s="1723"/>
      <c r="G26" s="53" t="s">
        <v>12</v>
      </c>
      <c r="H26" s="54">
        <f>0.6*0.6+0.4*0.4</f>
        <v>0.52</v>
      </c>
      <c r="I26" s="33">
        <f>+IFERROR(VLOOKUP(A26,'INSUMOS '!$B$2:$AP$167,'INSUMOS '!$AO$2+1,FALSE),0)</f>
        <v>85500.55</v>
      </c>
      <c r="J26" s="55">
        <f>ROUND(I26*H26,0)</f>
        <v>44460</v>
      </c>
      <c r="K26" s="1379"/>
      <c r="N26" s="1374">
        <f>H26*0.0015*7850</f>
        <v>6.1230000000000011</v>
      </c>
      <c r="O26" s="593" t="s">
        <v>106</v>
      </c>
    </row>
    <row r="27" spans="1:15" ht="26.25" customHeight="1" x14ac:dyDescent="0.25">
      <c r="A27" s="1724" t="str">
        <f>+'INSUMOS '!B125</f>
        <v>LÁMINA RETRORREFLECTIVA TIPO XI, NTC 4739, Color Amarillo/ verde Fluorescente de 123 cm de ancho por 45.7 metros de largo</v>
      </c>
      <c r="B27" s="1725"/>
      <c r="C27" s="1725"/>
      <c r="D27" s="1725"/>
      <c r="E27" s="1725"/>
      <c r="F27" s="1726"/>
      <c r="G27" s="53" t="s">
        <v>12</v>
      </c>
      <c r="H27" s="54">
        <f>+H26</f>
        <v>0.52</v>
      </c>
      <c r="I27" s="33">
        <f>+IFERROR(VLOOKUP(A27,'INSUMOS '!$B$2:$AP$167,'INSUMOS '!$AO$2+1,FALSE),0)</f>
        <v>196248</v>
      </c>
      <c r="J27" s="55">
        <f t="shared" ref="J27:J38" si="3">ROUND(I27*H27,0)</f>
        <v>102049</v>
      </c>
      <c r="K27" s="1379"/>
      <c r="N27" s="1374">
        <f>H27*0.2/0.36</f>
        <v>0.28888888888888892</v>
      </c>
      <c r="O27" s="593" t="s">
        <v>90</v>
      </c>
    </row>
    <row r="28" spans="1:15" ht="13.9" customHeight="1" x14ac:dyDescent="0.25">
      <c r="A28" s="1718" t="str">
        <f>+'INSUMOS '!B105</f>
        <v>TUBO GALVANIZADO DE 2" X 2,0 mm ESPESOR DE PARED</v>
      </c>
      <c r="B28" s="1719"/>
      <c r="C28" s="1719"/>
      <c r="D28" s="1719"/>
      <c r="E28" s="1719"/>
      <c r="F28" s="1720"/>
      <c r="G28" s="1389" t="s">
        <v>3488</v>
      </c>
      <c r="H28" s="1390">
        <f>3.87+0.73+0.32</f>
        <v>4.92</v>
      </c>
      <c r="I28" s="1005">
        <f>+IFERROR(VLOOKUP(A28,'INSUMOS '!$B$2:$AP$167,'INSUMOS '!$AO$2+1,FALSE),0)</f>
        <v>16939</v>
      </c>
      <c r="J28" s="1005">
        <f t="shared" si="3"/>
        <v>83340</v>
      </c>
      <c r="K28" s="1379"/>
      <c r="N28" s="1374">
        <f>(((2*0.0254+0.004)^2*PI()/4)-(2*0.0254)^2*PI()/4)*7850*H28</f>
        <v>12.812932858909404</v>
      </c>
      <c r="O28" s="593" t="s">
        <v>7315</v>
      </c>
    </row>
    <row r="29" spans="1:15" ht="13.9" customHeight="1" x14ac:dyDescent="0.25">
      <c r="A29" s="1727" t="str">
        <f>+'INSUMOS '!B8</f>
        <v>ÁNGULO METÁLICO DE 2"X2"X1/8" L=6M</v>
      </c>
      <c r="B29" s="1728"/>
      <c r="C29" s="1728"/>
      <c r="D29" s="1728"/>
      <c r="E29" s="1728"/>
      <c r="F29" s="1729"/>
      <c r="G29" s="1391" t="s">
        <v>3488</v>
      </c>
      <c r="H29" s="1081">
        <f>15/100</f>
        <v>0.15</v>
      </c>
      <c r="I29" s="1005">
        <f>+IFERROR(VLOOKUP(A29,'INSUMOS '!$B$2:$AP$167,'INSUMOS '!$AO$2+1,FALSE),0)</f>
        <v>16804.093333333331</v>
      </c>
      <c r="J29" s="1004">
        <f t="shared" si="3"/>
        <v>2521</v>
      </c>
      <c r="K29" s="1379"/>
      <c r="N29" s="1374">
        <f>4*0.0254*(0.0254/8)*H29*7850</f>
        <v>0.37983794999999998</v>
      </c>
      <c r="O29" s="593" t="s">
        <v>156</v>
      </c>
    </row>
    <row r="30" spans="1:15" ht="13.9" customHeight="1" x14ac:dyDescent="0.25">
      <c r="A30" s="1727" t="str">
        <f>+'INSUMOS '!B102</f>
        <v>TORNILLOS 5/16 ZINCADO  (INCLUYE TUERCA DE SEGURIDAD Y ARANDELA)</v>
      </c>
      <c r="B30" s="1728"/>
      <c r="C30" s="1728"/>
      <c r="D30" s="1728"/>
      <c r="E30" s="1728"/>
      <c r="F30" s="1729"/>
      <c r="G30" s="1391" t="s">
        <v>266</v>
      </c>
      <c r="H30" s="1081">
        <v>8</v>
      </c>
      <c r="I30" s="1005">
        <f>+IFERROR(VLOOKUP(A30,'INSUMOS '!$B$2:$AP$167,'INSUMOS '!$AO$2+1,FALSE),0)</f>
        <v>1747.5</v>
      </c>
      <c r="J30" s="1004">
        <f t="shared" si="3"/>
        <v>13980</v>
      </c>
      <c r="K30" s="1379"/>
      <c r="N30" s="1374">
        <f>H30*0.3/4</f>
        <v>0.6</v>
      </c>
      <c r="O30" s="593" t="s">
        <v>42</v>
      </c>
    </row>
    <row r="31" spans="1:15" ht="13.9" customHeight="1" x14ac:dyDescent="0.25">
      <c r="A31" s="1727" t="str">
        <f>+'INSUMOS '!B88</f>
        <v>REMACHES CON ARANDELAS DE 4*10 MM</v>
      </c>
      <c r="B31" s="1728"/>
      <c r="C31" s="1728"/>
      <c r="D31" s="1728"/>
      <c r="E31" s="1728"/>
      <c r="F31" s="1729"/>
      <c r="G31" s="1391" t="s">
        <v>266</v>
      </c>
      <c r="H31" s="1081">
        <v>8</v>
      </c>
      <c r="I31" s="1005">
        <f>+IFERROR(VLOOKUP(A31,'INSUMOS '!$B$2:$AP$167,'INSUMOS '!$AO$2+1,FALSE),0)</f>
        <v>170</v>
      </c>
      <c r="J31" s="1004">
        <f t="shared" si="3"/>
        <v>1360</v>
      </c>
      <c r="K31" s="1379"/>
      <c r="N31" s="1374">
        <f>H31/4*0.1</f>
        <v>0.2</v>
      </c>
      <c r="O31" s="593" t="s">
        <v>43</v>
      </c>
    </row>
    <row r="32" spans="1:15" ht="13.9" customHeight="1" x14ac:dyDescent="0.25">
      <c r="A32" s="1730" t="str">
        <f>+'INSUMOS '!B94</f>
        <v xml:space="preserve">STEAKER 15 X 15 CM EN PAPEL REFLECTIVO TIPO IV O SUPERIOR </v>
      </c>
      <c r="B32" s="1730"/>
      <c r="C32" s="1730"/>
      <c r="D32" s="1730"/>
      <c r="E32" s="1730"/>
      <c r="F32" s="1730"/>
      <c r="G32" s="1391" t="s">
        <v>266</v>
      </c>
      <c r="H32" s="1392">
        <v>1</v>
      </c>
      <c r="I32" s="1005">
        <f>+IFERROR(VLOOKUP(A32,'INSUMOS '!$B$2:$AP$167,'INSUMOS '!$AO$2+1,FALSE),0)</f>
        <v>2500</v>
      </c>
      <c r="J32" s="1004">
        <f t="shared" si="3"/>
        <v>2500</v>
      </c>
      <c r="K32" s="1379"/>
      <c r="N32" s="1374">
        <f>H32*0.05</f>
        <v>0.05</v>
      </c>
      <c r="O32" s="593" t="s">
        <v>92</v>
      </c>
    </row>
    <row r="33" spans="1:15" x14ac:dyDescent="0.25">
      <c r="A33" s="1730" t="str">
        <f>+'INSUMOS '!B67</f>
        <v xml:space="preserve">PELÍCULA ANTIGRAFITTI </v>
      </c>
      <c r="B33" s="1730"/>
      <c r="C33" s="1730"/>
      <c r="D33" s="1730"/>
      <c r="E33" s="1730"/>
      <c r="F33" s="1730"/>
      <c r="G33" s="1391" t="s">
        <v>12</v>
      </c>
      <c r="H33" s="1081">
        <f>+H26</f>
        <v>0.52</v>
      </c>
      <c r="I33" s="1005">
        <f>+IFERROR(VLOOKUP(A33,'INSUMOS '!$B$2:$AP$167,'INSUMOS '!$AO$2+1,FALSE),0)</f>
        <v>65174.538799999995</v>
      </c>
      <c r="J33" s="1004">
        <f t="shared" si="3"/>
        <v>33891</v>
      </c>
      <c r="K33" s="1379"/>
      <c r="N33" s="1374">
        <f>H33/0.36*0.3</f>
        <v>0.4333333333333334</v>
      </c>
      <c r="O33" s="593" t="s">
        <v>89</v>
      </c>
    </row>
    <row r="34" spans="1:15" ht="13.9" customHeight="1" x14ac:dyDescent="0.25">
      <c r="A34" s="1730" t="str">
        <f>+'INSUMOS '!B73</f>
        <v>PINTURA ELECTROSTÁTICA M2</v>
      </c>
      <c r="B34" s="1730"/>
      <c r="C34" s="1730"/>
      <c r="D34" s="1730"/>
      <c r="E34" s="1730"/>
      <c r="F34" s="1730"/>
      <c r="G34" s="1391" t="s">
        <v>6</v>
      </c>
      <c r="H34" s="1392">
        <f>((0.0254*2+0.004)*PI()*H28+H26+8*H29*0.0254+5*0.0588^2*PI()/4)/3</f>
        <v>0.47036032667351674</v>
      </c>
      <c r="I34" s="1005">
        <f>+IFERROR(VLOOKUP(A34,'INSUMOS '!$B$2:$AP$167,'INSUMOS '!$AO$2+1,FALSE),0)</f>
        <v>26664.5</v>
      </c>
      <c r="J34" s="1004">
        <f t="shared" si="3"/>
        <v>12542</v>
      </c>
      <c r="K34" s="1379"/>
      <c r="N34" s="1374">
        <f>H34</f>
        <v>0.47036032667351674</v>
      </c>
      <c r="O34" s="593" t="s">
        <v>334</v>
      </c>
    </row>
    <row r="35" spans="1:15" ht="13.9" customHeight="1" x14ac:dyDescent="0.25">
      <c r="A35" s="1727" t="str">
        <f>+'INSUMOS '!B100</f>
        <v>TINTA TRASLUCIDA PARA CINTA REFLECTIVA</v>
      </c>
      <c r="B35" s="1728"/>
      <c r="C35" s="1728"/>
      <c r="D35" s="1728"/>
      <c r="E35" s="1728"/>
      <c r="F35" s="1729"/>
      <c r="G35" s="1391" t="s">
        <v>157</v>
      </c>
      <c r="H35" s="1393">
        <f>H26/3.44*0.22</f>
        <v>3.3255813953488374E-2</v>
      </c>
      <c r="I35" s="1005">
        <f>+IFERROR(VLOOKUP(A35,'INSUMOS '!$B$2:$AP$167,'INSUMOS '!$AO$2+1,FALSE),0)</f>
        <v>440873.77039999992</v>
      </c>
      <c r="J35" s="1004">
        <f t="shared" si="3"/>
        <v>14662</v>
      </c>
      <c r="K35" s="1379"/>
      <c r="N35" s="1374">
        <f>H35*0.454</f>
        <v>1.5098139534883722E-2</v>
      </c>
      <c r="O35" s="593" t="s">
        <v>45</v>
      </c>
    </row>
    <row r="36" spans="1:15" ht="13.9" customHeight="1" x14ac:dyDescent="0.25">
      <c r="A36" s="1731" t="str">
        <f>+'INSUMOS '!B28</f>
        <v>CONCRETO  HIDRAULICO 2500 PSI 17 MPA (175 KG/CM2)</v>
      </c>
      <c r="B36" s="1728"/>
      <c r="C36" s="1728"/>
      <c r="D36" s="1728"/>
      <c r="E36" s="1728"/>
      <c r="F36" s="1729"/>
      <c r="G36" s="1391" t="s">
        <v>3</v>
      </c>
      <c r="H36" s="1393">
        <f>+PI()*0.25*0.25/4*0.55</f>
        <v>2.6998061866787288E-2</v>
      </c>
      <c r="I36" s="1005">
        <f>+IFERROR(VLOOKUP(A36,'INSUMOS '!$B$2:$AP$167,'INSUMOS '!$AO$2+1,FALSE),0)</f>
        <v>486142</v>
      </c>
      <c r="J36" s="1004">
        <f t="shared" si="3"/>
        <v>13125</v>
      </c>
      <c r="K36" s="1379"/>
      <c r="N36" s="1374">
        <f>H36*2400</f>
        <v>64.795348480289491</v>
      </c>
      <c r="O36" s="593" t="s">
        <v>98</v>
      </c>
    </row>
    <row r="37" spans="1:15" ht="13.9" customHeight="1" x14ac:dyDescent="0.25">
      <c r="A37" s="1732" t="str">
        <f>+'INSUMOS '!B93</f>
        <v>SOLDADURA ELECTRICA  E 6013 O SIMILAR</v>
      </c>
      <c r="B37" s="1733"/>
      <c r="C37" s="1733"/>
      <c r="D37" s="1733"/>
      <c r="E37" s="1733"/>
      <c r="F37" s="1734"/>
      <c r="G37" s="1391" t="s">
        <v>6</v>
      </c>
      <c r="H37" s="1393">
        <f>0.005^2/2*(10*0.0588*PI())*7850</f>
        <v>0.1812620421304971</v>
      </c>
      <c r="I37" s="1005">
        <f>+IFERROR(VLOOKUP(A37,'INSUMOS '!$B$2:$AP$167,'INSUMOS '!$AO$2+1,FALSE),0)</f>
        <v>19163.666666666668</v>
      </c>
      <c r="J37" s="1004">
        <f t="shared" si="3"/>
        <v>3474</v>
      </c>
      <c r="K37" s="1379"/>
      <c r="N37" s="1374">
        <f>H37</f>
        <v>0.1812620421304971</v>
      </c>
      <c r="O37" s="593" t="s">
        <v>87</v>
      </c>
    </row>
    <row r="38" spans="1:15" ht="13.9" customHeight="1" x14ac:dyDescent="0.25">
      <c r="A38" s="1727" t="str">
        <f>+'INSUMOS '!B21</f>
        <v>BROCA PARA METAL 1/2"</v>
      </c>
      <c r="B38" s="1728"/>
      <c r="C38" s="1728"/>
      <c r="D38" s="1728"/>
      <c r="E38" s="1728"/>
      <c r="F38" s="1729"/>
      <c r="G38" s="1391" t="s">
        <v>266</v>
      </c>
      <c r="H38" s="1393">
        <v>0.02</v>
      </c>
      <c r="I38" s="1005">
        <f>+IFERROR(VLOOKUP(A38,'INSUMOS '!$B$2:$AP$167,'INSUMOS '!$AO$2+1,FALSE),0)</f>
        <v>31741.5</v>
      </c>
      <c r="J38" s="1004">
        <f t="shared" si="3"/>
        <v>635</v>
      </c>
      <c r="K38" s="1379"/>
      <c r="N38" s="1374">
        <f>H38*0.106</f>
        <v>2.1199999999999999E-3</v>
      </c>
      <c r="O38" s="593" t="s">
        <v>26</v>
      </c>
    </row>
    <row r="39" spans="1:15" ht="13.9" customHeight="1" x14ac:dyDescent="0.25">
      <c r="A39" s="1727" t="str">
        <f>'INSUMOS '!B50</f>
        <v>LÁMINA GALVANIZADA C 16 E=1,50 mm</v>
      </c>
      <c r="B39" s="1728"/>
      <c r="C39" s="1728"/>
      <c r="D39" s="1728"/>
      <c r="E39" s="1728"/>
      <c r="F39" s="1729"/>
      <c r="G39" s="1391" t="s">
        <v>12</v>
      </c>
      <c r="H39" s="1394">
        <f>0.0588^2*PI()/4*5</f>
        <v>1.357733513028437E-2</v>
      </c>
      <c r="I39" s="1005">
        <f>+IFERROR(VLOOKUP(A39,'INSUMOS '!$B$2:$AP$167,'INSUMOS '!$AO$2+1,FALSE),0)</f>
        <v>85500.55</v>
      </c>
      <c r="J39" s="1004">
        <f>ROUND(I39*H39,0)</f>
        <v>1161</v>
      </c>
      <c r="K39" s="1379"/>
      <c r="N39" s="1374">
        <f>H39*0.0015*7850</f>
        <v>0.15987312115909846</v>
      </c>
      <c r="O39" s="593" t="s">
        <v>106</v>
      </c>
    </row>
    <row r="40" spans="1:15" ht="13.9" customHeight="1" x14ac:dyDescent="0.25">
      <c r="A40" s="1721" t="s">
        <v>333</v>
      </c>
      <c r="B40" s="1722"/>
      <c r="C40" s="1722"/>
      <c r="D40" s="1722"/>
      <c r="E40" s="1722"/>
      <c r="F40" s="1723"/>
      <c r="G40" s="53"/>
      <c r="H40" s="603">
        <v>0.05</v>
      </c>
      <c r="I40" s="55">
        <f>+SUM(J26:J39)</f>
        <v>329700</v>
      </c>
      <c r="J40" s="55">
        <f>ROUND(I40*H40,0)</f>
        <v>16485</v>
      </c>
      <c r="K40" s="1379"/>
      <c r="N40" s="19"/>
      <c r="O40" s="19"/>
    </row>
    <row r="41" spans="1:15" ht="13.9" customHeight="1" x14ac:dyDescent="0.25">
      <c r="A41" s="593"/>
      <c r="B41" s="593"/>
      <c r="C41" s="593"/>
      <c r="D41" s="593"/>
      <c r="E41" s="593"/>
      <c r="G41" s="593"/>
      <c r="H41" s="593"/>
      <c r="I41" s="601" t="s">
        <v>257</v>
      </c>
      <c r="J41" s="605">
        <f>+SUM(J26:J40)</f>
        <v>346185</v>
      </c>
      <c r="K41" s="1379"/>
      <c r="N41" s="1376">
        <f>SUM(N26:N39)</f>
        <v>86.512055140919117</v>
      </c>
      <c r="O41" s="19"/>
    </row>
    <row r="42" spans="1:15" ht="13.9" customHeight="1" x14ac:dyDescent="0.25"/>
    <row r="43" spans="1:15" ht="13.9" customHeight="1" x14ac:dyDescent="0.25">
      <c r="A43" s="1673" t="s">
        <v>267</v>
      </c>
      <c r="B43" s="1673"/>
      <c r="C43" s="1673"/>
      <c r="D43" s="1673"/>
      <c r="E43" s="1673"/>
      <c r="F43" s="1673"/>
      <c r="G43" s="1673"/>
      <c r="H43" s="1673"/>
      <c r="I43" s="390"/>
    </row>
    <row r="44" spans="1:15" ht="13.9" customHeight="1" x14ac:dyDescent="0.25">
      <c r="A44" s="1674" t="s">
        <v>268</v>
      </c>
      <c r="B44" s="1675"/>
      <c r="C44" s="1675"/>
      <c r="D44" s="1675"/>
      <c r="E44" s="1675"/>
      <c r="F44" s="1676"/>
      <c r="G44" s="607" t="s">
        <v>255</v>
      </c>
      <c r="H44" s="600" t="s">
        <v>269</v>
      </c>
      <c r="I44" s="600" t="s">
        <v>256</v>
      </c>
      <c r="J44" s="600" t="s">
        <v>257</v>
      </c>
    </row>
    <row r="45" spans="1:15" ht="13.9" customHeight="1" x14ac:dyDescent="0.25">
      <c r="A45" s="1571" t="str">
        <f>+'EQUIPOS '!B6</f>
        <v>CAMION INCLUYE CONDUCTOR</v>
      </c>
      <c r="B45" s="1572"/>
      <c r="C45" s="1572"/>
      <c r="D45" s="1572"/>
      <c r="E45" s="1572"/>
      <c r="F45" s="1573"/>
      <c r="G45" s="1377">
        <f>(N41/1000)/12</f>
        <v>7.2093379284099259E-3</v>
      </c>
      <c r="H45" s="55">
        <f>+IFERROR(VLOOKUP(A45,'EQUIPOS '!$B$3:$M$61,12,FALSE),0)</f>
        <v>611492.5</v>
      </c>
      <c r="I45" s="55">
        <f>IFERROR(H45*G45,0)</f>
        <v>4408.4560731882066</v>
      </c>
      <c r="J45" s="55">
        <f>ROUND(I45,0)</f>
        <v>4408</v>
      </c>
    </row>
    <row r="46" spans="1:15" ht="13.9" customHeight="1" x14ac:dyDescent="0.25">
      <c r="A46" s="1571"/>
      <c r="B46" s="1572"/>
      <c r="C46" s="1572"/>
      <c r="D46" s="1572"/>
      <c r="E46" s="1572"/>
      <c r="F46" s="1573"/>
      <c r="G46" s="53"/>
      <c r="H46" s="55"/>
      <c r="I46" s="55"/>
      <c r="J46" s="55"/>
      <c r="K46" s="760"/>
    </row>
    <row r="47" spans="1:15" ht="13.9" customHeight="1" x14ac:dyDescent="0.25">
      <c r="A47" s="1571"/>
      <c r="B47" s="1572"/>
      <c r="C47" s="1572"/>
      <c r="D47" s="1572"/>
      <c r="E47" s="1572"/>
      <c r="F47" s="1573"/>
      <c r="G47" s="53"/>
      <c r="H47" s="55"/>
      <c r="I47" s="55"/>
      <c r="J47" s="55"/>
      <c r="K47" s="760"/>
    </row>
    <row r="48" spans="1:15" ht="13.9" customHeight="1" x14ac:dyDescent="0.25">
      <c r="G48" s="608"/>
      <c r="H48" s="608"/>
      <c r="I48" s="601" t="s">
        <v>257</v>
      </c>
      <c r="J48" s="55">
        <f>+SUM(J45:J47)</f>
        <v>4408</v>
      </c>
      <c r="K48" s="760"/>
    </row>
    <row r="49" spans="1:10" ht="13.9" customHeight="1" x14ac:dyDescent="0.25"/>
    <row r="50" spans="1:10" ht="13.9" customHeight="1" x14ac:dyDescent="0.25">
      <c r="A50" s="1673" t="s">
        <v>270</v>
      </c>
      <c r="B50" s="1673"/>
      <c r="C50" s="1673"/>
      <c r="D50" s="1673"/>
      <c r="E50" s="1673"/>
      <c r="F50" s="1673"/>
      <c r="G50" s="1673"/>
      <c r="H50" s="1673"/>
      <c r="I50" s="390"/>
    </row>
    <row r="51" spans="1:10" s="608" customFormat="1" ht="13.9" customHeight="1" x14ac:dyDescent="0.25">
      <c r="A51" s="1674" t="s">
        <v>271</v>
      </c>
      <c r="B51" s="1675"/>
      <c r="C51" s="1675"/>
      <c r="D51" s="1676"/>
      <c r="E51" s="600" t="s">
        <v>272</v>
      </c>
      <c r="F51" s="600" t="s">
        <v>264</v>
      </c>
      <c r="G51" s="600" t="s">
        <v>273</v>
      </c>
      <c r="H51" s="600" t="s">
        <v>255</v>
      </c>
      <c r="I51" s="600" t="s">
        <v>256</v>
      </c>
      <c r="J51" s="600" t="s">
        <v>257</v>
      </c>
    </row>
    <row r="52" spans="1:10" s="608" customFormat="1" ht="13.9" customHeight="1" x14ac:dyDescent="0.25">
      <c r="A52" s="1571" t="str">
        <f>+PERSONAL!B40</f>
        <v xml:space="preserve">SOLDADOR </v>
      </c>
      <c r="B52" s="1572"/>
      <c r="C52" s="1572"/>
      <c r="D52" s="1573"/>
      <c r="E52" s="609">
        <f>+IFERROR(VLOOKUP(A52,PERSONAL!$B$3:$E$56,4,FALSE),0)</f>
        <v>110344</v>
      </c>
      <c r="F52" s="601">
        <v>1</v>
      </c>
      <c r="G52" s="609">
        <f t="shared" ref="G52:G57" si="4">+E52*F52</f>
        <v>110344</v>
      </c>
      <c r="H52" s="54">
        <f>N22</f>
        <v>60</v>
      </c>
      <c r="I52" s="55">
        <f t="shared" ref="I52:I57" si="5">IFERROR(ROUND(G52/H52,0),0)</f>
        <v>1839</v>
      </c>
      <c r="J52" s="55">
        <f t="shared" ref="J52:J57" si="6">+I52</f>
        <v>1839</v>
      </c>
    </row>
    <row r="53" spans="1:10" s="608" customFormat="1" ht="13.9" customHeight="1" x14ac:dyDescent="0.25">
      <c r="A53" s="1571" t="str">
        <f>+PERSONAL!B27</f>
        <v xml:space="preserve">PINTOR </v>
      </c>
      <c r="B53" s="1572"/>
      <c r="C53" s="1572"/>
      <c r="D53" s="1573"/>
      <c r="E53" s="609">
        <f>+IFERROR(VLOOKUP(A53,PERSONAL!$B$3:$E$56,4,FALSE),0)</f>
        <v>100054</v>
      </c>
      <c r="F53" s="601">
        <v>1</v>
      </c>
      <c r="G53" s="609">
        <f t="shared" si="4"/>
        <v>100054</v>
      </c>
      <c r="H53" s="54">
        <f>H52</f>
        <v>60</v>
      </c>
      <c r="I53" s="55">
        <f t="shared" si="5"/>
        <v>1668</v>
      </c>
      <c r="J53" s="55">
        <f t="shared" si="6"/>
        <v>1668</v>
      </c>
    </row>
    <row r="54" spans="1:10" s="608" customFormat="1" ht="13.9" customHeight="1" x14ac:dyDescent="0.25">
      <c r="A54" s="1571" t="str">
        <f>+PERSONAL!B7</f>
        <v>COLAMINADOR</v>
      </c>
      <c r="B54" s="1572"/>
      <c r="C54" s="1572"/>
      <c r="D54" s="1573"/>
      <c r="E54" s="609">
        <f>+IFERROR(VLOOKUP(A54,PERSONAL!$B$3:$E$56,4,FALSE),0)</f>
        <v>91275</v>
      </c>
      <c r="F54" s="601">
        <v>1</v>
      </c>
      <c r="G54" s="609">
        <f t="shared" si="4"/>
        <v>91275</v>
      </c>
      <c r="H54" s="54">
        <f>H53</f>
        <v>60</v>
      </c>
      <c r="I54" s="55">
        <f t="shared" si="5"/>
        <v>1521</v>
      </c>
      <c r="J54" s="55">
        <f t="shared" si="6"/>
        <v>1521</v>
      </c>
    </row>
    <row r="55" spans="1:10" s="608" customFormat="1" ht="13.9" customHeight="1" x14ac:dyDescent="0.25">
      <c r="A55" s="1571" t="str">
        <f>+PERSONAL!B18</f>
        <v>JEFE DE CUADRILLA DIURNO</v>
      </c>
      <c r="B55" s="1572"/>
      <c r="C55" s="1572"/>
      <c r="D55" s="1573"/>
      <c r="E55" s="1412">
        <f>+IFERROR(VLOOKUP(A55,PERSONAL!$B$3:$E$56,4,FALSE),0)</f>
        <v>166031</v>
      </c>
      <c r="F55" s="601">
        <v>1</v>
      </c>
      <c r="G55" s="1412">
        <f t="shared" si="4"/>
        <v>166031</v>
      </c>
      <c r="H55" s="54">
        <v>48</v>
      </c>
      <c r="I55" s="1398">
        <f t="shared" si="5"/>
        <v>3459</v>
      </c>
      <c r="J55" s="1398">
        <f t="shared" si="6"/>
        <v>3459</v>
      </c>
    </row>
    <row r="56" spans="1:10" s="608" customFormat="1" ht="13.9" customHeight="1" x14ac:dyDescent="0.25">
      <c r="A56" s="1571" t="str">
        <f>+PERSONAL!B3</f>
        <v>AUXILIAR DE TRÁFICO</v>
      </c>
      <c r="B56" s="1572"/>
      <c r="C56" s="1572"/>
      <c r="D56" s="1573"/>
      <c r="E56" s="1412">
        <f>+IFERROR(VLOOKUP(A56,PERSONAL!$B$3:$E$56,4,FALSE),0)</f>
        <v>89632</v>
      </c>
      <c r="F56" s="601">
        <v>1</v>
      </c>
      <c r="G56" s="1412">
        <f t="shared" si="4"/>
        <v>89632</v>
      </c>
      <c r="H56" s="54">
        <v>48</v>
      </c>
      <c r="I56" s="1398">
        <f t="shared" si="5"/>
        <v>1867</v>
      </c>
      <c r="J56" s="1398">
        <f t="shared" si="6"/>
        <v>1867</v>
      </c>
    </row>
    <row r="57" spans="1:10" s="608" customFormat="1" ht="13.9" customHeight="1" x14ac:dyDescent="0.25">
      <c r="A57" s="1571" t="str">
        <f>+PERSONAL!B5</f>
        <v xml:space="preserve">AYUDANTE </v>
      </c>
      <c r="B57" s="1572"/>
      <c r="C57" s="1572"/>
      <c r="D57" s="1573"/>
      <c r="E57" s="1412">
        <f>+IFERROR(VLOOKUP(A57,PERSONAL!$B$3:$E$56,4,FALSE),0)</f>
        <v>72476</v>
      </c>
      <c r="F57" s="601">
        <v>4</v>
      </c>
      <c r="G57" s="1412">
        <f t="shared" si="4"/>
        <v>289904</v>
      </c>
      <c r="H57" s="54">
        <v>48</v>
      </c>
      <c r="I57" s="1398">
        <f t="shared" si="5"/>
        <v>6040</v>
      </c>
      <c r="J57" s="1398">
        <f t="shared" si="6"/>
        <v>6040</v>
      </c>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s="608" customFormat="1" ht="13.9" customHeight="1" x14ac:dyDescent="0.25">
      <c r="A61" s="1571"/>
      <c r="B61" s="1572"/>
      <c r="C61" s="1572"/>
      <c r="D61" s="1573"/>
      <c r="E61" s="609"/>
      <c r="F61" s="601"/>
      <c r="G61" s="609"/>
      <c r="H61" s="54"/>
      <c r="I61" s="55"/>
      <c r="J61" s="55"/>
    </row>
    <row r="62" spans="1:10" ht="13.9" customHeight="1" x14ac:dyDescent="0.25">
      <c r="A62" s="593"/>
      <c r="B62" s="593"/>
      <c r="C62" s="593"/>
      <c r="E62" s="593"/>
      <c r="F62" s="593"/>
      <c r="G62" s="593"/>
      <c r="H62" s="593"/>
      <c r="I62" s="601" t="s">
        <v>257</v>
      </c>
      <c r="J62" s="605">
        <f>+SUM(J52:J61)</f>
        <v>16394</v>
      </c>
    </row>
    <row r="63" spans="1:10" ht="13.9" customHeight="1" x14ac:dyDescent="0.25"/>
    <row r="64" spans="1:10" ht="13.9" customHeight="1" x14ac:dyDescent="0.25">
      <c r="E64" s="610" t="s">
        <v>276</v>
      </c>
      <c r="I64" s="611">
        <f>+J62+J48+J41+J22</f>
        <v>377566</v>
      </c>
      <c r="J64" s="612"/>
    </row>
    <row r="65" ht="13.9" customHeight="1" x14ac:dyDescent="0.25"/>
    <row r="66" ht="14.1" customHeight="1" x14ac:dyDescent="0.25"/>
  </sheetData>
  <mergeCells count="53">
    <mergeCell ref="A57:D57"/>
    <mergeCell ref="A58:D58"/>
    <mergeCell ref="A59:D59"/>
    <mergeCell ref="A60:D60"/>
    <mergeCell ref="A61:D61"/>
    <mergeCell ref="A56:D56"/>
    <mergeCell ref="A43:H43"/>
    <mergeCell ref="A44:F44"/>
    <mergeCell ref="A45:F45"/>
    <mergeCell ref="A46:F46"/>
    <mergeCell ref="A47:F47"/>
    <mergeCell ref="A50:H50"/>
    <mergeCell ref="A51:D51"/>
    <mergeCell ref="A52:D52"/>
    <mergeCell ref="A53:D53"/>
    <mergeCell ref="A54:D54"/>
    <mergeCell ref="A55:D55"/>
    <mergeCell ref="A40:F40"/>
    <mergeCell ref="A29:F29"/>
    <mergeCell ref="A30:F30"/>
    <mergeCell ref="A31:F31"/>
    <mergeCell ref="A32:F32"/>
    <mergeCell ref="A33:F33"/>
    <mergeCell ref="A34:F34"/>
    <mergeCell ref="A35:F35"/>
    <mergeCell ref="A36:F36"/>
    <mergeCell ref="A37:F37"/>
    <mergeCell ref="A38:F38"/>
    <mergeCell ref="A39:F39"/>
    <mergeCell ref="A28:F28"/>
    <mergeCell ref="A15:D15"/>
    <mergeCell ref="A16:D16"/>
    <mergeCell ref="A17:D17"/>
    <mergeCell ref="A18:D18"/>
    <mergeCell ref="A19:D19"/>
    <mergeCell ref="A20:D20"/>
    <mergeCell ref="A21:D21"/>
    <mergeCell ref="A24:H24"/>
    <mergeCell ref="A25:F25"/>
    <mergeCell ref="A26:F26"/>
    <mergeCell ref="A27:F27"/>
    <mergeCell ref="A14:D14"/>
    <mergeCell ref="A1:J1"/>
    <mergeCell ref="A2:J2"/>
    <mergeCell ref="A4:J4"/>
    <mergeCell ref="A6:B6"/>
    <mergeCell ref="A7:B7"/>
    <mergeCell ref="C7:J7"/>
    <mergeCell ref="A9:H9"/>
    <mergeCell ref="A10:D10"/>
    <mergeCell ref="A11:D11"/>
    <mergeCell ref="A12:D12"/>
    <mergeCell ref="A13:D13"/>
  </mergeCells>
  <pageMargins left="0.70866141732283472" right="0.70866141732283472" top="0.78740157480314965" bottom="0.78740157480314965" header="0.31496062992125984" footer="0.31496062992125984"/>
  <pageSetup scale="85" orientation="portrait" r:id="rId1"/>
  <drawing r:id="rId2"/>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sheetPr>
    <tabColor rgb="FF00B050"/>
  </sheetPr>
  <dimension ref="A1:O66"/>
  <sheetViews>
    <sheetView topLeftCell="A46" zoomScale="115" zoomScaleNormal="115" workbookViewId="0">
      <selection activeCell="G46" sqref="G4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1" width="13.7109375" style="592" bestFit="1" customWidth="1"/>
    <col min="12" max="12" width="11.42578125" style="592"/>
    <col min="13" max="13" width="15.7109375" style="592" hidden="1" customWidth="1"/>
    <col min="14" max="14" width="11" style="592" hidden="1" customWidth="1"/>
    <col min="15" max="15" width="0" style="592" hidden="1" customWidth="1"/>
    <col min="16" max="16384" width="11.42578125" style="592"/>
  </cols>
  <sheetData>
    <row r="1" spans="1:13" ht="29.25" customHeight="1" x14ac:dyDescent="0.25">
      <c r="A1" s="1680"/>
      <c r="B1" s="1681"/>
      <c r="C1" s="1681"/>
      <c r="D1" s="1681"/>
      <c r="E1" s="1681"/>
      <c r="F1" s="1681"/>
      <c r="G1" s="1681"/>
      <c r="H1" s="1681"/>
      <c r="I1" s="1681"/>
      <c r="J1" s="1681"/>
    </row>
    <row r="2" spans="1:13" ht="15" customHeight="1" x14ac:dyDescent="0.25">
      <c r="A2" s="1682" t="s">
        <v>245</v>
      </c>
      <c r="B2" s="1682"/>
      <c r="C2" s="1682"/>
      <c r="D2" s="1682"/>
      <c r="E2" s="1682"/>
      <c r="F2" s="1682"/>
      <c r="G2" s="1682"/>
      <c r="H2" s="1682"/>
      <c r="I2" s="1682"/>
      <c r="J2" s="1682"/>
    </row>
    <row r="4" spans="1:13" s="593" customFormat="1" ht="9.9499999999999993" customHeight="1" x14ac:dyDescent="0.25">
      <c r="A4" s="1683" t="s">
        <v>246</v>
      </c>
      <c r="B4" s="1683"/>
      <c r="C4" s="1683"/>
      <c r="D4" s="1683"/>
      <c r="E4" s="1683"/>
      <c r="F4" s="1683"/>
      <c r="G4" s="1683"/>
      <c r="H4" s="1683"/>
      <c r="I4" s="1683"/>
      <c r="J4" s="1683"/>
    </row>
    <row r="5" spans="1:13" s="593" customFormat="1" ht="9.9499999999999993" customHeight="1" x14ac:dyDescent="0.25">
      <c r="B5" s="594"/>
      <c r="C5" s="594"/>
      <c r="D5" s="594"/>
      <c r="E5" s="594"/>
      <c r="F5" s="594"/>
      <c r="G5" s="594"/>
    </row>
    <row r="6" spans="1:13" x14ac:dyDescent="0.25">
      <c r="A6" s="1571" t="s">
        <v>247</v>
      </c>
      <c r="B6" s="1573"/>
      <c r="C6" s="595">
        <v>17</v>
      </c>
      <c r="D6" s="596"/>
      <c r="E6" s="596"/>
      <c r="F6" s="596"/>
      <c r="G6" s="596"/>
      <c r="H6" s="597"/>
      <c r="I6" s="598" t="s">
        <v>248</v>
      </c>
      <c r="J6" s="599" t="str">
        <f>+VLOOKUP(C6,'ANEXO PLIEGO_1'!$A$7:$C$133,3,FALSE)</f>
        <v>UN</v>
      </c>
    </row>
    <row r="7" spans="1:13" ht="35.1" customHeight="1" x14ac:dyDescent="0.25">
      <c r="A7" s="1637" t="s">
        <v>249</v>
      </c>
      <c r="B7" s="1639"/>
      <c r="C7" s="1684" t="str">
        <f>+VLOOKUP(C6,'ANEXO PLIEGO_1'!$A$7:$B$103,2,FALSE)</f>
        <v>Fabricación, suministro e instalación de Señal SP-46 ó SP-46A, material reflectivo Tipo XI amarillo / verde fluorescente, película antigraffiti, en lámina  galvanizada C-16 E=1,5 mm, pedestal en tubo galvanizado de sección circular con diámetro interior de 2" y e=2 mm cumpliendo con normatividad vigente.</v>
      </c>
      <c r="D7" s="1685"/>
      <c r="E7" s="1685"/>
      <c r="F7" s="1685"/>
      <c r="G7" s="1685"/>
      <c r="H7" s="1685"/>
      <c r="I7" s="1685"/>
      <c r="J7" s="1686"/>
    </row>
    <row r="9" spans="1:13" s="390" customFormat="1" ht="12.75" x14ac:dyDescent="0.25">
      <c r="A9" s="1673" t="s">
        <v>250</v>
      </c>
      <c r="B9" s="1673"/>
      <c r="C9" s="1673"/>
      <c r="D9" s="1673"/>
      <c r="E9" s="1673"/>
      <c r="F9" s="1673"/>
      <c r="G9" s="1673"/>
      <c r="H9" s="1673"/>
    </row>
    <row r="10" spans="1:13" s="593" customFormat="1" ht="13.9" customHeight="1" x14ac:dyDescent="0.25">
      <c r="A10" s="1674" t="s">
        <v>251</v>
      </c>
      <c r="B10" s="1675"/>
      <c r="C10" s="1675"/>
      <c r="D10" s="1676"/>
      <c r="E10" s="600" t="s">
        <v>252</v>
      </c>
      <c r="F10" s="600" t="s">
        <v>253</v>
      </c>
      <c r="G10" s="600" t="s">
        <v>254</v>
      </c>
      <c r="H10" s="600" t="s">
        <v>255</v>
      </c>
      <c r="I10" s="600" t="s">
        <v>256</v>
      </c>
      <c r="J10" s="600" t="s">
        <v>257</v>
      </c>
      <c r="M10" s="593" t="s">
        <v>7371</v>
      </c>
    </row>
    <row r="11" spans="1:13" s="593" customFormat="1" ht="13.9" customHeight="1" x14ac:dyDescent="0.25">
      <c r="A11" s="1571" t="str">
        <f>+'EQUIPOS '!B45</f>
        <v>TRONZADORA</v>
      </c>
      <c r="B11" s="1572"/>
      <c r="C11" s="1572"/>
      <c r="D11" s="1573"/>
      <c r="E11" s="53" t="s">
        <v>259</v>
      </c>
      <c r="F11" s="601">
        <f>IFERROR(VLOOKUP(A11,'[10]EQUIPOS TRANSPOR SALARIO'!$A$3:$G$42,2,FALSE),0)</f>
        <v>0</v>
      </c>
      <c r="G11" s="602">
        <f>+IFERROR(VLOOKUP(A11,'EQUIPOS '!$B$3:$M$56,12,FALSE),0)</f>
        <v>3779.5</v>
      </c>
      <c r="H11" s="601">
        <v>10</v>
      </c>
      <c r="I11" s="55">
        <f t="shared" ref="I11:I19" si="0">IFERROR((G11/H11),0)</f>
        <v>377.95</v>
      </c>
      <c r="J11" s="55">
        <f t="shared" ref="J11:J20" si="1">ROUND(I11,0)</f>
        <v>378</v>
      </c>
      <c r="M11" s="593">
        <v>1.5</v>
      </c>
    </row>
    <row r="12" spans="1:13" s="593" customFormat="1" ht="13.9" customHeight="1" x14ac:dyDescent="0.25">
      <c r="A12" s="1571" t="str">
        <f>+'EQUIPOS '!B7</f>
        <v xml:space="preserve">CIZALLA DE CORTE VERTICAL </v>
      </c>
      <c r="B12" s="1572"/>
      <c r="C12" s="1572"/>
      <c r="D12" s="1573"/>
      <c r="E12" s="53" t="s">
        <v>259</v>
      </c>
      <c r="F12" s="601">
        <f>IFERROR(VLOOKUP(A12,'[10]EQUIPOS TRANSPOR SALARIO'!$A$3:$G$42,2,FALSE),0)</f>
        <v>0</v>
      </c>
      <c r="G12" s="602">
        <f>+IFERROR(VLOOKUP(A12,'EQUIPOS '!$B$3:$M$56,12,FALSE),0)</f>
        <v>5174.01</v>
      </c>
      <c r="H12" s="601">
        <f>+$H$11</f>
        <v>10</v>
      </c>
      <c r="I12" s="55">
        <f t="shared" si="0"/>
        <v>517.40100000000007</v>
      </c>
      <c r="J12" s="55">
        <f t="shared" si="1"/>
        <v>517</v>
      </c>
      <c r="M12" s="593">
        <v>1</v>
      </c>
    </row>
    <row r="13" spans="1:13" s="593" customFormat="1" ht="13.9" customHeight="1" x14ac:dyDescent="0.25">
      <c r="A13" s="1571" t="str">
        <f>+'EQUIPOS '!B24</f>
        <v>EQUIPO PINTURA ELECTROSTÁTICA</v>
      </c>
      <c r="B13" s="1572"/>
      <c r="C13" s="1572"/>
      <c r="D13" s="1573"/>
      <c r="E13" s="53" t="s">
        <v>259</v>
      </c>
      <c r="F13" s="601" t="str">
        <f>IFERROR(VLOOKUP(A13,'[10]EQUIPOS TRANSPOR SALARIO'!$A$3:$G$42,2,FALSE),0)</f>
        <v>Electrostática</v>
      </c>
      <c r="G13" s="602">
        <f>+IFERROR(VLOOKUP(A13,'EQUIPOS '!$B$3:$M$56,12,FALSE),0)</f>
        <v>4047.59</v>
      </c>
      <c r="H13" s="601">
        <f t="shared" ref="H13:H19" si="2">+$H$11</f>
        <v>10</v>
      </c>
      <c r="I13" s="55">
        <f t="shared" si="0"/>
        <v>404.75900000000001</v>
      </c>
      <c r="J13" s="55">
        <f t="shared" si="1"/>
        <v>405</v>
      </c>
      <c r="M13" s="593">
        <v>3</v>
      </c>
    </row>
    <row r="14" spans="1:13" s="593" customFormat="1" ht="13.9" customHeight="1" x14ac:dyDescent="0.25">
      <c r="A14" s="1571" t="str">
        <f>+'EQUIPOS '!B43</f>
        <v>TALADRO DE ARBOL</v>
      </c>
      <c r="B14" s="1572"/>
      <c r="C14" s="1572"/>
      <c r="D14" s="1573"/>
      <c r="E14" s="53" t="s">
        <v>259</v>
      </c>
      <c r="F14" s="601">
        <f>IFERROR(VLOOKUP(A14,'[10]EQUIPOS TRANSPOR SALARIO'!$A$3:$G$42,2,FALSE),0)</f>
        <v>0</v>
      </c>
      <c r="G14" s="602">
        <f>+IFERROR(VLOOKUP(A14,'EQUIPOS '!$B$3:$M$56,12,FALSE),0)</f>
        <v>4898</v>
      </c>
      <c r="H14" s="601">
        <f t="shared" si="2"/>
        <v>10</v>
      </c>
      <c r="I14" s="55">
        <f t="shared" si="0"/>
        <v>489.8</v>
      </c>
      <c r="J14" s="55">
        <f t="shared" si="1"/>
        <v>490</v>
      </c>
      <c r="M14" s="593">
        <v>1.5</v>
      </c>
    </row>
    <row r="15" spans="1:13" s="593" customFormat="1" ht="13.9" customHeight="1" x14ac:dyDescent="0.25">
      <c r="A15" s="1571" t="str">
        <f>+'EQUIPOS '!B27</f>
        <v xml:space="preserve">EQUIPO SOLDADURA ELECTRICA </v>
      </c>
      <c r="B15" s="1572"/>
      <c r="C15" s="1572"/>
      <c r="D15" s="1573"/>
      <c r="E15" s="53" t="s">
        <v>259</v>
      </c>
      <c r="F15" s="601">
        <f>IFERROR(VLOOKUP(A15,'[10]EQUIPOS TRANSPOR SALARIO'!$A$3:$G$42,2,FALSE),0)</f>
        <v>0</v>
      </c>
      <c r="G15" s="602">
        <f>+IFERROR(VLOOKUP(A15,'EQUIPOS '!$B$3:$M$56,12,FALSE),0)</f>
        <v>4862.5</v>
      </c>
      <c r="H15" s="601">
        <f t="shared" si="2"/>
        <v>10</v>
      </c>
      <c r="I15" s="55">
        <f t="shared" si="0"/>
        <v>486.25</v>
      </c>
      <c r="J15" s="55">
        <f t="shared" si="1"/>
        <v>486</v>
      </c>
      <c r="M15" s="593">
        <v>3</v>
      </c>
    </row>
    <row r="16" spans="1:13" s="593" customFormat="1" ht="13.9" customHeight="1" x14ac:dyDescent="0.25">
      <c r="A16" s="1571" t="str">
        <f>+'EQUIPOS '!B25</f>
        <v>EQUIPO  COLAMINADO</v>
      </c>
      <c r="B16" s="1572"/>
      <c r="C16" s="1572"/>
      <c r="D16" s="1573"/>
      <c r="E16" s="53" t="s">
        <v>259</v>
      </c>
      <c r="F16" s="601">
        <f>IFERROR(VLOOKUP(A16,'[10]EQUIPOS TRANSPOR SALARIO'!$A$3:$G$42,2,FALSE),0)</f>
        <v>0</v>
      </c>
      <c r="G16" s="602">
        <f>+IFERROR(VLOOKUP(A16,'EQUIPOS '!$B$3:$M$56,12,FALSE),0)</f>
        <v>4701.8100000000004</v>
      </c>
      <c r="H16" s="601">
        <f t="shared" si="2"/>
        <v>10</v>
      </c>
      <c r="I16" s="55">
        <f t="shared" si="0"/>
        <v>470.18100000000004</v>
      </c>
      <c r="J16" s="55">
        <f t="shared" si="1"/>
        <v>470</v>
      </c>
      <c r="M16" s="593">
        <v>2.5</v>
      </c>
    </row>
    <row r="17" spans="1:15" s="593" customFormat="1" ht="13.9" customHeight="1" x14ac:dyDescent="0.25">
      <c r="A17" s="1571" t="str">
        <f>+'EQUIPOS '!B9</f>
        <v>COMPRESOR</v>
      </c>
      <c r="B17" s="1572"/>
      <c r="C17" s="1572"/>
      <c r="D17" s="1573"/>
      <c r="E17" s="53" t="s">
        <v>259</v>
      </c>
      <c r="F17" s="601" t="str">
        <f>IFERROR(VLOOKUP(A17,'[10]EQUIPOS TRANSPOR SALARIO'!$A$3:$G$42,2,FALSE),0)</f>
        <v>Eléctrico</v>
      </c>
      <c r="G17" s="602">
        <f>+IFERROR(VLOOKUP(A17,'EQUIPOS '!$B$3:$M$56,12,FALSE),0)</f>
        <v>7999.94</v>
      </c>
      <c r="H17" s="601">
        <f t="shared" si="2"/>
        <v>10</v>
      </c>
      <c r="I17" s="55">
        <f t="shared" si="0"/>
        <v>799.99399999999991</v>
      </c>
      <c r="J17" s="55">
        <f t="shared" si="1"/>
        <v>800</v>
      </c>
      <c r="M17" s="593">
        <v>5</v>
      </c>
    </row>
    <row r="18" spans="1:15" s="593" customFormat="1" ht="13.9" customHeight="1" x14ac:dyDescent="0.25">
      <c r="A18" s="1571" t="str">
        <f>+'EQUIPOS '!B51</f>
        <v xml:space="preserve">IMPRESORA DIGITAL PARA SEÑALES DE TRÁNSITO </v>
      </c>
      <c r="B18" s="1572"/>
      <c r="C18" s="1572"/>
      <c r="D18" s="1573"/>
      <c r="E18" s="53" t="s">
        <v>259</v>
      </c>
      <c r="F18" s="601">
        <f>IFERROR(VLOOKUP(A18,'[10]EQUIPOS TRANSPOR SALARIO'!$A$3:$G$42,2,FALSE),0)</f>
        <v>0</v>
      </c>
      <c r="G18" s="602">
        <f>+IFERROR(VLOOKUP(A18,'EQUIPOS '!$B$3:$M$56,12,FALSE),0)</f>
        <v>64227.08</v>
      </c>
      <c r="H18" s="601">
        <f t="shared" si="2"/>
        <v>10</v>
      </c>
      <c r="I18" s="55">
        <f t="shared" si="0"/>
        <v>6422.7080000000005</v>
      </c>
      <c r="J18" s="55">
        <f t="shared" si="1"/>
        <v>6423</v>
      </c>
      <c r="M18" s="593">
        <v>2</v>
      </c>
    </row>
    <row r="19" spans="1:15" s="593" customFormat="1" ht="13.9" customHeight="1" x14ac:dyDescent="0.25">
      <c r="A19" s="1571" t="str">
        <f>+'EQUIPOS '!B39</f>
        <v xml:space="preserve">PULIDORA </v>
      </c>
      <c r="B19" s="1572"/>
      <c r="C19" s="1572"/>
      <c r="D19" s="1573"/>
      <c r="E19" s="53" t="s">
        <v>259</v>
      </c>
      <c r="F19" s="601">
        <f>IFERROR(VLOOKUP(A19,'[10]EQUIPOS TRANSPOR SALARIO'!$A$3:$G$42,2,FALSE),0)</f>
        <v>0</v>
      </c>
      <c r="G19" s="602">
        <f>+IFERROR(VLOOKUP(A19,'EQUIPOS '!$B$3:$M$56,12,FALSE),0)</f>
        <v>2821</v>
      </c>
      <c r="H19" s="601">
        <f t="shared" si="2"/>
        <v>10</v>
      </c>
      <c r="I19" s="55">
        <f t="shared" si="0"/>
        <v>282.10000000000002</v>
      </c>
      <c r="J19" s="55">
        <f t="shared" si="1"/>
        <v>282</v>
      </c>
      <c r="M19" s="593">
        <v>1.5</v>
      </c>
    </row>
    <row r="20" spans="1:15" s="593" customFormat="1" ht="13.9" customHeight="1" x14ac:dyDescent="0.25">
      <c r="A20" s="1571" t="s">
        <v>151</v>
      </c>
      <c r="B20" s="1572"/>
      <c r="C20" s="1572"/>
      <c r="D20" s="1573"/>
      <c r="E20" s="53" t="s">
        <v>259</v>
      </c>
      <c r="F20" s="601" t="str">
        <f>IFERROR(VLOOKUP(A20,'[10]EQUIPOS TRANSPOR SALARIO'!$A$3:$G$42,2,FALSE),0)</f>
        <v>Global</v>
      </c>
      <c r="G20" s="603">
        <v>0.01</v>
      </c>
      <c r="H20" s="601"/>
      <c r="I20" s="55">
        <f>+G20*J62</f>
        <v>163.94</v>
      </c>
      <c r="J20" s="55">
        <f t="shared" si="1"/>
        <v>164</v>
      </c>
      <c r="M20" s="593">
        <v>3</v>
      </c>
    </row>
    <row r="21" spans="1:15" s="593" customFormat="1" ht="13.9" customHeight="1" x14ac:dyDescent="0.25">
      <c r="A21" s="1571"/>
      <c r="B21" s="1572"/>
      <c r="C21" s="1572"/>
      <c r="D21" s="1573"/>
      <c r="E21" s="53"/>
      <c r="F21" s="601"/>
      <c r="G21" s="602"/>
      <c r="H21" s="601"/>
      <c r="I21" s="55"/>
      <c r="J21" s="55"/>
      <c r="M21" s="1381">
        <f>SUM(M11:M20)</f>
        <v>24</v>
      </c>
      <c r="N21" s="593" t="s">
        <v>7370</v>
      </c>
    </row>
    <row r="22" spans="1:15" s="593" customFormat="1" ht="13.9" customHeight="1" x14ac:dyDescent="0.25">
      <c r="I22" s="601" t="s">
        <v>257</v>
      </c>
      <c r="J22" s="605">
        <f>+SUM(J11:J21)</f>
        <v>10415</v>
      </c>
      <c r="K22" s="1379"/>
      <c r="M22" s="593">
        <f>M21/SUM(F52:F54)</f>
        <v>8</v>
      </c>
      <c r="N22" s="593">
        <f>480/M22</f>
        <v>60</v>
      </c>
    </row>
    <row r="23" spans="1:15" s="593" customFormat="1" ht="13.9" customHeight="1" x14ac:dyDescent="0.25"/>
    <row r="24" spans="1:15" s="593" customFormat="1" ht="13.9" customHeight="1" x14ac:dyDescent="0.25">
      <c r="A24" s="1673" t="s">
        <v>263</v>
      </c>
      <c r="B24" s="1673"/>
      <c r="C24" s="1673"/>
      <c r="D24" s="1673"/>
      <c r="E24" s="1673"/>
      <c r="F24" s="1673"/>
      <c r="G24" s="1673"/>
      <c r="H24" s="1673"/>
      <c r="I24" s="390"/>
    </row>
    <row r="25" spans="1:15" ht="13.9" customHeight="1" x14ac:dyDescent="0.25">
      <c r="A25" s="1677" t="s">
        <v>251</v>
      </c>
      <c r="B25" s="1678"/>
      <c r="C25" s="1678"/>
      <c r="D25" s="1678"/>
      <c r="E25" s="1678"/>
      <c r="F25" s="1679"/>
      <c r="G25" s="600" t="s">
        <v>252</v>
      </c>
      <c r="H25" s="600" t="s">
        <v>264</v>
      </c>
      <c r="I25" s="600" t="s">
        <v>256</v>
      </c>
      <c r="J25" s="600" t="s">
        <v>257</v>
      </c>
      <c r="N25" s="1378" t="s">
        <v>7369</v>
      </c>
    </row>
    <row r="26" spans="1:15" ht="13.9" customHeight="1" x14ac:dyDescent="0.25">
      <c r="A26" s="1721" t="str">
        <f>+'INSUMOS '!B50</f>
        <v>LÁMINA GALVANIZADA C 16 E=1,50 mm</v>
      </c>
      <c r="B26" s="1722"/>
      <c r="C26" s="1722"/>
      <c r="D26" s="1722"/>
      <c r="E26" s="1722"/>
      <c r="F26" s="1723"/>
      <c r="G26" s="53" t="s">
        <v>12</v>
      </c>
      <c r="H26" s="54">
        <f>0.6*0.6</f>
        <v>0.36</v>
      </c>
      <c r="I26" s="33">
        <f>+IFERROR(VLOOKUP(A26,'INSUMOS '!$B$2:$AP$167,'INSUMOS '!$AO$2+1,FALSE),0)</f>
        <v>85500.55</v>
      </c>
      <c r="J26" s="55">
        <f>ROUND(I26*H26,0)</f>
        <v>30780</v>
      </c>
      <c r="K26" s="1379"/>
      <c r="N26" s="1374">
        <f>H26*0.0015*7850</f>
        <v>4.2389999999999999</v>
      </c>
      <c r="O26" s="593" t="s">
        <v>106</v>
      </c>
    </row>
    <row r="27" spans="1:15" ht="26.25" customHeight="1" x14ac:dyDescent="0.25">
      <c r="A27" s="1724" t="str">
        <f>+'INSUMOS '!B125</f>
        <v>LÁMINA RETRORREFLECTIVA TIPO XI, NTC 4739, Color Amarillo/ verde Fluorescente de 123 cm de ancho por 45.7 metros de largo</v>
      </c>
      <c r="B27" s="1725"/>
      <c r="C27" s="1725"/>
      <c r="D27" s="1725"/>
      <c r="E27" s="1725"/>
      <c r="F27" s="1726"/>
      <c r="G27" s="53" t="s">
        <v>12</v>
      </c>
      <c r="H27" s="54">
        <f>+H26</f>
        <v>0.36</v>
      </c>
      <c r="I27" s="33">
        <f>+IFERROR(VLOOKUP(A27,'INSUMOS '!$B$2:$AP$167,'INSUMOS '!$AO$2+1,FALSE),0)</f>
        <v>196248</v>
      </c>
      <c r="J27" s="55">
        <f t="shared" ref="J27:J38" si="3">ROUND(I27*H27,0)</f>
        <v>70649</v>
      </c>
      <c r="K27" s="1379"/>
      <c r="N27" s="1374">
        <f>H27*0.2/0.36</f>
        <v>0.19999999999999998</v>
      </c>
      <c r="O27" s="593" t="s">
        <v>90</v>
      </c>
    </row>
    <row r="28" spans="1:15" ht="13.9" customHeight="1" x14ac:dyDescent="0.25">
      <c r="A28" s="1718" t="str">
        <f>+'INSUMOS '!B105</f>
        <v>TUBO GALVANIZADO DE 2" X 2,0 mm ESPESOR DE PARED</v>
      </c>
      <c r="B28" s="1719"/>
      <c r="C28" s="1719"/>
      <c r="D28" s="1719"/>
      <c r="E28" s="1719"/>
      <c r="F28" s="1720"/>
      <c r="G28" s="1389" t="s">
        <v>3488</v>
      </c>
      <c r="H28" s="1390">
        <f>3.4+0.6</f>
        <v>4</v>
      </c>
      <c r="I28" s="1005">
        <f>+IFERROR(VLOOKUP(A28,'INSUMOS '!$B$2:$AP$167,'INSUMOS '!$AO$2+1,FALSE),0)</f>
        <v>16939</v>
      </c>
      <c r="J28" s="1005">
        <f t="shared" si="3"/>
        <v>67756</v>
      </c>
      <c r="K28" s="1379"/>
      <c r="N28" s="1374">
        <f>(((2*0.0254+0.004)^2*PI()/4)-(2*0.0254)^2*PI()/4)*7850*H28</f>
        <v>10.417018584479191</v>
      </c>
      <c r="O28" s="593" t="s">
        <v>7315</v>
      </c>
    </row>
    <row r="29" spans="1:15" ht="13.9" customHeight="1" x14ac:dyDescent="0.25">
      <c r="A29" s="1727" t="str">
        <f>+'INSUMOS '!B8</f>
        <v>ÁNGULO METÁLICO DE 2"X2"X1/8" L=6M</v>
      </c>
      <c r="B29" s="1728"/>
      <c r="C29" s="1728"/>
      <c r="D29" s="1728"/>
      <c r="E29" s="1728"/>
      <c r="F29" s="1729"/>
      <c r="G29" s="1391" t="s">
        <v>3488</v>
      </c>
      <c r="H29" s="1081">
        <f>15/100</f>
        <v>0.15</v>
      </c>
      <c r="I29" s="1005">
        <f>+IFERROR(VLOOKUP(A29,'INSUMOS '!$B$2:$AP$167,'INSUMOS '!$AO$2+1,FALSE),0)</f>
        <v>16804.093333333331</v>
      </c>
      <c r="J29" s="1004">
        <f t="shared" si="3"/>
        <v>2521</v>
      </c>
      <c r="K29" s="1379"/>
      <c r="N29" s="1374">
        <f>4*0.0254*(0.0254/8)*H29*7850</f>
        <v>0.37983794999999998</v>
      </c>
      <c r="O29" s="593" t="s">
        <v>156</v>
      </c>
    </row>
    <row r="30" spans="1:15" ht="13.9" customHeight="1" x14ac:dyDescent="0.25">
      <c r="A30" s="1727" t="str">
        <f>+'INSUMOS '!B102</f>
        <v>TORNILLOS 5/16 ZINCADO  (INCLUYE TUERCA DE SEGURIDAD Y ARANDELA)</v>
      </c>
      <c r="B30" s="1728"/>
      <c r="C30" s="1728"/>
      <c r="D30" s="1728"/>
      <c r="E30" s="1728"/>
      <c r="F30" s="1729"/>
      <c r="G30" s="1391" t="s">
        <v>266</v>
      </c>
      <c r="H30" s="1081">
        <v>4</v>
      </c>
      <c r="I30" s="1005">
        <f>+IFERROR(VLOOKUP(A30,'INSUMOS '!$B$2:$AP$167,'INSUMOS '!$AO$2+1,FALSE),0)</f>
        <v>1747.5</v>
      </c>
      <c r="J30" s="1004">
        <f t="shared" si="3"/>
        <v>6990</v>
      </c>
      <c r="K30" s="1379"/>
      <c r="N30" s="1374">
        <f>H30*0.3/4</f>
        <v>0.3</v>
      </c>
      <c r="O30" s="593" t="s">
        <v>42</v>
      </c>
    </row>
    <row r="31" spans="1:15" ht="13.9" customHeight="1" x14ac:dyDescent="0.25">
      <c r="A31" s="1727" t="str">
        <f>+'INSUMOS '!B88</f>
        <v>REMACHES CON ARANDELAS DE 4*10 MM</v>
      </c>
      <c r="B31" s="1728"/>
      <c r="C31" s="1728"/>
      <c r="D31" s="1728"/>
      <c r="E31" s="1728"/>
      <c r="F31" s="1729"/>
      <c r="G31" s="1391" t="s">
        <v>266</v>
      </c>
      <c r="H31" s="1081">
        <v>4</v>
      </c>
      <c r="I31" s="1005">
        <f>+IFERROR(VLOOKUP(A31,'INSUMOS '!$B$2:$AP$167,'INSUMOS '!$AO$2+1,FALSE),0)</f>
        <v>170</v>
      </c>
      <c r="J31" s="1004">
        <f t="shared" si="3"/>
        <v>680</v>
      </c>
      <c r="K31" s="1379"/>
      <c r="N31" s="1374">
        <f>H31/4*0.1</f>
        <v>0.1</v>
      </c>
      <c r="O31" s="593" t="s">
        <v>43</v>
      </c>
    </row>
    <row r="32" spans="1:15" ht="13.9" customHeight="1" x14ac:dyDescent="0.25">
      <c r="A32" s="1727" t="str">
        <f>+'INSUMOS '!B94</f>
        <v xml:space="preserve">STEAKER 15 X 15 CM EN PAPEL REFLECTIVO TIPO IV O SUPERIOR </v>
      </c>
      <c r="B32" s="1728"/>
      <c r="C32" s="1728"/>
      <c r="D32" s="1728"/>
      <c r="E32" s="1728"/>
      <c r="F32" s="1729"/>
      <c r="G32" s="1391" t="s">
        <v>266</v>
      </c>
      <c r="H32" s="1081">
        <v>1</v>
      </c>
      <c r="I32" s="1005">
        <f>+IFERROR(VLOOKUP(A32,'INSUMOS '!$B$2:$AP$167,'INSUMOS '!$AO$2+1,FALSE),0)</f>
        <v>2500</v>
      </c>
      <c r="J32" s="1004">
        <f t="shared" si="3"/>
        <v>2500</v>
      </c>
      <c r="K32" s="1379"/>
      <c r="N32" s="1374">
        <f>H32*0.05</f>
        <v>0.05</v>
      </c>
      <c r="O32" s="593" t="s">
        <v>92</v>
      </c>
    </row>
    <row r="33" spans="1:15" x14ac:dyDescent="0.25">
      <c r="A33" s="1730" t="str">
        <f>+'INSUMOS '!B67</f>
        <v xml:space="preserve">PELÍCULA ANTIGRAFITTI </v>
      </c>
      <c r="B33" s="1730"/>
      <c r="C33" s="1730"/>
      <c r="D33" s="1730"/>
      <c r="E33" s="1730"/>
      <c r="F33" s="1730"/>
      <c r="G33" s="1391" t="s">
        <v>12</v>
      </c>
      <c r="H33" s="1081">
        <f>+H26</f>
        <v>0.36</v>
      </c>
      <c r="I33" s="1005">
        <f>+IFERROR(VLOOKUP(A33,'INSUMOS '!$B$2:$AP$167,'INSUMOS '!$AO$2+1,FALSE),0)</f>
        <v>65174.538799999995</v>
      </c>
      <c r="J33" s="1004">
        <f t="shared" si="3"/>
        <v>23463</v>
      </c>
      <c r="K33" s="1379"/>
      <c r="N33" s="1374">
        <f>H33/0.36*0.3</f>
        <v>0.3</v>
      </c>
      <c r="O33" s="593" t="s">
        <v>89</v>
      </c>
    </row>
    <row r="34" spans="1:15" ht="13.9" customHeight="1" x14ac:dyDescent="0.25">
      <c r="A34" s="1730" t="str">
        <f>+'INSUMOS '!B73</f>
        <v>PINTURA ELECTROSTÁTICA M2</v>
      </c>
      <c r="B34" s="1730"/>
      <c r="C34" s="1730"/>
      <c r="D34" s="1730"/>
      <c r="E34" s="1730"/>
      <c r="F34" s="1730"/>
      <c r="G34" s="1391" t="s">
        <v>6</v>
      </c>
      <c r="H34" s="1392">
        <f>((0.0254*2+0.004)*PI()*H28+H26+8*H29*0.0254+3*0.0588^2*PI()/4)/3</f>
        <v>0.36242117024835108</v>
      </c>
      <c r="I34" s="1005">
        <f>+IFERROR(VLOOKUP(A34,'INSUMOS '!$B$2:$AP$167,'INSUMOS '!$AO$2+1,FALSE),0)</f>
        <v>26664.5</v>
      </c>
      <c r="J34" s="1004">
        <f t="shared" si="3"/>
        <v>9664</v>
      </c>
      <c r="K34" s="1379"/>
      <c r="N34" s="1374">
        <f>H34</f>
        <v>0.36242117024835108</v>
      </c>
      <c r="O34" s="593" t="s">
        <v>334</v>
      </c>
    </row>
    <row r="35" spans="1:15" ht="13.9" customHeight="1" x14ac:dyDescent="0.25">
      <c r="A35" s="1727" t="str">
        <f>+'INSUMOS '!B100</f>
        <v>TINTA TRASLUCIDA PARA CINTA REFLECTIVA</v>
      </c>
      <c r="B35" s="1728"/>
      <c r="C35" s="1728"/>
      <c r="D35" s="1728"/>
      <c r="E35" s="1728"/>
      <c r="F35" s="1729"/>
      <c r="G35" s="1391" t="s">
        <v>157</v>
      </c>
      <c r="H35" s="1393">
        <f>H26/3.44*0.22</f>
        <v>2.3023255813953487E-2</v>
      </c>
      <c r="I35" s="1005">
        <f>+IFERROR(VLOOKUP(A35,'INSUMOS '!$B$2:$AP$167,'INSUMOS '!$AO$2+1,FALSE),0)</f>
        <v>440873.77039999992</v>
      </c>
      <c r="J35" s="1004">
        <f t="shared" si="3"/>
        <v>10150</v>
      </c>
      <c r="K35" s="1379"/>
      <c r="N35" s="1374">
        <f>H35*0.454</f>
        <v>1.0452558139534884E-2</v>
      </c>
      <c r="O35" s="593" t="s">
        <v>45</v>
      </c>
    </row>
    <row r="36" spans="1:15" ht="13.9" customHeight="1" x14ac:dyDescent="0.25">
      <c r="A36" s="1731" t="str">
        <f>+'INSUMOS '!B28</f>
        <v>CONCRETO  HIDRAULICO 2500 PSI 17 MPA (175 KG/CM2)</v>
      </c>
      <c r="B36" s="1728"/>
      <c r="C36" s="1728"/>
      <c r="D36" s="1728"/>
      <c r="E36" s="1728"/>
      <c r="F36" s="1729"/>
      <c r="G36" s="1391" t="s">
        <v>3</v>
      </c>
      <c r="H36" s="1393">
        <f>+PI()*0.25*0.25/4*0.55</f>
        <v>2.6998061866787288E-2</v>
      </c>
      <c r="I36" s="1005">
        <f>+IFERROR(VLOOKUP(A36,'INSUMOS '!$B$2:$AP$167,'INSUMOS '!$AO$2+1,FALSE),0)</f>
        <v>486142</v>
      </c>
      <c r="J36" s="1004">
        <f t="shared" si="3"/>
        <v>13125</v>
      </c>
      <c r="K36" s="1379"/>
      <c r="N36" s="1374">
        <f>H36*2400</f>
        <v>64.795348480289491</v>
      </c>
      <c r="O36" s="593" t="s">
        <v>98</v>
      </c>
    </row>
    <row r="37" spans="1:15" ht="13.9" customHeight="1" x14ac:dyDescent="0.25">
      <c r="A37" s="1732" t="str">
        <f>+'INSUMOS '!B93</f>
        <v>SOLDADURA ELECTRICA  E 6013 O SIMILAR</v>
      </c>
      <c r="B37" s="1733"/>
      <c r="C37" s="1733"/>
      <c r="D37" s="1733"/>
      <c r="E37" s="1733"/>
      <c r="F37" s="1734"/>
      <c r="G37" s="1391" t="s">
        <v>6</v>
      </c>
      <c r="H37" s="1393">
        <f>0.005^2/2*(6*0.0588*PI())*7850</f>
        <v>0.10875722527829824</v>
      </c>
      <c r="I37" s="1005">
        <f>+IFERROR(VLOOKUP(A37,'INSUMOS '!$B$2:$AP$167,'INSUMOS '!$AO$2+1,FALSE),0)</f>
        <v>19163.666666666668</v>
      </c>
      <c r="J37" s="1004">
        <f t="shared" si="3"/>
        <v>2084</v>
      </c>
      <c r="K37" s="1379"/>
      <c r="N37" s="1374">
        <f>H37</f>
        <v>0.10875722527829824</v>
      </c>
      <c r="O37" s="593" t="s">
        <v>87</v>
      </c>
    </row>
    <row r="38" spans="1:15" ht="13.9" customHeight="1" x14ac:dyDescent="0.25">
      <c r="A38" s="1727" t="str">
        <f>+'INSUMOS '!B21</f>
        <v>BROCA PARA METAL 1/2"</v>
      </c>
      <c r="B38" s="1728"/>
      <c r="C38" s="1728"/>
      <c r="D38" s="1728"/>
      <c r="E38" s="1728"/>
      <c r="F38" s="1729"/>
      <c r="G38" s="1391" t="s">
        <v>266</v>
      </c>
      <c r="H38" s="1393">
        <v>0.01</v>
      </c>
      <c r="I38" s="1005">
        <f>+IFERROR(VLOOKUP(A38,'INSUMOS '!$B$2:$AP$167,'INSUMOS '!$AO$2+1,FALSE),0)</f>
        <v>31741.5</v>
      </c>
      <c r="J38" s="1004">
        <f t="shared" si="3"/>
        <v>317</v>
      </c>
      <c r="K38" s="1379"/>
      <c r="N38" s="1374">
        <f>H38*0.106</f>
        <v>1.06E-3</v>
      </c>
      <c r="O38" s="593" t="s">
        <v>26</v>
      </c>
    </row>
    <row r="39" spans="1:15" ht="13.9" customHeight="1" x14ac:dyDescent="0.25">
      <c r="A39" s="1727" t="str">
        <f>'INSUMOS '!B50</f>
        <v>LÁMINA GALVANIZADA C 16 E=1,50 mm</v>
      </c>
      <c r="B39" s="1728"/>
      <c r="C39" s="1728"/>
      <c r="D39" s="1728"/>
      <c r="E39" s="1728"/>
      <c r="F39" s="1729"/>
      <c r="G39" s="1391" t="s">
        <v>12</v>
      </c>
      <c r="H39" s="1394">
        <f>0.0588^2*PI()/4*3</f>
        <v>8.1464010781706203E-3</v>
      </c>
      <c r="I39" s="1005">
        <f>+IFERROR(VLOOKUP(A39,'INSUMOS '!$B$2:$AP$167,'INSUMOS '!$AO$2+1,FALSE),0)</f>
        <v>85500.55</v>
      </c>
      <c r="J39" s="1004">
        <f>ROUND(I39*H39,0)</f>
        <v>697</v>
      </c>
      <c r="K39" s="1379"/>
      <c r="N39" s="1374">
        <f>H39*0.0015*7850</f>
        <v>9.5923872695459059E-2</v>
      </c>
      <c r="O39" s="593" t="s">
        <v>106</v>
      </c>
    </row>
    <row r="40" spans="1:15" ht="13.9" customHeight="1" x14ac:dyDescent="0.25">
      <c r="A40" s="1721" t="s">
        <v>333</v>
      </c>
      <c r="B40" s="1722"/>
      <c r="C40" s="1722"/>
      <c r="D40" s="1722"/>
      <c r="E40" s="1722"/>
      <c r="F40" s="1723"/>
      <c r="G40" s="53"/>
      <c r="H40" s="603">
        <v>0.05</v>
      </c>
      <c r="I40" s="55">
        <f>+SUM(J26:J39)</f>
        <v>241376</v>
      </c>
      <c r="J40" s="55">
        <f>ROUND(I40*H40,0)</f>
        <v>12069</v>
      </c>
      <c r="K40" s="1379"/>
      <c r="N40" s="19"/>
      <c r="O40" s="19"/>
    </row>
    <row r="41" spans="1:15" ht="13.9" customHeight="1" x14ac:dyDescent="0.25">
      <c r="A41" s="593"/>
      <c r="B41" s="593"/>
      <c r="C41" s="593"/>
      <c r="D41" s="593"/>
      <c r="E41" s="593"/>
      <c r="G41" s="593"/>
      <c r="H41" s="593"/>
      <c r="I41" s="601" t="s">
        <v>257</v>
      </c>
      <c r="J41" s="605">
        <f>+SUM(J26:J40)</f>
        <v>253445</v>
      </c>
      <c r="K41" s="1379"/>
      <c r="N41" s="1376">
        <f>SUM(N26:N39)</f>
        <v>81.359819841130317</v>
      </c>
      <c r="O41" s="19"/>
    </row>
    <row r="42" spans="1:15" ht="13.9" customHeight="1" x14ac:dyDescent="0.25"/>
    <row r="43" spans="1:15" ht="13.9" customHeight="1" x14ac:dyDescent="0.25">
      <c r="A43" s="1673" t="s">
        <v>267</v>
      </c>
      <c r="B43" s="1673"/>
      <c r="C43" s="1673"/>
      <c r="D43" s="1673"/>
      <c r="E43" s="1673"/>
      <c r="F43" s="1673"/>
      <c r="G43" s="1673"/>
      <c r="H43" s="1673"/>
      <c r="I43" s="390"/>
    </row>
    <row r="44" spans="1:15" ht="13.9" customHeight="1" x14ac:dyDescent="0.25">
      <c r="A44" s="1674" t="s">
        <v>268</v>
      </c>
      <c r="B44" s="1675"/>
      <c r="C44" s="1675"/>
      <c r="D44" s="1675"/>
      <c r="E44" s="1675"/>
      <c r="F44" s="1676"/>
      <c r="G44" s="607" t="s">
        <v>255</v>
      </c>
      <c r="H44" s="600" t="s">
        <v>269</v>
      </c>
      <c r="I44" s="600" t="s">
        <v>256</v>
      </c>
      <c r="J44" s="600" t="s">
        <v>257</v>
      </c>
    </row>
    <row r="45" spans="1:15" ht="13.9" customHeight="1" x14ac:dyDescent="0.25">
      <c r="A45" s="1571" t="str">
        <f>+'EQUIPOS '!B6</f>
        <v>CAMION INCLUYE CONDUCTOR</v>
      </c>
      <c r="B45" s="1572"/>
      <c r="C45" s="1572"/>
      <c r="D45" s="1572"/>
      <c r="E45" s="1572"/>
      <c r="F45" s="1573"/>
      <c r="G45" s="1377">
        <f>(N41/1000)/12</f>
        <v>6.7799849867608598E-3</v>
      </c>
      <c r="H45" s="55">
        <f>+IFERROR(VLOOKUP(A45,'EQUIPOS '!$B$3:$M$61,12,FALSE),0)</f>
        <v>611492.5</v>
      </c>
      <c r="I45" s="55">
        <f>IFERROR(H45*G45,0)</f>
        <v>4145.9099695168652</v>
      </c>
      <c r="J45" s="55">
        <f>ROUND(I45,0)</f>
        <v>4146</v>
      </c>
    </row>
    <row r="46" spans="1:15" ht="13.9" customHeight="1" x14ac:dyDescent="0.25">
      <c r="A46" s="1571"/>
      <c r="B46" s="1572"/>
      <c r="C46" s="1572"/>
      <c r="D46" s="1572"/>
      <c r="E46" s="1572"/>
      <c r="F46" s="1573"/>
      <c r="G46" s="53"/>
      <c r="H46" s="55"/>
      <c r="I46" s="55"/>
      <c r="J46" s="55"/>
      <c r="K46" s="760"/>
    </row>
    <row r="47" spans="1:15" ht="13.9" customHeight="1" x14ac:dyDescent="0.25">
      <c r="A47" s="1571"/>
      <c r="B47" s="1572"/>
      <c r="C47" s="1572"/>
      <c r="D47" s="1572"/>
      <c r="E47" s="1572"/>
      <c r="F47" s="1573"/>
      <c r="G47" s="53"/>
      <c r="H47" s="55"/>
      <c r="I47" s="55"/>
      <c r="J47" s="55"/>
      <c r="K47" s="760"/>
    </row>
    <row r="48" spans="1:15" ht="13.9" customHeight="1" x14ac:dyDescent="0.25">
      <c r="G48" s="608"/>
      <c r="H48" s="608"/>
      <c r="I48" s="601" t="s">
        <v>257</v>
      </c>
      <c r="J48" s="55">
        <f>+SUM(J45:J47)</f>
        <v>4146</v>
      </c>
      <c r="K48" s="760"/>
    </row>
    <row r="49" spans="1:10" ht="13.9" customHeight="1" x14ac:dyDescent="0.25"/>
    <row r="50" spans="1:10" ht="13.9" customHeight="1" x14ac:dyDescent="0.25">
      <c r="A50" s="1673" t="s">
        <v>270</v>
      </c>
      <c r="B50" s="1673"/>
      <c r="C50" s="1673"/>
      <c r="D50" s="1673"/>
      <c r="E50" s="1673"/>
      <c r="F50" s="1673"/>
      <c r="G50" s="1673"/>
      <c r="H50" s="1673"/>
      <c r="I50" s="390"/>
    </row>
    <row r="51" spans="1:10" s="608" customFormat="1" ht="13.9" customHeight="1" x14ac:dyDescent="0.25">
      <c r="A51" s="1674" t="s">
        <v>271</v>
      </c>
      <c r="B51" s="1675"/>
      <c r="C51" s="1675"/>
      <c r="D51" s="1676"/>
      <c r="E51" s="600" t="s">
        <v>272</v>
      </c>
      <c r="F51" s="600" t="s">
        <v>264</v>
      </c>
      <c r="G51" s="600" t="s">
        <v>273</v>
      </c>
      <c r="H51" s="600" t="s">
        <v>255</v>
      </c>
      <c r="I51" s="600" t="s">
        <v>256</v>
      </c>
      <c r="J51" s="600" t="s">
        <v>257</v>
      </c>
    </row>
    <row r="52" spans="1:10" s="608" customFormat="1" ht="13.9" customHeight="1" x14ac:dyDescent="0.25">
      <c r="A52" s="1571" t="str">
        <f>+PERSONAL!B40</f>
        <v xml:space="preserve">SOLDADOR </v>
      </c>
      <c r="B52" s="1572"/>
      <c r="C52" s="1572"/>
      <c r="D52" s="1573"/>
      <c r="E52" s="609">
        <f>+IFERROR(VLOOKUP(A52,PERSONAL!$B$3:$E$56,4,FALSE),0)</f>
        <v>110344</v>
      </c>
      <c r="F52" s="601">
        <v>1</v>
      </c>
      <c r="G52" s="609">
        <f t="shared" ref="G52:G57" si="4">+E52*F52</f>
        <v>110344</v>
      </c>
      <c r="H52" s="54">
        <f>N22</f>
        <v>60</v>
      </c>
      <c r="I52" s="55">
        <f t="shared" ref="I52:I57" si="5">IFERROR(ROUND(G52/H52,0),0)</f>
        <v>1839</v>
      </c>
      <c r="J52" s="55">
        <f t="shared" ref="J52:J57" si="6">+I52</f>
        <v>1839</v>
      </c>
    </row>
    <row r="53" spans="1:10" s="608" customFormat="1" ht="13.9" customHeight="1" x14ac:dyDescent="0.25">
      <c r="A53" s="1571" t="str">
        <f>+PERSONAL!B27</f>
        <v xml:space="preserve">PINTOR </v>
      </c>
      <c r="B53" s="1572"/>
      <c r="C53" s="1572"/>
      <c r="D53" s="1573"/>
      <c r="E53" s="609">
        <f>+IFERROR(VLOOKUP(A53,PERSONAL!$B$3:$E$56,4,FALSE),0)</f>
        <v>100054</v>
      </c>
      <c r="F53" s="601">
        <v>1</v>
      </c>
      <c r="G53" s="609">
        <f t="shared" si="4"/>
        <v>100054</v>
      </c>
      <c r="H53" s="54">
        <f>H52</f>
        <v>60</v>
      </c>
      <c r="I53" s="55">
        <f t="shared" si="5"/>
        <v>1668</v>
      </c>
      <c r="J53" s="55">
        <f t="shared" si="6"/>
        <v>1668</v>
      </c>
    </row>
    <row r="54" spans="1:10" s="608" customFormat="1" ht="13.9" customHeight="1" x14ac:dyDescent="0.25">
      <c r="A54" s="1571" t="str">
        <f>+PERSONAL!B7</f>
        <v>COLAMINADOR</v>
      </c>
      <c r="B54" s="1572"/>
      <c r="C54" s="1572"/>
      <c r="D54" s="1573"/>
      <c r="E54" s="609">
        <f>+IFERROR(VLOOKUP(A54,PERSONAL!$B$3:$E$56,4,FALSE),0)</f>
        <v>91275</v>
      </c>
      <c r="F54" s="601">
        <v>1</v>
      </c>
      <c r="G54" s="609">
        <f t="shared" si="4"/>
        <v>91275</v>
      </c>
      <c r="H54" s="54">
        <f>H53</f>
        <v>60</v>
      </c>
      <c r="I54" s="55">
        <f t="shared" si="5"/>
        <v>1521</v>
      </c>
      <c r="J54" s="55">
        <f t="shared" si="6"/>
        <v>1521</v>
      </c>
    </row>
    <row r="55" spans="1:10" s="608" customFormat="1" ht="13.9" customHeight="1" x14ac:dyDescent="0.25">
      <c r="A55" s="1571" t="str">
        <f>+PERSONAL!B18</f>
        <v>JEFE DE CUADRILLA DIURNO</v>
      </c>
      <c r="B55" s="1572"/>
      <c r="C55" s="1572"/>
      <c r="D55" s="1573"/>
      <c r="E55" s="1412">
        <f>+IFERROR(VLOOKUP(A55,PERSONAL!$B$3:$E$56,4,FALSE),0)</f>
        <v>166031</v>
      </c>
      <c r="F55" s="601">
        <v>1</v>
      </c>
      <c r="G55" s="1412">
        <f t="shared" si="4"/>
        <v>166031</v>
      </c>
      <c r="H55" s="54">
        <v>48</v>
      </c>
      <c r="I55" s="1398">
        <f t="shared" si="5"/>
        <v>3459</v>
      </c>
      <c r="J55" s="1398">
        <f t="shared" si="6"/>
        <v>3459</v>
      </c>
    </row>
    <row r="56" spans="1:10" s="608" customFormat="1" ht="13.9" customHeight="1" x14ac:dyDescent="0.25">
      <c r="A56" s="1571" t="str">
        <f>+PERSONAL!B3</f>
        <v>AUXILIAR DE TRÁFICO</v>
      </c>
      <c r="B56" s="1572"/>
      <c r="C56" s="1572"/>
      <c r="D56" s="1573"/>
      <c r="E56" s="1412">
        <f>+IFERROR(VLOOKUP(A56,PERSONAL!$B$3:$E$56,4,FALSE),0)</f>
        <v>89632</v>
      </c>
      <c r="F56" s="601">
        <v>1</v>
      </c>
      <c r="G56" s="1412">
        <f t="shared" si="4"/>
        <v>89632</v>
      </c>
      <c r="H56" s="54">
        <v>48</v>
      </c>
      <c r="I56" s="1398">
        <f t="shared" si="5"/>
        <v>1867</v>
      </c>
      <c r="J56" s="1398">
        <f t="shared" si="6"/>
        <v>1867</v>
      </c>
    </row>
    <row r="57" spans="1:10" s="608" customFormat="1" ht="13.9" customHeight="1" x14ac:dyDescent="0.25">
      <c r="A57" s="1571" t="str">
        <f>+PERSONAL!B5</f>
        <v xml:space="preserve">AYUDANTE </v>
      </c>
      <c r="B57" s="1572"/>
      <c r="C57" s="1572"/>
      <c r="D57" s="1573"/>
      <c r="E57" s="1412">
        <f>+IFERROR(VLOOKUP(A57,PERSONAL!$B$3:$E$56,4,FALSE),0)</f>
        <v>72476</v>
      </c>
      <c r="F57" s="601">
        <v>4</v>
      </c>
      <c r="G57" s="1412">
        <f t="shared" si="4"/>
        <v>289904</v>
      </c>
      <c r="H57" s="54">
        <v>48</v>
      </c>
      <c r="I57" s="1398">
        <f t="shared" si="5"/>
        <v>6040</v>
      </c>
      <c r="J57" s="1398">
        <f t="shared" si="6"/>
        <v>6040</v>
      </c>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s="608" customFormat="1" ht="13.9" customHeight="1" x14ac:dyDescent="0.25">
      <c r="A61" s="1571"/>
      <c r="B61" s="1572"/>
      <c r="C61" s="1572"/>
      <c r="D61" s="1573"/>
      <c r="E61" s="609"/>
      <c r="F61" s="601"/>
      <c r="G61" s="609"/>
      <c r="H61" s="54"/>
      <c r="I61" s="55"/>
      <c r="J61" s="55"/>
    </row>
    <row r="62" spans="1:10" ht="13.9" customHeight="1" x14ac:dyDescent="0.25">
      <c r="A62" s="593"/>
      <c r="B62" s="593"/>
      <c r="C62" s="593"/>
      <c r="E62" s="593"/>
      <c r="F62" s="593"/>
      <c r="G62" s="593"/>
      <c r="H62" s="593"/>
      <c r="I62" s="601" t="s">
        <v>257</v>
      </c>
      <c r="J62" s="605">
        <f>+SUM(J52:J61)</f>
        <v>16394</v>
      </c>
    </row>
    <row r="63" spans="1:10" ht="13.9" customHeight="1" x14ac:dyDescent="0.25"/>
    <row r="64" spans="1:10" ht="13.9" customHeight="1" x14ac:dyDescent="0.25">
      <c r="E64" s="610" t="s">
        <v>276</v>
      </c>
      <c r="I64" s="611">
        <f>+J62+J48+J41+J22</f>
        <v>284400</v>
      </c>
      <c r="J64" s="612"/>
    </row>
    <row r="65" ht="13.9" customHeight="1" x14ac:dyDescent="0.25"/>
    <row r="66" ht="14.1" customHeight="1" x14ac:dyDescent="0.25"/>
  </sheetData>
  <mergeCells count="53">
    <mergeCell ref="A57:D57"/>
    <mergeCell ref="A58:D58"/>
    <mergeCell ref="A59:D59"/>
    <mergeCell ref="A60:D60"/>
    <mergeCell ref="A61:D61"/>
    <mergeCell ref="A56:D56"/>
    <mergeCell ref="A43:H43"/>
    <mergeCell ref="A44:F44"/>
    <mergeCell ref="A45:F45"/>
    <mergeCell ref="A46:F46"/>
    <mergeCell ref="A47:F47"/>
    <mergeCell ref="A50:H50"/>
    <mergeCell ref="A51:D51"/>
    <mergeCell ref="A52:D52"/>
    <mergeCell ref="A53:D53"/>
    <mergeCell ref="A54:D54"/>
    <mergeCell ref="A55:D55"/>
    <mergeCell ref="A40:F40"/>
    <mergeCell ref="A29:F29"/>
    <mergeCell ref="A30:F30"/>
    <mergeCell ref="A31:F31"/>
    <mergeCell ref="A32:F32"/>
    <mergeCell ref="A33:F33"/>
    <mergeCell ref="A34:F34"/>
    <mergeCell ref="A35:F35"/>
    <mergeCell ref="A36:F36"/>
    <mergeCell ref="A37:F37"/>
    <mergeCell ref="A38:F38"/>
    <mergeCell ref="A39:F39"/>
    <mergeCell ref="A28:F28"/>
    <mergeCell ref="A15:D15"/>
    <mergeCell ref="A16:D16"/>
    <mergeCell ref="A17:D17"/>
    <mergeCell ref="A18:D18"/>
    <mergeCell ref="A19:D19"/>
    <mergeCell ref="A20:D20"/>
    <mergeCell ref="A21:D21"/>
    <mergeCell ref="A24:H24"/>
    <mergeCell ref="A25:F25"/>
    <mergeCell ref="A26:F26"/>
    <mergeCell ref="A27:F27"/>
    <mergeCell ref="A14:D14"/>
    <mergeCell ref="A1:J1"/>
    <mergeCell ref="A2:J2"/>
    <mergeCell ref="A4:J4"/>
    <mergeCell ref="A6:B6"/>
    <mergeCell ref="A7:B7"/>
    <mergeCell ref="C7:J7"/>
    <mergeCell ref="A9:H9"/>
    <mergeCell ref="A10:D10"/>
    <mergeCell ref="A11:D11"/>
    <mergeCell ref="A12:D12"/>
    <mergeCell ref="A13:D13"/>
  </mergeCells>
  <pageMargins left="0.70866141732283472" right="0.70866141732283472" top="0.78740157480314965" bottom="0.78740157480314965" header="0.31496062992125984" footer="0.31496062992125984"/>
  <pageSetup scale="85" orientation="portrait" r:id="rId1"/>
  <drawing r:id="rId2"/>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sheetPr codeName="Hoja20">
    <tabColor rgb="FF00B050"/>
  </sheetPr>
  <dimension ref="A1:O67"/>
  <sheetViews>
    <sheetView topLeftCell="A43" workbookViewId="0">
      <selection activeCell="G46" sqref="G4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16</v>
      </c>
      <c r="D6" s="23"/>
      <c r="E6" s="23"/>
      <c r="F6" s="23"/>
      <c r="G6" s="23"/>
      <c r="H6" s="24"/>
      <c r="I6" s="25" t="s">
        <v>248</v>
      </c>
      <c r="J6" s="26" t="str">
        <f>+VLOOKUP(C6,'ANEXO PLIEGO_1'!$A$7:$C$133,3,FALSE)</f>
        <v>UN</v>
      </c>
    </row>
    <row r="7" spans="1:10" ht="40.5" customHeight="1" x14ac:dyDescent="0.25">
      <c r="A7" s="1568" t="s">
        <v>249</v>
      </c>
      <c r="B7" s="1570"/>
      <c r="C7" s="1578" t="str">
        <f>+VLOOKUP(C6,'ANEXO PLIEGO_1'!$A$7:$B$133,2,FALSE)</f>
        <v>Fabricación, suministro e instalación de marcador de obstáculo vertical sencillo plano (figura 5-23 Resolución 20243040045005 de 17 de septiembre de 2024) 90X30 cm,material reflectivoTipo XI Amarillo /verde fluorescente, película antigraffiti, en lámina galvanizada C-16 E=1,5 mm, pedestal en tubo galvanizado  de sección circular con diámetro interior de 2" y e=2 mm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
        <v>310</v>
      </c>
      <c r="B11" s="1559"/>
      <c r="C11" s="1559"/>
      <c r="D11" s="1560"/>
      <c r="E11" s="29" t="s">
        <v>202</v>
      </c>
      <c r="F11" s="30">
        <f>IFERROR(VLOOKUP(A11,'[10]EQUIPOS TRANSPOR SALARIO'!$A$3:$G$42,2,FALSE),0)</f>
        <v>0</v>
      </c>
      <c r="G11" s="31">
        <f>IFERROR(VLOOKUP(A11,'EQUIPOS '!$B$3:$N$55,12,FALSE),0)</f>
        <v>3779.5</v>
      </c>
      <c r="H11" s="32">
        <v>4.5</v>
      </c>
      <c r="I11" s="33">
        <f>IFERROR((G11/H11),0)</f>
        <v>839.88888888888891</v>
      </c>
      <c r="J11" s="33">
        <f>ROUND(I11,0)</f>
        <v>840</v>
      </c>
    </row>
    <row r="12" spans="1:10" s="20" customFormat="1" ht="13.9" customHeight="1" x14ac:dyDescent="0.25">
      <c r="A12" s="1558" t="s">
        <v>311</v>
      </c>
      <c r="B12" s="1559"/>
      <c r="C12" s="1559"/>
      <c r="D12" s="1560"/>
      <c r="E12" s="29" t="s">
        <v>202</v>
      </c>
      <c r="F12" s="30">
        <f>IFERROR(VLOOKUP(A12,'[10]EQUIPOS TRANSPOR SALARIO'!$A$3:$G$42,2,FALSE),0)</f>
        <v>0</v>
      </c>
      <c r="G12" s="31">
        <f>IFERROR(VLOOKUP(A12,'EQUIPOS '!$B$3:$N$55,12,FALSE),0)</f>
        <v>5174.01</v>
      </c>
      <c r="H12" s="32">
        <f>+H11</f>
        <v>4.5</v>
      </c>
      <c r="I12" s="33">
        <f t="shared" ref="I12:I19" si="0">IFERROR((G12/H12),0)</f>
        <v>1149.78</v>
      </c>
      <c r="J12" s="33">
        <f t="shared" ref="J12:J20" si="1">ROUND(I12,0)</f>
        <v>1150</v>
      </c>
    </row>
    <row r="13" spans="1:10" s="20" customFormat="1" ht="13.9" customHeight="1" x14ac:dyDescent="0.25">
      <c r="A13" s="1558" t="s">
        <v>149</v>
      </c>
      <c r="B13" s="1559"/>
      <c r="C13" s="1559"/>
      <c r="D13" s="1560"/>
      <c r="E13" s="29" t="s">
        <v>202</v>
      </c>
      <c r="F13" s="30" t="str">
        <f>IFERROR(VLOOKUP(A13,'[10]EQUIPOS TRANSPOR SALARIO'!$A$3:$G$42,2,FALSE),0)</f>
        <v>Electrostática</v>
      </c>
      <c r="G13" s="31">
        <f>IFERROR(VLOOKUP(A13,'EQUIPOS '!$B$3:$N$55,12,FALSE),0)</f>
        <v>4047.59</v>
      </c>
      <c r="H13" s="32">
        <f t="shared" ref="H13:H19" si="2">+H12</f>
        <v>4.5</v>
      </c>
      <c r="I13" s="33">
        <f t="shared" si="0"/>
        <v>899.46444444444444</v>
      </c>
      <c r="J13" s="33">
        <f t="shared" si="1"/>
        <v>899</v>
      </c>
    </row>
    <row r="14" spans="1:10" s="20" customFormat="1" ht="13.9" customHeight="1" x14ac:dyDescent="0.25">
      <c r="A14" s="1558" t="s">
        <v>150</v>
      </c>
      <c r="B14" s="1559"/>
      <c r="C14" s="1559"/>
      <c r="D14" s="1560"/>
      <c r="E14" s="29" t="s">
        <v>202</v>
      </c>
      <c r="F14" s="30">
        <f>IFERROR(VLOOKUP(A14,'[10]EQUIPOS TRANSPOR SALARIO'!$A$3:$G$42,2,FALSE),0)</f>
        <v>0</v>
      </c>
      <c r="G14" s="31">
        <f>IFERROR(VLOOKUP(A14,'EQUIPOS '!$B$3:$N$55,12,FALSE),0)</f>
        <v>4898</v>
      </c>
      <c r="H14" s="32">
        <f t="shared" si="2"/>
        <v>4.5</v>
      </c>
      <c r="I14" s="33">
        <f t="shared" si="0"/>
        <v>1088.4444444444443</v>
      </c>
      <c r="J14" s="33">
        <f t="shared" si="1"/>
        <v>1088</v>
      </c>
    </row>
    <row r="15" spans="1:10" s="20" customFormat="1" ht="13.9" customHeight="1" x14ac:dyDescent="0.25">
      <c r="A15" s="1558" t="s">
        <v>205</v>
      </c>
      <c r="B15" s="1559"/>
      <c r="C15" s="1559"/>
      <c r="D15" s="1560"/>
      <c r="E15" s="29" t="s">
        <v>202</v>
      </c>
      <c r="F15" s="30">
        <f>IFERROR(VLOOKUP(A15,'[10]EQUIPOS TRANSPOR SALARIO'!$A$3:$G$42,2,FALSE),0)</f>
        <v>0</v>
      </c>
      <c r="G15" s="31">
        <f>IFERROR(VLOOKUP(A15,'EQUIPOS '!$B$3:$N$55,12,FALSE),0)</f>
        <v>4862.5</v>
      </c>
      <c r="H15" s="32">
        <f t="shared" si="2"/>
        <v>4.5</v>
      </c>
      <c r="I15" s="33">
        <f t="shared" si="0"/>
        <v>1080.5555555555557</v>
      </c>
      <c r="J15" s="33">
        <f t="shared" si="1"/>
        <v>1081</v>
      </c>
    </row>
    <row r="16" spans="1:10" s="20" customFormat="1" ht="13.9" customHeight="1" x14ac:dyDescent="0.25">
      <c r="A16" s="1558" t="s">
        <v>2899</v>
      </c>
      <c r="B16" s="1559"/>
      <c r="C16" s="1559"/>
      <c r="D16" s="1560"/>
      <c r="E16" s="29" t="s">
        <v>202</v>
      </c>
      <c r="F16" s="30">
        <f>IFERROR(VLOOKUP(A16,'[10]EQUIPOS TRANSPOR SALARIO'!$A$3:$G$42,2,FALSE),0)</f>
        <v>0</v>
      </c>
      <c r="G16" s="31">
        <f>IFERROR(VLOOKUP(A16,'EQUIPOS '!$B$3:$N$55,12,FALSE),0)</f>
        <v>4701.8100000000004</v>
      </c>
      <c r="H16" s="32">
        <f t="shared" si="2"/>
        <v>4.5</v>
      </c>
      <c r="I16" s="33">
        <f>IFERROR((G16/H16),0)</f>
        <v>1044.8466666666668</v>
      </c>
      <c r="J16" s="33">
        <f t="shared" si="1"/>
        <v>1045</v>
      </c>
    </row>
    <row r="17" spans="1:15" s="20" customFormat="1" ht="13.9" customHeight="1" x14ac:dyDescent="0.25">
      <c r="A17" s="1558" t="s">
        <v>176</v>
      </c>
      <c r="B17" s="1559"/>
      <c r="C17" s="1559"/>
      <c r="D17" s="1560"/>
      <c r="E17" s="29" t="s">
        <v>202</v>
      </c>
      <c r="F17" s="30" t="str">
        <f>IFERROR(VLOOKUP(A17,'[10]EQUIPOS TRANSPOR SALARIO'!$A$3:$G$42,2,FALSE),0)</f>
        <v>Eléctrico</v>
      </c>
      <c r="G17" s="31">
        <f>IFERROR(VLOOKUP(A17,'EQUIPOS '!$B$3:$N$55,12,FALSE),0)</f>
        <v>7999.94</v>
      </c>
      <c r="H17" s="32">
        <f t="shared" si="2"/>
        <v>4.5</v>
      </c>
      <c r="I17" s="33">
        <f>IFERROR((G17/H17),0)</f>
        <v>1777.7644444444443</v>
      </c>
      <c r="J17" s="33">
        <f t="shared" si="1"/>
        <v>1778</v>
      </c>
    </row>
    <row r="18" spans="1:15" s="20" customFormat="1" ht="13.9" customHeight="1" x14ac:dyDescent="0.25">
      <c r="A18" s="1558" t="s">
        <v>2908</v>
      </c>
      <c r="B18" s="1559"/>
      <c r="C18" s="1559"/>
      <c r="D18" s="1560"/>
      <c r="E18" s="29" t="s">
        <v>202</v>
      </c>
      <c r="F18" s="30">
        <f>IFERROR(VLOOKUP(A18,'[10]EQUIPOS TRANSPOR SALARIO'!$A$3:$G$42,2,FALSE),0)</f>
        <v>0</v>
      </c>
      <c r="G18" s="31">
        <f>IFERROR(VLOOKUP(A18,'EQUIPOS '!$B$3:$N$55,12,FALSE),0)</f>
        <v>64227.08</v>
      </c>
      <c r="H18" s="32">
        <f t="shared" si="2"/>
        <v>4.5</v>
      </c>
      <c r="I18" s="33">
        <f>IFERROR((G18/H18),0)</f>
        <v>14272.684444444445</v>
      </c>
      <c r="J18" s="33">
        <f t="shared" si="1"/>
        <v>14273</v>
      </c>
    </row>
    <row r="19" spans="1:15" s="20" customFormat="1" ht="13.9" customHeight="1" x14ac:dyDescent="0.25">
      <c r="A19" s="1558" t="s">
        <v>314</v>
      </c>
      <c r="B19" s="1559"/>
      <c r="C19" s="1559"/>
      <c r="D19" s="1560"/>
      <c r="E19" s="29" t="s">
        <v>202</v>
      </c>
      <c r="F19" s="30">
        <f>IFERROR(VLOOKUP(A19,'[10]EQUIPOS TRANSPOR SALARIO'!$A$3:$G$42,2,FALSE),0)</f>
        <v>0</v>
      </c>
      <c r="G19" s="31">
        <f>IFERROR(VLOOKUP(A19,'EQUIPOS '!$B$3:$N$55,12,FALSE),0)</f>
        <v>2821</v>
      </c>
      <c r="H19" s="32">
        <f t="shared" si="2"/>
        <v>4.5</v>
      </c>
      <c r="I19" s="33">
        <f t="shared" si="0"/>
        <v>626.88888888888891</v>
      </c>
      <c r="J19" s="33">
        <f t="shared" si="1"/>
        <v>627</v>
      </c>
    </row>
    <row r="20" spans="1:15" s="20" customFormat="1" ht="13.9" customHeight="1" x14ac:dyDescent="0.25">
      <c r="A20" s="1558" t="s">
        <v>330</v>
      </c>
      <c r="B20" s="1559"/>
      <c r="C20" s="1559"/>
      <c r="D20" s="1560"/>
      <c r="E20" s="29"/>
      <c r="F20" s="30"/>
      <c r="G20" s="31"/>
      <c r="H20" s="74">
        <v>0.01</v>
      </c>
      <c r="I20" s="33">
        <f>+H20*J62</f>
        <v>163.94</v>
      </c>
      <c r="J20" s="33">
        <f t="shared" si="1"/>
        <v>164</v>
      </c>
    </row>
    <row r="21" spans="1:15" s="20" customFormat="1" ht="13.9" customHeight="1" x14ac:dyDescent="0.25">
      <c r="I21" s="30" t="s">
        <v>257</v>
      </c>
      <c r="J21" s="34">
        <f>+SUM(J11:J20)</f>
        <v>22945</v>
      </c>
    </row>
    <row r="22" spans="1:15" s="20" customFormat="1" ht="13.9" customHeight="1" x14ac:dyDescent="0.25"/>
    <row r="23" spans="1:15" s="20" customFormat="1" ht="13.9" customHeight="1" x14ac:dyDescent="0.25">
      <c r="A23" s="1561" t="s">
        <v>263</v>
      </c>
      <c r="B23" s="1561"/>
      <c r="C23" s="1561"/>
      <c r="D23" s="1561"/>
      <c r="E23" s="1561"/>
      <c r="F23" s="1561"/>
      <c r="G23" s="1561"/>
      <c r="H23" s="1561"/>
      <c r="I23" s="27"/>
    </row>
    <row r="24" spans="1:15" ht="13.9" customHeight="1" x14ac:dyDescent="0.25">
      <c r="A24" s="1565" t="s">
        <v>251</v>
      </c>
      <c r="B24" s="1566"/>
      <c r="C24" s="1566"/>
      <c r="D24" s="1566"/>
      <c r="E24" s="1566"/>
      <c r="F24" s="1567"/>
      <c r="G24" s="28" t="s">
        <v>252</v>
      </c>
      <c r="H24" s="28" t="s">
        <v>264</v>
      </c>
      <c r="I24" s="28" t="s">
        <v>256</v>
      </c>
      <c r="J24" s="28" t="s">
        <v>257</v>
      </c>
    </row>
    <row r="25" spans="1:15" ht="13.9" customHeight="1" x14ac:dyDescent="0.25">
      <c r="A25" s="1558" t="s">
        <v>106</v>
      </c>
      <c r="B25" s="1559"/>
      <c r="C25" s="1559"/>
      <c r="D25" s="1559"/>
      <c r="E25" s="1559"/>
      <c r="F25" s="1560"/>
      <c r="G25" s="29" t="str">
        <f>+VLOOKUP(A25,'INSUMOS '!$B$3:$C$112,2,FALSE)</f>
        <v>M2</v>
      </c>
      <c r="H25" s="35">
        <f>0.9*0.3</f>
        <v>0.27</v>
      </c>
      <c r="I25" s="33">
        <f>+IFERROR(VLOOKUP(A25,'INSUMOS '!$B$2:$AP$167,'INSUMOS '!$AO$2+1,FALSE),0)</f>
        <v>85500.55</v>
      </c>
      <c r="J25" s="33">
        <f>ROUND(I25*H25,0)</f>
        <v>23085</v>
      </c>
      <c r="N25" s="1374">
        <f>H25*0.0015*7850</f>
        <v>3.1792500000000001</v>
      </c>
      <c r="O25" s="593" t="s">
        <v>106</v>
      </c>
    </row>
    <row r="26" spans="1:15" ht="29.25" customHeight="1" x14ac:dyDescent="0.25">
      <c r="A26" s="1568" t="str">
        <f>+'INSUMOS '!B125</f>
        <v>LÁMINA RETRORREFLECTIVA TIPO XI, NTC 4739, Color Amarillo/ verde Fluorescente de 123 cm de ancho por 45.7 metros de largo</v>
      </c>
      <c r="B26" s="1569"/>
      <c r="C26" s="1569"/>
      <c r="D26" s="1569"/>
      <c r="E26" s="1569"/>
      <c r="F26" s="1570"/>
      <c r="G26" s="29" t="str">
        <f>+VLOOKUP(A26,'INSUMOS '!$B$3:$C$160,2,FALSE)</f>
        <v>M2</v>
      </c>
      <c r="H26" s="35">
        <f>+H25</f>
        <v>0.27</v>
      </c>
      <c r="I26" s="33">
        <f>+IFERROR(VLOOKUP(A26,'INSUMOS '!$B$2:$AP$167,'INSUMOS '!$AO$2+1,FALSE),0)</f>
        <v>196248</v>
      </c>
      <c r="J26" s="33">
        <f t="shared" ref="J26:J39" si="3">ROUND(I26*H26,0)</f>
        <v>52987</v>
      </c>
      <c r="N26" s="1374">
        <f>H26*0.2/0.36</f>
        <v>0.15000000000000002</v>
      </c>
      <c r="O26" s="593" t="s">
        <v>90</v>
      </c>
    </row>
    <row r="27" spans="1:15" ht="13.9" customHeight="1" x14ac:dyDescent="0.25">
      <c r="A27" s="1558" t="str">
        <f>'INSUMOS '!B105</f>
        <v>TUBO GALVANIZADO DE 2" X 2,0 mm ESPESOR DE PARED</v>
      </c>
      <c r="B27" s="1559"/>
      <c r="C27" s="1559"/>
      <c r="D27" s="1559"/>
      <c r="E27" s="1559"/>
      <c r="F27" s="1560"/>
      <c r="G27" s="29" t="str">
        <f>+VLOOKUP(A27,'INSUMOS '!$B$3:$C$112,2,FALSE)</f>
        <v>M</v>
      </c>
      <c r="H27" s="35">
        <f>1.8+0.6</f>
        <v>2.4</v>
      </c>
      <c r="I27" s="33">
        <f>+IFERROR(VLOOKUP(A27,'INSUMOS '!$B$2:$AP$167,'INSUMOS '!$AO$2+1,FALSE),0)</f>
        <v>16939</v>
      </c>
      <c r="J27" s="33">
        <f t="shared" si="3"/>
        <v>40654</v>
      </c>
      <c r="N27" s="1374">
        <f>(((2*0.0254+0.004)^2*PI()/4)-(2*0.0254)^2*PI()/4)*7850*H27</f>
        <v>6.2502111506875142</v>
      </c>
      <c r="O27" s="593" t="s">
        <v>7315</v>
      </c>
    </row>
    <row r="28" spans="1:15" ht="13.9" customHeight="1" x14ac:dyDescent="0.25">
      <c r="A28" s="1558" t="s">
        <v>156</v>
      </c>
      <c r="B28" s="1559"/>
      <c r="C28" s="1559"/>
      <c r="D28" s="1559"/>
      <c r="E28" s="1559"/>
      <c r="F28" s="1560"/>
      <c r="G28" s="29" t="str">
        <f>+VLOOKUP(A28,'INSUMOS '!$B$3:$C$112,2,FALSE)</f>
        <v>M</v>
      </c>
      <c r="H28" s="35">
        <v>0.15</v>
      </c>
      <c r="I28" s="33">
        <f>+IFERROR(VLOOKUP(A28,'INSUMOS '!$B$2:$AP$167,'INSUMOS '!$AO$2+1,FALSE),0)</f>
        <v>16804.093333333331</v>
      </c>
      <c r="J28" s="33">
        <f t="shared" si="3"/>
        <v>2521</v>
      </c>
      <c r="N28" s="1374">
        <f>4*0.0254*(0.0254/8)*H28*7850</f>
        <v>0.37983794999999998</v>
      </c>
      <c r="O28" s="593" t="s">
        <v>156</v>
      </c>
    </row>
    <row r="29" spans="1:15" ht="13.9" customHeight="1" x14ac:dyDescent="0.25">
      <c r="A29" s="1558" t="s">
        <v>42</v>
      </c>
      <c r="B29" s="1559"/>
      <c r="C29" s="1559"/>
      <c r="D29" s="1559"/>
      <c r="E29" s="1559"/>
      <c r="F29" s="1560"/>
      <c r="G29" s="29" t="str">
        <f>+VLOOKUP(A29,'INSUMOS '!$B$3:$C$112,2,FALSE)</f>
        <v>UN</v>
      </c>
      <c r="H29" s="35">
        <v>4</v>
      </c>
      <c r="I29" s="33">
        <f>+IFERROR(VLOOKUP(A29,'INSUMOS '!$B$2:$AP$167,'INSUMOS '!$AO$2+1,FALSE),0)</f>
        <v>1747.5</v>
      </c>
      <c r="J29" s="33">
        <f t="shared" si="3"/>
        <v>6990</v>
      </c>
      <c r="N29" s="1374">
        <f>H29*0.3/4</f>
        <v>0.3</v>
      </c>
      <c r="O29" s="593" t="s">
        <v>42</v>
      </c>
    </row>
    <row r="30" spans="1:15" ht="13.9" customHeight="1" x14ac:dyDescent="0.25">
      <c r="A30" s="1558" t="s">
        <v>43</v>
      </c>
      <c r="B30" s="1559"/>
      <c r="C30" s="1559"/>
      <c r="D30" s="1559"/>
      <c r="E30" s="1559"/>
      <c r="F30" s="1560"/>
      <c r="G30" s="29" t="str">
        <f>+VLOOKUP(A30,'INSUMOS '!$B$3:$C$112,2,FALSE)</f>
        <v>UN</v>
      </c>
      <c r="H30" s="35">
        <v>3</v>
      </c>
      <c r="I30" s="33">
        <f>+IFERROR(VLOOKUP(A30,'INSUMOS '!$B$2:$AP$167,'INSUMOS '!$AO$2+1,FALSE),0)</f>
        <v>170</v>
      </c>
      <c r="J30" s="33">
        <f t="shared" si="3"/>
        <v>510</v>
      </c>
      <c r="N30" s="1374">
        <f>H30/4*0.1</f>
        <v>7.5000000000000011E-2</v>
      </c>
      <c r="O30" s="593" t="s">
        <v>43</v>
      </c>
    </row>
    <row r="31" spans="1:15" ht="13.9" customHeight="1" x14ac:dyDescent="0.25">
      <c r="A31" s="1558" t="s">
        <v>92</v>
      </c>
      <c r="B31" s="1559"/>
      <c r="C31" s="1559"/>
      <c r="D31" s="1559"/>
      <c r="E31" s="1559"/>
      <c r="F31" s="1560"/>
      <c r="G31" s="29" t="str">
        <f>+VLOOKUP(A31,'INSUMOS '!$B$3:$C$112,2,FALSE)</f>
        <v>UN</v>
      </c>
      <c r="H31" s="35">
        <v>1</v>
      </c>
      <c r="I31" s="33">
        <f>+IFERROR(VLOOKUP(A31,'INSUMOS '!$B$2:$AP$167,'INSUMOS '!$AO$2+1,FALSE),0)</f>
        <v>2500</v>
      </c>
      <c r="J31" s="33">
        <f t="shared" si="3"/>
        <v>2500</v>
      </c>
      <c r="N31" s="1375">
        <f>H31*0.05</f>
        <v>0.05</v>
      </c>
      <c r="O31" s="593" t="s">
        <v>92</v>
      </c>
    </row>
    <row r="32" spans="1:15" ht="13.9" customHeight="1" x14ac:dyDescent="0.25">
      <c r="A32" s="1558" t="s">
        <v>89</v>
      </c>
      <c r="B32" s="1559"/>
      <c r="C32" s="1559"/>
      <c r="D32" s="1559"/>
      <c r="E32" s="1559"/>
      <c r="F32" s="1560"/>
      <c r="G32" s="29" t="str">
        <f>+VLOOKUP(A32,'INSUMOS '!$B$3:$C$112,2,FALSE)</f>
        <v>M2</v>
      </c>
      <c r="H32" s="35">
        <f>+H25</f>
        <v>0.27</v>
      </c>
      <c r="I32" s="33">
        <f>+IFERROR(VLOOKUP(A32,'INSUMOS '!$B$2:$AP$167,'INSUMOS '!$AO$2+1,FALSE),0)</f>
        <v>65174.538799999995</v>
      </c>
      <c r="J32" s="33">
        <f t="shared" si="3"/>
        <v>17597</v>
      </c>
      <c r="N32" s="1374">
        <f>H32/0.36*0.3</f>
        <v>0.22500000000000003</v>
      </c>
      <c r="O32" s="593" t="s">
        <v>89</v>
      </c>
    </row>
    <row r="33" spans="1:15" ht="13.9" customHeight="1" x14ac:dyDescent="0.25">
      <c r="A33" s="1558" t="s">
        <v>334</v>
      </c>
      <c r="B33" s="1559"/>
      <c r="C33" s="1559"/>
      <c r="D33" s="1559"/>
      <c r="E33" s="1559"/>
      <c r="F33" s="1560"/>
      <c r="G33" s="29" t="str">
        <f>+VLOOKUP(A33,'INSUMOS '!$B$3:$C$112,2,FALSE)</f>
        <v>KG</v>
      </c>
      <c r="H33" s="37">
        <f>((0.0254*2+0.004)*PI()*H27+H25+8*0.0254*H28+3*0.0588^2*PI()/4)/3</f>
        <v>0.24060288895943341</v>
      </c>
      <c r="I33" s="33">
        <f>+IFERROR(VLOOKUP(A33,'INSUMOS '!$B$2:$AP$167,'INSUMOS '!$AO$2+1,FALSE),0)</f>
        <v>26664.5</v>
      </c>
      <c r="J33" s="33">
        <f t="shared" si="3"/>
        <v>6416</v>
      </c>
      <c r="N33" s="1374">
        <f>H33</f>
        <v>0.24060288895943341</v>
      </c>
      <c r="O33" s="593" t="s">
        <v>334</v>
      </c>
    </row>
    <row r="34" spans="1:15" ht="13.9" customHeight="1" x14ac:dyDescent="0.25">
      <c r="A34" s="1558" t="s">
        <v>45</v>
      </c>
      <c r="B34" s="1559"/>
      <c r="C34" s="1559"/>
      <c r="D34" s="1559"/>
      <c r="E34" s="1559"/>
      <c r="F34" s="1560"/>
      <c r="G34" s="29" t="str">
        <f>+VLOOKUP(A34,'INSUMOS '!$B$3:$C$112,2,FALSE)</f>
        <v>LB</v>
      </c>
      <c r="H34" s="37">
        <f>H25/3.44*0.22</f>
        <v>1.7267441860465117E-2</v>
      </c>
      <c r="I34" s="33">
        <f>+IFERROR(VLOOKUP(A34,'INSUMOS '!$B$2:$AP$167,'INSUMOS '!$AO$2+1,FALSE),0)</f>
        <v>440873.77039999992</v>
      </c>
      <c r="J34" s="33">
        <f t="shared" si="3"/>
        <v>7613</v>
      </c>
      <c r="N34" s="1405">
        <f>H34*0.454</f>
        <v>7.8394186046511632E-3</v>
      </c>
      <c r="O34" s="593" t="s">
        <v>45</v>
      </c>
    </row>
    <row r="35" spans="1:15" ht="13.9" customHeight="1" x14ac:dyDescent="0.25">
      <c r="A35" s="1558" t="str">
        <f>'INSUMOS '!B28</f>
        <v>CONCRETO  HIDRAULICO 2500 PSI 17 MPA (175 KG/CM2)</v>
      </c>
      <c r="B35" s="1559"/>
      <c r="C35" s="1559"/>
      <c r="D35" s="1559"/>
      <c r="E35" s="1559"/>
      <c r="F35" s="1560"/>
      <c r="G35" s="29" t="str">
        <f>+VLOOKUP(A35,'INSUMOS '!$B$3:$C$112,2,FALSE)</f>
        <v>M3</v>
      </c>
      <c r="H35" s="37">
        <f>+PI()*0.25*0.25/4*0.55</f>
        <v>2.6998061866787288E-2</v>
      </c>
      <c r="I35" s="33">
        <f>+IFERROR(VLOOKUP(A35,'INSUMOS '!$B$2:$AP$167,'INSUMOS '!$AO$2+1,FALSE),0)</f>
        <v>486142</v>
      </c>
      <c r="J35" s="33">
        <f t="shared" si="3"/>
        <v>13125</v>
      </c>
      <c r="N35" s="1374">
        <f>H35*2400</f>
        <v>64.795348480289491</v>
      </c>
      <c r="O35" s="593" t="s">
        <v>98</v>
      </c>
    </row>
    <row r="36" spans="1:15" ht="13.9" customHeight="1" x14ac:dyDescent="0.25">
      <c r="A36" s="1558" t="s">
        <v>87</v>
      </c>
      <c r="B36" s="1559"/>
      <c r="C36" s="1559"/>
      <c r="D36" s="1559"/>
      <c r="E36" s="1559"/>
      <c r="F36" s="1560"/>
      <c r="G36" s="29" t="str">
        <f>+VLOOKUP(A36,'INSUMOS '!$B$3:$C$112,2,FALSE)</f>
        <v>KG</v>
      </c>
      <c r="H36" s="37">
        <f>0.005^2/2*(6*0.0588*PI())*7850</f>
        <v>0.10875722527829824</v>
      </c>
      <c r="I36" s="33">
        <f>+IFERROR(VLOOKUP(A36,'INSUMOS '!$B$2:$AP$167,'INSUMOS '!$AO$2+1,FALSE),0)</f>
        <v>19163.666666666668</v>
      </c>
      <c r="J36" s="33">
        <f t="shared" si="3"/>
        <v>2084</v>
      </c>
      <c r="N36" s="1374">
        <f>H36</f>
        <v>0.10875722527829824</v>
      </c>
      <c r="O36" s="593" t="s">
        <v>87</v>
      </c>
    </row>
    <row r="37" spans="1:15" ht="13.9" customHeight="1" x14ac:dyDescent="0.25">
      <c r="A37" s="1558" t="s">
        <v>26</v>
      </c>
      <c r="B37" s="1559"/>
      <c r="C37" s="1559"/>
      <c r="D37" s="1559"/>
      <c r="E37" s="1559"/>
      <c r="F37" s="1560"/>
      <c r="G37" s="29" t="str">
        <f>+VLOOKUP(A37,'INSUMOS '!$B$3:$C$112,2,FALSE)</f>
        <v>UN</v>
      </c>
      <c r="H37" s="35">
        <v>0.01</v>
      </c>
      <c r="I37" s="33">
        <f>+IFERROR(VLOOKUP(A37,'INSUMOS '!$B$2:$AP$167,'INSUMOS '!$AO$2+1,FALSE),0)</f>
        <v>31741.5</v>
      </c>
      <c r="J37" s="33">
        <f t="shared" si="3"/>
        <v>317</v>
      </c>
      <c r="N37" s="1374">
        <f>H37*0.106</f>
        <v>1.06E-3</v>
      </c>
      <c r="O37" s="593" t="s">
        <v>26</v>
      </c>
    </row>
    <row r="38" spans="1:15" ht="13.9" customHeight="1" x14ac:dyDescent="0.25">
      <c r="A38" s="1558" t="str">
        <f>'INSUMOS '!B50</f>
        <v>LÁMINA GALVANIZADA C 16 E=1,50 mm</v>
      </c>
      <c r="B38" s="1559"/>
      <c r="C38" s="1559"/>
      <c r="D38" s="1559"/>
      <c r="E38" s="1559"/>
      <c r="F38" s="1560"/>
      <c r="G38" s="29" t="str">
        <f>+VLOOKUP(A38,'INSUMOS '!$B$3:$C$112,2,FALSE)</f>
        <v>M2</v>
      </c>
      <c r="H38" s="606">
        <f>0.0588^2*PI()/4*3</f>
        <v>8.1464010781706203E-3</v>
      </c>
      <c r="I38" s="33">
        <f>+IFERROR(VLOOKUP(A38,'INSUMOS '!$B$2:$AP$167,'INSUMOS '!$AO$2+1,FALSE),0)</f>
        <v>85500.55</v>
      </c>
      <c r="J38" s="33">
        <f>ROUND(I38*H38,0)</f>
        <v>697</v>
      </c>
      <c r="N38" s="1374">
        <f>H38*0.0015*7850</f>
        <v>9.5923872695459059E-2</v>
      </c>
      <c r="O38" s="593" t="s">
        <v>106</v>
      </c>
    </row>
    <row r="39" spans="1:15" ht="13.9" customHeight="1" x14ac:dyDescent="0.25">
      <c r="A39" s="1558" t="s">
        <v>2901</v>
      </c>
      <c r="B39" s="1559"/>
      <c r="C39" s="1559"/>
      <c r="D39" s="1559"/>
      <c r="E39" s="1559"/>
      <c r="F39" s="1560"/>
      <c r="G39" s="29"/>
      <c r="H39" s="1410">
        <v>0.05</v>
      </c>
      <c r="I39" s="33">
        <f>+SUM(J25:J38)</f>
        <v>177096</v>
      </c>
      <c r="J39" s="33">
        <f t="shared" si="3"/>
        <v>8855</v>
      </c>
    </row>
    <row r="40" spans="1:15" ht="13.9" customHeight="1" x14ac:dyDescent="0.25">
      <c r="A40" s="1558"/>
      <c r="B40" s="1559"/>
      <c r="C40" s="1559"/>
      <c r="D40" s="1559"/>
      <c r="E40" s="1559"/>
      <c r="F40" s="1560"/>
      <c r="G40" s="29"/>
      <c r="H40" s="35"/>
      <c r="I40" s="33"/>
      <c r="J40" s="33"/>
      <c r="N40" s="1376">
        <f>SUM(N25:N38)</f>
        <v>75.858830986514846</v>
      </c>
    </row>
    <row r="41" spans="1:15" ht="13.9" customHeight="1" x14ac:dyDescent="0.25">
      <c r="A41" s="20"/>
      <c r="B41" s="20"/>
      <c r="C41" s="20"/>
      <c r="D41" s="20"/>
      <c r="E41" s="20"/>
      <c r="G41" s="20"/>
      <c r="H41" s="20"/>
      <c r="I41" s="30" t="s">
        <v>257</v>
      </c>
      <c r="J41" s="34">
        <f>+SUM(J25:J40)</f>
        <v>185951</v>
      </c>
    </row>
    <row r="42" spans="1:15" ht="13.9" customHeight="1" x14ac:dyDescent="0.25"/>
    <row r="43" spans="1:15" ht="13.9" customHeight="1" x14ac:dyDescent="0.25">
      <c r="A43" s="1561" t="s">
        <v>267</v>
      </c>
      <c r="B43" s="1561"/>
      <c r="C43" s="1561"/>
      <c r="D43" s="1561"/>
      <c r="E43" s="1561"/>
      <c r="F43" s="1561"/>
      <c r="G43" s="1561"/>
      <c r="H43" s="1561"/>
      <c r="I43" s="27"/>
    </row>
    <row r="44" spans="1:15" ht="13.9" customHeight="1" x14ac:dyDescent="0.25">
      <c r="A44" s="1562" t="s">
        <v>268</v>
      </c>
      <c r="B44" s="1563"/>
      <c r="C44" s="1563"/>
      <c r="D44" s="1563"/>
      <c r="E44" s="1563"/>
      <c r="F44" s="1564"/>
      <c r="G44" s="38" t="s">
        <v>255</v>
      </c>
      <c r="H44" s="28" t="s">
        <v>269</v>
      </c>
      <c r="I44" s="28" t="s">
        <v>256</v>
      </c>
      <c r="J44" s="28" t="s">
        <v>257</v>
      </c>
    </row>
    <row r="45" spans="1:15" ht="13.9" customHeight="1" x14ac:dyDescent="0.25">
      <c r="A45" s="1558" t="str">
        <f>+'EQUIPOS '!B6</f>
        <v>CAMION INCLUYE CONDUCTOR</v>
      </c>
      <c r="B45" s="1559"/>
      <c r="C45" s="1559"/>
      <c r="D45" s="1559"/>
      <c r="E45" s="1559"/>
      <c r="F45" s="1560"/>
      <c r="G45" s="1407">
        <f>(N40/1000)/12</f>
        <v>6.3215692488762373E-3</v>
      </c>
      <c r="H45" s="31">
        <f>+IFERROR(VLOOKUP(A45,'EQUIPOS '!$B$3:$N$55,12,FALSE),0)</f>
        <v>611492.5</v>
      </c>
      <c r="I45" s="33">
        <f>IFERROR(H45*G45,0)</f>
        <v>3865.5921839184525</v>
      </c>
      <c r="J45" s="33">
        <f>ROUND(I45,0)</f>
        <v>3866</v>
      </c>
    </row>
    <row r="46" spans="1:15" ht="13.9" customHeight="1" x14ac:dyDescent="0.25">
      <c r="A46" s="1558"/>
      <c r="B46" s="1559"/>
      <c r="C46" s="1559"/>
      <c r="D46" s="1559"/>
      <c r="E46" s="1559"/>
      <c r="F46" s="1560"/>
      <c r="G46" s="29"/>
      <c r="H46" s="33"/>
      <c r="I46" s="33"/>
      <c r="J46" s="33"/>
    </row>
    <row r="47" spans="1:15" ht="13.9" customHeight="1" x14ac:dyDescent="0.25">
      <c r="A47" s="1558"/>
      <c r="B47" s="1559"/>
      <c r="C47" s="1559"/>
      <c r="D47" s="1559"/>
      <c r="E47" s="1559"/>
      <c r="F47" s="1560"/>
      <c r="G47" s="29"/>
      <c r="H47" s="33"/>
      <c r="I47" s="33"/>
      <c r="J47" s="33"/>
    </row>
    <row r="48" spans="1:15" ht="13.9" customHeight="1" x14ac:dyDescent="0.25">
      <c r="G48" s="39"/>
      <c r="H48" s="39"/>
      <c r="I48" s="30" t="s">
        <v>257</v>
      </c>
      <c r="J48" s="33">
        <f>+SUM(J45:J47)</f>
        <v>3866</v>
      </c>
    </row>
    <row r="49" spans="1:10" ht="13.9" customHeight="1" x14ac:dyDescent="0.25"/>
    <row r="50" spans="1:10" ht="13.9" customHeight="1" x14ac:dyDescent="0.25">
      <c r="A50" s="1561" t="s">
        <v>270</v>
      </c>
      <c r="B50" s="1561"/>
      <c r="C50" s="1561"/>
      <c r="D50" s="1561"/>
      <c r="E50" s="1561"/>
      <c r="F50" s="1561"/>
      <c r="G50" s="1561"/>
      <c r="H50" s="1561"/>
      <c r="I50" s="27"/>
    </row>
    <row r="51" spans="1:10" s="39" customFormat="1" ht="13.9" customHeight="1" x14ac:dyDescent="0.25">
      <c r="A51" s="1562" t="s">
        <v>271</v>
      </c>
      <c r="B51" s="1563"/>
      <c r="C51" s="1563"/>
      <c r="D51" s="1564"/>
      <c r="E51" s="28" t="s">
        <v>272</v>
      </c>
      <c r="F51" s="28" t="s">
        <v>264</v>
      </c>
      <c r="G51" s="28" t="s">
        <v>273</v>
      </c>
      <c r="H51" s="28" t="s">
        <v>255</v>
      </c>
      <c r="I51" s="28" t="s">
        <v>256</v>
      </c>
      <c r="J51" s="28" t="s">
        <v>257</v>
      </c>
    </row>
    <row r="52" spans="1:10" s="39" customFormat="1" ht="13.9" customHeight="1" x14ac:dyDescent="0.25">
      <c r="A52" s="1571" t="s">
        <v>129</v>
      </c>
      <c r="B52" s="1572"/>
      <c r="C52" s="1572"/>
      <c r="D52" s="1573"/>
      <c r="E52" s="609">
        <f>+IFERROR(VLOOKUP(A52,PERSONAL!$B$3:$E$56,4,FALSE),0)</f>
        <v>110344</v>
      </c>
      <c r="F52" s="601">
        <v>1</v>
      </c>
      <c r="G52" s="609">
        <f>+E52*F52</f>
        <v>110344</v>
      </c>
      <c r="H52" s="54">
        <v>60</v>
      </c>
      <c r="I52" s="55">
        <f>IFERROR(ROUND(G52/H52,0),0)</f>
        <v>1839</v>
      </c>
      <c r="J52" s="55">
        <f>+I52</f>
        <v>1839</v>
      </c>
    </row>
    <row r="53" spans="1:10" s="39" customFormat="1" ht="13.9" customHeight="1" x14ac:dyDescent="0.25">
      <c r="A53" s="1571" t="s">
        <v>130</v>
      </c>
      <c r="B53" s="1572"/>
      <c r="C53" s="1572"/>
      <c r="D53" s="1573"/>
      <c r="E53" s="609">
        <f>+IFERROR(VLOOKUP(A53,PERSONAL!$B$3:$E$56,4,FALSE),0)</f>
        <v>100054</v>
      </c>
      <c r="F53" s="601">
        <v>1</v>
      </c>
      <c r="G53" s="609">
        <f t="shared" ref="G53:G56" si="4">+E53*F53</f>
        <v>100054</v>
      </c>
      <c r="H53" s="54">
        <v>60</v>
      </c>
      <c r="I53" s="55">
        <f t="shared" ref="I53:I56" si="5">IFERROR(ROUND(G53/H53,0),0)</f>
        <v>1668</v>
      </c>
      <c r="J53" s="55">
        <f t="shared" ref="J53:J56" si="6">+I53</f>
        <v>1668</v>
      </c>
    </row>
    <row r="54" spans="1:10" s="39" customFormat="1" ht="13.9" customHeight="1" x14ac:dyDescent="0.25">
      <c r="A54" s="1571" t="s">
        <v>131</v>
      </c>
      <c r="B54" s="1572"/>
      <c r="C54" s="1572"/>
      <c r="D54" s="1573"/>
      <c r="E54" s="609">
        <f>+IFERROR(VLOOKUP(A54,PERSONAL!$B$3:$E$56,4,FALSE),0)</f>
        <v>91275</v>
      </c>
      <c r="F54" s="601">
        <v>1</v>
      </c>
      <c r="G54" s="609">
        <f t="shared" si="4"/>
        <v>91275</v>
      </c>
      <c r="H54" s="54">
        <v>60</v>
      </c>
      <c r="I54" s="55">
        <f t="shared" si="5"/>
        <v>1521</v>
      </c>
      <c r="J54" s="55">
        <f t="shared" si="6"/>
        <v>1521</v>
      </c>
    </row>
    <row r="55" spans="1:10" s="39" customFormat="1" ht="13.9" customHeight="1" x14ac:dyDescent="0.25">
      <c r="A55" s="1571" t="s">
        <v>178</v>
      </c>
      <c r="B55" s="1572"/>
      <c r="C55" s="1572"/>
      <c r="D55" s="1573"/>
      <c r="E55" s="1412">
        <f>+IFERROR(VLOOKUP(A55,PERSONAL!$B$3:$E$56,4,FALSE),0)</f>
        <v>166031</v>
      </c>
      <c r="F55" s="601">
        <v>1</v>
      </c>
      <c r="G55" s="1412">
        <f t="shared" si="4"/>
        <v>166031</v>
      </c>
      <c r="H55" s="54">
        <v>48</v>
      </c>
      <c r="I55" s="1398">
        <f t="shared" si="5"/>
        <v>3459</v>
      </c>
      <c r="J55" s="1398">
        <f t="shared" si="6"/>
        <v>3459</v>
      </c>
    </row>
    <row r="56" spans="1:10" s="39" customFormat="1" ht="13.9" customHeight="1" x14ac:dyDescent="0.25">
      <c r="A56" s="1571" t="s">
        <v>127</v>
      </c>
      <c r="B56" s="1572"/>
      <c r="C56" s="1572"/>
      <c r="D56" s="1573"/>
      <c r="E56" s="1412">
        <f>+IFERROR(VLOOKUP(A56,PERSONAL!$B$3:$E$56,4,FALSE),0)</f>
        <v>72476</v>
      </c>
      <c r="F56" s="601">
        <v>4</v>
      </c>
      <c r="G56" s="1412">
        <f t="shared" si="4"/>
        <v>289904</v>
      </c>
      <c r="H56" s="54">
        <v>48</v>
      </c>
      <c r="I56" s="1398">
        <f t="shared" si="5"/>
        <v>6040</v>
      </c>
      <c r="J56" s="1398">
        <f t="shared" si="6"/>
        <v>6040</v>
      </c>
    </row>
    <row r="57" spans="1:10" s="39" customFormat="1" ht="13.9" customHeight="1" x14ac:dyDescent="0.25">
      <c r="A57" s="1571" t="s">
        <v>143</v>
      </c>
      <c r="B57" s="1572"/>
      <c r="C57" s="1572"/>
      <c r="D57" s="1573"/>
      <c r="E57" s="1412">
        <f>+IFERROR(VLOOKUP(A57,PERSONAL!$B$3:$E$56,4,FALSE),0)</f>
        <v>89632</v>
      </c>
      <c r="F57" s="601">
        <v>1</v>
      </c>
      <c r="G57" s="1412">
        <f>+E57*F57</f>
        <v>89632</v>
      </c>
      <c r="H57" s="54">
        <v>48</v>
      </c>
      <c r="I57" s="1398">
        <f>IFERROR(ROUND(G57/H57,0),0)</f>
        <v>1867</v>
      </c>
      <c r="J57" s="1398">
        <f>+I57</f>
        <v>1867</v>
      </c>
    </row>
    <row r="58" spans="1:10" s="39" customFormat="1" ht="13.9" customHeight="1" x14ac:dyDescent="0.25">
      <c r="A58" s="1558"/>
      <c r="B58" s="1559"/>
      <c r="C58" s="1559"/>
      <c r="D58" s="1560"/>
      <c r="E58" s="40"/>
      <c r="F58" s="30"/>
      <c r="G58" s="40"/>
      <c r="H58" s="35"/>
      <c r="I58" s="33"/>
      <c r="J58" s="33"/>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s="39" customFormat="1" ht="13.9" customHeight="1" x14ac:dyDescent="0.25">
      <c r="A61" s="1558"/>
      <c r="B61" s="1559"/>
      <c r="C61" s="1559"/>
      <c r="D61" s="1560"/>
      <c r="E61" s="40"/>
      <c r="F61" s="30"/>
      <c r="G61" s="40"/>
      <c r="H61" s="35"/>
      <c r="I61" s="33"/>
      <c r="J61" s="33"/>
    </row>
    <row r="62" spans="1:10" ht="13.9" customHeight="1" x14ac:dyDescent="0.25">
      <c r="A62" s="20"/>
      <c r="B62" s="20"/>
      <c r="C62" s="20"/>
      <c r="E62" s="20"/>
      <c r="F62" s="20"/>
      <c r="G62" s="20"/>
      <c r="H62" s="20"/>
      <c r="I62" s="30" t="s">
        <v>257</v>
      </c>
      <c r="J62" s="34">
        <f>+SUM(J52:J61)</f>
        <v>16394</v>
      </c>
    </row>
    <row r="63" spans="1:10" ht="13.9" customHeight="1" x14ac:dyDescent="0.25"/>
    <row r="64" spans="1:10" ht="13.9" customHeight="1" x14ac:dyDescent="0.25">
      <c r="E64" s="41" t="s">
        <v>276</v>
      </c>
      <c r="I64" s="42">
        <f>+J62+J48+J41+J21</f>
        <v>229156</v>
      </c>
      <c r="J64" s="43"/>
    </row>
    <row r="65" ht="13.9" customHeight="1" x14ac:dyDescent="0.25"/>
    <row r="66" ht="14.1" customHeight="1" x14ac:dyDescent="0.25"/>
    <row r="67" ht="14.1" customHeight="1" x14ac:dyDescent="0.25"/>
  </sheetData>
  <mergeCells count="53">
    <mergeCell ref="A31:F31"/>
    <mergeCell ref="A15:D15"/>
    <mergeCell ref="A19:D19"/>
    <mergeCell ref="A14:D14"/>
    <mergeCell ref="A1:J1"/>
    <mergeCell ref="A2:J2"/>
    <mergeCell ref="A4:J4"/>
    <mergeCell ref="A6:B6"/>
    <mergeCell ref="A7:B7"/>
    <mergeCell ref="C7:J7"/>
    <mergeCell ref="A9:H9"/>
    <mergeCell ref="A10:D10"/>
    <mergeCell ref="A11:D11"/>
    <mergeCell ref="A12:D12"/>
    <mergeCell ref="A13:D13"/>
    <mergeCell ref="A27:F27"/>
    <mergeCell ref="A28:F28"/>
    <mergeCell ref="A29:F29"/>
    <mergeCell ref="A30:F30"/>
    <mergeCell ref="A16:D16"/>
    <mergeCell ref="A17:D17"/>
    <mergeCell ref="A18:D18"/>
    <mergeCell ref="A20:D20"/>
    <mergeCell ref="A23:H23"/>
    <mergeCell ref="A24:F24"/>
    <mergeCell ref="A25:F25"/>
    <mergeCell ref="A26:F26"/>
    <mergeCell ref="A32:F32"/>
    <mergeCell ref="A39:F39"/>
    <mergeCell ref="A40:F40"/>
    <mergeCell ref="A43:H43"/>
    <mergeCell ref="A44:F44"/>
    <mergeCell ref="A33:F33"/>
    <mergeCell ref="A34:F34"/>
    <mergeCell ref="A35:F35"/>
    <mergeCell ref="A36:F36"/>
    <mergeCell ref="A37:F37"/>
    <mergeCell ref="A38:F38"/>
    <mergeCell ref="A60:D60"/>
    <mergeCell ref="A61:D61"/>
    <mergeCell ref="A53:D53"/>
    <mergeCell ref="A54:D54"/>
    <mergeCell ref="A55:D55"/>
    <mergeCell ref="A56:D56"/>
    <mergeCell ref="A57:D57"/>
    <mergeCell ref="A59:D59"/>
    <mergeCell ref="A58:D58"/>
    <mergeCell ref="A52:D52"/>
    <mergeCell ref="A45:F45"/>
    <mergeCell ref="A46:F46"/>
    <mergeCell ref="A47:F47"/>
    <mergeCell ref="A50:H50"/>
    <mergeCell ref="A51:D51"/>
  </mergeCells>
  <pageMargins left="0.70866141732283472" right="0.70866141732283472" top="0.78740157480314965" bottom="0.78740157480314965" header="0.31496062992125984" footer="0.31496062992125984"/>
  <pageSetup scale="85" orientation="portrait" r:id="rId1"/>
  <drawing r:id="rId2"/>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500-000000000000}">
  <sheetPr codeName="Hoja19">
    <tabColor rgb="FF00B050"/>
  </sheetPr>
  <dimension ref="A1:O67"/>
  <sheetViews>
    <sheetView topLeftCell="A41" workbookViewId="0">
      <selection activeCell="M48" sqref="M48"/>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15</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Fabricación, suministro e instalación de marcador de obstáculo vertical doble plano (figura 5-23 Resolución 20243040045005 de 17 de septiembre de 2024) 90X45 cm, material reflectivo Tipo XI Amarillo /verde fluorescente, película antigraffiti, en lámina galvanizada C-16 E=1,5 mm, pedestal en tubo galvanizado  de sección circular con diámetro interior de 2" y e=2 mm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
        <v>310</v>
      </c>
      <c r="B11" s="1559"/>
      <c r="C11" s="1559"/>
      <c r="D11" s="1560"/>
      <c r="E11" s="29" t="s">
        <v>202</v>
      </c>
      <c r="F11" s="30">
        <f>IFERROR(VLOOKUP(A11,'[10]EQUIPOS TRANSPOR SALARIO'!$A$3:$G$42,2,FALSE),0)</f>
        <v>0</v>
      </c>
      <c r="G11" s="31">
        <f>IFERROR(VLOOKUP(A11,'EQUIPOS '!$B$3:$N$55,12,FALSE),0)</f>
        <v>3779.5</v>
      </c>
      <c r="H11" s="32">
        <v>4.5</v>
      </c>
      <c r="I11" s="33">
        <f>IFERROR((G11/H11),0)</f>
        <v>839.88888888888891</v>
      </c>
      <c r="J11" s="33">
        <f>ROUND(I11,0)</f>
        <v>840</v>
      </c>
    </row>
    <row r="12" spans="1:10" s="20" customFormat="1" ht="13.9" customHeight="1" x14ac:dyDescent="0.25">
      <c r="A12" s="1558" t="s">
        <v>311</v>
      </c>
      <c r="B12" s="1559"/>
      <c r="C12" s="1559"/>
      <c r="D12" s="1560"/>
      <c r="E12" s="29" t="s">
        <v>202</v>
      </c>
      <c r="F12" s="30">
        <f>IFERROR(VLOOKUP(A12,'[10]EQUIPOS TRANSPOR SALARIO'!$A$3:$G$42,2,FALSE),0)</f>
        <v>0</v>
      </c>
      <c r="G12" s="31">
        <f>IFERROR(VLOOKUP(A12,'EQUIPOS '!$B$3:$N$55,12,FALSE),0)</f>
        <v>5174.01</v>
      </c>
      <c r="H12" s="32">
        <f>+H11</f>
        <v>4.5</v>
      </c>
      <c r="I12" s="33">
        <f t="shared" ref="I12:I19" si="0">IFERROR((G12/H12),0)</f>
        <v>1149.78</v>
      </c>
      <c r="J12" s="33">
        <f t="shared" ref="J12:J20" si="1">ROUND(I12,0)</f>
        <v>1150</v>
      </c>
    </row>
    <row r="13" spans="1:10" s="20" customFormat="1" ht="13.9" customHeight="1" x14ac:dyDescent="0.25">
      <c r="A13" s="1558" t="s">
        <v>149</v>
      </c>
      <c r="B13" s="1559"/>
      <c r="C13" s="1559"/>
      <c r="D13" s="1560"/>
      <c r="E13" s="29" t="s">
        <v>202</v>
      </c>
      <c r="F13" s="30" t="str">
        <f>IFERROR(VLOOKUP(A13,'[10]EQUIPOS TRANSPOR SALARIO'!$A$3:$G$42,2,FALSE),0)</f>
        <v>Electrostática</v>
      </c>
      <c r="G13" s="31">
        <f>IFERROR(VLOOKUP(A13,'EQUIPOS '!$B$3:$N$55,12,FALSE),0)</f>
        <v>4047.59</v>
      </c>
      <c r="H13" s="32">
        <f t="shared" ref="H13:H19" si="2">+H12</f>
        <v>4.5</v>
      </c>
      <c r="I13" s="33">
        <f t="shared" si="0"/>
        <v>899.46444444444444</v>
      </c>
      <c r="J13" s="33">
        <f t="shared" si="1"/>
        <v>899</v>
      </c>
    </row>
    <row r="14" spans="1:10" s="20" customFormat="1" ht="13.9" customHeight="1" x14ac:dyDescent="0.25">
      <c r="A14" s="1558" t="s">
        <v>150</v>
      </c>
      <c r="B14" s="1559"/>
      <c r="C14" s="1559"/>
      <c r="D14" s="1560"/>
      <c r="E14" s="29" t="s">
        <v>202</v>
      </c>
      <c r="F14" s="30">
        <f>IFERROR(VLOOKUP(A14,'[10]EQUIPOS TRANSPOR SALARIO'!$A$3:$G$42,2,FALSE),0)</f>
        <v>0</v>
      </c>
      <c r="G14" s="31">
        <f>IFERROR(VLOOKUP(A14,'EQUIPOS '!$B$3:$N$55,12,FALSE),0)</f>
        <v>4898</v>
      </c>
      <c r="H14" s="32">
        <f t="shared" si="2"/>
        <v>4.5</v>
      </c>
      <c r="I14" s="33">
        <f t="shared" si="0"/>
        <v>1088.4444444444443</v>
      </c>
      <c r="J14" s="33">
        <f t="shared" si="1"/>
        <v>1088</v>
      </c>
    </row>
    <row r="15" spans="1:10" s="20" customFormat="1" ht="13.9" customHeight="1" x14ac:dyDescent="0.25">
      <c r="A15" s="1558" t="s">
        <v>205</v>
      </c>
      <c r="B15" s="1559"/>
      <c r="C15" s="1559"/>
      <c r="D15" s="1560"/>
      <c r="E15" s="29" t="s">
        <v>202</v>
      </c>
      <c r="F15" s="30">
        <f>IFERROR(VLOOKUP(A15,'[10]EQUIPOS TRANSPOR SALARIO'!$A$3:$G$42,2,FALSE),0)</f>
        <v>0</v>
      </c>
      <c r="G15" s="31">
        <f>IFERROR(VLOOKUP(A15,'EQUIPOS '!$B$3:$N$55,12,FALSE),0)</f>
        <v>4862.5</v>
      </c>
      <c r="H15" s="32">
        <f t="shared" si="2"/>
        <v>4.5</v>
      </c>
      <c r="I15" s="33">
        <f>IFERROR((G15/H15),0)</f>
        <v>1080.5555555555557</v>
      </c>
      <c r="J15" s="33">
        <f>ROUND(I15,0)</f>
        <v>1081</v>
      </c>
    </row>
    <row r="16" spans="1:10" s="20" customFormat="1" ht="13.9" customHeight="1" x14ac:dyDescent="0.25">
      <c r="A16" s="1558" t="s">
        <v>2899</v>
      </c>
      <c r="B16" s="1559"/>
      <c r="C16" s="1559"/>
      <c r="D16" s="1560"/>
      <c r="E16" s="29" t="s">
        <v>202</v>
      </c>
      <c r="F16" s="30">
        <f>IFERROR(VLOOKUP(A16,'[10]EQUIPOS TRANSPOR SALARIO'!$A$3:$G$42,2,FALSE),0)</f>
        <v>0</v>
      </c>
      <c r="G16" s="31">
        <f>IFERROR(VLOOKUP(A16,'EQUIPOS '!$B$3:$N$55,12,FALSE),0)</f>
        <v>4701.8100000000004</v>
      </c>
      <c r="H16" s="32">
        <f t="shared" si="2"/>
        <v>4.5</v>
      </c>
      <c r="I16" s="33">
        <f>IFERROR((G16/H16),0)</f>
        <v>1044.8466666666668</v>
      </c>
      <c r="J16" s="33">
        <f>ROUND(I16,0)</f>
        <v>1045</v>
      </c>
    </row>
    <row r="17" spans="1:15" s="20" customFormat="1" ht="13.9" customHeight="1" x14ac:dyDescent="0.25">
      <c r="A17" s="1558" t="s">
        <v>176</v>
      </c>
      <c r="B17" s="1559"/>
      <c r="C17" s="1559"/>
      <c r="D17" s="1560"/>
      <c r="E17" s="29" t="s">
        <v>202</v>
      </c>
      <c r="F17" s="30" t="str">
        <f>IFERROR(VLOOKUP(A17,'[10]EQUIPOS TRANSPOR SALARIO'!$A$3:$G$42,2,FALSE),0)</f>
        <v>Eléctrico</v>
      </c>
      <c r="G17" s="31">
        <f>IFERROR(VLOOKUP(A17,'EQUIPOS '!$B$3:$N$55,12,FALSE),0)</f>
        <v>7999.94</v>
      </c>
      <c r="H17" s="32">
        <f t="shared" si="2"/>
        <v>4.5</v>
      </c>
      <c r="I17" s="33">
        <f>IFERROR((G17/H17),0)</f>
        <v>1777.7644444444443</v>
      </c>
      <c r="J17" s="33">
        <f>ROUND(I17,0)</f>
        <v>1778</v>
      </c>
    </row>
    <row r="18" spans="1:15" s="20" customFormat="1" ht="13.9" customHeight="1" x14ac:dyDescent="0.25">
      <c r="A18" s="1558" t="s">
        <v>2908</v>
      </c>
      <c r="B18" s="1559"/>
      <c r="C18" s="1559"/>
      <c r="D18" s="1560"/>
      <c r="E18" s="29" t="s">
        <v>202</v>
      </c>
      <c r="F18" s="30">
        <f>IFERROR(VLOOKUP(A18,'[10]EQUIPOS TRANSPOR SALARIO'!$A$3:$G$42,2,FALSE),0)</f>
        <v>0</v>
      </c>
      <c r="G18" s="31">
        <f>IFERROR(VLOOKUP(A18,'EQUIPOS '!$B$3:$N$55,12,FALSE),0)</f>
        <v>64227.08</v>
      </c>
      <c r="H18" s="32">
        <f t="shared" si="2"/>
        <v>4.5</v>
      </c>
      <c r="I18" s="33">
        <f>IFERROR((G18/H18),0)</f>
        <v>14272.684444444445</v>
      </c>
      <c r="J18" s="33">
        <f>ROUND(I18,0)</f>
        <v>14273</v>
      </c>
    </row>
    <row r="19" spans="1:15" s="20" customFormat="1" ht="13.9" customHeight="1" x14ac:dyDescent="0.25">
      <c r="A19" s="1558" t="s">
        <v>314</v>
      </c>
      <c r="B19" s="1559"/>
      <c r="C19" s="1559"/>
      <c r="D19" s="1560"/>
      <c r="E19" s="29" t="s">
        <v>202</v>
      </c>
      <c r="F19" s="30">
        <f>IFERROR(VLOOKUP(A19,'[10]EQUIPOS TRANSPOR SALARIO'!$A$3:$G$42,2,FALSE),0)</f>
        <v>0</v>
      </c>
      <c r="G19" s="31">
        <f>IFERROR(VLOOKUP(A19,'EQUIPOS '!$B$3:$N$55,12,FALSE),0)</f>
        <v>2821</v>
      </c>
      <c r="H19" s="32">
        <f t="shared" si="2"/>
        <v>4.5</v>
      </c>
      <c r="I19" s="33">
        <f t="shared" si="0"/>
        <v>626.88888888888891</v>
      </c>
      <c r="J19" s="33">
        <f t="shared" si="1"/>
        <v>627</v>
      </c>
    </row>
    <row r="20" spans="1:15" s="20" customFormat="1" ht="13.9" customHeight="1" x14ac:dyDescent="0.25">
      <c r="A20" s="1558" t="s">
        <v>330</v>
      </c>
      <c r="B20" s="1559"/>
      <c r="C20" s="1559"/>
      <c r="D20" s="1560"/>
      <c r="E20" s="29"/>
      <c r="F20" s="30"/>
      <c r="G20" s="74">
        <v>0.01</v>
      </c>
      <c r="H20" s="32"/>
      <c r="I20" s="33">
        <f>+G20*J63</f>
        <v>163.94</v>
      </c>
      <c r="J20" s="33">
        <f t="shared" si="1"/>
        <v>164</v>
      </c>
    </row>
    <row r="21" spans="1:15" s="20" customFormat="1" ht="13.9" customHeight="1" x14ac:dyDescent="0.25">
      <c r="A21" s="1558"/>
      <c r="B21" s="1559"/>
      <c r="C21" s="1559"/>
      <c r="D21" s="1560"/>
      <c r="E21" s="29"/>
      <c r="F21" s="30"/>
      <c r="G21" s="31"/>
      <c r="H21" s="32"/>
      <c r="I21" s="33"/>
      <c r="J21" s="33"/>
    </row>
    <row r="22" spans="1:15" s="20" customFormat="1" ht="13.9" customHeight="1" x14ac:dyDescent="0.25">
      <c r="A22" s="1558"/>
      <c r="B22" s="1559"/>
      <c r="C22" s="1559"/>
      <c r="D22" s="1560"/>
      <c r="E22" s="29"/>
      <c r="F22" s="30"/>
      <c r="G22" s="31"/>
      <c r="H22" s="32"/>
      <c r="I22" s="33"/>
      <c r="J22" s="33"/>
    </row>
    <row r="23" spans="1:15" s="20" customFormat="1" ht="13.9" customHeight="1" x14ac:dyDescent="0.25">
      <c r="I23" s="30" t="s">
        <v>257</v>
      </c>
      <c r="J23" s="34">
        <f>+SUM(J11:J22)</f>
        <v>22945</v>
      </c>
    </row>
    <row r="24" spans="1:15" s="20" customFormat="1" ht="13.9" customHeight="1" x14ac:dyDescent="0.25"/>
    <row r="25" spans="1:15" s="20" customFormat="1" ht="13.9" customHeight="1" x14ac:dyDescent="0.25">
      <c r="A25" s="1561" t="s">
        <v>263</v>
      </c>
      <c r="B25" s="1561"/>
      <c r="C25" s="1561"/>
      <c r="D25" s="1561"/>
      <c r="E25" s="1561"/>
      <c r="F25" s="1561"/>
      <c r="G25" s="1561"/>
      <c r="H25" s="1561"/>
      <c r="I25" s="27"/>
      <c r="L25" s="19"/>
    </row>
    <row r="26" spans="1:15" ht="13.9" customHeight="1" x14ac:dyDescent="0.25">
      <c r="A26" s="1565" t="s">
        <v>251</v>
      </c>
      <c r="B26" s="1566"/>
      <c r="C26" s="1566"/>
      <c r="D26" s="1566"/>
      <c r="E26" s="1566"/>
      <c r="F26" s="1567"/>
      <c r="G26" s="28" t="s">
        <v>252</v>
      </c>
      <c r="H26" s="28" t="s">
        <v>264</v>
      </c>
      <c r="I26" s="28" t="s">
        <v>256</v>
      </c>
      <c r="J26" s="28" t="s">
        <v>257</v>
      </c>
    </row>
    <row r="27" spans="1:15" ht="13.9" customHeight="1" x14ac:dyDescent="0.25">
      <c r="A27" s="1558" t="str">
        <f>+'INSUMOS '!B50</f>
        <v>LÁMINA GALVANIZADA C 16 E=1,50 mm</v>
      </c>
      <c r="B27" s="1559"/>
      <c r="C27" s="1559"/>
      <c r="D27" s="1559"/>
      <c r="E27" s="1559"/>
      <c r="F27" s="1560"/>
      <c r="G27" s="29" t="s">
        <v>12</v>
      </c>
      <c r="H27" s="35">
        <f>0.9*0.45</f>
        <v>0.40500000000000003</v>
      </c>
      <c r="I27" s="33">
        <f>+IFERROR(VLOOKUP(A27,'INSUMOS '!$B$2:$AP$167,'INSUMOS '!$AO$2+1,FALSE),0)</f>
        <v>85500.55</v>
      </c>
      <c r="J27" s="33">
        <f>ROUND(I27*H27,0)</f>
        <v>34628</v>
      </c>
      <c r="N27" s="1374">
        <f>H27*0.0015*7850</f>
        <v>4.7688750000000004</v>
      </c>
      <c r="O27" s="593" t="s">
        <v>106</v>
      </c>
    </row>
    <row r="28" spans="1:15" ht="29.25" customHeight="1" x14ac:dyDescent="0.25">
      <c r="A28" s="1568" t="str">
        <f>+'INSUMOS '!B125</f>
        <v>LÁMINA RETRORREFLECTIVA TIPO XI, NTC 4739, Color Amarillo/ verde Fluorescente de 123 cm de ancho por 45.7 metros de largo</v>
      </c>
      <c r="B28" s="1569"/>
      <c r="C28" s="1569"/>
      <c r="D28" s="1569"/>
      <c r="E28" s="1569"/>
      <c r="F28" s="1570"/>
      <c r="G28" s="29" t="s">
        <v>12</v>
      </c>
      <c r="H28" s="35">
        <f>+H27</f>
        <v>0.40500000000000003</v>
      </c>
      <c r="I28" s="33">
        <f>+IFERROR(VLOOKUP(A28,'INSUMOS '!$B$2:$AP$167,'INSUMOS '!$AO$2+1,FALSE),0)</f>
        <v>196248</v>
      </c>
      <c r="J28" s="33">
        <f t="shared" ref="J28:J39" si="3">ROUND(I28*H28,0)</f>
        <v>79480</v>
      </c>
      <c r="N28" s="1374">
        <f>H28*0.2/0.36</f>
        <v>0.22500000000000006</v>
      </c>
      <c r="O28" s="593" t="s">
        <v>90</v>
      </c>
    </row>
    <row r="29" spans="1:15" ht="13.5" customHeight="1" x14ac:dyDescent="0.25">
      <c r="A29" s="1558" t="str">
        <f>'INSUMOS '!B105</f>
        <v>TUBO GALVANIZADO DE 2" X 2,0 mm ESPESOR DE PARED</v>
      </c>
      <c r="B29" s="1559"/>
      <c r="C29" s="1559"/>
      <c r="D29" s="1559"/>
      <c r="E29" s="1559"/>
      <c r="F29" s="1560"/>
      <c r="G29" s="29" t="str">
        <f>+VLOOKUP(A29,'INSUMOS '!$B$3:$C$112,2,FALSE)</f>
        <v>M</v>
      </c>
      <c r="H29" s="35">
        <f>2.12+0.6</f>
        <v>2.72</v>
      </c>
      <c r="I29" s="33">
        <f>+IFERROR(VLOOKUP(A29,'INSUMOS '!$B$2:$AP$167,'INSUMOS '!$AO$2+1,FALSE),0)</f>
        <v>16939</v>
      </c>
      <c r="J29" s="33">
        <f t="shared" si="3"/>
        <v>46074</v>
      </c>
      <c r="N29" s="1374">
        <f>(((2*0.0254+0.004)^2*PI()/4)-(2*0.0254)^2*PI()/4)*7850*H29</f>
        <v>7.0835726374458501</v>
      </c>
      <c r="O29" s="593" t="s">
        <v>7315</v>
      </c>
    </row>
    <row r="30" spans="1:15" ht="13.9" customHeight="1" x14ac:dyDescent="0.25">
      <c r="A30" s="1558" t="str">
        <f>+'INSUMOS '!B8</f>
        <v>ÁNGULO METÁLICO DE 2"X2"X1/8" L=6M</v>
      </c>
      <c r="B30" s="1559"/>
      <c r="C30" s="1559"/>
      <c r="D30" s="1559"/>
      <c r="E30" s="1559"/>
      <c r="F30" s="1560"/>
      <c r="G30" s="29" t="str">
        <f>+VLOOKUP(A30,'INSUMOS '!$B$3:$C$112,2,FALSE)</f>
        <v>M</v>
      </c>
      <c r="H30" s="35">
        <v>0.15</v>
      </c>
      <c r="I30" s="33">
        <f>+IFERROR(VLOOKUP(A30,'INSUMOS '!$B$2:$AP$167,'INSUMOS '!$AO$2+1,FALSE),0)</f>
        <v>16804.093333333331</v>
      </c>
      <c r="J30" s="33">
        <f t="shared" si="3"/>
        <v>2521</v>
      </c>
      <c r="N30" s="1374">
        <f>4*0.0254*(0.0254/8)*H30*7850</f>
        <v>0.37983794999999998</v>
      </c>
      <c r="O30" s="593" t="s">
        <v>156</v>
      </c>
    </row>
    <row r="31" spans="1:15" ht="13.9" customHeight="1" x14ac:dyDescent="0.25">
      <c r="A31" s="1558" t="str">
        <f>+'INSUMOS '!B102</f>
        <v>TORNILLOS 5/16 ZINCADO  (INCLUYE TUERCA DE SEGURIDAD Y ARANDELA)</v>
      </c>
      <c r="B31" s="1559"/>
      <c r="C31" s="1559"/>
      <c r="D31" s="1559"/>
      <c r="E31" s="1559"/>
      <c r="F31" s="1560"/>
      <c r="G31" s="29" t="str">
        <f>+VLOOKUP(A31,'INSUMOS '!$B$3:$C$112,2,FALSE)</f>
        <v>UN</v>
      </c>
      <c r="H31" s="35">
        <f>4</f>
        <v>4</v>
      </c>
      <c r="I31" s="33">
        <f>+IFERROR(VLOOKUP(A31,'INSUMOS '!$B$2:$AP$167,'INSUMOS '!$AO$2+1,FALSE),0)</f>
        <v>1747.5</v>
      </c>
      <c r="J31" s="33">
        <f t="shared" si="3"/>
        <v>6990</v>
      </c>
      <c r="N31" s="1374">
        <f>H31*0.3/4</f>
        <v>0.3</v>
      </c>
      <c r="O31" s="593" t="s">
        <v>42</v>
      </c>
    </row>
    <row r="32" spans="1:15" ht="13.9" customHeight="1" x14ac:dyDescent="0.25">
      <c r="A32" s="1558" t="str">
        <f>+'INSUMOS '!B88</f>
        <v>REMACHES CON ARANDELAS DE 4*10 MM</v>
      </c>
      <c r="B32" s="1559"/>
      <c r="C32" s="1559"/>
      <c r="D32" s="1559"/>
      <c r="E32" s="1559"/>
      <c r="F32" s="1560"/>
      <c r="G32" s="29" t="str">
        <f>+VLOOKUP(A32,'INSUMOS '!$B$3:$C$112,2,FALSE)</f>
        <v>UN</v>
      </c>
      <c r="H32" s="35">
        <v>4</v>
      </c>
      <c r="I32" s="33">
        <f>+IFERROR(VLOOKUP(A32,'INSUMOS '!$B$2:$AP$167,'INSUMOS '!$AO$2+1,FALSE),0)</f>
        <v>170</v>
      </c>
      <c r="J32" s="33">
        <f t="shared" si="3"/>
        <v>680</v>
      </c>
      <c r="N32" s="1374">
        <f>H32/4*0.1</f>
        <v>0.1</v>
      </c>
      <c r="O32" s="593" t="s">
        <v>43</v>
      </c>
    </row>
    <row r="33" spans="1:15" ht="13.9" customHeight="1" x14ac:dyDescent="0.25">
      <c r="A33" s="1558" t="str">
        <f>+'INSUMOS '!B94</f>
        <v xml:space="preserve">STEAKER 15 X 15 CM EN PAPEL REFLECTIVO TIPO IV O SUPERIOR </v>
      </c>
      <c r="B33" s="1559"/>
      <c r="C33" s="1559"/>
      <c r="D33" s="1559"/>
      <c r="E33" s="1559"/>
      <c r="F33" s="1560"/>
      <c r="G33" s="29" t="str">
        <f>+VLOOKUP(A33,'INSUMOS '!$B$3:$C$112,2,FALSE)</f>
        <v>UN</v>
      </c>
      <c r="H33" s="35">
        <v>1</v>
      </c>
      <c r="I33" s="33">
        <f>+IFERROR(VLOOKUP(A33,'INSUMOS '!$B$2:$AP$167,'INSUMOS '!$AO$2+1,FALSE),0)</f>
        <v>2500</v>
      </c>
      <c r="J33" s="33">
        <f t="shared" si="3"/>
        <v>2500</v>
      </c>
      <c r="N33" s="1375">
        <f>H33*0.05</f>
        <v>0.05</v>
      </c>
      <c r="O33" s="593" t="s">
        <v>92</v>
      </c>
    </row>
    <row r="34" spans="1:15" ht="13.9" customHeight="1" x14ac:dyDescent="0.25">
      <c r="A34" s="1558" t="str">
        <f>+'INSUMOS '!B67</f>
        <v xml:space="preserve">PELÍCULA ANTIGRAFITTI </v>
      </c>
      <c r="B34" s="1559"/>
      <c r="C34" s="1559"/>
      <c r="D34" s="1559"/>
      <c r="E34" s="1559"/>
      <c r="F34" s="1560"/>
      <c r="G34" s="29" t="s">
        <v>12</v>
      </c>
      <c r="H34" s="37">
        <f>+H27</f>
        <v>0.40500000000000003</v>
      </c>
      <c r="I34" s="33">
        <f>+IFERROR(VLOOKUP(A34,'INSUMOS '!$B$2:$AP$167,'INSUMOS '!$AO$2+1,FALSE),0)</f>
        <v>65174.538799999995</v>
      </c>
      <c r="J34" s="33">
        <f t="shared" si="3"/>
        <v>26396</v>
      </c>
      <c r="N34" s="1374">
        <f>H34/0.36*0.3</f>
        <v>0.33750000000000008</v>
      </c>
      <c r="O34" s="593" t="s">
        <v>89</v>
      </c>
    </row>
    <row r="35" spans="1:15" ht="13.9" customHeight="1" x14ac:dyDescent="0.25">
      <c r="A35" s="1558" t="str">
        <f>+'INSUMOS '!B73</f>
        <v>PINTURA ELECTROSTÁTICA M2</v>
      </c>
      <c r="B35" s="1559"/>
      <c r="C35" s="1559"/>
      <c r="D35" s="1559"/>
      <c r="E35" s="1559"/>
      <c r="F35" s="1560"/>
      <c r="G35" s="29" t="str">
        <f>+VLOOKUP(A35,'INSUMOS '!$B$3:$C$112,2,FALSE)</f>
        <v>KG</v>
      </c>
      <c r="H35" s="37">
        <f>((0.0254*2+0.004)*PI()*H29+H27+8*0.0254*H30+3*0.0588^2*PI()/4)/3</f>
        <v>0.30396654521721694</v>
      </c>
      <c r="I35" s="33">
        <f>+IFERROR(VLOOKUP(A35,'INSUMOS '!$B$2:$AP$167,'INSUMOS '!$AO$2+1,FALSE),0)</f>
        <v>26664.5</v>
      </c>
      <c r="J35" s="33">
        <f t="shared" si="3"/>
        <v>8105</v>
      </c>
      <c r="N35" s="1374">
        <f>H35</f>
        <v>0.30396654521721694</v>
      </c>
      <c r="O35" s="593" t="s">
        <v>334</v>
      </c>
    </row>
    <row r="36" spans="1:15" ht="13.9" customHeight="1" x14ac:dyDescent="0.25">
      <c r="A36" s="1558" t="str">
        <f>+'INSUMOS '!B100</f>
        <v>TINTA TRASLUCIDA PARA CINTA REFLECTIVA</v>
      </c>
      <c r="B36" s="1559"/>
      <c r="C36" s="1559"/>
      <c r="D36" s="1559"/>
      <c r="E36" s="1559"/>
      <c r="F36" s="1560"/>
      <c r="G36" s="29" t="str">
        <f>+VLOOKUP(A36,'INSUMOS '!$B$3:$C$112,2,FALSE)</f>
        <v>LB</v>
      </c>
      <c r="H36" s="35">
        <f>H27/3.44*0.22</f>
        <v>2.5901162790697679E-2</v>
      </c>
      <c r="I36" s="33">
        <f>+IFERROR(VLOOKUP(A36,'INSUMOS '!$B$2:$AP$167,'INSUMOS '!$AO$2+1,FALSE),0)</f>
        <v>440873.77039999992</v>
      </c>
      <c r="J36" s="33">
        <f t="shared" si="3"/>
        <v>11419</v>
      </c>
      <c r="N36" s="1405">
        <f>H36*0.454</f>
        <v>1.1759127906976747E-2</v>
      </c>
      <c r="O36" s="593" t="s">
        <v>45</v>
      </c>
    </row>
    <row r="37" spans="1:15" ht="13.9" customHeight="1" x14ac:dyDescent="0.25">
      <c r="A37" s="1697" t="str">
        <f>+'INSUMOS '!B28</f>
        <v>CONCRETO  HIDRAULICO 2500 PSI 17 MPA (175 KG/CM2)</v>
      </c>
      <c r="B37" s="1559"/>
      <c r="C37" s="1559"/>
      <c r="D37" s="1559"/>
      <c r="E37" s="1559"/>
      <c r="F37" s="1560"/>
      <c r="G37" s="29" t="s">
        <v>3</v>
      </c>
      <c r="H37" s="37">
        <f>+PI()*0.25*0.25/4*0.55</f>
        <v>2.6998061866787288E-2</v>
      </c>
      <c r="I37" s="33">
        <f>+IFERROR(VLOOKUP(A37,'INSUMOS '!$B$2:$AP$167,'INSUMOS '!$AO$2+1,FALSE),0)</f>
        <v>486142</v>
      </c>
      <c r="J37" s="33">
        <f t="shared" si="3"/>
        <v>13125</v>
      </c>
      <c r="N37" s="1374">
        <f>H37*2400</f>
        <v>64.795348480289491</v>
      </c>
      <c r="O37" s="593" t="s">
        <v>98</v>
      </c>
    </row>
    <row r="38" spans="1:15" ht="13.9" customHeight="1" x14ac:dyDescent="0.25">
      <c r="A38" s="1558" t="str">
        <f>+'INSUMOS '!B93</f>
        <v>SOLDADURA ELECTRICA  E 6013 O SIMILAR</v>
      </c>
      <c r="B38" s="1559"/>
      <c r="C38" s="1559"/>
      <c r="D38" s="1559"/>
      <c r="E38" s="1559"/>
      <c r="F38" s="1560"/>
      <c r="G38" s="29" t="str">
        <f>+VLOOKUP(A38,'INSUMOS '!$B$3:$C$112,2,FALSE)</f>
        <v>KG</v>
      </c>
      <c r="H38" s="37">
        <f>0.005^2/2*(6*0.0588*PI())*7850</f>
        <v>0.10875722527829824</v>
      </c>
      <c r="I38" s="33">
        <f>+IFERROR(VLOOKUP(A38,'INSUMOS '!$B$2:$AP$167,'INSUMOS '!$AO$2+1,FALSE),0)</f>
        <v>19163.666666666668</v>
      </c>
      <c r="J38" s="33">
        <f t="shared" si="3"/>
        <v>2084</v>
      </c>
      <c r="N38" s="1374">
        <f>H38</f>
        <v>0.10875722527829824</v>
      </c>
      <c r="O38" s="593" t="s">
        <v>87</v>
      </c>
    </row>
    <row r="39" spans="1:15" ht="13.9" customHeight="1" x14ac:dyDescent="0.25">
      <c r="A39" s="1558" t="str">
        <f>+'INSUMOS '!B21</f>
        <v>BROCA PARA METAL 1/2"</v>
      </c>
      <c r="B39" s="1559"/>
      <c r="C39" s="1559"/>
      <c r="D39" s="1559"/>
      <c r="E39" s="1559"/>
      <c r="F39" s="1560"/>
      <c r="G39" s="29" t="str">
        <f>+VLOOKUP(A39,'INSUMOS '!$B$3:$C$112,2,FALSE)</f>
        <v>UN</v>
      </c>
      <c r="H39" s="35">
        <v>0.01</v>
      </c>
      <c r="I39" s="33">
        <f>+IFERROR(VLOOKUP(A39,'INSUMOS '!$B$2:$AP$167,'INSUMOS '!$AO$2+1,FALSE),0)</f>
        <v>31741.5</v>
      </c>
      <c r="J39" s="33">
        <f t="shared" si="3"/>
        <v>317</v>
      </c>
      <c r="N39" s="1374">
        <f>H39*0.106</f>
        <v>1.06E-3</v>
      </c>
      <c r="O39" s="593" t="s">
        <v>26</v>
      </c>
    </row>
    <row r="40" spans="1:15" ht="13.9" customHeight="1" x14ac:dyDescent="0.25">
      <c r="A40" s="1558" t="str">
        <f>+'INSUMOS '!B50</f>
        <v>LÁMINA GALVANIZADA C 16 E=1,50 mm</v>
      </c>
      <c r="B40" s="1559"/>
      <c r="C40" s="1559"/>
      <c r="D40" s="1559"/>
      <c r="E40" s="1559"/>
      <c r="F40" s="1560"/>
      <c r="G40" s="29" t="s">
        <v>12</v>
      </c>
      <c r="H40" s="606">
        <f>0.0588^2*PI()/4*3</f>
        <v>8.1464010781706203E-3</v>
      </c>
      <c r="I40" s="33">
        <f>+IFERROR(VLOOKUP(A40,'INSUMOS '!$B$2:$AP$167,'INSUMOS '!$AO$2+1,FALSE),0)</f>
        <v>85500.55</v>
      </c>
      <c r="J40" s="33">
        <f>ROUND(I40*H40,0)</f>
        <v>697</v>
      </c>
      <c r="N40" s="1374">
        <f>H40*0.0015*7850</f>
        <v>9.5923872695459059E-2</v>
      </c>
      <c r="O40" s="593" t="s">
        <v>106</v>
      </c>
    </row>
    <row r="41" spans="1:15" ht="13.9" customHeight="1" x14ac:dyDescent="0.25">
      <c r="A41" s="1558" t="s">
        <v>2901</v>
      </c>
      <c r="B41" s="1559"/>
      <c r="C41" s="1559"/>
      <c r="D41" s="1559"/>
      <c r="E41" s="1559"/>
      <c r="F41" s="1560"/>
      <c r="G41" s="29"/>
      <c r="H41" s="1410">
        <v>0.05</v>
      </c>
      <c r="I41" s="33">
        <f>+SUM(J27:J38)</f>
        <v>234002</v>
      </c>
      <c r="J41" s="33">
        <f>ROUND(I41*H41,0)</f>
        <v>11700</v>
      </c>
    </row>
    <row r="42" spans="1:15" ht="13.9" customHeight="1" x14ac:dyDescent="0.25">
      <c r="A42" s="20"/>
      <c r="B42" s="20"/>
      <c r="C42" s="20"/>
      <c r="D42" s="20"/>
      <c r="E42" s="20"/>
      <c r="G42" s="20"/>
      <c r="H42" s="20"/>
      <c r="I42" s="30" t="s">
        <v>257</v>
      </c>
      <c r="J42" s="34">
        <f>+SUM(J27:J41)</f>
        <v>246716</v>
      </c>
      <c r="N42" s="1376">
        <f>SUM(N27:N40)</f>
        <v>78.561600838833286</v>
      </c>
    </row>
    <row r="43" spans="1:15" ht="13.9" customHeight="1" x14ac:dyDescent="0.25"/>
    <row r="44" spans="1:15" ht="13.9" customHeight="1" x14ac:dyDescent="0.25">
      <c r="A44" s="1561" t="s">
        <v>267</v>
      </c>
      <c r="B44" s="1561"/>
      <c r="C44" s="1561"/>
      <c r="D44" s="1561"/>
      <c r="E44" s="1561"/>
      <c r="F44" s="1561"/>
      <c r="G44" s="1561"/>
      <c r="H44" s="1561"/>
      <c r="I44" s="27"/>
    </row>
    <row r="45" spans="1:15" ht="13.9" customHeight="1" x14ac:dyDescent="0.25">
      <c r="A45" s="1562" t="s">
        <v>268</v>
      </c>
      <c r="B45" s="1563"/>
      <c r="C45" s="1563"/>
      <c r="D45" s="1563"/>
      <c r="E45" s="1563"/>
      <c r="F45" s="1564"/>
      <c r="G45" s="38" t="s">
        <v>255</v>
      </c>
      <c r="H45" s="28" t="s">
        <v>269</v>
      </c>
      <c r="I45" s="28" t="s">
        <v>256</v>
      </c>
      <c r="J45" s="28" t="s">
        <v>257</v>
      </c>
    </row>
    <row r="46" spans="1:15" ht="13.9" customHeight="1" x14ac:dyDescent="0.25">
      <c r="A46" s="1558" t="str">
        <f>+'EQUIPOS '!B6</f>
        <v>CAMION INCLUYE CONDUCTOR</v>
      </c>
      <c r="B46" s="1559"/>
      <c r="C46" s="1559"/>
      <c r="D46" s="1559"/>
      <c r="E46" s="1559"/>
      <c r="F46" s="1560"/>
      <c r="G46" s="1488">
        <f>(N42/1000)/12</f>
        <v>6.5468000699027739E-3</v>
      </c>
      <c r="H46" s="31">
        <f>+IFERROR(VLOOKUP(A46,'EQUIPOS '!$B$3:$N$55,12,FALSE),0)</f>
        <v>611492.5</v>
      </c>
      <c r="I46" s="33">
        <f>IFERROR(H46*G46,0)</f>
        <v>4003.3191417450221</v>
      </c>
      <c r="J46" s="33">
        <f>ROUND(I46,0)</f>
        <v>4003</v>
      </c>
    </row>
    <row r="47" spans="1:15" ht="13.9" customHeight="1" x14ac:dyDescent="0.25">
      <c r="A47" s="1558"/>
      <c r="B47" s="1559"/>
      <c r="C47" s="1559"/>
      <c r="D47" s="1559"/>
      <c r="E47" s="1559"/>
      <c r="F47" s="1560"/>
      <c r="G47" s="29"/>
      <c r="H47" s="33"/>
      <c r="I47" s="33"/>
      <c r="J47" s="33"/>
    </row>
    <row r="48" spans="1:15" ht="13.9" customHeight="1" x14ac:dyDescent="0.25">
      <c r="A48" s="1558"/>
      <c r="B48" s="1559"/>
      <c r="C48" s="1559"/>
      <c r="D48" s="1559"/>
      <c r="E48" s="1559"/>
      <c r="F48" s="1560"/>
      <c r="G48" s="29"/>
      <c r="H48" s="33"/>
      <c r="I48" s="33"/>
      <c r="J48" s="33"/>
    </row>
    <row r="49" spans="1:10" ht="13.9" customHeight="1" x14ac:dyDescent="0.25">
      <c r="G49" s="39"/>
      <c r="H49" s="39"/>
      <c r="I49" s="30" t="s">
        <v>257</v>
      </c>
      <c r="J49" s="33">
        <f>+SUM(J46:J48)</f>
        <v>4003</v>
      </c>
    </row>
    <row r="50" spans="1:10" ht="13.9" customHeight="1" x14ac:dyDescent="0.25"/>
    <row r="51" spans="1:10" ht="13.9" customHeight="1" x14ac:dyDescent="0.25">
      <c r="A51" s="1561" t="s">
        <v>270</v>
      </c>
      <c r="B51" s="1561"/>
      <c r="C51" s="1561"/>
      <c r="D51" s="1561"/>
      <c r="E51" s="1561"/>
      <c r="F51" s="1561"/>
      <c r="G51" s="1561"/>
      <c r="H51" s="1561"/>
      <c r="I51" s="27"/>
    </row>
    <row r="52" spans="1:10" s="39" customFormat="1" ht="13.9" customHeight="1" x14ac:dyDescent="0.25">
      <c r="A52" s="1562" t="s">
        <v>271</v>
      </c>
      <c r="B52" s="1563"/>
      <c r="C52" s="1563"/>
      <c r="D52" s="1564"/>
      <c r="E52" s="28" t="s">
        <v>272</v>
      </c>
      <c r="F52" s="28" t="s">
        <v>264</v>
      </c>
      <c r="G52" s="28" t="s">
        <v>273</v>
      </c>
      <c r="H52" s="28" t="s">
        <v>255</v>
      </c>
      <c r="I52" s="28" t="s">
        <v>256</v>
      </c>
      <c r="J52" s="28" t="s">
        <v>257</v>
      </c>
    </row>
    <row r="53" spans="1:10" s="39" customFormat="1" ht="13.9" customHeight="1" x14ac:dyDescent="0.25">
      <c r="A53" s="1571" t="s">
        <v>129</v>
      </c>
      <c r="B53" s="1572"/>
      <c r="C53" s="1572"/>
      <c r="D53" s="1573"/>
      <c r="E53" s="609">
        <f>+IFERROR(VLOOKUP(A53,PERSONAL!$B$3:$E$56,4,FALSE),0)</f>
        <v>110344</v>
      </c>
      <c r="F53" s="601">
        <v>1</v>
      </c>
      <c r="G53" s="609">
        <f>+E53*F53</f>
        <v>110344</v>
      </c>
      <c r="H53" s="54">
        <v>60</v>
      </c>
      <c r="I53" s="55">
        <f>IFERROR(ROUND(G53/H53,0),0)</f>
        <v>1839</v>
      </c>
      <c r="J53" s="55">
        <f>+I53</f>
        <v>1839</v>
      </c>
    </row>
    <row r="54" spans="1:10" s="39" customFormat="1" ht="13.9" customHeight="1" x14ac:dyDescent="0.25">
      <c r="A54" s="1571" t="s">
        <v>130</v>
      </c>
      <c r="B54" s="1572"/>
      <c r="C54" s="1572"/>
      <c r="D54" s="1573"/>
      <c r="E54" s="609">
        <f>+IFERROR(VLOOKUP(A54,PERSONAL!$B$3:$E$56,4,FALSE),0)</f>
        <v>100054</v>
      </c>
      <c r="F54" s="601">
        <v>1</v>
      </c>
      <c r="G54" s="609">
        <f t="shared" ref="G54:G57" si="4">+E54*F54</f>
        <v>100054</v>
      </c>
      <c r="H54" s="54">
        <v>60</v>
      </c>
      <c r="I54" s="55">
        <f t="shared" ref="I54:I57" si="5">IFERROR(ROUND(G54/H54,0),0)</f>
        <v>1668</v>
      </c>
      <c r="J54" s="55">
        <f t="shared" ref="J54:J57" si="6">+I54</f>
        <v>1668</v>
      </c>
    </row>
    <row r="55" spans="1:10" s="39" customFormat="1" ht="13.9" customHeight="1" x14ac:dyDescent="0.25">
      <c r="A55" s="1571" t="s">
        <v>131</v>
      </c>
      <c r="B55" s="1572"/>
      <c r="C55" s="1572"/>
      <c r="D55" s="1573"/>
      <c r="E55" s="609">
        <f>+IFERROR(VLOOKUP(A55,PERSONAL!$B$3:$E$56,4,FALSE),0)</f>
        <v>91275</v>
      </c>
      <c r="F55" s="601">
        <v>1</v>
      </c>
      <c r="G55" s="609">
        <f t="shared" si="4"/>
        <v>91275</v>
      </c>
      <c r="H55" s="54">
        <v>60</v>
      </c>
      <c r="I55" s="55">
        <f t="shared" si="5"/>
        <v>1521</v>
      </c>
      <c r="J55" s="55">
        <f t="shared" si="6"/>
        <v>1521</v>
      </c>
    </row>
    <row r="56" spans="1:10" s="39" customFormat="1" ht="13.9" customHeight="1" x14ac:dyDescent="0.25">
      <c r="A56" s="1571" t="s">
        <v>178</v>
      </c>
      <c r="B56" s="1572"/>
      <c r="C56" s="1572"/>
      <c r="D56" s="1573"/>
      <c r="E56" s="1412">
        <f>+IFERROR(VLOOKUP(A56,PERSONAL!$B$3:$E$56,4,FALSE),0)</f>
        <v>166031</v>
      </c>
      <c r="F56" s="601">
        <v>1</v>
      </c>
      <c r="G56" s="1412">
        <f t="shared" si="4"/>
        <v>166031</v>
      </c>
      <c r="H56" s="54">
        <v>48</v>
      </c>
      <c r="I56" s="1398">
        <f t="shared" si="5"/>
        <v>3459</v>
      </c>
      <c r="J56" s="1398">
        <f t="shared" si="6"/>
        <v>3459</v>
      </c>
    </row>
    <row r="57" spans="1:10" s="39" customFormat="1" ht="13.9" customHeight="1" x14ac:dyDescent="0.25">
      <c r="A57" s="1571" t="s">
        <v>127</v>
      </c>
      <c r="B57" s="1572"/>
      <c r="C57" s="1572"/>
      <c r="D57" s="1573"/>
      <c r="E57" s="1412">
        <f>+IFERROR(VLOOKUP(A57,PERSONAL!$B$3:$E$56,4,FALSE),0)</f>
        <v>72476</v>
      </c>
      <c r="F57" s="601">
        <v>4</v>
      </c>
      <c r="G57" s="1412">
        <f t="shared" si="4"/>
        <v>289904</v>
      </c>
      <c r="H57" s="54">
        <v>48</v>
      </c>
      <c r="I57" s="1398">
        <f t="shared" si="5"/>
        <v>6040</v>
      </c>
      <c r="J57" s="1398">
        <f t="shared" si="6"/>
        <v>6040</v>
      </c>
    </row>
    <row r="58" spans="1:10" s="39" customFormat="1" ht="13.9" customHeight="1" x14ac:dyDescent="0.25">
      <c r="A58" s="1571" t="s">
        <v>143</v>
      </c>
      <c r="B58" s="1572"/>
      <c r="C58" s="1572"/>
      <c r="D58" s="1573"/>
      <c r="E58" s="1412">
        <f>+IFERROR(VLOOKUP(A58,PERSONAL!$B$3:$E$56,4,FALSE),0)</f>
        <v>89632</v>
      </c>
      <c r="F58" s="601">
        <v>1</v>
      </c>
      <c r="G58" s="1412">
        <f>+E58*F58</f>
        <v>89632</v>
      </c>
      <c r="H58" s="54">
        <v>48</v>
      </c>
      <c r="I58" s="1398">
        <f>IFERROR(ROUND(G58/H58,0),0)</f>
        <v>1867</v>
      </c>
      <c r="J58" s="1398">
        <f>+I58</f>
        <v>1867</v>
      </c>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s="39" customFormat="1" ht="13.9" customHeight="1" x14ac:dyDescent="0.25">
      <c r="A61" s="1558"/>
      <c r="B61" s="1559"/>
      <c r="C61" s="1559"/>
      <c r="D61" s="1560"/>
      <c r="E61" s="40"/>
      <c r="F61" s="30"/>
      <c r="G61" s="40"/>
      <c r="H61" s="35"/>
      <c r="I61" s="33"/>
      <c r="J61" s="33"/>
    </row>
    <row r="62" spans="1:10" s="39" customFormat="1" ht="13.9" customHeight="1" x14ac:dyDescent="0.25">
      <c r="A62" s="1558"/>
      <c r="B62" s="1559"/>
      <c r="C62" s="1559"/>
      <c r="D62" s="1560"/>
      <c r="E62" s="40"/>
      <c r="F62" s="30"/>
      <c r="G62" s="40"/>
      <c r="H62" s="35"/>
      <c r="I62" s="33"/>
      <c r="J62" s="33"/>
    </row>
    <row r="63" spans="1:10" ht="13.9" customHeight="1" x14ac:dyDescent="0.25">
      <c r="A63" s="20"/>
      <c r="B63" s="20"/>
      <c r="C63" s="20"/>
      <c r="E63" s="20"/>
      <c r="F63" s="20"/>
      <c r="G63" s="20"/>
      <c r="H63" s="20"/>
      <c r="I63" s="30" t="s">
        <v>257</v>
      </c>
      <c r="J63" s="34">
        <f>+SUM(J53:J62)</f>
        <v>16394</v>
      </c>
    </row>
    <row r="64" spans="1:10" ht="13.9" customHeight="1" x14ac:dyDescent="0.25"/>
    <row r="65" spans="5:10" ht="13.9" customHeight="1" x14ac:dyDescent="0.25">
      <c r="E65" s="41" t="s">
        <v>276</v>
      </c>
      <c r="I65" s="42">
        <f>+J63+J49+J42+J23</f>
        <v>290058</v>
      </c>
      <c r="J65" s="43"/>
    </row>
    <row r="66" spans="5:10" ht="13.9" customHeight="1" x14ac:dyDescent="0.25"/>
    <row r="67" spans="5:10" ht="14.1" customHeight="1" x14ac:dyDescent="0.25"/>
  </sheetData>
  <mergeCells count="54">
    <mergeCell ref="A15:D15"/>
    <mergeCell ref="A16:D16"/>
    <mergeCell ref="A32:F32"/>
    <mergeCell ref="A14:D14"/>
    <mergeCell ref="A1:J1"/>
    <mergeCell ref="A2:J2"/>
    <mergeCell ref="A4:J4"/>
    <mergeCell ref="A6:B6"/>
    <mergeCell ref="A7:B7"/>
    <mergeCell ref="C7:J7"/>
    <mergeCell ref="A9:H9"/>
    <mergeCell ref="A10:D10"/>
    <mergeCell ref="A11:D11"/>
    <mergeCell ref="A12:D12"/>
    <mergeCell ref="A13:D13"/>
    <mergeCell ref="A27:F27"/>
    <mergeCell ref="A28:F28"/>
    <mergeCell ref="A29:F29"/>
    <mergeCell ref="A30:F30"/>
    <mergeCell ref="A31:F31"/>
    <mergeCell ref="A19:D19"/>
    <mergeCell ref="A21:D21"/>
    <mergeCell ref="A22:D22"/>
    <mergeCell ref="A25:H25"/>
    <mergeCell ref="A26:F26"/>
    <mergeCell ref="A20:D20"/>
    <mergeCell ref="A36:F36"/>
    <mergeCell ref="A37:F37"/>
    <mergeCell ref="A38:F38"/>
    <mergeCell ref="A39:F39"/>
    <mergeCell ref="A40:F40"/>
    <mergeCell ref="A62:D62"/>
    <mergeCell ref="A55:D55"/>
    <mergeCell ref="A56:D56"/>
    <mergeCell ref="A57:D57"/>
    <mergeCell ref="A58:D58"/>
    <mergeCell ref="A59:D59"/>
    <mergeCell ref="A60:D60"/>
    <mergeCell ref="A17:D17"/>
    <mergeCell ref="A18:D18"/>
    <mergeCell ref="A61:D61"/>
    <mergeCell ref="A54:D54"/>
    <mergeCell ref="A34:F34"/>
    <mergeCell ref="A35:F35"/>
    <mergeCell ref="A41:F41"/>
    <mergeCell ref="A44:H44"/>
    <mergeCell ref="A45:F45"/>
    <mergeCell ref="A46:F46"/>
    <mergeCell ref="A47:F47"/>
    <mergeCell ref="A48:F48"/>
    <mergeCell ref="A51:H51"/>
    <mergeCell ref="A52:D52"/>
    <mergeCell ref="A53:D53"/>
    <mergeCell ref="A33:F33"/>
  </mergeCells>
  <pageMargins left="0.70866141732283472" right="0.70866141732283472" top="0.78740157480314965" bottom="0.78740157480314965" header="0.31496062992125984" footer="0.31496062992125984"/>
  <pageSetup scale="85" orientation="portrait" r:id="rId1"/>
  <drawing r:id="rId2"/>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600-000000000000}">
  <sheetPr codeName="Hoja18">
    <tabColor rgb="FF00B050"/>
  </sheetPr>
  <dimension ref="A1:O67"/>
  <sheetViews>
    <sheetView topLeftCell="A56" workbookViewId="0">
      <selection activeCell="G46" sqref="G4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customWidth="1"/>
    <col min="10" max="10" width="12" style="19" customWidth="1"/>
    <col min="11"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14</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Fabricación, suministro e instalación de delineador doble de curva horizontal de  51 x 66 cm (figura 5-14 Resolución 20243040045005 de 17 de septiembre de 2024), material reflectivo Tipo XI amarillo / verde fluorescente, película antigraffiti, en lámina galvanizada C-16 E=1,5 mm, pedestal en tubo galvanizado  de sección circular con diámetro interior de 2" y e=2 mm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3"/>
      <c r="E10" s="28" t="s">
        <v>252</v>
      </c>
      <c r="F10" s="28" t="s">
        <v>253</v>
      </c>
      <c r="G10" s="28" t="s">
        <v>254</v>
      </c>
      <c r="H10" s="28" t="s">
        <v>255</v>
      </c>
      <c r="I10" s="28" t="s">
        <v>256</v>
      </c>
      <c r="J10" s="28" t="s">
        <v>257</v>
      </c>
    </row>
    <row r="11" spans="1:10" s="20" customFormat="1" ht="13.9" customHeight="1" x14ac:dyDescent="0.25">
      <c r="A11" s="1558" t="s">
        <v>310</v>
      </c>
      <c r="B11" s="1559"/>
      <c r="C11" s="1559"/>
      <c r="D11" s="1560"/>
      <c r="E11" s="92" t="s">
        <v>202</v>
      </c>
      <c r="F11" s="92"/>
      <c r="G11" s="31">
        <f>IFERROR(VLOOKUP(A11,'EQUIPOS '!$B$3:$N$55,12,FALSE),0)</f>
        <v>3779.5</v>
      </c>
      <c r="H11" s="32">
        <v>4</v>
      </c>
      <c r="I11" s="33">
        <f t="shared" ref="I11:I19" si="0">IFERROR((G11/H11),0)</f>
        <v>944.875</v>
      </c>
      <c r="J11" s="33">
        <f>ROUND(I11,0)</f>
        <v>945</v>
      </c>
    </row>
    <row r="12" spans="1:10" s="20" customFormat="1" ht="13.9" customHeight="1" x14ac:dyDescent="0.25">
      <c r="A12" s="1558" t="s">
        <v>311</v>
      </c>
      <c r="B12" s="1559"/>
      <c r="C12" s="1559"/>
      <c r="D12" s="1560"/>
      <c r="E12" s="92" t="s">
        <v>202</v>
      </c>
      <c r="F12" s="92"/>
      <c r="G12" s="31">
        <f>IFERROR(VLOOKUP(A12,'EQUIPOS '!$B$3:$N$55,12,FALSE),0)</f>
        <v>5174.01</v>
      </c>
      <c r="H12" s="32">
        <f>+H11</f>
        <v>4</v>
      </c>
      <c r="I12" s="33">
        <f t="shared" si="0"/>
        <v>1293.5025000000001</v>
      </c>
      <c r="J12" s="33">
        <f t="shared" ref="J12:J20" si="1">ROUND(I12,0)</f>
        <v>1294</v>
      </c>
    </row>
    <row r="13" spans="1:10" s="20" customFormat="1" ht="13.9" customHeight="1" x14ac:dyDescent="0.25">
      <c r="A13" s="1558" t="s">
        <v>149</v>
      </c>
      <c r="B13" s="1559"/>
      <c r="C13" s="1559"/>
      <c r="D13" s="1560"/>
      <c r="E13" s="92" t="s">
        <v>202</v>
      </c>
      <c r="F13" s="92"/>
      <c r="G13" s="31">
        <f>IFERROR(VLOOKUP(A13,'EQUIPOS '!$B$3:$N$55,12,FALSE),0)</f>
        <v>4047.59</v>
      </c>
      <c r="H13" s="32">
        <f t="shared" ref="H13:H19" si="2">+H12</f>
        <v>4</v>
      </c>
      <c r="I13" s="33">
        <f t="shared" si="0"/>
        <v>1011.8975</v>
      </c>
      <c r="J13" s="33">
        <f t="shared" si="1"/>
        <v>1012</v>
      </c>
    </row>
    <row r="14" spans="1:10" s="20" customFormat="1" ht="13.9" customHeight="1" x14ac:dyDescent="0.25">
      <c r="A14" s="1558" t="s">
        <v>150</v>
      </c>
      <c r="B14" s="1559"/>
      <c r="C14" s="1559"/>
      <c r="D14" s="1560"/>
      <c r="E14" s="92" t="s">
        <v>202</v>
      </c>
      <c r="F14" s="92"/>
      <c r="G14" s="31">
        <f>IFERROR(VLOOKUP(A14,'EQUIPOS '!$B$3:$N$55,12,FALSE),0)</f>
        <v>4898</v>
      </c>
      <c r="H14" s="32">
        <f t="shared" si="2"/>
        <v>4</v>
      </c>
      <c r="I14" s="33">
        <f t="shared" si="0"/>
        <v>1224.5</v>
      </c>
      <c r="J14" s="33">
        <f t="shared" si="1"/>
        <v>1225</v>
      </c>
    </row>
    <row r="15" spans="1:10" s="20" customFormat="1" ht="13.9" customHeight="1" x14ac:dyDescent="0.25">
      <c r="A15" s="1558" t="s">
        <v>205</v>
      </c>
      <c r="B15" s="1559"/>
      <c r="C15" s="1559"/>
      <c r="D15" s="1560"/>
      <c r="E15" s="92" t="s">
        <v>202</v>
      </c>
      <c r="F15" s="92"/>
      <c r="G15" s="31">
        <f>IFERROR(VLOOKUP(A15,'EQUIPOS '!$B$3:$N$55,12,FALSE),0)</f>
        <v>4862.5</v>
      </c>
      <c r="H15" s="32">
        <f t="shared" si="2"/>
        <v>4</v>
      </c>
      <c r="I15" s="33">
        <f t="shared" si="0"/>
        <v>1215.625</v>
      </c>
      <c r="J15" s="33">
        <f t="shared" si="1"/>
        <v>1216</v>
      </c>
    </row>
    <row r="16" spans="1:10" s="20" customFormat="1" ht="13.9" customHeight="1" x14ac:dyDescent="0.25">
      <c r="A16" s="1558" t="s">
        <v>2899</v>
      </c>
      <c r="B16" s="1559"/>
      <c r="C16" s="1559"/>
      <c r="D16" s="1560"/>
      <c r="E16" s="92" t="s">
        <v>202</v>
      </c>
      <c r="F16" s="92"/>
      <c r="G16" s="31">
        <f>IFERROR(VLOOKUP(A16,'EQUIPOS '!$B$3:$N$55,12,FALSE),0)</f>
        <v>4701.8100000000004</v>
      </c>
      <c r="H16" s="32">
        <f t="shared" si="2"/>
        <v>4</v>
      </c>
      <c r="I16" s="33">
        <f t="shared" si="0"/>
        <v>1175.4525000000001</v>
      </c>
      <c r="J16" s="33">
        <f t="shared" si="1"/>
        <v>1175</v>
      </c>
    </row>
    <row r="17" spans="1:15" s="20" customFormat="1" ht="13.9" customHeight="1" x14ac:dyDescent="0.25">
      <c r="A17" s="1558" t="s">
        <v>176</v>
      </c>
      <c r="B17" s="1559"/>
      <c r="C17" s="1559"/>
      <c r="D17" s="1560"/>
      <c r="E17" s="92" t="s">
        <v>202</v>
      </c>
      <c r="F17" s="92"/>
      <c r="G17" s="31">
        <f>IFERROR(VLOOKUP(A17,'EQUIPOS '!$B$3:$N$55,12,FALSE),0)</f>
        <v>7999.94</v>
      </c>
      <c r="H17" s="32">
        <f t="shared" si="2"/>
        <v>4</v>
      </c>
      <c r="I17" s="33">
        <f t="shared" si="0"/>
        <v>1999.9849999999999</v>
      </c>
      <c r="J17" s="33">
        <f t="shared" si="1"/>
        <v>2000</v>
      </c>
    </row>
    <row r="18" spans="1:15" s="20" customFormat="1" ht="13.9" customHeight="1" x14ac:dyDescent="0.25">
      <c r="A18" s="1558" t="s">
        <v>2908</v>
      </c>
      <c r="B18" s="1559"/>
      <c r="C18" s="1559"/>
      <c r="D18" s="1560"/>
      <c r="E18" s="92" t="s">
        <v>202</v>
      </c>
      <c r="F18" s="92"/>
      <c r="G18" s="31">
        <f>IFERROR(VLOOKUP(A18,'EQUIPOS '!$B$3:$N$55,12,FALSE),0)</f>
        <v>64227.08</v>
      </c>
      <c r="H18" s="32">
        <f t="shared" si="2"/>
        <v>4</v>
      </c>
      <c r="I18" s="33">
        <f t="shared" si="0"/>
        <v>16056.77</v>
      </c>
      <c r="J18" s="33">
        <f t="shared" si="1"/>
        <v>16057</v>
      </c>
    </row>
    <row r="19" spans="1:15" s="20" customFormat="1" ht="13.9" customHeight="1" x14ac:dyDescent="0.25">
      <c r="A19" s="1558" t="s">
        <v>314</v>
      </c>
      <c r="B19" s="1559"/>
      <c r="C19" s="1559"/>
      <c r="D19" s="1560"/>
      <c r="E19" s="92" t="s">
        <v>202</v>
      </c>
      <c r="F19" s="92"/>
      <c r="G19" s="31">
        <f>IFERROR(VLOOKUP(A19,'EQUIPOS '!$B$3:$N$55,12,FALSE),0)</f>
        <v>2821</v>
      </c>
      <c r="H19" s="32">
        <f t="shared" si="2"/>
        <v>4</v>
      </c>
      <c r="I19" s="33">
        <f t="shared" si="0"/>
        <v>705.25</v>
      </c>
      <c r="J19" s="33">
        <f t="shared" si="1"/>
        <v>705</v>
      </c>
    </row>
    <row r="20" spans="1:15" s="20" customFormat="1" ht="13.9" customHeight="1" x14ac:dyDescent="0.25">
      <c r="A20" s="1558" t="s">
        <v>330</v>
      </c>
      <c r="B20" s="1559"/>
      <c r="C20" s="1559"/>
      <c r="D20" s="1560"/>
      <c r="E20" s="92"/>
      <c r="F20" s="92"/>
      <c r="G20" s="74">
        <v>0.05</v>
      </c>
      <c r="H20" s="32"/>
      <c r="I20" s="33">
        <f>+G20*J63</f>
        <v>819.7</v>
      </c>
      <c r="J20" s="33">
        <f t="shared" si="1"/>
        <v>820</v>
      </c>
    </row>
    <row r="21" spans="1:15" s="20" customFormat="1" ht="13.9" customHeight="1" x14ac:dyDescent="0.25">
      <c r="A21" s="80"/>
      <c r="B21" s="8"/>
      <c r="C21" s="8"/>
      <c r="D21" s="8"/>
      <c r="E21" s="92"/>
      <c r="F21" s="92"/>
      <c r="G21" s="31"/>
      <c r="H21" s="32"/>
      <c r="I21" s="33"/>
      <c r="J21" s="33"/>
    </row>
    <row r="22" spans="1:15" s="20" customFormat="1" ht="13.9" customHeight="1" x14ac:dyDescent="0.25">
      <c r="I22" s="30" t="s">
        <v>257</v>
      </c>
      <c r="J22" s="34">
        <f>+SUM(J11:J21)</f>
        <v>26449</v>
      </c>
    </row>
    <row r="23" spans="1:15" s="20" customFormat="1" ht="13.9" customHeight="1" x14ac:dyDescent="0.25"/>
    <row r="24" spans="1:15" s="20" customFormat="1" ht="13.9" customHeight="1" x14ac:dyDescent="0.25">
      <c r="A24" s="1561" t="s">
        <v>263</v>
      </c>
      <c r="B24" s="1561"/>
      <c r="C24" s="1561"/>
      <c r="D24" s="1561"/>
      <c r="E24" s="1561"/>
      <c r="F24" s="1561"/>
      <c r="G24" s="1561"/>
      <c r="H24" s="1561"/>
      <c r="I24" s="27"/>
    </row>
    <row r="25" spans="1:15" ht="13.9" customHeight="1" x14ac:dyDescent="0.25">
      <c r="A25" s="1565" t="s">
        <v>251</v>
      </c>
      <c r="B25" s="1566"/>
      <c r="C25" s="1566"/>
      <c r="D25" s="1566"/>
      <c r="E25" s="1566"/>
      <c r="F25" s="1567"/>
      <c r="G25" s="28" t="s">
        <v>252</v>
      </c>
      <c r="H25" s="28" t="s">
        <v>264</v>
      </c>
      <c r="I25" s="28" t="s">
        <v>256</v>
      </c>
      <c r="J25" s="28" t="s">
        <v>257</v>
      </c>
    </row>
    <row r="26" spans="1:15" ht="13.9" customHeight="1" x14ac:dyDescent="0.25">
      <c r="A26" s="1694" t="str">
        <f>+'INSUMOS '!B50</f>
        <v>LÁMINA GALVANIZADA C 16 E=1,50 mm</v>
      </c>
      <c r="B26" s="1695"/>
      <c r="C26" s="1695"/>
      <c r="D26" s="1695"/>
      <c r="E26" s="1695"/>
      <c r="F26" s="1696"/>
      <c r="G26" s="29" t="s">
        <v>12</v>
      </c>
      <c r="H26" s="37">
        <f>0.51*0.66</f>
        <v>0.33660000000000001</v>
      </c>
      <c r="I26" s="33">
        <f>+IFERROR(VLOOKUP(A26,'INSUMOS '!$B$2:$AP$167,'INSUMOS '!$AO$2+1,FALSE),0)</f>
        <v>85500.55</v>
      </c>
      <c r="J26" s="33">
        <f>ROUND(I26*H26,0)</f>
        <v>28779</v>
      </c>
      <c r="N26" s="1374">
        <f>H26*0.0015*7850</f>
        <v>3.9634650000000007</v>
      </c>
      <c r="O26" s="593" t="s">
        <v>106</v>
      </c>
    </row>
    <row r="27" spans="1:15" ht="29.25" customHeight="1" x14ac:dyDescent="0.25">
      <c r="A27" s="1735" t="str">
        <f>+'INSUMOS '!B125</f>
        <v>LÁMINA RETRORREFLECTIVA TIPO XI, NTC 4739, Color Amarillo/ verde Fluorescente de 123 cm de ancho por 45.7 metros de largo</v>
      </c>
      <c r="B27" s="1736"/>
      <c r="C27" s="1736"/>
      <c r="D27" s="1736"/>
      <c r="E27" s="1736"/>
      <c r="F27" s="1737"/>
      <c r="G27" s="29" t="s">
        <v>12</v>
      </c>
      <c r="H27" s="37">
        <f>+H26</f>
        <v>0.33660000000000001</v>
      </c>
      <c r="I27" s="33">
        <f>+IFERROR(VLOOKUP(A27,'INSUMOS '!$B$2:$AP$167,'INSUMOS '!$AO$2+1,FALSE),0)</f>
        <v>196248</v>
      </c>
      <c r="J27" s="33">
        <f t="shared" ref="J27:J40" si="3">ROUND(I27*H27,0)</f>
        <v>66057</v>
      </c>
      <c r="N27" s="1374">
        <f>H27*0.2/0.36</f>
        <v>0.18700000000000003</v>
      </c>
      <c r="O27" s="593" t="s">
        <v>90</v>
      </c>
    </row>
    <row r="28" spans="1:15" ht="13.9" customHeight="1" x14ac:dyDescent="0.25">
      <c r="A28" s="1694" t="str">
        <f>'INSUMOS '!B105</f>
        <v>TUBO GALVANIZADO DE 2" X 2,0 mm ESPESOR DE PARED</v>
      </c>
      <c r="B28" s="1695"/>
      <c r="C28" s="1695"/>
      <c r="D28" s="1695"/>
      <c r="E28" s="1695"/>
      <c r="F28" s="1696"/>
      <c r="G28" s="29" t="str">
        <f>+VLOOKUP(A28,'INSUMOS '!$B$3:$C$112,2,FALSE)</f>
        <v>M</v>
      </c>
      <c r="H28" s="37">
        <f>2.11+0.6</f>
        <v>2.71</v>
      </c>
      <c r="I28" s="33">
        <f>+IFERROR(VLOOKUP(A28,'INSUMOS '!$B$2:$AP$167,'INSUMOS '!$AO$2+1,FALSE),0)</f>
        <v>16939</v>
      </c>
      <c r="J28" s="33">
        <f t="shared" si="3"/>
        <v>45905</v>
      </c>
      <c r="N28" s="1374">
        <f>(((2*0.0254+0.004)^2*PI()/4)-(2*0.0254)^2*PI()/4)*7850*H28</f>
        <v>7.0575300909846517</v>
      </c>
      <c r="O28" s="593" t="s">
        <v>7315</v>
      </c>
    </row>
    <row r="29" spans="1:15" ht="13.9" customHeight="1" x14ac:dyDescent="0.25">
      <c r="A29" s="1694" t="str">
        <f>+'INSUMOS '!B8</f>
        <v>ÁNGULO METÁLICO DE 2"X2"X1/8" L=6M</v>
      </c>
      <c r="B29" s="1695"/>
      <c r="C29" s="1695"/>
      <c r="D29" s="1695"/>
      <c r="E29" s="1695"/>
      <c r="F29" s="1696"/>
      <c r="G29" s="29" t="str">
        <f>+VLOOKUP(A29,'INSUMOS '!$B$3:$C$112,2,FALSE)</f>
        <v>M</v>
      </c>
      <c r="H29" s="37">
        <f>0.15</f>
        <v>0.15</v>
      </c>
      <c r="I29" s="33">
        <f>+IFERROR(VLOOKUP(A29,'INSUMOS '!$B$2:$AP$167,'INSUMOS '!$AO$2+1,FALSE),0)</f>
        <v>16804.093333333331</v>
      </c>
      <c r="J29" s="33">
        <f t="shared" si="3"/>
        <v>2521</v>
      </c>
      <c r="N29" s="1374">
        <f>4*0.0254*(0.0254/8)*H29*7850</f>
        <v>0.37983794999999998</v>
      </c>
      <c r="O29" s="593" t="s">
        <v>156</v>
      </c>
    </row>
    <row r="30" spans="1:15" ht="13.9" customHeight="1" x14ac:dyDescent="0.25">
      <c r="A30" s="1694" t="str">
        <f>+'INSUMOS '!B102</f>
        <v>TORNILLOS 5/16 ZINCADO  (INCLUYE TUERCA DE SEGURIDAD Y ARANDELA)</v>
      </c>
      <c r="B30" s="1695"/>
      <c r="C30" s="1695"/>
      <c r="D30" s="1695"/>
      <c r="E30" s="1695"/>
      <c r="F30" s="1696"/>
      <c r="G30" s="29" t="str">
        <f>+VLOOKUP(A30,'INSUMOS '!$B$3:$C$112,2,FALSE)</f>
        <v>UN</v>
      </c>
      <c r="H30" s="606">
        <v>4</v>
      </c>
      <c r="I30" s="33">
        <f>+IFERROR(VLOOKUP(A30,'INSUMOS '!$B$2:$AP$167,'INSUMOS '!$AO$2+1,FALSE),0)</f>
        <v>1747.5</v>
      </c>
      <c r="J30" s="33">
        <f t="shared" si="3"/>
        <v>6990</v>
      </c>
      <c r="N30" s="1374">
        <f>H30*0.3/4</f>
        <v>0.3</v>
      </c>
      <c r="O30" s="593" t="s">
        <v>42</v>
      </c>
    </row>
    <row r="31" spans="1:15" ht="13.9" customHeight="1" x14ac:dyDescent="0.25">
      <c r="A31" s="1694" t="str">
        <f>+'INSUMOS '!B88</f>
        <v>REMACHES CON ARANDELAS DE 4*10 MM</v>
      </c>
      <c r="B31" s="1695"/>
      <c r="C31" s="1695"/>
      <c r="D31" s="1695"/>
      <c r="E31" s="1695"/>
      <c r="F31" s="1696"/>
      <c r="G31" s="29" t="str">
        <f>+VLOOKUP(A31,'INSUMOS '!$B$3:$C$112,2,FALSE)</f>
        <v>UN</v>
      </c>
      <c r="H31" s="606">
        <v>4</v>
      </c>
      <c r="I31" s="33">
        <f>+IFERROR(VLOOKUP(A31,'INSUMOS '!$B$2:$AP$167,'INSUMOS '!$AO$2+1,FALSE),0)</f>
        <v>170</v>
      </c>
      <c r="J31" s="33">
        <f t="shared" si="3"/>
        <v>680</v>
      </c>
      <c r="N31" s="1374">
        <f>H31/4*0.1</f>
        <v>0.1</v>
      </c>
      <c r="O31" s="593" t="s">
        <v>43</v>
      </c>
    </row>
    <row r="32" spans="1:15" ht="13.9" customHeight="1" x14ac:dyDescent="0.25">
      <c r="A32" s="1694" t="str">
        <f>+'INSUMOS '!B94</f>
        <v xml:space="preserve">STEAKER 15 X 15 CM EN PAPEL REFLECTIVO TIPO IV O SUPERIOR </v>
      </c>
      <c r="B32" s="1695"/>
      <c r="C32" s="1695"/>
      <c r="D32" s="1695"/>
      <c r="E32" s="1695"/>
      <c r="F32" s="1696"/>
      <c r="G32" s="29" t="str">
        <f>+VLOOKUP(A32,'INSUMOS '!$B$3:$C$112,2,FALSE)</f>
        <v>UN</v>
      </c>
      <c r="H32" s="37">
        <v>1</v>
      </c>
      <c r="I32" s="33">
        <f>+IFERROR(VLOOKUP(A32,'INSUMOS '!$B$2:$AP$167,'INSUMOS '!$AO$2+1,FALSE),0)</f>
        <v>2500</v>
      </c>
      <c r="J32" s="33">
        <f t="shared" si="3"/>
        <v>2500</v>
      </c>
      <c r="N32" s="1375">
        <f>H32*0.05</f>
        <v>0.05</v>
      </c>
      <c r="O32" s="593" t="s">
        <v>92</v>
      </c>
    </row>
    <row r="33" spans="1:15" ht="13.9" customHeight="1" x14ac:dyDescent="0.25">
      <c r="A33" s="1694" t="str">
        <f>+'INSUMOS '!B67</f>
        <v xml:space="preserve">PELÍCULA ANTIGRAFITTI </v>
      </c>
      <c r="B33" s="1695"/>
      <c r="C33" s="1695"/>
      <c r="D33" s="1695"/>
      <c r="E33" s="1695"/>
      <c r="F33" s="1696"/>
      <c r="G33" s="29" t="s">
        <v>12</v>
      </c>
      <c r="H33" s="37">
        <f>+H26</f>
        <v>0.33660000000000001</v>
      </c>
      <c r="I33" s="33">
        <f>+IFERROR(VLOOKUP(A33,'INSUMOS '!$B$2:$AP$167,'INSUMOS '!$AO$2+1,FALSE),0)</f>
        <v>65174.538799999995</v>
      </c>
      <c r="J33" s="33">
        <f t="shared" si="3"/>
        <v>21938</v>
      </c>
      <c r="N33" s="1374">
        <f>H33/0.36*0.3</f>
        <v>0.28050000000000003</v>
      </c>
      <c r="O33" s="593" t="s">
        <v>89</v>
      </c>
    </row>
    <row r="34" spans="1:15" ht="13.9" customHeight="1" x14ac:dyDescent="0.25">
      <c r="A34" s="1694" t="str">
        <f>+'INSUMOS '!B73</f>
        <v>PINTURA ELECTROSTÁTICA M2</v>
      </c>
      <c r="B34" s="1695"/>
      <c r="C34" s="1695"/>
      <c r="D34" s="1695"/>
      <c r="E34" s="1695"/>
      <c r="F34" s="1696"/>
      <c r="G34" s="29" t="str">
        <f>+VLOOKUP(A34,'INSUMOS '!$B$3:$C$112,2,FALSE)</f>
        <v>KG</v>
      </c>
      <c r="H34" s="37">
        <f>((0.0254*2+0.004)*PI()*H28+H26+8*0.0254*H29+3*0.0588^2*PI()/4)/3</f>
        <v>0.28059268095916118</v>
      </c>
      <c r="I34" s="33">
        <f>+IFERROR(VLOOKUP(A34,'INSUMOS '!$B$2:$AP$167,'INSUMOS '!$AO$2+1,FALSE),0)</f>
        <v>26664.5</v>
      </c>
      <c r="J34" s="33">
        <f t="shared" si="3"/>
        <v>7482</v>
      </c>
      <c r="N34" s="1374">
        <f>H34</f>
        <v>0.28059268095916118</v>
      </c>
      <c r="O34" s="593" t="s">
        <v>334</v>
      </c>
    </row>
    <row r="35" spans="1:15" ht="13.9" customHeight="1" x14ac:dyDescent="0.25">
      <c r="A35" s="1694" t="str">
        <f>+'INSUMOS '!B100</f>
        <v>TINTA TRASLUCIDA PARA CINTA REFLECTIVA</v>
      </c>
      <c r="B35" s="1695"/>
      <c r="C35" s="1695"/>
      <c r="D35" s="1695"/>
      <c r="E35" s="1695"/>
      <c r="F35" s="1696"/>
      <c r="G35" s="29" t="s">
        <v>157</v>
      </c>
      <c r="H35" s="37">
        <f>H26/3.44*0.22</f>
        <v>2.1526744186046512E-2</v>
      </c>
      <c r="I35" s="33">
        <f>+IFERROR(VLOOKUP(A35,'INSUMOS '!$B$2:$AP$167,'INSUMOS '!$AO$2+1,FALSE),0)</f>
        <v>440873.77039999992</v>
      </c>
      <c r="J35" s="33">
        <f t="shared" si="3"/>
        <v>9491</v>
      </c>
      <c r="N35" s="1405">
        <f>H35*0.454</f>
        <v>9.7731418604651166E-3</v>
      </c>
      <c r="O35" s="593" t="s">
        <v>45</v>
      </c>
    </row>
    <row r="36" spans="1:15" ht="13.9" customHeight="1" x14ac:dyDescent="0.25">
      <c r="A36" s="1738" t="str">
        <f>+'INSUMOS '!B28</f>
        <v>CONCRETO  HIDRAULICO 2500 PSI 17 MPA (175 KG/CM2)</v>
      </c>
      <c r="B36" s="1695"/>
      <c r="C36" s="1695"/>
      <c r="D36" s="1695"/>
      <c r="E36" s="1695"/>
      <c r="F36" s="1696"/>
      <c r="G36" s="29" t="s">
        <v>3</v>
      </c>
      <c r="H36" s="37">
        <f>+PI()*0.25*0.25/4*0.55</f>
        <v>2.6998061866787288E-2</v>
      </c>
      <c r="I36" s="33">
        <f>+IFERROR(VLOOKUP(A36,'INSUMOS '!$B$2:$AP$167,'INSUMOS '!$AO$2+1,FALSE),0)</f>
        <v>486142</v>
      </c>
      <c r="J36" s="33">
        <f t="shared" si="3"/>
        <v>13125</v>
      </c>
      <c r="N36" s="1374">
        <f>H36*2400</f>
        <v>64.795348480289491</v>
      </c>
      <c r="O36" s="593" t="s">
        <v>98</v>
      </c>
    </row>
    <row r="37" spans="1:15" ht="13.9" customHeight="1" x14ac:dyDescent="0.25">
      <c r="A37" s="1694" t="str">
        <f>+'INSUMOS '!B93</f>
        <v>SOLDADURA ELECTRICA  E 6013 O SIMILAR</v>
      </c>
      <c r="B37" s="1695"/>
      <c r="C37" s="1695"/>
      <c r="D37" s="1695"/>
      <c r="E37" s="1695"/>
      <c r="F37" s="1696"/>
      <c r="G37" s="29" t="str">
        <f>+VLOOKUP(A37,'INSUMOS '!$B$3:$C$112,2,FALSE)</f>
        <v>KG</v>
      </c>
      <c r="H37" s="37">
        <f>0.005^2/2*(6*0.0588*PI())*7850</f>
        <v>0.10875722527829824</v>
      </c>
      <c r="I37" s="33">
        <f>+IFERROR(VLOOKUP(A37,'INSUMOS '!$B$2:$AP$167,'INSUMOS '!$AO$2+1,FALSE),0)</f>
        <v>19163.666666666668</v>
      </c>
      <c r="J37" s="33">
        <f t="shared" si="3"/>
        <v>2084</v>
      </c>
      <c r="N37" s="1374">
        <f>H37</f>
        <v>0.10875722527829824</v>
      </c>
      <c r="O37" s="593" t="s">
        <v>87</v>
      </c>
    </row>
    <row r="38" spans="1:15" ht="13.9" customHeight="1" x14ac:dyDescent="0.25">
      <c r="A38" s="1694" t="str">
        <f>+'INSUMOS '!B21</f>
        <v>BROCA PARA METAL 1/2"</v>
      </c>
      <c r="B38" s="1695"/>
      <c r="C38" s="1695"/>
      <c r="D38" s="1695"/>
      <c r="E38" s="1695"/>
      <c r="F38" s="1696"/>
      <c r="G38" s="29" t="str">
        <f>+VLOOKUP(A38,'INSUMOS '!$B$3:$C$112,2,FALSE)</f>
        <v>UN</v>
      </c>
      <c r="H38" s="37">
        <v>0.01</v>
      </c>
      <c r="I38" s="33">
        <f>+IFERROR(VLOOKUP(A38,'INSUMOS '!$B$2:$AP$167,'INSUMOS '!$AO$2+1,FALSE),0)</f>
        <v>31741.5</v>
      </c>
      <c r="J38" s="33">
        <f t="shared" si="3"/>
        <v>317</v>
      </c>
      <c r="N38" s="1374">
        <f>H38*0.106</f>
        <v>1.06E-3</v>
      </c>
      <c r="O38" s="593" t="s">
        <v>26</v>
      </c>
    </row>
    <row r="39" spans="1:15" ht="13.9" customHeight="1" x14ac:dyDescent="0.25">
      <c r="A39" s="1694" t="str">
        <f>+'INSUMOS '!B50</f>
        <v>LÁMINA GALVANIZADA C 16 E=1,50 mm</v>
      </c>
      <c r="B39" s="1695"/>
      <c r="C39" s="1695"/>
      <c r="D39" s="1695"/>
      <c r="E39" s="1695"/>
      <c r="F39" s="1696"/>
      <c r="G39" s="29" t="s">
        <v>12</v>
      </c>
      <c r="H39" s="606">
        <f>0.0588^2*PI()/4*3</f>
        <v>8.1464010781706203E-3</v>
      </c>
      <c r="I39" s="33">
        <f>+IFERROR(VLOOKUP(A39,'INSUMOS '!$B$2:$AP$167,'INSUMOS '!$AO$2+1,FALSE),0)</f>
        <v>85500.55</v>
      </c>
      <c r="J39" s="33">
        <f>ROUND(I39*H39,0)</f>
        <v>697</v>
      </c>
      <c r="N39" s="1374">
        <f>H39*0.0015*7850</f>
        <v>9.5923872695459059E-2</v>
      </c>
      <c r="O39" s="593" t="s">
        <v>106</v>
      </c>
    </row>
    <row r="40" spans="1:15" ht="13.9" customHeight="1" x14ac:dyDescent="0.25">
      <c r="A40" s="1694" t="s">
        <v>2901</v>
      </c>
      <c r="B40" s="1695"/>
      <c r="C40" s="1695"/>
      <c r="D40" s="1695"/>
      <c r="E40" s="1695"/>
      <c r="F40" s="1696"/>
      <c r="G40" s="29"/>
      <c r="H40" s="74">
        <v>0.05</v>
      </c>
      <c r="I40" s="33">
        <f>+SUM(J26:J39)</f>
        <v>208566</v>
      </c>
      <c r="J40" s="33">
        <f t="shared" si="3"/>
        <v>10428</v>
      </c>
      <c r="N40" s="592"/>
      <c r="O40" s="592"/>
    </row>
    <row r="41" spans="1:15" ht="13.9" customHeight="1" x14ac:dyDescent="0.25">
      <c r="A41" s="1558"/>
      <c r="B41" s="1559"/>
      <c r="C41" s="1559"/>
      <c r="D41" s="1559"/>
      <c r="E41" s="1559"/>
      <c r="F41" s="1560"/>
      <c r="G41" s="29"/>
      <c r="H41" s="35"/>
      <c r="I41" s="33"/>
      <c r="J41" s="33"/>
      <c r="N41" s="1376">
        <f>SUM(N26:N39)</f>
        <v>77.609788442067526</v>
      </c>
      <c r="O41" s="592"/>
    </row>
    <row r="42" spans="1:15" ht="13.9" customHeight="1" x14ac:dyDescent="0.25">
      <c r="A42" s="20"/>
      <c r="B42" s="20"/>
      <c r="C42" s="20"/>
      <c r="D42" s="20"/>
      <c r="E42" s="20"/>
      <c r="G42" s="20"/>
      <c r="H42" s="20"/>
      <c r="I42" s="30" t="s">
        <v>257</v>
      </c>
      <c r="J42" s="34">
        <f>+SUM(J26:J41)</f>
        <v>218994</v>
      </c>
    </row>
    <row r="43" spans="1:15" ht="13.9" customHeight="1" x14ac:dyDescent="0.25"/>
    <row r="44" spans="1:15" ht="13.9" customHeight="1" x14ac:dyDescent="0.25">
      <c r="A44" s="1561" t="s">
        <v>267</v>
      </c>
      <c r="B44" s="1561"/>
      <c r="C44" s="1561"/>
      <c r="D44" s="1561"/>
      <c r="E44" s="1561"/>
      <c r="F44" s="1561"/>
      <c r="G44" s="1561"/>
      <c r="H44" s="1561"/>
      <c r="I44" s="27"/>
    </row>
    <row r="45" spans="1:15" ht="13.9" customHeight="1" x14ac:dyDescent="0.25">
      <c r="A45" s="1562" t="s">
        <v>268</v>
      </c>
      <c r="B45" s="1563"/>
      <c r="C45" s="1563"/>
      <c r="D45" s="1563"/>
      <c r="E45" s="1563"/>
      <c r="F45" s="1564"/>
      <c r="G45" s="38" t="s">
        <v>255</v>
      </c>
      <c r="H45" s="28" t="s">
        <v>269</v>
      </c>
      <c r="I45" s="28" t="s">
        <v>256</v>
      </c>
      <c r="J45" s="28" t="s">
        <v>257</v>
      </c>
    </row>
    <row r="46" spans="1:15" ht="13.9" customHeight="1" x14ac:dyDescent="0.25">
      <c r="A46" s="1558" t="str">
        <f>+'EQUIPOS '!B6</f>
        <v>CAMION INCLUYE CONDUCTOR</v>
      </c>
      <c r="B46" s="1559"/>
      <c r="C46" s="1559"/>
      <c r="D46" s="1559"/>
      <c r="E46" s="1559"/>
      <c r="F46" s="1560"/>
      <c r="G46" s="1488">
        <f>(N41/1000)/12</f>
        <v>6.4674823701722931E-3</v>
      </c>
      <c r="H46" s="33">
        <f>+IFERROR(VLOOKUP(A46,'EQUIPOS '!$B$3:$M$78,12,FALSE),0)</f>
        <v>611492.5</v>
      </c>
      <c r="I46" s="33">
        <f>IFERROR(H46*G46,0)</f>
        <v>3954.8169632425811</v>
      </c>
      <c r="J46" s="33">
        <f>ROUND(I46,0)</f>
        <v>3955</v>
      </c>
    </row>
    <row r="47" spans="1:15" ht="13.9" customHeight="1" x14ac:dyDescent="0.25">
      <c r="A47" s="1558"/>
      <c r="B47" s="1559"/>
      <c r="C47" s="1559"/>
      <c r="D47" s="1559"/>
      <c r="E47" s="1559"/>
      <c r="F47" s="1560"/>
      <c r="G47" s="29"/>
      <c r="H47" s="33"/>
      <c r="I47" s="33"/>
      <c r="J47" s="33"/>
    </row>
    <row r="48" spans="1:15" ht="13.9" customHeight="1" x14ac:dyDescent="0.25">
      <c r="A48" s="1558"/>
      <c r="B48" s="1559"/>
      <c r="C48" s="1559"/>
      <c r="D48" s="1559"/>
      <c r="E48" s="1559"/>
      <c r="F48" s="1560"/>
      <c r="G48" s="29"/>
      <c r="H48" s="33"/>
      <c r="I48" s="33"/>
      <c r="J48" s="33"/>
    </row>
    <row r="49" spans="1:10" ht="13.9" customHeight="1" x14ac:dyDescent="0.25">
      <c r="G49" s="39"/>
      <c r="H49" s="39"/>
      <c r="I49" s="30" t="s">
        <v>257</v>
      </c>
      <c r="J49" s="33">
        <f>+SUM(J46:J48)</f>
        <v>3955</v>
      </c>
    </row>
    <row r="50" spans="1:10" ht="13.9" customHeight="1" x14ac:dyDescent="0.25"/>
    <row r="51" spans="1:10" ht="13.9" customHeight="1" x14ac:dyDescent="0.25">
      <c r="A51" s="1561" t="s">
        <v>270</v>
      </c>
      <c r="B51" s="1561"/>
      <c r="C51" s="1561"/>
      <c r="D51" s="1561"/>
      <c r="E51" s="1561"/>
      <c r="F51" s="1561"/>
      <c r="G51" s="1561"/>
      <c r="H51" s="1561"/>
      <c r="I51" s="27"/>
    </row>
    <row r="52" spans="1:10" s="39" customFormat="1" ht="13.9" customHeight="1" x14ac:dyDescent="0.25">
      <c r="A52" s="1562" t="s">
        <v>271</v>
      </c>
      <c r="B52" s="1563"/>
      <c r="C52" s="1563"/>
      <c r="D52" s="1564"/>
      <c r="E52" s="28" t="s">
        <v>272</v>
      </c>
      <c r="F52" s="28" t="s">
        <v>264</v>
      </c>
      <c r="G52" s="28" t="s">
        <v>273</v>
      </c>
      <c r="H52" s="28" t="s">
        <v>255</v>
      </c>
      <c r="I52" s="28" t="s">
        <v>256</v>
      </c>
      <c r="J52" s="28" t="s">
        <v>257</v>
      </c>
    </row>
    <row r="53" spans="1:10" s="39" customFormat="1" ht="13.9" customHeight="1" x14ac:dyDescent="0.25">
      <c r="A53" s="1571" t="s">
        <v>129</v>
      </c>
      <c r="B53" s="1572"/>
      <c r="C53" s="1572"/>
      <c r="D53" s="1573"/>
      <c r="E53" s="609">
        <f>+IFERROR(VLOOKUP(A53,PERSONAL!$B$3:$E$56,4,FALSE),0)</f>
        <v>110344</v>
      </c>
      <c r="F53" s="601">
        <v>1</v>
      </c>
      <c r="G53" s="609">
        <f>+E53*F53</f>
        <v>110344</v>
      </c>
      <c r="H53" s="54">
        <v>60</v>
      </c>
      <c r="I53" s="55">
        <f>IFERROR(ROUND(G53/H53,0),0)</f>
        <v>1839</v>
      </c>
      <c r="J53" s="55">
        <f>+I53</f>
        <v>1839</v>
      </c>
    </row>
    <row r="54" spans="1:10" s="39" customFormat="1" ht="13.9" customHeight="1" x14ac:dyDescent="0.25">
      <c r="A54" s="1571" t="s">
        <v>130</v>
      </c>
      <c r="B54" s="1572"/>
      <c r="C54" s="1572"/>
      <c r="D54" s="1573"/>
      <c r="E54" s="609">
        <f>+IFERROR(VLOOKUP(A54,PERSONAL!$B$3:$E$56,4,FALSE),0)</f>
        <v>100054</v>
      </c>
      <c r="F54" s="601">
        <v>1</v>
      </c>
      <c r="G54" s="609">
        <f t="shared" ref="G54:G57" si="4">+E54*F54</f>
        <v>100054</v>
      </c>
      <c r="H54" s="54">
        <v>60</v>
      </c>
      <c r="I54" s="55">
        <f t="shared" ref="I54:I57" si="5">IFERROR(ROUND(G54/H54,0),0)</f>
        <v>1668</v>
      </c>
      <c r="J54" s="55">
        <f t="shared" ref="J54:J57" si="6">+I54</f>
        <v>1668</v>
      </c>
    </row>
    <row r="55" spans="1:10" s="39" customFormat="1" ht="13.9" customHeight="1" x14ac:dyDescent="0.25">
      <c r="A55" s="1571" t="s">
        <v>131</v>
      </c>
      <c r="B55" s="1572"/>
      <c r="C55" s="1572"/>
      <c r="D55" s="1573"/>
      <c r="E55" s="609">
        <f>+IFERROR(VLOOKUP(A55,PERSONAL!$B$3:$E$56,4,FALSE),0)</f>
        <v>91275</v>
      </c>
      <c r="F55" s="601">
        <v>1</v>
      </c>
      <c r="G55" s="609">
        <f t="shared" si="4"/>
        <v>91275</v>
      </c>
      <c r="H55" s="54">
        <v>60</v>
      </c>
      <c r="I55" s="55">
        <f t="shared" si="5"/>
        <v>1521</v>
      </c>
      <c r="J55" s="55">
        <f t="shared" si="6"/>
        <v>1521</v>
      </c>
    </row>
    <row r="56" spans="1:10" s="39" customFormat="1" ht="13.9" customHeight="1" x14ac:dyDescent="0.25">
      <c r="A56" s="1571" t="s">
        <v>178</v>
      </c>
      <c r="B56" s="1572"/>
      <c r="C56" s="1572"/>
      <c r="D56" s="1573"/>
      <c r="E56" s="1412">
        <f>+IFERROR(VLOOKUP(A56,PERSONAL!$B$3:$E$56,4,FALSE),0)</f>
        <v>166031</v>
      </c>
      <c r="F56" s="601">
        <v>1</v>
      </c>
      <c r="G56" s="1412">
        <f t="shared" si="4"/>
        <v>166031</v>
      </c>
      <c r="H56" s="54">
        <v>48</v>
      </c>
      <c r="I56" s="1398">
        <f t="shared" si="5"/>
        <v>3459</v>
      </c>
      <c r="J56" s="1398">
        <f t="shared" si="6"/>
        <v>3459</v>
      </c>
    </row>
    <row r="57" spans="1:10" s="39" customFormat="1" ht="13.9" customHeight="1" x14ac:dyDescent="0.25">
      <c r="A57" s="1571" t="s">
        <v>127</v>
      </c>
      <c r="B57" s="1572"/>
      <c r="C57" s="1572"/>
      <c r="D57" s="1573"/>
      <c r="E57" s="1412">
        <f>+IFERROR(VLOOKUP(A57,PERSONAL!$B$3:$E$56,4,FALSE),0)</f>
        <v>72476</v>
      </c>
      <c r="F57" s="601">
        <v>4</v>
      </c>
      <c r="G57" s="1412">
        <f t="shared" si="4"/>
        <v>289904</v>
      </c>
      <c r="H57" s="54">
        <v>48</v>
      </c>
      <c r="I57" s="1398">
        <f t="shared" si="5"/>
        <v>6040</v>
      </c>
      <c r="J57" s="1398">
        <f t="shared" si="6"/>
        <v>6040</v>
      </c>
    </row>
    <row r="58" spans="1:10" s="39" customFormat="1" ht="13.9" customHeight="1" x14ac:dyDescent="0.25">
      <c r="A58" s="1571" t="s">
        <v>143</v>
      </c>
      <c r="B58" s="1572"/>
      <c r="C58" s="1572"/>
      <c r="D58" s="1573"/>
      <c r="E58" s="1412">
        <f>+IFERROR(VLOOKUP(A58,PERSONAL!$B$3:$E$56,4,FALSE),0)</f>
        <v>89632</v>
      </c>
      <c r="F58" s="601">
        <v>1</v>
      </c>
      <c r="G58" s="1412">
        <f>+E58*F58</f>
        <v>89632</v>
      </c>
      <c r="H58" s="54">
        <v>48</v>
      </c>
      <c r="I58" s="1398">
        <f>IFERROR(ROUND(G58/H58,0),0)</f>
        <v>1867</v>
      </c>
      <c r="J58" s="1398">
        <f>+I58</f>
        <v>1867</v>
      </c>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s="39" customFormat="1" ht="13.9" customHeight="1" x14ac:dyDescent="0.25">
      <c r="A61" s="1558"/>
      <c r="B61" s="1559"/>
      <c r="C61" s="1559"/>
      <c r="D61" s="1560"/>
      <c r="E61" s="40"/>
      <c r="F61" s="30"/>
      <c r="G61" s="40"/>
      <c r="H61" s="35"/>
      <c r="I61" s="33"/>
      <c r="J61" s="33"/>
    </row>
    <row r="62" spans="1:10" s="39" customFormat="1" ht="13.9" customHeight="1" x14ac:dyDescent="0.25">
      <c r="A62" s="1558"/>
      <c r="B62" s="1559"/>
      <c r="C62" s="1559"/>
      <c r="D62" s="1560"/>
      <c r="E62" s="40"/>
      <c r="F62" s="30"/>
      <c r="G62" s="40"/>
      <c r="H62" s="35"/>
      <c r="I62" s="33"/>
      <c r="J62" s="33"/>
    </row>
    <row r="63" spans="1:10" ht="13.9" customHeight="1" x14ac:dyDescent="0.25">
      <c r="A63" s="20"/>
      <c r="B63" s="20"/>
      <c r="C63" s="20"/>
      <c r="E63" s="20"/>
      <c r="F63" s="20"/>
      <c r="G63" s="20"/>
      <c r="H63" s="20"/>
      <c r="I63" s="30" t="s">
        <v>257</v>
      </c>
      <c r="J63" s="34">
        <f>+SUM(J53:J62)</f>
        <v>16394</v>
      </c>
    </row>
    <row r="64" spans="1:10" ht="13.9" customHeight="1" x14ac:dyDescent="0.25"/>
    <row r="65" spans="5:10" ht="13.9" customHeight="1" x14ac:dyDescent="0.25">
      <c r="E65" s="41" t="s">
        <v>276</v>
      </c>
      <c r="I65" s="42">
        <f>+J63+J49+J42+J22</f>
        <v>265792</v>
      </c>
      <c r="J65" s="43"/>
    </row>
    <row r="66" spans="5:10" ht="13.9" customHeight="1" x14ac:dyDescent="0.25"/>
    <row r="67" spans="5:10" ht="14.1" customHeight="1" x14ac:dyDescent="0.25"/>
  </sheetData>
  <mergeCells count="53">
    <mergeCell ref="A19:D19"/>
    <mergeCell ref="A1:J1"/>
    <mergeCell ref="A2:J2"/>
    <mergeCell ref="A4:J4"/>
    <mergeCell ref="A6:B6"/>
    <mergeCell ref="A7:B7"/>
    <mergeCell ref="C7:J7"/>
    <mergeCell ref="A9:H9"/>
    <mergeCell ref="A10:D10"/>
    <mergeCell ref="A11:D11"/>
    <mergeCell ref="A17:D17"/>
    <mergeCell ref="A18:D18"/>
    <mergeCell ref="A12:D12"/>
    <mergeCell ref="A13:D13"/>
    <mergeCell ref="A14:D14"/>
    <mergeCell ref="A15:D15"/>
    <mergeCell ref="A16:D16"/>
    <mergeCell ref="A37:F37"/>
    <mergeCell ref="A24:H24"/>
    <mergeCell ref="A25:F25"/>
    <mergeCell ref="A26:F26"/>
    <mergeCell ref="A27:F27"/>
    <mergeCell ref="A28:F28"/>
    <mergeCell ref="A29:F29"/>
    <mergeCell ref="A30:F30"/>
    <mergeCell ref="A31:F31"/>
    <mergeCell ref="A36:F36"/>
    <mergeCell ref="A32:F32"/>
    <mergeCell ref="A33:F33"/>
    <mergeCell ref="A34:F34"/>
    <mergeCell ref="A35:F35"/>
    <mergeCell ref="A20:D20"/>
    <mergeCell ref="A54:D54"/>
    <mergeCell ref="A38:F38"/>
    <mergeCell ref="A40:F40"/>
    <mergeCell ref="A41:F41"/>
    <mergeCell ref="A44:H44"/>
    <mergeCell ref="A45:F45"/>
    <mergeCell ref="A46:F46"/>
    <mergeCell ref="A47:F47"/>
    <mergeCell ref="A48:F48"/>
    <mergeCell ref="A51:H51"/>
    <mergeCell ref="A52:D52"/>
    <mergeCell ref="A53:D53"/>
    <mergeCell ref="A39:F39"/>
    <mergeCell ref="A61:D61"/>
    <mergeCell ref="A62:D62"/>
    <mergeCell ref="A55:D55"/>
    <mergeCell ref="A56:D56"/>
    <mergeCell ref="A57:D57"/>
    <mergeCell ref="A58:D58"/>
    <mergeCell ref="A59:D59"/>
    <mergeCell ref="A60:D60"/>
  </mergeCells>
  <pageMargins left="0.70866141732283472" right="0.70866141732283472" top="0.78740157480314965" bottom="0.78740157480314965" header="0.31496062992125984" footer="0.31496062992125984"/>
  <pageSetup scale="85" orientation="portrait" r:id="rId1"/>
  <drawing r:id="rId2"/>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700-000000000000}">
  <sheetPr codeName="Hoja17">
    <tabColor rgb="FF00B050"/>
  </sheetPr>
  <dimension ref="A1:O68"/>
  <sheetViews>
    <sheetView topLeftCell="A53" workbookViewId="0">
      <selection activeCell="G47" sqref="G4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customWidth="1"/>
    <col min="10" max="10" width="12" style="19" customWidth="1"/>
    <col min="11"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13</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Fabricación, suministro e instalación de delineador de curva horizontal de 51 x 36 cm  (figura 5-14 Resolución 20243040045005 de 17 de septiembre de 2024), material reflectivo Tipo XI amarillo/verde fluorescente, película antigraffiti, en lámina galvanizada C-16 E=1,5 mm, pedestal en tubo galvanizado 2"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+'11'!A11:D11</f>
        <v>TRONZADORA</v>
      </c>
      <c r="B11" s="1559"/>
      <c r="C11" s="1559"/>
      <c r="D11" s="1560"/>
      <c r="E11" s="29" t="s">
        <v>202</v>
      </c>
      <c r="F11" s="30">
        <f>IFERROR(VLOOKUP(A11,'[10]EQUIPOS TRANSPOR SALARIO'!$A$3:$G$42,2,FALSE),0)</f>
        <v>0</v>
      </c>
      <c r="G11" s="31">
        <f>IFERROR(VLOOKUP(A11,'EQUIPOS '!$B$3:$N$55,12,FALSE),0)</f>
        <v>3779.5</v>
      </c>
      <c r="H11" s="32">
        <v>4</v>
      </c>
      <c r="I11" s="33">
        <f>IFERROR((G11/H11),0)</f>
        <v>944.875</v>
      </c>
      <c r="J11" s="33">
        <f>ROUND(I11,0)</f>
        <v>945</v>
      </c>
    </row>
    <row r="12" spans="1:10" s="20" customFormat="1" ht="13.9" customHeight="1" x14ac:dyDescent="0.25">
      <c r="A12" s="1558" t="str">
        <f>+'11'!A12:D12</f>
        <v xml:space="preserve">CIZALLA DE CORTE VERTICAL </v>
      </c>
      <c r="B12" s="1559"/>
      <c r="C12" s="1559"/>
      <c r="D12" s="1560"/>
      <c r="E12" s="29" t="str">
        <f>+$E$11</f>
        <v>HR</v>
      </c>
      <c r="F12" s="30">
        <f>IFERROR(VLOOKUP(A12,'[10]EQUIPOS TRANSPOR SALARIO'!$A$3:$G$42,2,FALSE),0)</f>
        <v>0</v>
      </c>
      <c r="G12" s="31">
        <f>IFERROR(VLOOKUP(A12,'EQUIPOS '!$B$3:$N$55,12,FALSE),0)</f>
        <v>5174.01</v>
      </c>
      <c r="H12" s="32">
        <f>+H11</f>
        <v>4</v>
      </c>
      <c r="I12" s="33">
        <f t="shared" ref="I12:I19" si="0">IFERROR((G12/H12),0)</f>
        <v>1293.5025000000001</v>
      </c>
      <c r="J12" s="33">
        <f t="shared" ref="J12:J20" si="1">ROUND(I12,0)</f>
        <v>1294</v>
      </c>
    </row>
    <row r="13" spans="1:10" s="20" customFormat="1" ht="13.9" customHeight="1" x14ac:dyDescent="0.25">
      <c r="A13" s="1558" t="str">
        <f>+'11'!A13:D13</f>
        <v>EQUIPO PINTURA ELECTROSTÁTICA</v>
      </c>
      <c r="B13" s="1559"/>
      <c r="C13" s="1559"/>
      <c r="D13" s="1560"/>
      <c r="E13" s="29" t="str">
        <f t="shared" ref="E13:E20" si="2">+$E$11</f>
        <v>HR</v>
      </c>
      <c r="F13" s="30" t="str">
        <f>IFERROR(VLOOKUP(A13,'[10]EQUIPOS TRANSPOR SALARIO'!$A$3:$G$42,2,FALSE),0)</f>
        <v>Electrostática</v>
      </c>
      <c r="G13" s="31">
        <f>IFERROR(VLOOKUP(A13,'EQUIPOS '!$B$3:$N$55,12,FALSE),0)</f>
        <v>4047.59</v>
      </c>
      <c r="H13" s="32">
        <f t="shared" ref="H13:H19" si="3">+H12</f>
        <v>4</v>
      </c>
      <c r="I13" s="33">
        <f t="shared" si="0"/>
        <v>1011.8975</v>
      </c>
      <c r="J13" s="33">
        <f t="shared" si="1"/>
        <v>1012</v>
      </c>
    </row>
    <row r="14" spans="1:10" s="20" customFormat="1" ht="13.9" customHeight="1" x14ac:dyDescent="0.25">
      <c r="A14" s="1558" t="str">
        <f>+'11'!A14:D14</f>
        <v>TALADRO DE ARBOL</v>
      </c>
      <c r="B14" s="1559"/>
      <c r="C14" s="1559"/>
      <c r="D14" s="1560"/>
      <c r="E14" s="29" t="str">
        <f t="shared" si="2"/>
        <v>HR</v>
      </c>
      <c r="F14" s="30">
        <f>IFERROR(VLOOKUP(A14,'[10]EQUIPOS TRANSPOR SALARIO'!$A$3:$G$42,2,FALSE),0)</f>
        <v>0</v>
      </c>
      <c r="G14" s="31">
        <f>IFERROR(VLOOKUP(A14,'EQUIPOS '!$B$3:$N$55,12,FALSE),0)</f>
        <v>4898</v>
      </c>
      <c r="H14" s="32">
        <f t="shared" si="3"/>
        <v>4</v>
      </c>
      <c r="I14" s="33">
        <f t="shared" si="0"/>
        <v>1224.5</v>
      </c>
      <c r="J14" s="33">
        <f t="shared" si="1"/>
        <v>1225</v>
      </c>
    </row>
    <row r="15" spans="1:10" s="20" customFormat="1" ht="13.9" customHeight="1" x14ac:dyDescent="0.25">
      <c r="A15" s="1558" t="str">
        <f>+'11'!A15:D15</f>
        <v xml:space="preserve">EQUIPO SOLDADURA ELECTRICA </v>
      </c>
      <c r="B15" s="1559"/>
      <c r="C15" s="1559"/>
      <c r="D15" s="1560"/>
      <c r="E15" s="29" t="str">
        <f t="shared" si="2"/>
        <v>HR</v>
      </c>
      <c r="F15" s="30">
        <f>IFERROR(VLOOKUP(A15,'[10]EQUIPOS TRANSPOR SALARIO'!$A$3:$G$42,2,FALSE),0)</f>
        <v>0</v>
      </c>
      <c r="G15" s="31">
        <f>IFERROR(VLOOKUP(A15,'EQUIPOS '!$B$3:$N$55,12,FALSE),0)</f>
        <v>4862.5</v>
      </c>
      <c r="H15" s="32">
        <f t="shared" si="3"/>
        <v>4</v>
      </c>
      <c r="I15" s="33">
        <f>IFERROR((G15/H15),0)</f>
        <v>1215.625</v>
      </c>
      <c r="J15" s="33">
        <f t="shared" si="1"/>
        <v>1216</v>
      </c>
    </row>
    <row r="16" spans="1:10" s="20" customFormat="1" ht="13.9" customHeight="1" x14ac:dyDescent="0.25">
      <c r="A16" s="1558" t="str">
        <f>+'11'!A16:D16</f>
        <v>EQUIPO  COLAMINADO</v>
      </c>
      <c r="B16" s="1559"/>
      <c r="C16" s="1559"/>
      <c r="D16" s="1560"/>
      <c r="E16" s="29" t="str">
        <f t="shared" si="2"/>
        <v>HR</v>
      </c>
      <c r="F16" s="30">
        <f>IFERROR(VLOOKUP(A16,'[10]EQUIPOS TRANSPOR SALARIO'!$A$3:$G$42,2,FALSE),0)</f>
        <v>0</v>
      </c>
      <c r="G16" s="31">
        <f>IFERROR(VLOOKUP(A16,'EQUIPOS '!$B$3:$N$55,12,FALSE),0)</f>
        <v>4701.8100000000004</v>
      </c>
      <c r="H16" s="32">
        <f t="shared" si="3"/>
        <v>4</v>
      </c>
      <c r="I16" s="33">
        <f>IFERROR((G16/H16),0)</f>
        <v>1175.4525000000001</v>
      </c>
      <c r="J16" s="33">
        <f t="shared" si="1"/>
        <v>1175</v>
      </c>
    </row>
    <row r="17" spans="1:15" s="20" customFormat="1" ht="13.9" customHeight="1" x14ac:dyDescent="0.25">
      <c r="A17" s="1558" t="str">
        <f>+'11'!A17:D17</f>
        <v>COMPRESOR</v>
      </c>
      <c r="B17" s="1559"/>
      <c r="C17" s="1559"/>
      <c r="D17" s="1560"/>
      <c r="E17" s="29" t="str">
        <f t="shared" si="2"/>
        <v>HR</v>
      </c>
      <c r="F17" s="30" t="str">
        <f>IFERROR(VLOOKUP(A17,'[10]EQUIPOS TRANSPOR SALARIO'!$A$3:$G$42,2,FALSE),0)</f>
        <v>Eléctrico</v>
      </c>
      <c r="G17" s="31">
        <f>IFERROR(VLOOKUP(A17,'EQUIPOS '!$B$3:$N$55,12,FALSE),0)</f>
        <v>7999.94</v>
      </c>
      <c r="H17" s="32">
        <f t="shared" si="3"/>
        <v>4</v>
      </c>
      <c r="I17" s="33">
        <f>IFERROR((G17/H17),0)</f>
        <v>1999.9849999999999</v>
      </c>
      <c r="J17" s="33">
        <f t="shared" si="1"/>
        <v>2000</v>
      </c>
    </row>
    <row r="18" spans="1:15" s="20" customFormat="1" ht="13.9" customHeight="1" x14ac:dyDescent="0.25">
      <c r="A18" s="1558" t="str">
        <f>+'11'!A18:D18</f>
        <v xml:space="preserve">IMPRESORA DIGITAL PARA SEÑALES DE TRÁNSITO </v>
      </c>
      <c r="B18" s="1559"/>
      <c r="C18" s="1559"/>
      <c r="D18" s="1560"/>
      <c r="E18" s="29" t="str">
        <f t="shared" si="2"/>
        <v>HR</v>
      </c>
      <c r="F18" s="30">
        <f>IFERROR(VLOOKUP(A18,'[10]EQUIPOS TRANSPOR SALARIO'!$A$3:$G$42,2,FALSE),0)</f>
        <v>0</v>
      </c>
      <c r="G18" s="31">
        <f>IFERROR(VLOOKUP(A18,'EQUIPOS '!$B$3:$N$55,12,FALSE),0)</f>
        <v>64227.08</v>
      </c>
      <c r="H18" s="32">
        <f t="shared" si="3"/>
        <v>4</v>
      </c>
      <c r="I18" s="33">
        <f>IFERROR((G18/H18),0)</f>
        <v>16056.77</v>
      </c>
      <c r="J18" s="33">
        <f t="shared" si="1"/>
        <v>16057</v>
      </c>
    </row>
    <row r="19" spans="1:15" s="20" customFormat="1" ht="13.9" customHeight="1" x14ac:dyDescent="0.25">
      <c r="A19" s="1558" t="str">
        <f>+'11'!A19:D19</f>
        <v xml:space="preserve">PULIDORA </v>
      </c>
      <c r="B19" s="1559"/>
      <c r="C19" s="1559"/>
      <c r="D19" s="1560"/>
      <c r="E19" s="29" t="str">
        <f t="shared" si="2"/>
        <v>HR</v>
      </c>
      <c r="F19" s="30">
        <f>IFERROR(VLOOKUP(A19,'[10]EQUIPOS TRANSPOR SALARIO'!$A$3:$G$42,2,FALSE),0)</f>
        <v>0</v>
      </c>
      <c r="G19" s="31">
        <f>IFERROR(VLOOKUP(A19,'EQUIPOS '!$B$3:$N$55,12,FALSE),0)</f>
        <v>2821</v>
      </c>
      <c r="H19" s="32">
        <f t="shared" si="3"/>
        <v>4</v>
      </c>
      <c r="I19" s="33">
        <f t="shared" si="0"/>
        <v>705.25</v>
      </c>
      <c r="J19" s="33">
        <f t="shared" si="1"/>
        <v>705</v>
      </c>
    </row>
    <row r="20" spans="1:15" s="20" customFormat="1" ht="13.9" customHeight="1" x14ac:dyDescent="0.25">
      <c r="A20" s="1558" t="str">
        <f>+'11'!A20:D20</f>
        <v xml:space="preserve">HERRAMIENTA MENOR </v>
      </c>
      <c r="B20" s="1559"/>
      <c r="C20" s="1559"/>
      <c r="D20" s="1560"/>
      <c r="E20" s="29" t="str">
        <f t="shared" si="2"/>
        <v>HR</v>
      </c>
      <c r="F20" s="30">
        <f>IFERROR(VLOOKUP(A20,'[10]EQUIPOS TRANSPOR SALARIO'!$A$3:$G$42,2,FALSE),0)</f>
        <v>0</v>
      </c>
      <c r="G20" s="74">
        <v>0.01</v>
      </c>
      <c r="H20" s="32"/>
      <c r="I20" s="33">
        <f>+G20*J64</f>
        <v>163.94</v>
      </c>
      <c r="J20" s="33">
        <f t="shared" si="1"/>
        <v>164</v>
      </c>
    </row>
    <row r="21" spans="1:15" s="20" customFormat="1" ht="13.9" customHeight="1" x14ac:dyDescent="0.25">
      <c r="A21" s="1558"/>
      <c r="B21" s="1559"/>
      <c r="C21" s="1559"/>
      <c r="D21" s="1560"/>
      <c r="E21" s="29"/>
      <c r="F21" s="30"/>
      <c r="G21" s="31"/>
      <c r="H21" s="32"/>
      <c r="I21" s="33"/>
      <c r="J21" s="33"/>
    </row>
    <row r="22" spans="1:15" s="20" customFormat="1" ht="13.9" customHeight="1" x14ac:dyDescent="0.25">
      <c r="I22" s="30" t="s">
        <v>257</v>
      </c>
      <c r="J22" s="34">
        <f>+SUM(J11:J21)</f>
        <v>25793</v>
      </c>
    </row>
    <row r="23" spans="1:15" s="20" customFormat="1" ht="13.9" customHeight="1" x14ac:dyDescent="0.25"/>
    <row r="24" spans="1:15" s="20" customFormat="1" ht="13.9" customHeight="1" x14ac:dyDescent="0.25">
      <c r="A24" s="1561" t="s">
        <v>263</v>
      </c>
      <c r="B24" s="1561"/>
      <c r="C24" s="1561"/>
      <c r="D24" s="1561"/>
      <c r="E24" s="1561"/>
      <c r="F24" s="1561"/>
      <c r="G24" s="1561"/>
      <c r="H24" s="1561"/>
      <c r="I24" s="27"/>
    </row>
    <row r="25" spans="1:15" ht="13.9" customHeight="1" x14ac:dyDescent="0.25">
      <c r="A25" s="1565" t="s">
        <v>251</v>
      </c>
      <c r="B25" s="1566"/>
      <c r="C25" s="1566"/>
      <c r="D25" s="1566"/>
      <c r="E25" s="1566"/>
      <c r="F25" s="1567"/>
      <c r="G25" s="28" t="s">
        <v>252</v>
      </c>
      <c r="H25" s="28" t="s">
        <v>264</v>
      </c>
      <c r="I25" s="28" t="s">
        <v>256</v>
      </c>
      <c r="J25" s="28" t="s">
        <v>257</v>
      </c>
    </row>
    <row r="26" spans="1:15" ht="13.9" customHeight="1" x14ac:dyDescent="0.25">
      <c r="A26" s="1694" t="str">
        <f>+'11'!A25</f>
        <v>LÁMINA GALVANIZADA C 16 E=1,50 mm</v>
      </c>
      <c r="B26" s="1695"/>
      <c r="C26" s="1695"/>
      <c r="D26" s="1695"/>
      <c r="E26" s="1695"/>
      <c r="F26" s="1696"/>
      <c r="G26" s="29" t="s">
        <v>12</v>
      </c>
      <c r="H26" s="35">
        <f>0.51*0.36</f>
        <v>0.18359999999999999</v>
      </c>
      <c r="I26" s="33">
        <f>+IFERROR(VLOOKUP(A26,'INSUMOS '!$B$2:$AP$167,'INSUMOS '!$AO$2+1,FALSE),0)</f>
        <v>85500.55</v>
      </c>
      <c r="J26" s="33">
        <f>ROUND(I26*H26,0)</f>
        <v>15698</v>
      </c>
      <c r="N26" s="1374">
        <f>H26*0.0015*7850</f>
        <v>2.1618899999999996</v>
      </c>
      <c r="O26" s="593" t="s">
        <v>106</v>
      </c>
    </row>
    <row r="27" spans="1:15" ht="29.25" customHeight="1" x14ac:dyDescent="0.25">
      <c r="A27" s="1735" t="str">
        <f>+'INSUMOS '!B125</f>
        <v>LÁMINA RETRORREFLECTIVA TIPO XI, NTC 4739, Color Amarillo/ verde Fluorescente de 123 cm de ancho por 45.7 metros de largo</v>
      </c>
      <c r="B27" s="1736"/>
      <c r="C27" s="1736"/>
      <c r="D27" s="1736"/>
      <c r="E27" s="1736"/>
      <c r="F27" s="1737"/>
      <c r="G27" s="29" t="s">
        <v>12</v>
      </c>
      <c r="H27" s="35">
        <f>+H26</f>
        <v>0.18359999999999999</v>
      </c>
      <c r="I27" s="33">
        <f>+IFERROR(VLOOKUP(A27,'INSUMOS '!$B$2:$AP$167,'INSUMOS '!$AO$2+1,FALSE),0)</f>
        <v>196248</v>
      </c>
      <c r="J27" s="33">
        <f t="shared" ref="J27:J40" si="4">ROUND(I27*H27,0)</f>
        <v>36031</v>
      </c>
      <c r="N27" s="1374">
        <f>H27*0.2/0.36</f>
        <v>0.10199999999999999</v>
      </c>
      <c r="O27" s="593" t="s">
        <v>90</v>
      </c>
    </row>
    <row r="28" spans="1:15" ht="13.9" customHeight="1" x14ac:dyDescent="0.25">
      <c r="A28" s="1694" t="str">
        <f>+'11'!A27</f>
        <v>TUBO GALVANIZADO DE 2" X 2,0 mm ESPESOR DE PARED</v>
      </c>
      <c r="B28" s="1695"/>
      <c r="C28" s="1695"/>
      <c r="D28" s="1695"/>
      <c r="E28" s="1695"/>
      <c r="F28" s="1696"/>
      <c r="G28" s="29" t="str">
        <f>+VLOOKUP(A28,'INSUMOS '!$B$3:$C$112,2,FALSE)</f>
        <v>M</v>
      </c>
      <c r="H28" s="54">
        <f>1.81+0.6</f>
        <v>2.41</v>
      </c>
      <c r="I28" s="33">
        <f>+IFERROR(VLOOKUP(A28,'INSUMOS '!$B$2:$AP$167,'INSUMOS '!$AO$2+1,FALSE),0)</f>
        <v>16939</v>
      </c>
      <c r="J28" s="33">
        <f t="shared" si="4"/>
        <v>40823</v>
      </c>
      <c r="N28" s="1374">
        <f>(((2*0.0254+0.004)^2*PI()/4)-(2*0.0254)^2*PI()/4)*7850*H28</f>
        <v>6.2762536971487126</v>
      </c>
      <c r="O28" s="593" t="s">
        <v>7315</v>
      </c>
    </row>
    <row r="29" spans="1:15" ht="13.9" customHeight="1" x14ac:dyDescent="0.25">
      <c r="A29" s="1694" t="str">
        <f>+'11'!A28</f>
        <v>ÁNGULO METÁLICO DE 2"X2"X1/8" L=6M</v>
      </c>
      <c r="B29" s="1695"/>
      <c r="C29" s="1695"/>
      <c r="D29" s="1695"/>
      <c r="E29" s="1695"/>
      <c r="F29" s="1696"/>
      <c r="G29" s="29" t="str">
        <f>+VLOOKUP(A29,'INSUMOS '!$B$3:$C$112,2,FALSE)</f>
        <v>M</v>
      </c>
      <c r="H29" s="54">
        <f>0.15</f>
        <v>0.15</v>
      </c>
      <c r="I29" s="33">
        <f>+IFERROR(VLOOKUP(A29,'INSUMOS '!$B$2:$AP$167,'INSUMOS '!$AO$2+1,FALSE),0)</f>
        <v>16804.093333333331</v>
      </c>
      <c r="J29" s="33">
        <f t="shared" si="4"/>
        <v>2521</v>
      </c>
      <c r="N29" s="1374">
        <f>4*0.0254*(0.0254/8)*H29*7850</f>
        <v>0.37983794999999998</v>
      </c>
      <c r="O29" s="593" t="s">
        <v>156</v>
      </c>
    </row>
    <row r="30" spans="1:15" ht="13.9" customHeight="1" x14ac:dyDescent="0.25">
      <c r="A30" s="1694" t="str">
        <f>+'11'!A29</f>
        <v>TORNILLOS 5/16 ZINCADO  (INCLUYE TUERCA DE SEGURIDAD Y ARANDELA)</v>
      </c>
      <c r="B30" s="1695"/>
      <c r="C30" s="1695"/>
      <c r="D30" s="1695"/>
      <c r="E30" s="1695"/>
      <c r="F30" s="1696"/>
      <c r="G30" s="29" t="str">
        <f>+VLOOKUP(A30,'INSUMOS '!$B$3:$C$112,2,FALSE)</f>
        <v>UN</v>
      </c>
      <c r="H30" s="35">
        <f>4</f>
        <v>4</v>
      </c>
      <c r="I30" s="33">
        <f>+IFERROR(VLOOKUP(A30,'INSUMOS '!$B$2:$AP$167,'INSUMOS '!$AO$2+1,FALSE),0)</f>
        <v>1747.5</v>
      </c>
      <c r="J30" s="33">
        <f t="shared" si="4"/>
        <v>6990</v>
      </c>
      <c r="N30" s="1374">
        <f>H30*0.3/4</f>
        <v>0.3</v>
      </c>
      <c r="O30" s="593" t="s">
        <v>42</v>
      </c>
    </row>
    <row r="31" spans="1:15" ht="13.9" customHeight="1" x14ac:dyDescent="0.25">
      <c r="A31" s="1694" t="str">
        <f>+'11'!A30</f>
        <v>REMACHES CON ARANDELAS DE 4*10 MM</v>
      </c>
      <c r="B31" s="1695"/>
      <c r="C31" s="1695"/>
      <c r="D31" s="1695"/>
      <c r="E31" s="1695"/>
      <c r="F31" s="1696"/>
      <c r="G31" s="29" t="str">
        <f>+VLOOKUP(A31,'INSUMOS '!$B$3:$C$112,2,FALSE)</f>
        <v>UN</v>
      </c>
      <c r="H31" s="35">
        <f>4</f>
        <v>4</v>
      </c>
      <c r="I31" s="33">
        <f>+IFERROR(VLOOKUP(A31,'INSUMOS '!$B$2:$AP$167,'INSUMOS '!$AO$2+1,FALSE),0)</f>
        <v>170</v>
      </c>
      <c r="J31" s="33">
        <f t="shared" si="4"/>
        <v>680</v>
      </c>
      <c r="N31" s="1374">
        <f>H31/4*0.1</f>
        <v>0.1</v>
      </c>
      <c r="O31" s="593" t="s">
        <v>43</v>
      </c>
    </row>
    <row r="32" spans="1:15" ht="13.9" customHeight="1" x14ac:dyDescent="0.25">
      <c r="A32" s="1694" t="str">
        <f>+'11'!A31</f>
        <v xml:space="preserve">STEAKER 15 X 15 CM EN PAPEL REFLECTIVO TIPO IV O SUPERIOR </v>
      </c>
      <c r="B32" s="1695"/>
      <c r="C32" s="1695"/>
      <c r="D32" s="1695"/>
      <c r="E32" s="1695"/>
      <c r="F32" s="1696"/>
      <c r="G32" s="29" t="str">
        <f>+VLOOKUP(A32,'INSUMOS '!$B$3:$C$112,2,FALSE)</f>
        <v>UN</v>
      </c>
      <c r="H32" s="35">
        <v>1</v>
      </c>
      <c r="I32" s="33">
        <f>+IFERROR(VLOOKUP(A32,'INSUMOS '!$B$2:$AP$167,'INSUMOS '!$AO$2+1,FALSE),0)</f>
        <v>2500</v>
      </c>
      <c r="J32" s="33">
        <f t="shared" si="4"/>
        <v>2500</v>
      </c>
      <c r="N32" s="1375">
        <f>H32*0.05</f>
        <v>0.05</v>
      </c>
      <c r="O32" s="593" t="s">
        <v>92</v>
      </c>
    </row>
    <row r="33" spans="1:15" ht="13.9" customHeight="1" x14ac:dyDescent="0.25">
      <c r="A33" s="1694" t="str">
        <f>+'11'!A32</f>
        <v xml:space="preserve">PELÍCULA ANTIGRAFITTI </v>
      </c>
      <c r="B33" s="1695"/>
      <c r="C33" s="1695"/>
      <c r="D33" s="1695"/>
      <c r="E33" s="1695"/>
      <c r="F33" s="1696"/>
      <c r="G33" s="29" t="s">
        <v>12</v>
      </c>
      <c r="H33" s="35">
        <f>+H26</f>
        <v>0.18359999999999999</v>
      </c>
      <c r="I33" s="33">
        <f>+IFERROR(VLOOKUP(A33,'INSUMOS '!$B$2:$AP$167,'INSUMOS '!$AO$2+1,FALSE),0)</f>
        <v>65174.538799999995</v>
      </c>
      <c r="J33" s="33">
        <f t="shared" si="4"/>
        <v>11966</v>
      </c>
      <c r="N33" s="1374">
        <f>H33/0.36*0.3</f>
        <v>0.153</v>
      </c>
      <c r="O33" s="593" t="s">
        <v>89</v>
      </c>
    </row>
    <row r="34" spans="1:15" ht="13.9" customHeight="1" x14ac:dyDescent="0.25">
      <c r="A34" s="1694" t="str">
        <f>+'11'!A33</f>
        <v>PINTURA ELECTROSTÁTICA M2</v>
      </c>
      <c r="B34" s="1695"/>
      <c r="C34" s="1695"/>
      <c r="D34" s="1695"/>
      <c r="E34" s="1695"/>
      <c r="F34" s="1696"/>
      <c r="G34" s="29" t="str">
        <f>+VLOOKUP(A34,'INSUMOS '!$B$3:$C$112,2,FALSE)</f>
        <v>KG</v>
      </c>
      <c r="H34" s="37">
        <f>((0.0254*2+0.004)*PI()*H28+H26+8*0.0254*H29+3*0.0588^2*PI()/4)/3</f>
        <v>0.21237675321748914</v>
      </c>
      <c r="I34" s="33">
        <f>+IFERROR(VLOOKUP(A34,'INSUMOS '!$B$2:$AP$167,'INSUMOS '!$AO$2+1,FALSE),0)</f>
        <v>26664.5</v>
      </c>
      <c r="J34" s="33">
        <f t="shared" si="4"/>
        <v>5663</v>
      </c>
      <c r="N34" s="1374">
        <f>H34</f>
        <v>0.21237675321748914</v>
      </c>
      <c r="O34" s="593" t="s">
        <v>334</v>
      </c>
    </row>
    <row r="35" spans="1:15" ht="13.9" customHeight="1" x14ac:dyDescent="0.25">
      <c r="A35" s="1694" t="str">
        <f>+'11'!A34</f>
        <v>TINTA TRASLUCIDA PARA CINTA REFLECTIVA</v>
      </c>
      <c r="B35" s="1695"/>
      <c r="C35" s="1695"/>
      <c r="D35" s="1695"/>
      <c r="E35" s="1695"/>
      <c r="F35" s="1696"/>
      <c r="G35" s="29" t="s">
        <v>157</v>
      </c>
      <c r="H35" s="37">
        <f>H26/3.44*0.22</f>
        <v>1.1741860465116279E-2</v>
      </c>
      <c r="I35" s="33">
        <f>+IFERROR(VLOOKUP(A35,'INSUMOS '!$B$2:$AP$167,'INSUMOS '!$AO$2+1,FALSE),0)</f>
        <v>440873.77039999992</v>
      </c>
      <c r="J35" s="33">
        <f t="shared" si="4"/>
        <v>5177</v>
      </c>
      <c r="N35" s="1405">
        <f>H35*0.454</f>
        <v>5.330804651162791E-3</v>
      </c>
      <c r="O35" s="593" t="s">
        <v>45</v>
      </c>
    </row>
    <row r="36" spans="1:15" ht="13.9" customHeight="1" x14ac:dyDescent="0.25">
      <c r="A36" s="1694" t="str">
        <f>'INSUMOS '!B28</f>
        <v>CONCRETO  HIDRAULICO 2500 PSI 17 MPA (175 KG/CM2)</v>
      </c>
      <c r="B36" s="1695"/>
      <c r="C36" s="1695"/>
      <c r="D36" s="1695"/>
      <c r="E36" s="1695"/>
      <c r="F36" s="1696"/>
      <c r="G36" s="29" t="s">
        <v>3</v>
      </c>
      <c r="H36" s="35">
        <f>+PI()*0.25*0.25/4*0.55</f>
        <v>2.6998061866787288E-2</v>
      </c>
      <c r="I36" s="33">
        <f>+IFERROR(VLOOKUP(A36,'INSUMOS '!$B$2:$AP$167,'INSUMOS '!$AO$2+1,FALSE),0)</f>
        <v>486142</v>
      </c>
      <c r="J36" s="33">
        <f t="shared" si="4"/>
        <v>13125</v>
      </c>
      <c r="N36" s="1374">
        <f>H36*2400</f>
        <v>64.795348480289491</v>
      </c>
      <c r="O36" s="593" t="s">
        <v>98</v>
      </c>
    </row>
    <row r="37" spans="1:15" ht="13.9" customHeight="1" x14ac:dyDescent="0.25">
      <c r="A37" s="1694" t="str">
        <f>+'11'!A36</f>
        <v>SOLDADURA ELECTRICA  E 6013 O SIMILAR</v>
      </c>
      <c r="B37" s="1695"/>
      <c r="C37" s="1695"/>
      <c r="D37" s="1695"/>
      <c r="E37" s="1695"/>
      <c r="F37" s="1696"/>
      <c r="G37" s="29" t="str">
        <f>+VLOOKUP(A37,'INSUMOS '!$B$3:$C$112,2,FALSE)</f>
        <v>KG</v>
      </c>
      <c r="H37" s="37">
        <f>0.005^2/2*(6*0.0588*PI())*7850</f>
        <v>0.10875722527829824</v>
      </c>
      <c r="I37" s="33">
        <f>+IFERROR(VLOOKUP(A37,'INSUMOS '!$B$2:$AP$167,'INSUMOS '!$AO$2+1,FALSE),0)</f>
        <v>19163.666666666668</v>
      </c>
      <c r="J37" s="33">
        <f t="shared" si="4"/>
        <v>2084</v>
      </c>
      <c r="N37" s="1374">
        <f>H37</f>
        <v>0.10875722527829824</v>
      </c>
      <c r="O37" s="593" t="s">
        <v>87</v>
      </c>
    </row>
    <row r="38" spans="1:15" ht="13.9" customHeight="1" x14ac:dyDescent="0.25">
      <c r="A38" s="1694" t="str">
        <f>+'11'!A37</f>
        <v>BROCA PARA METAL 1/2"</v>
      </c>
      <c r="B38" s="1695"/>
      <c r="C38" s="1695"/>
      <c r="D38" s="1695"/>
      <c r="E38" s="1695"/>
      <c r="F38" s="1696"/>
      <c r="G38" s="29" t="str">
        <f>+VLOOKUP(A38,'INSUMOS '!$B$3:$C$112,2,FALSE)</f>
        <v>UN</v>
      </c>
      <c r="H38" s="37">
        <v>0.01</v>
      </c>
      <c r="I38" s="33">
        <f>+IFERROR(VLOOKUP(A38,'INSUMOS '!$B$2:$AP$167,'INSUMOS '!$AO$2+1,FALSE),0)</f>
        <v>31741.5</v>
      </c>
      <c r="J38" s="33">
        <f t="shared" si="4"/>
        <v>317</v>
      </c>
      <c r="N38" s="1374">
        <f>H38*0.106</f>
        <v>1.06E-3</v>
      </c>
      <c r="O38" s="593" t="s">
        <v>26</v>
      </c>
    </row>
    <row r="39" spans="1:15" ht="13.9" customHeight="1" x14ac:dyDescent="0.25">
      <c r="A39" s="1694" t="str">
        <f>+'11'!A38</f>
        <v>LÁMINA GALVANIZADA C 16 E=1,50 mm</v>
      </c>
      <c r="B39" s="1695"/>
      <c r="C39" s="1695"/>
      <c r="D39" s="1695"/>
      <c r="E39" s="1695"/>
      <c r="F39" s="1696"/>
      <c r="G39" s="29" t="s">
        <v>12</v>
      </c>
      <c r="H39" s="1408">
        <f>0.0588^2*PI()/4*3</f>
        <v>8.1464010781706203E-3</v>
      </c>
      <c r="I39" s="33">
        <f>+IFERROR(VLOOKUP(A39,'INSUMOS '!$B$2:$AP$167,'INSUMOS '!$AO$2+1,FALSE),0)</f>
        <v>85500.55</v>
      </c>
      <c r="J39" s="33">
        <f>ROUND(I39*H39,0)</f>
        <v>697</v>
      </c>
      <c r="N39" s="1374">
        <f>H39*0.0015*7850</f>
        <v>9.5923872695459059E-2</v>
      </c>
      <c r="O39" s="593" t="s">
        <v>106</v>
      </c>
    </row>
    <row r="40" spans="1:15" ht="13.9" customHeight="1" x14ac:dyDescent="0.25">
      <c r="A40" s="1694" t="str">
        <f>+'11'!A39</f>
        <v xml:space="preserve">DESPERDICIO </v>
      </c>
      <c r="B40" s="1695"/>
      <c r="C40" s="1695"/>
      <c r="D40" s="1695"/>
      <c r="E40" s="1695"/>
      <c r="F40" s="1696"/>
      <c r="G40" s="29"/>
      <c r="H40" s="74">
        <v>0.05</v>
      </c>
      <c r="I40" s="33">
        <f>+SUM(J26:J38)</f>
        <v>143575</v>
      </c>
      <c r="J40" s="33">
        <f t="shared" si="4"/>
        <v>7179</v>
      </c>
      <c r="N40" s="592"/>
      <c r="O40" s="592"/>
    </row>
    <row r="41" spans="1:15" ht="13.9" customHeight="1" x14ac:dyDescent="0.25">
      <c r="A41" s="1558"/>
      <c r="B41" s="1559"/>
      <c r="C41" s="1559"/>
      <c r="D41" s="1559"/>
      <c r="E41" s="1559"/>
      <c r="F41" s="1560"/>
      <c r="G41" s="29"/>
      <c r="H41" s="35"/>
      <c r="I41" s="33"/>
      <c r="J41" s="33"/>
      <c r="N41" s="1376">
        <f>SUM(N26:N39)</f>
        <v>74.741778783280608</v>
      </c>
      <c r="O41" s="592"/>
    </row>
    <row r="42" spans="1:15" ht="13.9" customHeight="1" x14ac:dyDescent="0.25">
      <c r="A42" s="20"/>
      <c r="B42" s="20"/>
      <c r="C42" s="20"/>
      <c r="D42" s="20"/>
      <c r="E42" s="20"/>
      <c r="G42" s="20"/>
      <c r="H42" s="20"/>
      <c r="I42" s="30" t="s">
        <v>257</v>
      </c>
      <c r="J42" s="34">
        <f>+SUM(J26:J41)</f>
        <v>151451</v>
      </c>
    </row>
    <row r="43" spans="1:15" ht="13.9" customHeight="1" x14ac:dyDescent="0.25"/>
    <row r="44" spans="1:15" ht="13.9" customHeight="1" x14ac:dyDescent="0.25">
      <c r="A44" s="1561" t="s">
        <v>267</v>
      </c>
      <c r="B44" s="1561"/>
      <c r="C44" s="1561"/>
      <c r="D44" s="1561"/>
      <c r="E44" s="1561"/>
      <c r="F44" s="1561"/>
      <c r="G44" s="1561"/>
      <c r="H44" s="1561"/>
      <c r="I44" s="27"/>
    </row>
    <row r="45" spans="1:15" ht="13.9" customHeight="1" x14ac:dyDescent="0.25">
      <c r="A45" s="1562" t="s">
        <v>268</v>
      </c>
      <c r="B45" s="1563"/>
      <c r="C45" s="1563"/>
      <c r="D45" s="1563"/>
      <c r="E45" s="1563"/>
      <c r="F45" s="1564"/>
      <c r="G45" s="38" t="s">
        <v>255</v>
      </c>
      <c r="H45" s="28" t="s">
        <v>269</v>
      </c>
      <c r="I45" s="28" t="s">
        <v>256</v>
      </c>
      <c r="J45" s="28" t="s">
        <v>257</v>
      </c>
    </row>
    <row r="46" spans="1:15" ht="13.9" customHeight="1" x14ac:dyDescent="0.25">
      <c r="A46" s="1558" t="str">
        <f>+'EQUIPOS '!B6</f>
        <v>CAMION INCLUYE CONDUCTOR</v>
      </c>
      <c r="B46" s="1559"/>
      <c r="C46" s="1559"/>
      <c r="D46" s="1559"/>
      <c r="E46" s="1559"/>
      <c r="F46" s="1560"/>
      <c r="G46" s="1407">
        <f>(N41/1000)/12</f>
        <v>6.2284815652733838E-3</v>
      </c>
      <c r="H46" s="33">
        <f>+IFERROR(VLOOKUP(A46,'EQUIPOS '!$B$3:$M$78,12,FALSE),0)</f>
        <v>611492.5</v>
      </c>
      <c r="I46" s="33">
        <f>IFERROR(H46*G46,0)</f>
        <v>3808.6697635529345</v>
      </c>
      <c r="J46" s="33">
        <f>ROUND(I46,0)</f>
        <v>3809</v>
      </c>
    </row>
    <row r="47" spans="1:15" ht="13.9" customHeight="1" x14ac:dyDescent="0.25">
      <c r="A47" s="1558"/>
      <c r="B47" s="1559"/>
      <c r="C47" s="1559"/>
      <c r="D47" s="1559"/>
      <c r="E47" s="1559"/>
      <c r="F47" s="1560"/>
      <c r="G47" s="29"/>
      <c r="H47" s="33"/>
      <c r="I47" s="33"/>
      <c r="J47" s="33"/>
    </row>
    <row r="48" spans="1:15" ht="13.9" customHeight="1" x14ac:dyDescent="0.25">
      <c r="A48" s="1558"/>
      <c r="B48" s="1559"/>
      <c r="C48" s="1559"/>
      <c r="D48" s="1559"/>
      <c r="E48" s="1559"/>
      <c r="F48" s="1560"/>
      <c r="G48" s="29"/>
      <c r="H48" s="33"/>
      <c r="I48" s="33"/>
      <c r="J48" s="33"/>
    </row>
    <row r="49" spans="1:10" ht="13.9" customHeight="1" x14ac:dyDescent="0.25">
      <c r="G49" s="39"/>
      <c r="H49" s="39"/>
      <c r="I49" s="30" t="s">
        <v>257</v>
      </c>
      <c r="J49" s="33">
        <f>+SUM(J46:J48)</f>
        <v>3809</v>
      </c>
    </row>
    <row r="50" spans="1:10" ht="13.9" customHeight="1" x14ac:dyDescent="0.25"/>
    <row r="51" spans="1:10" ht="13.9" customHeight="1" x14ac:dyDescent="0.25">
      <c r="A51" s="1561" t="s">
        <v>270</v>
      </c>
      <c r="B51" s="1561"/>
      <c r="C51" s="1561"/>
      <c r="D51" s="1561"/>
      <c r="E51" s="1561"/>
      <c r="F51" s="1561"/>
      <c r="G51" s="1561"/>
      <c r="H51" s="1561"/>
      <c r="I51" s="27"/>
    </row>
    <row r="52" spans="1:10" s="39" customFormat="1" ht="13.9" customHeight="1" x14ac:dyDescent="0.25">
      <c r="A52" s="1562" t="s">
        <v>271</v>
      </c>
      <c r="B52" s="1563"/>
      <c r="C52" s="1563"/>
      <c r="D52" s="1564"/>
      <c r="E52" s="28" t="s">
        <v>272</v>
      </c>
      <c r="F52" s="28" t="s">
        <v>264</v>
      </c>
      <c r="G52" s="28" t="s">
        <v>273</v>
      </c>
      <c r="H52" s="28" t="s">
        <v>255</v>
      </c>
      <c r="I52" s="28" t="s">
        <v>256</v>
      </c>
      <c r="J52" s="28" t="s">
        <v>257</v>
      </c>
    </row>
    <row r="53" spans="1:10" s="39" customFormat="1" ht="13.9" customHeight="1" x14ac:dyDescent="0.25">
      <c r="A53" s="1571" t="s">
        <v>129</v>
      </c>
      <c r="B53" s="1572"/>
      <c r="C53" s="1572"/>
      <c r="D53" s="1573"/>
      <c r="E53" s="609">
        <f>+IFERROR(VLOOKUP(A53,PERSONAL!$B$3:$E$56,4,FALSE),0)</f>
        <v>110344</v>
      </c>
      <c r="F53" s="601">
        <v>1</v>
      </c>
      <c r="G53" s="609">
        <f>+E53*F53</f>
        <v>110344</v>
      </c>
      <c r="H53" s="54">
        <v>60</v>
      </c>
      <c r="I53" s="55">
        <f>IFERROR(ROUND(G53/H53,0),0)</f>
        <v>1839</v>
      </c>
      <c r="J53" s="55">
        <f>+I53</f>
        <v>1839</v>
      </c>
    </row>
    <row r="54" spans="1:10" s="39" customFormat="1" ht="13.9" customHeight="1" x14ac:dyDescent="0.25">
      <c r="A54" s="1571" t="s">
        <v>130</v>
      </c>
      <c r="B54" s="1572"/>
      <c r="C54" s="1572"/>
      <c r="D54" s="1573"/>
      <c r="E54" s="609">
        <f>+IFERROR(VLOOKUP(A54,PERSONAL!$B$3:$E$56,4,FALSE),0)</f>
        <v>100054</v>
      </c>
      <c r="F54" s="601">
        <v>1</v>
      </c>
      <c r="G54" s="609">
        <f t="shared" ref="G54:G57" si="5">+E54*F54</f>
        <v>100054</v>
      </c>
      <c r="H54" s="54">
        <v>60</v>
      </c>
      <c r="I54" s="55">
        <f t="shared" ref="I54:I57" si="6">IFERROR(ROUND(G54/H54,0),0)</f>
        <v>1668</v>
      </c>
      <c r="J54" s="55">
        <f t="shared" ref="J54:J57" si="7">+I54</f>
        <v>1668</v>
      </c>
    </row>
    <row r="55" spans="1:10" s="39" customFormat="1" ht="13.9" customHeight="1" x14ac:dyDescent="0.25">
      <c r="A55" s="1571" t="s">
        <v>131</v>
      </c>
      <c r="B55" s="1572"/>
      <c r="C55" s="1572"/>
      <c r="D55" s="1573"/>
      <c r="E55" s="609">
        <f>+IFERROR(VLOOKUP(A55,PERSONAL!$B$3:$E$56,4,FALSE),0)</f>
        <v>91275</v>
      </c>
      <c r="F55" s="601">
        <v>1</v>
      </c>
      <c r="G55" s="609">
        <f t="shared" si="5"/>
        <v>91275</v>
      </c>
      <c r="H55" s="54">
        <v>60</v>
      </c>
      <c r="I55" s="55">
        <f t="shared" si="6"/>
        <v>1521</v>
      </c>
      <c r="J55" s="55">
        <f t="shared" si="7"/>
        <v>1521</v>
      </c>
    </row>
    <row r="56" spans="1:10" s="39" customFormat="1" ht="13.9" customHeight="1" x14ac:dyDescent="0.25">
      <c r="A56" s="1571" t="s">
        <v>178</v>
      </c>
      <c r="B56" s="1572"/>
      <c r="C56" s="1572"/>
      <c r="D56" s="1573"/>
      <c r="E56" s="1412">
        <f>+IFERROR(VLOOKUP(A56,PERSONAL!$B$3:$E$56,4,FALSE),0)</f>
        <v>166031</v>
      </c>
      <c r="F56" s="601">
        <v>1</v>
      </c>
      <c r="G56" s="1412">
        <f t="shared" ref="G56" si="8">+E56*F56</f>
        <v>166031</v>
      </c>
      <c r="H56" s="54">
        <v>48</v>
      </c>
      <c r="I56" s="1398">
        <f t="shared" ref="I56" si="9">IFERROR(ROUND(G56/H56,0),0)</f>
        <v>3459</v>
      </c>
      <c r="J56" s="1398">
        <f t="shared" ref="J56" si="10">+I56</f>
        <v>3459</v>
      </c>
    </row>
    <row r="57" spans="1:10" s="39" customFormat="1" ht="13.9" customHeight="1" x14ac:dyDescent="0.25">
      <c r="A57" s="1571" t="s">
        <v>127</v>
      </c>
      <c r="B57" s="1572"/>
      <c r="C57" s="1572"/>
      <c r="D57" s="1573"/>
      <c r="E57" s="1412">
        <f>+IFERROR(VLOOKUP(A57,PERSONAL!$B$3:$E$56,4,FALSE),0)</f>
        <v>72476</v>
      </c>
      <c r="F57" s="601">
        <v>4</v>
      </c>
      <c r="G57" s="1412">
        <f t="shared" si="5"/>
        <v>289904</v>
      </c>
      <c r="H57" s="54">
        <v>48</v>
      </c>
      <c r="I57" s="1398">
        <f t="shared" si="6"/>
        <v>6040</v>
      </c>
      <c r="J57" s="1398">
        <f t="shared" si="7"/>
        <v>6040</v>
      </c>
    </row>
    <row r="58" spans="1:10" s="39" customFormat="1" ht="13.9" customHeight="1" x14ac:dyDescent="0.25">
      <c r="A58" s="1571" t="s">
        <v>143</v>
      </c>
      <c r="B58" s="1572"/>
      <c r="C58" s="1572"/>
      <c r="D58" s="1573"/>
      <c r="E58" s="1412">
        <f>+IFERROR(VLOOKUP(A58,PERSONAL!$B$3:$E$56,4,FALSE),0)</f>
        <v>89632</v>
      </c>
      <c r="F58" s="601">
        <v>1</v>
      </c>
      <c r="G58" s="1412">
        <f>+E58*F58</f>
        <v>89632</v>
      </c>
      <c r="H58" s="54">
        <v>48</v>
      </c>
      <c r="I58" s="1398">
        <f>IFERROR(ROUND(G58/H58,0),0)</f>
        <v>1867</v>
      </c>
      <c r="J58" s="1398">
        <f>+I58</f>
        <v>1867</v>
      </c>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s="39" customFormat="1" ht="13.9" customHeight="1" x14ac:dyDescent="0.25">
      <c r="A61" s="1558"/>
      <c r="B61" s="1559"/>
      <c r="C61" s="1559"/>
      <c r="D61" s="1560"/>
      <c r="E61" s="40"/>
      <c r="F61" s="30"/>
      <c r="G61" s="40"/>
      <c r="H61" s="35"/>
      <c r="I61" s="33"/>
      <c r="J61" s="33"/>
    </row>
    <row r="62" spans="1:10" s="39" customFormat="1" ht="13.9" customHeight="1" x14ac:dyDescent="0.25">
      <c r="A62" s="1558"/>
      <c r="B62" s="1559"/>
      <c r="C62" s="1559"/>
      <c r="D62" s="1560"/>
      <c r="E62" s="40"/>
      <c r="F62" s="30"/>
      <c r="G62" s="40"/>
      <c r="H62" s="35"/>
      <c r="I62" s="33"/>
      <c r="J62" s="33"/>
    </row>
    <row r="63" spans="1:10" s="39" customFormat="1" ht="13.9" customHeight="1" x14ac:dyDescent="0.25">
      <c r="A63" s="1558"/>
      <c r="B63" s="1559"/>
      <c r="C63" s="1559"/>
      <c r="D63" s="1560"/>
      <c r="E63" s="40"/>
      <c r="F63" s="30"/>
      <c r="G63" s="40"/>
      <c r="H63" s="35"/>
      <c r="I63" s="33"/>
      <c r="J63" s="33"/>
    </row>
    <row r="64" spans="1:10" ht="13.9" customHeight="1" x14ac:dyDescent="0.25">
      <c r="A64" s="20"/>
      <c r="B64" s="20"/>
      <c r="C64" s="20"/>
      <c r="E64" s="20"/>
      <c r="F64" s="20"/>
      <c r="G64" s="20"/>
      <c r="H64" s="20"/>
      <c r="I64" s="30" t="s">
        <v>257</v>
      </c>
      <c r="J64" s="34">
        <f>+SUM(J53:J63)</f>
        <v>16394</v>
      </c>
    </row>
    <row r="65" spans="5:10" ht="13.9" customHeight="1" x14ac:dyDescent="0.25"/>
    <row r="66" spans="5:10" ht="13.9" customHeight="1" x14ac:dyDescent="0.25">
      <c r="E66" s="41" t="s">
        <v>276</v>
      </c>
      <c r="I66" s="42">
        <f>+J64+J49+J42+J22</f>
        <v>197447</v>
      </c>
      <c r="J66" s="43"/>
    </row>
    <row r="67" spans="5:10" ht="13.9" customHeight="1" x14ac:dyDescent="0.25"/>
    <row r="68" spans="5:10" ht="14.1" customHeight="1" x14ac:dyDescent="0.25"/>
  </sheetData>
  <mergeCells count="55">
    <mergeCell ref="A35:F35"/>
    <mergeCell ref="A15:D15"/>
    <mergeCell ref="A16:D16"/>
    <mergeCell ref="A17:D17"/>
    <mergeCell ref="A18:D18"/>
    <mergeCell ref="A14:D14"/>
    <mergeCell ref="A1:J1"/>
    <mergeCell ref="A2:J2"/>
    <mergeCell ref="A4:J4"/>
    <mergeCell ref="A6:B6"/>
    <mergeCell ref="A7:B7"/>
    <mergeCell ref="C7:J7"/>
    <mergeCell ref="A9:H9"/>
    <mergeCell ref="A10:D10"/>
    <mergeCell ref="A11:D11"/>
    <mergeCell ref="A12:D12"/>
    <mergeCell ref="A13:D13"/>
    <mergeCell ref="A37:F37"/>
    <mergeCell ref="A19:D19"/>
    <mergeCell ref="A20:D20"/>
    <mergeCell ref="A21:D21"/>
    <mergeCell ref="A24:H24"/>
    <mergeCell ref="A25:F25"/>
    <mergeCell ref="A26:F26"/>
    <mergeCell ref="A27:F27"/>
    <mergeCell ref="A28:F28"/>
    <mergeCell ref="A29:F29"/>
    <mergeCell ref="A30:F30"/>
    <mergeCell ref="A31:F31"/>
    <mergeCell ref="A32:F32"/>
    <mergeCell ref="A33:F33"/>
    <mergeCell ref="A36:F36"/>
    <mergeCell ref="A34:F34"/>
    <mergeCell ref="A54:D54"/>
    <mergeCell ref="A38:F38"/>
    <mergeCell ref="A40:F40"/>
    <mergeCell ref="A41:F41"/>
    <mergeCell ref="A44:H44"/>
    <mergeCell ref="A45:F45"/>
    <mergeCell ref="A46:F46"/>
    <mergeCell ref="A47:F47"/>
    <mergeCell ref="A48:F48"/>
    <mergeCell ref="A51:H51"/>
    <mergeCell ref="A52:D52"/>
    <mergeCell ref="A53:D53"/>
    <mergeCell ref="A39:F39"/>
    <mergeCell ref="A62:D62"/>
    <mergeCell ref="A63:D63"/>
    <mergeCell ref="A55:D55"/>
    <mergeCell ref="A57:D57"/>
    <mergeCell ref="A58:D58"/>
    <mergeCell ref="A59:D59"/>
    <mergeCell ref="A60:D60"/>
    <mergeCell ref="A61:D61"/>
    <mergeCell ref="A56:D56"/>
  </mergeCells>
  <pageMargins left="0.70866141732283472" right="0.70866141732283472" top="0.78740157480314965" bottom="0.78740157480314965" header="0.31496062992125984" footer="0.31496062992125984"/>
  <pageSetup scale="85" orientation="portrait" r:id="rId1"/>
  <drawing r:id="rId2"/>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800-000000000000}">
  <sheetPr codeName="Hoja16">
    <tabColor rgb="FF00B050"/>
  </sheetPr>
  <dimension ref="A1:O65"/>
  <sheetViews>
    <sheetView topLeftCell="A42" workbookViewId="0">
      <selection activeCell="G45" sqref="G45"/>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3" width="11.42578125" style="592"/>
    <col min="14" max="15" width="0" style="592" hidden="1" customWidth="1"/>
    <col min="16" max="16384" width="11.42578125" style="592"/>
  </cols>
  <sheetData>
    <row r="1" spans="1:10" ht="29.25" customHeight="1" x14ac:dyDescent="0.25">
      <c r="A1" s="1680" t="s">
        <v>244</v>
      </c>
      <c r="B1" s="1681"/>
      <c r="C1" s="1681"/>
      <c r="D1" s="1681"/>
      <c r="E1" s="1681"/>
      <c r="F1" s="1681"/>
      <c r="G1" s="1681"/>
      <c r="H1" s="1681"/>
      <c r="I1" s="1681"/>
      <c r="J1" s="1681"/>
    </row>
    <row r="2" spans="1:10" ht="15" customHeight="1" x14ac:dyDescent="0.25">
      <c r="A2" s="1682" t="s">
        <v>245</v>
      </c>
      <c r="B2" s="1682"/>
      <c r="C2" s="1682"/>
      <c r="D2" s="1682"/>
      <c r="E2" s="1682"/>
      <c r="F2" s="1682"/>
      <c r="G2" s="1682"/>
      <c r="H2" s="1682"/>
      <c r="I2" s="1682"/>
      <c r="J2" s="1682"/>
    </row>
    <row r="4" spans="1:10" s="593" customFormat="1" ht="9.9499999999999993" customHeight="1" x14ac:dyDescent="0.25">
      <c r="A4" s="1683" t="s">
        <v>246</v>
      </c>
      <c r="B4" s="1683"/>
      <c r="C4" s="1683"/>
      <c r="D4" s="1683"/>
      <c r="E4" s="1683"/>
      <c r="F4" s="1683"/>
      <c r="G4" s="1683"/>
      <c r="H4" s="1683"/>
      <c r="I4" s="1683"/>
      <c r="J4" s="1683"/>
    </row>
    <row r="5" spans="1:10" s="593" customFormat="1" ht="9.9499999999999993" customHeight="1" x14ac:dyDescent="0.25">
      <c r="B5" s="594"/>
      <c r="C5" s="594"/>
      <c r="D5" s="594"/>
      <c r="E5" s="594"/>
      <c r="F5" s="594"/>
      <c r="G5" s="594"/>
    </row>
    <row r="6" spans="1:10" x14ac:dyDescent="0.25">
      <c r="A6" s="1571" t="s">
        <v>247</v>
      </c>
      <c r="B6" s="1573"/>
      <c r="C6" s="595">
        <v>12</v>
      </c>
      <c r="D6" s="596"/>
      <c r="E6" s="596"/>
      <c r="F6" s="596"/>
      <c r="G6" s="596"/>
      <c r="H6" s="597"/>
      <c r="I6" s="598" t="s">
        <v>248</v>
      </c>
      <c r="J6" s="599" t="str">
        <f>+VLOOKUP(C6,'ANEXO PLIEGO_1'!$A$7:$C$133,3,FALSE)</f>
        <v>UN</v>
      </c>
    </row>
    <row r="7" spans="1:10" ht="35.1" customHeight="1" x14ac:dyDescent="0.25">
      <c r="A7" s="1637" t="s">
        <v>249</v>
      </c>
      <c r="B7" s="1639"/>
      <c r="C7" s="1684" t="str">
        <f>+VLOOKUP(C6,'ANEXO PLIEGO_1'!$A$7:$B$133,2,FALSE)</f>
        <v>Fabricación, suministro e instalación de Señal Reglamentaria, Preventiva ó Informativa de 90 cm, material reflectivoTipo XI , película antigraffiti, en lámina galvanizada C-16 E=1,5 mm, pedestal en tubo gavanizado de 2" SR - SP cumpliendo normatividad vigente.</v>
      </c>
      <c r="D7" s="1685"/>
      <c r="E7" s="1685"/>
      <c r="F7" s="1685"/>
      <c r="G7" s="1685"/>
      <c r="H7" s="1685"/>
      <c r="I7" s="1685"/>
      <c r="J7" s="1686"/>
    </row>
    <row r="9" spans="1:10" s="390" customFormat="1" ht="12.75" x14ac:dyDescent="0.25">
      <c r="A9" s="1673" t="s">
        <v>250</v>
      </c>
      <c r="B9" s="1673"/>
      <c r="C9" s="1673"/>
      <c r="D9" s="1673"/>
      <c r="E9" s="1673"/>
      <c r="F9" s="1673"/>
      <c r="G9" s="1673"/>
      <c r="H9" s="1673"/>
    </row>
    <row r="10" spans="1:10" s="593" customFormat="1" ht="13.9" customHeight="1" x14ac:dyDescent="0.25">
      <c r="A10" s="1674" t="s">
        <v>251</v>
      </c>
      <c r="B10" s="1675"/>
      <c r="C10" s="1675"/>
      <c r="D10" s="1676"/>
      <c r="E10" s="600" t="s">
        <v>252</v>
      </c>
      <c r="F10" s="600" t="s">
        <v>253</v>
      </c>
      <c r="G10" s="600" t="s">
        <v>254</v>
      </c>
      <c r="H10" s="600" t="s">
        <v>255</v>
      </c>
      <c r="I10" s="600" t="s">
        <v>256</v>
      </c>
      <c r="J10" s="600" t="s">
        <v>257</v>
      </c>
    </row>
    <row r="11" spans="1:10" s="593" customFormat="1" ht="13.9" customHeight="1" x14ac:dyDescent="0.25">
      <c r="A11" s="1571" t="str">
        <f>+'EQUIPOS '!B45</f>
        <v>TRONZADORA</v>
      </c>
      <c r="B11" s="1572"/>
      <c r="C11" s="1572"/>
      <c r="D11" s="1573"/>
      <c r="E11" s="53" t="s">
        <v>202</v>
      </c>
      <c r="F11" s="601">
        <f>IFERROR(VLOOKUP(A11,'[10]EQUIPOS TRANSPOR SALARIO'!$A$3:$G$42,2,FALSE),0)</f>
        <v>0</v>
      </c>
      <c r="G11" s="602">
        <f>IFERROR(VLOOKUP(A11,'EQUIPOS '!$B$3:$N$55,12,FALSE),0)</f>
        <v>3779.5</v>
      </c>
      <c r="H11" s="660">
        <v>10</v>
      </c>
      <c r="I11" s="55">
        <f>IFERROR((G11/H11),0)</f>
        <v>377.95</v>
      </c>
      <c r="J11" s="55">
        <f>ROUND(I11,0)</f>
        <v>378</v>
      </c>
    </row>
    <row r="12" spans="1:10" s="593" customFormat="1" ht="13.9" customHeight="1" x14ac:dyDescent="0.25">
      <c r="A12" s="1571" t="str">
        <f>+'EQUIPOS '!B7</f>
        <v xml:space="preserve">CIZALLA DE CORTE VERTICAL </v>
      </c>
      <c r="B12" s="1572"/>
      <c r="C12" s="1572"/>
      <c r="D12" s="1573"/>
      <c r="E12" s="53" t="str">
        <f>+$E$11</f>
        <v>HR</v>
      </c>
      <c r="F12" s="601">
        <f>IFERROR(VLOOKUP(A12,'[10]EQUIPOS TRANSPOR SALARIO'!$A$3:$G$42,2,FALSE),0)</f>
        <v>0</v>
      </c>
      <c r="G12" s="602">
        <f>IFERROR(VLOOKUP(A12,'EQUIPOS '!$B$3:$N$55,12,FALSE),0)</f>
        <v>5174.01</v>
      </c>
      <c r="H12" s="660">
        <f>+H11</f>
        <v>10</v>
      </c>
      <c r="I12" s="55">
        <f t="shared" ref="I12:I19" si="0">IFERROR((G12/H12),0)</f>
        <v>517.40100000000007</v>
      </c>
      <c r="J12" s="55">
        <f t="shared" ref="J12:J20" si="1">ROUND(I12,0)</f>
        <v>517</v>
      </c>
    </row>
    <row r="13" spans="1:10" s="593" customFormat="1" ht="13.9" customHeight="1" x14ac:dyDescent="0.25">
      <c r="A13" s="1571" t="str">
        <f>+'EQUIPOS '!B24</f>
        <v>EQUIPO PINTURA ELECTROSTÁTICA</v>
      </c>
      <c r="B13" s="1572"/>
      <c r="C13" s="1572"/>
      <c r="D13" s="1573"/>
      <c r="E13" s="53" t="str">
        <f>+$E$11</f>
        <v>HR</v>
      </c>
      <c r="F13" s="601" t="str">
        <f>IFERROR(VLOOKUP(A13,'[10]EQUIPOS TRANSPOR SALARIO'!$A$3:$G$42,2,FALSE),0)</f>
        <v>Electrostática</v>
      </c>
      <c r="G13" s="602">
        <f>IFERROR(VLOOKUP(A13,'EQUIPOS '!$B$3:$N$55,12,FALSE),0)</f>
        <v>4047.59</v>
      </c>
      <c r="H13" s="660">
        <f t="shared" ref="H13:H19" si="2">+H12</f>
        <v>10</v>
      </c>
      <c r="I13" s="55">
        <f t="shared" si="0"/>
        <v>404.75900000000001</v>
      </c>
      <c r="J13" s="55">
        <f t="shared" si="1"/>
        <v>405</v>
      </c>
    </row>
    <row r="14" spans="1:10" s="593" customFormat="1" ht="13.9" customHeight="1" x14ac:dyDescent="0.25">
      <c r="A14" s="1571" t="str">
        <f>+'EQUIPOS '!B43</f>
        <v>TALADRO DE ARBOL</v>
      </c>
      <c r="B14" s="1572"/>
      <c r="C14" s="1572"/>
      <c r="D14" s="1573"/>
      <c r="E14" s="53" t="s">
        <v>202</v>
      </c>
      <c r="F14" s="601">
        <f>IFERROR(VLOOKUP(A14,'[10]EQUIPOS TRANSPOR SALARIO'!$A$3:$G$42,2,FALSE),0)</f>
        <v>0</v>
      </c>
      <c r="G14" s="602">
        <f>IFERROR(VLOOKUP(A14,'EQUIPOS '!$B$3:$N$55,12,FALSE),0)</f>
        <v>4898</v>
      </c>
      <c r="H14" s="660">
        <f t="shared" si="2"/>
        <v>10</v>
      </c>
      <c r="I14" s="55">
        <f t="shared" si="0"/>
        <v>489.8</v>
      </c>
      <c r="J14" s="55">
        <f t="shared" si="1"/>
        <v>490</v>
      </c>
    </row>
    <row r="15" spans="1:10" s="593" customFormat="1" ht="13.9" customHeight="1" x14ac:dyDescent="0.25">
      <c r="A15" s="1571" t="str">
        <f>+'EQUIPOS '!B27</f>
        <v xml:space="preserve">EQUIPO SOLDADURA ELECTRICA </v>
      </c>
      <c r="B15" s="1572"/>
      <c r="C15" s="1572"/>
      <c r="D15" s="1573"/>
      <c r="E15" s="53" t="str">
        <f>+$E$11</f>
        <v>HR</v>
      </c>
      <c r="F15" s="601">
        <f>IFERROR(VLOOKUP(A15,'[10]EQUIPOS TRANSPOR SALARIO'!$A$3:$G$42,2,FALSE),0)</f>
        <v>0</v>
      </c>
      <c r="G15" s="602">
        <f>IFERROR(VLOOKUP(A15,'EQUIPOS '!$B$3:$N$55,12,FALSE),0)</f>
        <v>4862.5</v>
      </c>
      <c r="H15" s="660">
        <f t="shared" si="2"/>
        <v>10</v>
      </c>
      <c r="I15" s="55">
        <f t="shared" si="0"/>
        <v>486.25</v>
      </c>
      <c r="J15" s="55">
        <f t="shared" si="1"/>
        <v>486</v>
      </c>
    </row>
    <row r="16" spans="1:10" s="593" customFormat="1" ht="13.9" customHeight="1" x14ac:dyDescent="0.25">
      <c r="A16" s="1571" t="str">
        <f>+'EQUIPOS '!B25</f>
        <v>EQUIPO  COLAMINADO</v>
      </c>
      <c r="B16" s="1572"/>
      <c r="C16" s="1572"/>
      <c r="D16" s="1573"/>
      <c r="E16" s="53" t="s">
        <v>202</v>
      </c>
      <c r="F16" s="601">
        <f>IFERROR(VLOOKUP(A16,'[10]EQUIPOS TRANSPOR SALARIO'!$A$3:$G$42,2,FALSE),0)</f>
        <v>0</v>
      </c>
      <c r="G16" s="602">
        <f>IFERROR(VLOOKUP(A16,'EQUIPOS '!$B$3:$N$55,12,FALSE),0)</f>
        <v>4701.8100000000004</v>
      </c>
      <c r="H16" s="660">
        <f t="shared" si="2"/>
        <v>10</v>
      </c>
      <c r="I16" s="55">
        <f t="shared" si="0"/>
        <v>470.18100000000004</v>
      </c>
      <c r="J16" s="55">
        <f t="shared" si="1"/>
        <v>470</v>
      </c>
    </row>
    <row r="17" spans="1:15" s="593" customFormat="1" ht="13.9" customHeight="1" x14ac:dyDescent="0.25">
      <c r="A17" s="1571" t="str">
        <f>+'EQUIPOS '!B9</f>
        <v>COMPRESOR</v>
      </c>
      <c r="B17" s="1572"/>
      <c r="C17" s="1572"/>
      <c r="D17" s="1573"/>
      <c r="E17" s="53" t="str">
        <f>+$E$11</f>
        <v>HR</v>
      </c>
      <c r="F17" s="601" t="str">
        <f>IFERROR(VLOOKUP(A17,'[10]EQUIPOS TRANSPOR SALARIO'!$A$3:$G$42,2,FALSE),0)</f>
        <v>Eléctrico</v>
      </c>
      <c r="G17" s="602">
        <f>IFERROR(VLOOKUP(A17,'EQUIPOS '!$B$3:$N$55,12,FALSE),0)</f>
        <v>7999.94</v>
      </c>
      <c r="H17" s="660">
        <f t="shared" si="2"/>
        <v>10</v>
      </c>
      <c r="I17" s="55">
        <f t="shared" si="0"/>
        <v>799.99399999999991</v>
      </c>
      <c r="J17" s="55">
        <f t="shared" si="1"/>
        <v>800</v>
      </c>
    </row>
    <row r="18" spans="1:15" s="593" customFormat="1" ht="13.9" customHeight="1" x14ac:dyDescent="0.25">
      <c r="A18" s="1571" t="str">
        <f>+'EQUIPOS '!B51</f>
        <v xml:space="preserve">IMPRESORA DIGITAL PARA SEÑALES DE TRÁNSITO </v>
      </c>
      <c r="B18" s="1572"/>
      <c r="C18" s="1572"/>
      <c r="D18" s="1573"/>
      <c r="E18" s="53" t="str">
        <f>+$E$11</f>
        <v>HR</v>
      </c>
      <c r="F18" s="601">
        <f>IFERROR(VLOOKUP(A18,'[10]EQUIPOS TRANSPOR SALARIO'!$A$3:$G$42,2,FALSE),0)</f>
        <v>0</v>
      </c>
      <c r="G18" s="602">
        <f>IFERROR(VLOOKUP(A18,'EQUIPOS '!$B$3:$N$55,12,FALSE),0)</f>
        <v>64227.08</v>
      </c>
      <c r="H18" s="660">
        <f t="shared" si="2"/>
        <v>10</v>
      </c>
      <c r="I18" s="55">
        <f t="shared" si="0"/>
        <v>6422.7080000000005</v>
      </c>
      <c r="J18" s="55">
        <f t="shared" si="1"/>
        <v>6423</v>
      </c>
    </row>
    <row r="19" spans="1:15" s="593" customFormat="1" ht="13.9" customHeight="1" x14ac:dyDescent="0.25">
      <c r="A19" s="1571" t="str">
        <f>+'EQUIPOS '!B39</f>
        <v xml:space="preserve">PULIDORA </v>
      </c>
      <c r="B19" s="1572"/>
      <c r="C19" s="1572"/>
      <c r="D19" s="1573"/>
      <c r="E19" s="53" t="s">
        <v>202</v>
      </c>
      <c r="F19" s="601">
        <f>IFERROR(VLOOKUP(A19,'[10]EQUIPOS TRANSPOR SALARIO'!$A$3:$G$42,2,FALSE),0)</f>
        <v>0</v>
      </c>
      <c r="G19" s="602">
        <f>IFERROR(VLOOKUP(A19,'EQUIPOS '!$B$3:$N$55,12,FALSE),0)</f>
        <v>2821</v>
      </c>
      <c r="H19" s="660">
        <f t="shared" si="2"/>
        <v>10</v>
      </c>
      <c r="I19" s="55">
        <f t="shared" si="0"/>
        <v>282.10000000000002</v>
      </c>
      <c r="J19" s="55">
        <f t="shared" si="1"/>
        <v>282</v>
      </c>
    </row>
    <row r="20" spans="1:15" s="593" customFormat="1" ht="13.9" customHeight="1" x14ac:dyDescent="0.25">
      <c r="A20" s="1571" t="s">
        <v>151</v>
      </c>
      <c r="B20" s="1572"/>
      <c r="C20" s="1572"/>
      <c r="D20" s="1573"/>
      <c r="E20" s="53" t="str">
        <f>+$E$11</f>
        <v>HR</v>
      </c>
      <c r="F20" s="601" t="str">
        <f>IFERROR(VLOOKUP(A20,'[10]EQUIPOS TRANSPOR SALARIO'!$A$3:$G$42,2,FALSE),0)</f>
        <v>Global</v>
      </c>
      <c r="G20" s="603">
        <v>0.01</v>
      </c>
      <c r="H20" s="660"/>
      <c r="I20" s="55">
        <f>+G20*J61</f>
        <v>163.94</v>
      </c>
      <c r="J20" s="55">
        <f t="shared" si="1"/>
        <v>164</v>
      </c>
    </row>
    <row r="21" spans="1:15" s="593" customFormat="1" ht="13.9" customHeight="1" x14ac:dyDescent="0.25">
      <c r="I21" s="601" t="s">
        <v>257</v>
      </c>
      <c r="J21" s="605">
        <f>+SUM(J11:J20)</f>
        <v>10415</v>
      </c>
      <c r="M21" s="592"/>
    </row>
    <row r="22" spans="1:15" s="593" customFormat="1" ht="13.9" customHeight="1" x14ac:dyDescent="0.25">
      <c r="M22" s="592"/>
    </row>
    <row r="23" spans="1:15" s="593" customFormat="1" ht="13.9" customHeight="1" x14ac:dyDescent="0.25">
      <c r="A23" s="1673" t="s">
        <v>263</v>
      </c>
      <c r="B23" s="1673"/>
      <c r="C23" s="1673"/>
      <c r="D23" s="1673"/>
      <c r="E23" s="1673"/>
      <c r="F23" s="1673"/>
      <c r="G23" s="1673"/>
      <c r="H23" s="1673"/>
      <c r="I23" s="390"/>
      <c r="M23" s="592"/>
    </row>
    <row r="24" spans="1:15" ht="13.9" customHeight="1" x14ac:dyDescent="0.25">
      <c r="A24" s="1677" t="s">
        <v>251</v>
      </c>
      <c r="B24" s="1678"/>
      <c r="C24" s="1678"/>
      <c r="D24" s="1678"/>
      <c r="E24" s="1678"/>
      <c r="F24" s="1679"/>
      <c r="G24" s="600" t="s">
        <v>252</v>
      </c>
      <c r="H24" s="600" t="s">
        <v>264</v>
      </c>
      <c r="I24" s="600" t="s">
        <v>256</v>
      </c>
      <c r="J24" s="600" t="s">
        <v>257</v>
      </c>
    </row>
    <row r="25" spans="1:15" ht="13.9" customHeight="1" x14ac:dyDescent="0.25">
      <c r="A25" s="1571" t="str">
        <f>+'INSUMOS '!B50</f>
        <v>LÁMINA GALVANIZADA C 16 E=1,50 mm</v>
      </c>
      <c r="B25" s="1572"/>
      <c r="C25" s="1572"/>
      <c r="D25" s="1572"/>
      <c r="E25" s="1572"/>
      <c r="F25" s="1573"/>
      <c r="G25" s="53" t="str">
        <f>+VLOOKUP(A25,'INSUMOS '!$B$3:$C$112,2,FALSE)</f>
        <v>M2</v>
      </c>
      <c r="H25" s="54">
        <f>0.9*0.9</f>
        <v>0.81</v>
      </c>
      <c r="I25" s="33">
        <f>+IFERROR(VLOOKUP(A25,'INSUMOS '!$B$2:$AP$167,'INSUMOS '!$AO$2+1,FALSE),0)</f>
        <v>85500.55</v>
      </c>
      <c r="J25" s="55">
        <f>ROUND(I25*H25,0)</f>
        <v>69255</v>
      </c>
      <c r="N25" s="1374">
        <f>H25*0.0015*7850</f>
        <v>9.5377500000000008</v>
      </c>
      <c r="O25" s="593" t="s">
        <v>106</v>
      </c>
    </row>
    <row r="26" spans="1:15" ht="13.9" customHeight="1" x14ac:dyDescent="0.25">
      <c r="A26" s="1571" t="str">
        <f>+'INSUMOS '!B63</f>
        <v xml:space="preserve">PAPEL REFLECTIVO TIPO XI </v>
      </c>
      <c r="B26" s="1572"/>
      <c r="C26" s="1572"/>
      <c r="D26" s="1572"/>
      <c r="E26" s="1572"/>
      <c r="F26" s="1573"/>
      <c r="G26" s="53" t="str">
        <f>+VLOOKUP(A26,'INSUMOS '!$B$3:$C$112,2,FALSE)</f>
        <v>M2</v>
      </c>
      <c r="H26" s="54">
        <f>+H25</f>
        <v>0.81</v>
      </c>
      <c r="I26" s="33">
        <f>+IFERROR(VLOOKUP(A26,'INSUMOS '!$B$2:$AP$167,'INSUMOS '!$AO$2+1,FALSE),0)</f>
        <v>153328.9296</v>
      </c>
      <c r="J26" s="55">
        <f t="shared" ref="J26:J37" si="3">ROUND(I26*H26,0)</f>
        <v>124196</v>
      </c>
      <c r="N26" s="1374">
        <f>H26*0.2/0.36</f>
        <v>0.45000000000000012</v>
      </c>
      <c r="O26" s="593" t="s">
        <v>90</v>
      </c>
    </row>
    <row r="27" spans="1:15" ht="13.9" customHeight="1" x14ac:dyDescent="0.25">
      <c r="A27" s="1571" t="str">
        <f>+'INSUMOS '!B105</f>
        <v>TUBO GALVANIZADO DE 2" X 2,0 mm ESPESOR DE PARED</v>
      </c>
      <c r="B27" s="1572"/>
      <c r="C27" s="1572"/>
      <c r="D27" s="1572"/>
      <c r="E27" s="1572"/>
      <c r="F27" s="1573"/>
      <c r="G27" s="53" t="str">
        <f>+VLOOKUP(A27,'INSUMOS '!$B$3:$C$112,2,FALSE)</f>
        <v>M</v>
      </c>
      <c r="H27" s="54">
        <f>4.115+0.6</f>
        <v>4.7149999999999999</v>
      </c>
      <c r="I27" s="33">
        <f>+IFERROR(VLOOKUP(A27,'INSUMOS '!$B$2:$AP$167,'INSUMOS '!$AO$2+1,FALSE),0)</f>
        <v>16939</v>
      </c>
      <c r="J27" s="55">
        <f t="shared" si="3"/>
        <v>79867</v>
      </c>
      <c r="N27" s="1374">
        <f>(((2*0.0254+0.004)^2*PI()/4)-(2*0.0254)^2*PI()/4)*7850*H27</f>
        <v>12.279060656454845</v>
      </c>
      <c r="O27" s="593" t="s">
        <v>7315</v>
      </c>
    </row>
    <row r="28" spans="1:15" ht="13.9" customHeight="1" x14ac:dyDescent="0.25">
      <c r="A28" s="1571" t="str">
        <f>+'INSUMOS '!B8</f>
        <v>ÁNGULO METÁLICO DE 2"X2"X1/8" L=6M</v>
      </c>
      <c r="B28" s="1572"/>
      <c r="C28" s="1572"/>
      <c r="D28" s="1572"/>
      <c r="E28" s="1572"/>
      <c r="F28" s="1573"/>
      <c r="G28" s="53" t="str">
        <f>+VLOOKUP(A28,'INSUMOS '!$B$3:$C$112,2,FALSE)</f>
        <v>M</v>
      </c>
      <c r="H28" s="54">
        <v>0.15</v>
      </c>
      <c r="I28" s="33">
        <f>+IFERROR(VLOOKUP(A28,'INSUMOS '!$B$2:$AP$167,'INSUMOS '!$AO$2+1,FALSE),0)</f>
        <v>16804.093333333331</v>
      </c>
      <c r="J28" s="55">
        <f t="shared" si="3"/>
        <v>2521</v>
      </c>
      <c r="N28" s="1374">
        <f>4*0.0254*(0.0254/8)*H28*7850</f>
        <v>0.37983794999999998</v>
      </c>
      <c r="O28" s="593" t="s">
        <v>156</v>
      </c>
    </row>
    <row r="29" spans="1:15" ht="13.9" customHeight="1" x14ac:dyDescent="0.25">
      <c r="A29" s="1571" t="str">
        <f>+'INSUMOS '!B102</f>
        <v>TORNILLOS 5/16 ZINCADO  (INCLUYE TUERCA DE SEGURIDAD Y ARANDELA)</v>
      </c>
      <c r="B29" s="1572"/>
      <c r="C29" s="1572"/>
      <c r="D29" s="1572"/>
      <c r="E29" s="1572"/>
      <c r="F29" s="1573"/>
      <c r="G29" s="53" t="str">
        <f>+VLOOKUP(A29,'INSUMOS '!$B$3:$C$112,2,FALSE)</f>
        <v>UN</v>
      </c>
      <c r="H29" s="54">
        <f>4</f>
        <v>4</v>
      </c>
      <c r="I29" s="33">
        <f>+IFERROR(VLOOKUP(A29,'INSUMOS '!$B$2:$AP$167,'INSUMOS '!$AO$2+1,FALSE),0)</f>
        <v>1747.5</v>
      </c>
      <c r="J29" s="55">
        <f t="shared" si="3"/>
        <v>6990</v>
      </c>
      <c r="N29" s="1374">
        <f>H29*0.3/4</f>
        <v>0.3</v>
      </c>
      <c r="O29" s="593" t="s">
        <v>42</v>
      </c>
    </row>
    <row r="30" spans="1:15" ht="13.9" customHeight="1" x14ac:dyDescent="0.25">
      <c r="A30" s="1571" t="str">
        <f>+'INSUMOS '!B88</f>
        <v>REMACHES CON ARANDELAS DE 4*10 MM</v>
      </c>
      <c r="B30" s="1572"/>
      <c r="C30" s="1572"/>
      <c r="D30" s="1572"/>
      <c r="E30" s="1572"/>
      <c r="F30" s="1573"/>
      <c r="G30" s="53" t="str">
        <f>+VLOOKUP(A30,'INSUMOS '!$B$3:$C$112,2,FALSE)</f>
        <v>UN</v>
      </c>
      <c r="H30" s="54">
        <f>4</f>
        <v>4</v>
      </c>
      <c r="I30" s="33">
        <f>+IFERROR(VLOOKUP(A30,'INSUMOS '!$B$2:$AP$167,'INSUMOS '!$AO$2+1,FALSE),0)</f>
        <v>170</v>
      </c>
      <c r="J30" s="55">
        <f t="shared" si="3"/>
        <v>680</v>
      </c>
      <c r="N30" s="1374">
        <f>H30/4*0.1</f>
        <v>0.1</v>
      </c>
      <c r="O30" s="593" t="s">
        <v>43</v>
      </c>
    </row>
    <row r="31" spans="1:15" ht="13.9" customHeight="1" x14ac:dyDescent="0.25">
      <c r="A31" s="1571" t="str">
        <f>+'INSUMOS '!B94</f>
        <v xml:space="preserve">STEAKER 15 X 15 CM EN PAPEL REFLECTIVO TIPO IV O SUPERIOR </v>
      </c>
      <c r="B31" s="1572"/>
      <c r="C31" s="1572"/>
      <c r="D31" s="1572"/>
      <c r="E31" s="1572"/>
      <c r="F31" s="1573"/>
      <c r="G31" s="53" t="str">
        <f>+VLOOKUP(A31,'INSUMOS '!$B$3:$C$112,2,FALSE)</f>
        <v>UN</v>
      </c>
      <c r="H31" s="54">
        <v>1</v>
      </c>
      <c r="I31" s="33">
        <f>+IFERROR(VLOOKUP(A31,'INSUMOS '!$B$2:$AP$167,'INSUMOS '!$AO$2+1,FALSE),0)</f>
        <v>2500</v>
      </c>
      <c r="J31" s="55">
        <f t="shared" si="3"/>
        <v>2500</v>
      </c>
      <c r="N31" s="1375">
        <f>H31*0.05</f>
        <v>0.05</v>
      </c>
      <c r="O31" s="593" t="s">
        <v>92</v>
      </c>
    </row>
    <row r="32" spans="1:15" ht="13.9" customHeight="1" x14ac:dyDescent="0.25">
      <c r="A32" s="1571" t="str">
        <f>+'INSUMOS '!B67</f>
        <v xml:space="preserve">PELÍCULA ANTIGRAFITTI </v>
      </c>
      <c r="B32" s="1572"/>
      <c r="C32" s="1572"/>
      <c r="D32" s="1572"/>
      <c r="E32" s="1572"/>
      <c r="F32" s="1573"/>
      <c r="G32" s="53" t="str">
        <f>+VLOOKUP(A32,'INSUMOS '!$B$3:$C$112,2,FALSE)</f>
        <v>M2</v>
      </c>
      <c r="H32" s="606">
        <f>+H25</f>
        <v>0.81</v>
      </c>
      <c r="I32" s="33">
        <f>+IFERROR(VLOOKUP(A32,'INSUMOS '!$B$2:$AP$167,'INSUMOS '!$AO$2+1,FALSE),0)</f>
        <v>65174.538799999995</v>
      </c>
      <c r="J32" s="55">
        <f t="shared" si="3"/>
        <v>52791</v>
      </c>
      <c r="N32" s="1374">
        <f>H32/0.36*0.3</f>
        <v>0.67500000000000016</v>
      </c>
      <c r="O32" s="593" t="s">
        <v>89</v>
      </c>
    </row>
    <row r="33" spans="1:15" ht="13.9" customHeight="1" x14ac:dyDescent="0.25">
      <c r="A33" s="1571" t="str">
        <f>+'INSUMOS '!B73</f>
        <v>PINTURA ELECTROSTÁTICA M2</v>
      </c>
      <c r="B33" s="1572"/>
      <c r="C33" s="1572"/>
      <c r="D33" s="1572"/>
      <c r="E33" s="1572"/>
      <c r="F33" s="1573"/>
      <c r="G33" s="53" t="str">
        <f>+VLOOKUP(A33,'INSUMOS '!$B$3:$C$112,2,FALSE)</f>
        <v>KG</v>
      </c>
      <c r="H33" s="37">
        <f>((0.0254*2+0.004)*PI()*H27+H25+8*0.0254*H28+5*0.0588^2*PI()/4)/3</f>
        <v>0.55526277605004071</v>
      </c>
      <c r="I33" s="33">
        <f>+IFERROR(VLOOKUP(A33,'INSUMOS '!$B$2:$AP$167,'INSUMOS '!$AO$2+1,FALSE),0)</f>
        <v>26664.5</v>
      </c>
      <c r="J33" s="55">
        <f t="shared" si="3"/>
        <v>14806</v>
      </c>
      <c r="N33" s="1374">
        <f>H33</f>
        <v>0.55526277605004071</v>
      </c>
      <c r="O33" s="593" t="s">
        <v>334</v>
      </c>
    </row>
    <row r="34" spans="1:15" ht="13.9" customHeight="1" x14ac:dyDescent="0.25">
      <c r="A34" s="1571" t="str">
        <f>+'INSUMOS '!B100</f>
        <v>TINTA TRASLUCIDA PARA CINTA REFLECTIVA</v>
      </c>
      <c r="B34" s="1572"/>
      <c r="C34" s="1572"/>
      <c r="D34" s="1572"/>
      <c r="E34" s="1572"/>
      <c r="F34" s="1573"/>
      <c r="G34" s="53" t="s">
        <v>157</v>
      </c>
      <c r="H34" s="606">
        <f>H25/3.44*0.22</f>
        <v>5.1802325581395359E-2</v>
      </c>
      <c r="I34" s="33">
        <f>+IFERROR(VLOOKUP(A34,'INSUMOS '!$B$2:$AP$167,'INSUMOS '!$AO$2+1,FALSE),0)</f>
        <v>440873.77039999992</v>
      </c>
      <c r="J34" s="55">
        <f t="shared" si="3"/>
        <v>22838</v>
      </c>
      <c r="N34" s="1405">
        <f>H34*0.454</f>
        <v>2.3518255813953493E-2</v>
      </c>
      <c r="O34" s="593" t="s">
        <v>45</v>
      </c>
    </row>
    <row r="35" spans="1:15" ht="13.9" customHeight="1" x14ac:dyDescent="0.25">
      <c r="A35" s="1687" t="str">
        <f>+'INSUMOS '!B28</f>
        <v>CONCRETO  HIDRAULICO 2500 PSI 17 MPA (175 KG/CM2)</v>
      </c>
      <c r="B35" s="1572"/>
      <c r="C35" s="1572"/>
      <c r="D35" s="1572"/>
      <c r="E35" s="1572"/>
      <c r="F35" s="1573"/>
      <c r="G35" s="53" t="str">
        <f>+VLOOKUP(A35,'INSUMOS '!$B$3:$C$112,2,FALSE)</f>
        <v>M3</v>
      </c>
      <c r="H35" s="35">
        <f>+PI()*0.25*0.25/4*0.55</f>
        <v>2.6998061866787288E-2</v>
      </c>
      <c r="I35" s="33">
        <f>+IFERROR(VLOOKUP(A35,'INSUMOS '!$B$2:$AP$167,'INSUMOS '!$AO$2+1,FALSE),0)</f>
        <v>486142</v>
      </c>
      <c r="J35" s="55">
        <f t="shared" si="3"/>
        <v>13125</v>
      </c>
      <c r="N35" s="1374">
        <f>H35*2400</f>
        <v>64.795348480289491</v>
      </c>
      <c r="O35" s="593" t="s">
        <v>98</v>
      </c>
    </row>
    <row r="36" spans="1:15" ht="13.9" customHeight="1" x14ac:dyDescent="0.25">
      <c r="A36" s="1571" t="str">
        <f>+'INSUMOS '!B93</f>
        <v>SOLDADURA ELECTRICA  E 6013 O SIMILAR</v>
      </c>
      <c r="B36" s="1572"/>
      <c r="C36" s="1572"/>
      <c r="D36" s="1572"/>
      <c r="E36" s="1572"/>
      <c r="F36" s="1573"/>
      <c r="G36" s="53" t="str">
        <f>+VLOOKUP(A36,'INSUMOS '!$B$3:$C$112,2,FALSE)</f>
        <v>KG</v>
      </c>
      <c r="H36" s="606">
        <f>0.005^2/2*(6*0.0588*PI())*7850</f>
        <v>0.10875722527829824</v>
      </c>
      <c r="I36" s="33">
        <f>+IFERROR(VLOOKUP(A36,'INSUMOS '!$B$2:$AP$167,'INSUMOS '!$AO$2+1,FALSE),0)</f>
        <v>19163.666666666668</v>
      </c>
      <c r="J36" s="55">
        <f t="shared" si="3"/>
        <v>2084</v>
      </c>
      <c r="N36" s="1374">
        <f>H36</f>
        <v>0.10875722527829824</v>
      </c>
      <c r="O36" s="593" t="s">
        <v>87</v>
      </c>
    </row>
    <row r="37" spans="1:15" ht="13.9" customHeight="1" x14ac:dyDescent="0.25">
      <c r="A37" s="1571" t="str">
        <f>+'INSUMOS '!B21</f>
        <v>BROCA PARA METAL 1/2"</v>
      </c>
      <c r="B37" s="1572"/>
      <c r="C37" s="1572"/>
      <c r="D37" s="1572"/>
      <c r="E37" s="1572"/>
      <c r="F37" s="1573"/>
      <c r="G37" s="53" t="str">
        <f>+VLOOKUP(A37,'INSUMOS '!$B$3:$C$112,2,FALSE)</f>
        <v>UN</v>
      </c>
      <c r="H37" s="54">
        <v>0.01</v>
      </c>
      <c r="I37" s="33">
        <f>+IFERROR(VLOOKUP(A37,'INSUMOS '!$B$2:$AP$167,'INSUMOS '!$AO$2+1,FALSE),0)</f>
        <v>31741.5</v>
      </c>
      <c r="J37" s="55">
        <f t="shared" si="3"/>
        <v>317</v>
      </c>
      <c r="N37" s="1374">
        <f>H37*0.106</f>
        <v>1.06E-3</v>
      </c>
      <c r="O37" s="593" t="s">
        <v>26</v>
      </c>
    </row>
    <row r="38" spans="1:15" ht="13.9" customHeight="1" x14ac:dyDescent="0.25">
      <c r="A38" s="1571" t="str">
        <f>+'INSUMOS '!B50</f>
        <v>LÁMINA GALVANIZADA C 16 E=1,50 mm</v>
      </c>
      <c r="B38" s="1572"/>
      <c r="C38" s="1572"/>
      <c r="D38" s="1572"/>
      <c r="E38" s="1572"/>
      <c r="F38" s="1573"/>
      <c r="G38" s="53" t="str">
        <f>+VLOOKUP(A38,'INSUMOS '!$B$3:$C$112,2,FALSE)</f>
        <v>M2</v>
      </c>
      <c r="H38" s="606">
        <f>0.0588^2*PI()/4*3</f>
        <v>8.1464010781706203E-3</v>
      </c>
      <c r="I38" s="33">
        <f>+IFERROR(VLOOKUP(A38,'INSUMOS '!$B$2:$AP$167,'INSUMOS '!$AO$2+1,FALSE),0)</f>
        <v>85500.55</v>
      </c>
      <c r="J38" s="55">
        <f>ROUND(I38*H38,0)</f>
        <v>697</v>
      </c>
      <c r="N38" s="1374">
        <f>H38*0.0015*7850</f>
        <v>9.5923872695459059E-2</v>
      </c>
      <c r="O38" s="593" t="s">
        <v>106</v>
      </c>
    </row>
    <row r="39" spans="1:15" ht="13.9" customHeight="1" x14ac:dyDescent="0.25">
      <c r="A39" s="1571" t="s">
        <v>2912</v>
      </c>
      <c r="B39" s="1572"/>
      <c r="C39" s="1572"/>
      <c r="D39" s="1572"/>
      <c r="E39" s="1572"/>
      <c r="F39" s="1573"/>
      <c r="G39" s="53"/>
      <c r="H39" s="603">
        <v>0.05</v>
      </c>
      <c r="I39" s="55">
        <f>+SUM(J25:J38)</f>
        <v>392667</v>
      </c>
      <c r="J39" s="55">
        <f>ROUND(I39*H39,0)</f>
        <v>19633</v>
      </c>
    </row>
    <row r="40" spans="1:15" ht="13.9" customHeight="1" x14ac:dyDescent="0.25">
      <c r="A40" s="593"/>
      <c r="B40" s="593"/>
      <c r="C40" s="593"/>
      <c r="D40" s="593"/>
      <c r="E40" s="593"/>
      <c r="G40" s="593"/>
      <c r="H40" s="593"/>
      <c r="I40" s="601" t="s">
        <v>257</v>
      </c>
      <c r="J40" s="605">
        <f>+SUM(J25:J39)</f>
        <v>412300</v>
      </c>
      <c r="N40" s="1376">
        <f>SUM(N25:N38)</f>
        <v>89.351519216582091</v>
      </c>
    </row>
    <row r="41" spans="1:15" ht="13.9" customHeight="1" x14ac:dyDescent="0.25"/>
    <row r="42" spans="1:15" ht="13.9" customHeight="1" x14ac:dyDescent="0.25">
      <c r="A42" s="1673" t="s">
        <v>267</v>
      </c>
      <c r="B42" s="1673"/>
      <c r="C42" s="1673"/>
      <c r="D42" s="1673"/>
      <c r="E42" s="1673"/>
      <c r="F42" s="1673"/>
      <c r="G42" s="1673"/>
      <c r="H42" s="1673"/>
      <c r="I42" s="390"/>
    </row>
    <row r="43" spans="1:15" ht="13.9" customHeight="1" x14ac:dyDescent="0.25">
      <c r="A43" s="1674" t="s">
        <v>268</v>
      </c>
      <c r="B43" s="1675"/>
      <c r="C43" s="1675"/>
      <c r="D43" s="1675"/>
      <c r="E43" s="1675"/>
      <c r="F43" s="1676"/>
      <c r="G43" s="607" t="s">
        <v>255</v>
      </c>
      <c r="H43" s="600" t="s">
        <v>269</v>
      </c>
      <c r="I43" s="600" t="s">
        <v>256</v>
      </c>
      <c r="J43" s="600" t="s">
        <v>257</v>
      </c>
      <c r="M43" s="608"/>
    </row>
    <row r="44" spans="1:15" ht="13.9" customHeight="1" x14ac:dyDescent="0.25">
      <c r="A44" s="1571" t="str">
        <f>+'EQUIPOS '!B6</f>
        <v>CAMION INCLUYE CONDUCTOR</v>
      </c>
      <c r="B44" s="1572"/>
      <c r="C44" s="1572"/>
      <c r="D44" s="1572"/>
      <c r="E44" s="1572"/>
      <c r="F44" s="1573"/>
      <c r="G44" s="1396">
        <f>(N40/1000)/12</f>
        <v>7.4459599347151744E-3</v>
      </c>
      <c r="H44" s="55">
        <f>+IFERROR(VLOOKUP(A44,'EQUIPOS '!$B$3:$M$78,12,FALSE),0)</f>
        <v>611492.5</v>
      </c>
      <c r="I44" s="55">
        <f>IFERROR(H44*G44,0)</f>
        <v>4553.1486553788191</v>
      </c>
      <c r="J44" s="55">
        <f>ROUND(I44,0)</f>
        <v>4553</v>
      </c>
      <c r="M44" s="608"/>
    </row>
    <row r="45" spans="1:15" ht="13.9" customHeight="1" x14ac:dyDescent="0.25">
      <c r="A45" s="1571"/>
      <c r="B45" s="1572"/>
      <c r="C45" s="1572"/>
      <c r="D45" s="1572"/>
      <c r="E45" s="1572"/>
      <c r="F45" s="1573"/>
      <c r="G45" s="53"/>
      <c r="H45" s="55"/>
      <c r="I45" s="55"/>
      <c r="J45" s="55"/>
      <c r="M45" s="608"/>
    </row>
    <row r="46" spans="1:15" ht="13.9" customHeight="1" x14ac:dyDescent="0.25">
      <c r="A46" s="1571"/>
      <c r="B46" s="1572"/>
      <c r="C46" s="1572"/>
      <c r="D46" s="1572"/>
      <c r="E46" s="1572"/>
      <c r="F46" s="1573"/>
      <c r="G46" s="53"/>
      <c r="H46" s="55"/>
      <c r="I46" s="55"/>
      <c r="J46" s="55"/>
      <c r="M46" s="608"/>
    </row>
    <row r="47" spans="1:15" ht="13.9" customHeight="1" x14ac:dyDescent="0.25">
      <c r="G47" s="608"/>
      <c r="H47" s="608"/>
      <c r="I47" s="601" t="s">
        <v>257</v>
      </c>
      <c r="J47" s="55">
        <f>+SUM(J44:J46)</f>
        <v>4553</v>
      </c>
      <c r="M47" s="608"/>
    </row>
    <row r="48" spans="1:15" ht="13.9" customHeight="1" x14ac:dyDescent="0.25">
      <c r="M48" s="608"/>
    </row>
    <row r="49" spans="1:10" ht="13.9" customHeight="1" x14ac:dyDescent="0.25">
      <c r="A49" s="1673" t="s">
        <v>270</v>
      </c>
      <c r="B49" s="1673"/>
      <c r="C49" s="1673"/>
      <c r="D49" s="1673"/>
      <c r="E49" s="1673"/>
      <c r="F49" s="1673"/>
      <c r="G49" s="1673"/>
      <c r="H49" s="1673"/>
      <c r="I49" s="390"/>
    </row>
    <row r="50" spans="1:10" s="608" customFormat="1" ht="13.9" customHeight="1" x14ac:dyDescent="0.25">
      <c r="A50" s="1674" t="s">
        <v>271</v>
      </c>
      <c r="B50" s="1675"/>
      <c r="C50" s="1675"/>
      <c r="D50" s="1676"/>
      <c r="E50" s="600" t="s">
        <v>272</v>
      </c>
      <c r="F50" s="600" t="s">
        <v>264</v>
      </c>
      <c r="G50" s="600" t="s">
        <v>273</v>
      </c>
      <c r="H50" s="600" t="s">
        <v>255</v>
      </c>
      <c r="I50" s="600" t="s">
        <v>256</v>
      </c>
      <c r="J50" s="600" t="s">
        <v>257</v>
      </c>
    </row>
    <row r="51" spans="1:10" s="608" customFormat="1" ht="13.9" customHeight="1" x14ac:dyDescent="0.25">
      <c r="A51" s="1571" t="str">
        <f>+PERSONAL!B40</f>
        <v xml:space="preserve">SOLDADOR </v>
      </c>
      <c r="B51" s="1572"/>
      <c r="C51" s="1572"/>
      <c r="D51" s="1573"/>
      <c r="E51" s="609">
        <f>+IFERROR(VLOOKUP(A51,PERSONAL!$B$3:$E$56,4,FALSE),0)</f>
        <v>110344</v>
      </c>
      <c r="F51" s="601">
        <v>1</v>
      </c>
      <c r="G51" s="609">
        <f t="shared" ref="G51:G56" si="4">+E51*F51</f>
        <v>110344</v>
      </c>
      <c r="H51" s="54">
        <v>60</v>
      </c>
      <c r="I51" s="55">
        <f t="shared" ref="I51:I56" si="5">IFERROR(ROUND(G51/H51,0),0)</f>
        <v>1839</v>
      </c>
      <c r="J51" s="55">
        <f t="shared" ref="J51:J56" si="6">+I51</f>
        <v>1839</v>
      </c>
    </row>
    <row r="52" spans="1:10" s="608" customFormat="1" ht="13.9" customHeight="1" x14ac:dyDescent="0.25">
      <c r="A52" s="1571" t="str">
        <f>+PERSONAL!B27</f>
        <v xml:space="preserve">PINTOR </v>
      </c>
      <c r="B52" s="1572"/>
      <c r="C52" s="1572"/>
      <c r="D52" s="1573"/>
      <c r="E52" s="609">
        <f>+IFERROR(VLOOKUP(A52,PERSONAL!$B$3:$E$56,4,FALSE),0)</f>
        <v>100054</v>
      </c>
      <c r="F52" s="601">
        <v>1</v>
      </c>
      <c r="G52" s="609">
        <f t="shared" si="4"/>
        <v>100054</v>
      </c>
      <c r="H52" s="54">
        <f>H51</f>
        <v>60</v>
      </c>
      <c r="I52" s="55">
        <f t="shared" si="5"/>
        <v>1668</v>
      </c>
      <c r="J52" s="55">
        <f t="shared" si="6"/>
        <v>1668</v>
      </c>
    </row>
    <row r="53" spans="1:10" s="608" customFormat="1" ht="13.9" customHeight="1" x14ac:dyDescent="0.25">
      <c r="A53" s="1571" t="str">
        <f>+PERSONAL!B7</f>
        <v>COLAMINADOR</v>
      </c>
      <c r="B53" s="1572"/>
      <c r="C53" s="1572"/>
      <c r="D53" s="1573"/>
      <c r="E53" s="609">
        <f>+IFERROR(VLOOKUP(A53,PERSONAL!$B$3:$E$56,4,FALSE),0)</f>
        <v>91275</v>
      </c>
      <c r="F53" s="601">
        <v>1</v>
      </c>
      <c r="G53" s="609">
        <f t="shared" si="4"/>
        <v>91275</v>
      </c>
      <c r="H53" s="54">
        <f>H52</f>
        <v>60</v>
      </c>
      <c r="I53" s="55">
        <f t="shared" si="5"/>
        <v>1521</v>
      </c>
      <c r="J53" s="55">
        <f t="shared" si="6"/>
        <v>1521</v>
      </c>
    </row>
    <row r="54" spans="1:10" s="608" customFormat="1" ht="13.9" customHeight="1" x14ac:dyDescent="0.25">
      <c r="A54" s="1571" t="str">
        <f>+PERSONAL!B18</f>
        <v>JEFE DE CUADRILLA DIURNO</v>
      </c>
      <c r="B54" s="1572"/>
      <c r="C54" s="1572"/>
      <c r="D54" s="1573"/>
      <c r="E54" s="1412">
        <f>+IFERROR(VLOOKUP(A54,PERSONAL!$B$3:$E$56,4,FALSE),0)</f>
        <v>166031</v>
      </c>
      <c r="F54" s="601">
        <v>1</v>
      </c>
      <c r="G54" s="1412">
        <f t="shared" si="4"/>
        <v>166031</v>
      </c>
      <c r="H54" s="54">
        <v>48</v>
      </c>
      <c r="I54" s="1398">
        <f t="shared" si="5"/>
        <v>3459</v>
      </c>
      <c r="J54" s="1398">
        <f t="shared" si="6"/>
        <v>3459</v>
      </c>
    </row>
    <row r="55" spans="1:10" s="608" customFormat="1" ht="13.9" customHeight="1" x14ac:dyDescent="0.25">
      <c r="A55" s="1571" t="str">
        <f>+PERSONAL!B3</f>
        <v>AUXILIAR DE TRÁFICO</v>
      </c>
      <c r="B55" s="1572"/>
      <c r="C55" s="1572"/>
      <c r="D55" s="1573"/>
      <c r="E55" s="1412">
        <f>+IFERROR(VLOOKUP(A55,PERSONAL!$B$3:$E$56,4,FALSE),0)</f>
        <v>89632</v>
      </c>
      <c r="F55" s="601">
        <v>1</v>
      </c>
      <c r="G55" s="1412">
        <f t="shared" si="4"/>
        <v>89632</v>
      </c>
      <c r="H55" s="54">
        <v>48</v>
      </c>
      <c r="I55" s="1398">
        <f t="shared" si="5"/>
        <v>1867</v>
      </c>
      <c r="J55" s="1398">
        <f t="shared" si="6"/>
        <v>1867</v>
      </c>
    </row>
    <row r="56" spans="1:10" s="608" customFormat="1" ht="13.9" customHeight="1" x14ac:dyDescent="0.25">
      <c r="A56" s="1571" t="str">
        <f>+PERSONAL!B5</f>
        <v xml:space="preserve">AYUDANTE </v>
      </c>
      <c r="B56" s="1572"/>
      <c r="C56" s="1572"/>
      <c r="D56" s="1573"/>
      <c r="E56" s="1412">
        <f>+IFERROR(VLOOKUP(A56,PERSONAL!$B$3:$E$56,4,FALSE),0)</f>
        <v>72476</v>
      </c>
      <c r="F56" s="601">
        <v>4</v>
      </c>
      <c r="G56" s="1412">
        <f t="shared" si="4"/>
        <v>289904</v>
      </c>
      <c r="H56" s="54">
        <v>48</v>
      </c>
      <c r="I56" s="1398">
        <f t="shared" si="5"/>
        <v>6040</v>
      </c>
      <c r="J56" s="1398">
        <f t="shared" si="6"/>
        <v>6040</v>
      </c>
    </row>
    <row r="57" spans="1:10" s="608" customFormat="1" ht="13.9" customHeight="1" x14ac:dyDescent="0.25">
      <c r="A57" s="1571"/>
      <c r="B57" s="1572"/>
      <c r="C57" s="1572"/>
      <c r="D57" s="1573"/>
      <c r="E57" s="609"/>
      <c r="F57" s="601"/>
      <c r="G57" s="609"/>
      <c r="H57" s="54"/>
      <c r="I57" s="55"/>
      <c r="J57" s="55"/>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ht="13.9" customHeight="1" x14ac:dyDescent="0.25">
      <c r="A61" s="593"/>
      <c r="B61" s="593"/>
      <c r="C61" s="593"/>
      <c r="E61" s="593"/>
      <c r="F61" s="593"/>
      <c r="G61" s="593"/>
      <c r="H61" s="593"/>
      <c r="I61" s="601" t="s">
        <v>257</v>
      </c>
      <c r="J61" s="605">
        <f>+SUM(J51:J60)</f>
        <v>16394</v>
      </c>
    </row>
    <row r="62" spans="1:10" ht="13.9" customHeight="1" x14ac:dyDescent="0.25"/>
    <row r="63" spans="1:10" ht="13.9" customHeight="1" x14ac:dyDescent="0.25">
      <c r="E63" s="610" t="s">
        <v>276</v>
      </c>
      <c r="I63" s="611">
        <f>+J61+J47+J40+J21</f>
        <v>443662</v>
      </c>
      <c r="J63" s="612"/>
    </row>
    <row r="64" spans="1:10" ht="13.9" customHeight="1" x14ac:dyDescent="0.25"/>
    <row r="65" ht="14.1" customHeight="1" x14ac:dyDescent="0.25"/>
  </sheetData>
  <mergeCells count="52">
    <mergeCell ref="A15:D15"/>
    <mergeCell ref="A16:D16"/>
    <mergeCell ref="A17:D17"/>
    <mergeCell ref="A14:D14"/>
    <mergeCell ref="A1:J1"/>
    <mergeCell ref="A2:J2"/>
    <mergeCell ref="A4:J4"/>
    <mergeCell ref="A6:B6"/>
    <mergeCell ref="A7:B7"/>
    <mergeCell ref="C7:J7"/>
    <mergeCell ref="A9:H9"/>
    <mergeCell ref="A10:D10"/>
    <mergeCell ref="A11:D11"/>
    <mergeCell ref="A12:D12"/>
    <mergeCell ref="A13:D13"/>
    <mergeCell ref="A52:D52"/>
    <mergeCell ref="A32:F32"/>
    <mergeCell ref="A37:F37"/>
    <mergeCell ref="A39:F39"/>
    <mergeCell ref="A42:H42"/>
    <mergeCell ref="A43:F43"/>
    <mergeCell ref="A44:F44"/>
    <mergeCell ref="A45:F45"/>
    <mergeCell ref="A46:F46"/>
    <mergeCell ref="A49:H49"/>
    <mergeCell ref="A50:D50"/>
    <mergeCell ref="A51:D51"/>
    <mergeCell ref="A35:F35"/>
    <mergeCell ref="A36:F36"/>
    <mergeCell ref="A33:F33"/>
    <mergeCell ref="A34:F34"/>
    <mergeCell ref="A59:D59"/>
    <mergeCell ref="A60:D60"/>
    <mergeCell ref="A53:D53"/>
    <mergeCell ref="A54:D54"/>
    <mergeCell ref="A55:D55"/>
    <mergeCell ref="A56:D56"/>
    <mergeCell ref="A57:D57"/>
    <mergeCell ref="A58:D58"/>
    <mergeCell ref="A38:F38"/>
    <mergeCell ref="A31:F31"/>
    <mergeCell ref="A18:D18"/>
    <mergeCell ref="A19:D19"/>
    <mergeCell ref="A20:D20"/>
    <mergeCell ref="A23:H23"/>
    <mergeCell ref="A24:F24"/>
    <mergeCell ref="A25:F25"/>
    <mergeCell ref="A26:F26"/>
    <mergeCell ref="A27:F27"/>
    <mergeCell ref="A28:F28"/>
    <mergeCell ref="A29:F29"/>
    <mergeCell ref="A30:F30"/>
  </mergeCells>
  <pageMargins left="0.70866141732283472" right="0.70866141732283472" top="0.78740157480314965" bottom="0.78740157480314965" header="0.31496062992125984" footer="0.31496062992125984"/>
  <pageSetup scale="85" orientation="portrait" r:id="rId1"/>
  <drawing r:id="rId2"/>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900-000000000000}">
  <sheetPr codeName="Hoja119">
    <tabColor rgb="FF00B050"/>
  </sheetPr>
  <dimension ref="A1:O66"/>
  <sheetViews>
    <sheetView topLeftCell="A49" workbookViewId="0">
      <selection activeCell="G46" sqref="G46"/>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11</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 xml:space="preserve">Fabricación, suministro e instalación de Señal doble de 75cm, material reflectivo Tipo XI, película antigraffiti, en lámina  galvanizada C-16 E=1.5mm, pedestal en tubo galvanizado  de sección circular con diámetro interior de 2" y e=2 mm para SP/SR - SI/SR cumpliendo normatividad vigente.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'!B45</f>
        <v>TRONZADORA</v>
      </c>
      <c r="B11" s="1559"/>
      <c r="C11" s="1559"/>
      <c r="D11" s="1560"/>
      <c r="E11" s="29" t="s">
        <v>202</v>
      </c>
      <c r="F11" s="30">
        <f>IFERROR(VLOOKUP(A11,'[10]EQUIPOS TRANSPOR SALARIO'!$A$3:$G$42,2,FALSE),0)</f>
        <v>0</v>
      </c>
      <c r="G11" s="31">
        <f>IFERROR(VLOOKUP(A11,'EQUIPOS '!$B$3:$N$55,12,FALSE),0)</f>
        <v>3779.5</v>
      </c>
      <c r="H11" s="32">
        <v>10</v>
      </c>
      <c r="I11" s="33">
        <f>IFERROR((G11/H11),0)</f>
        <v>377.95</v>
      </c>
      <c r="J11" s="33">
        <f>ROUND(I11,0)</f>
        <v>378</v>
      </c>
    </row>
    <row r="12" spans="1:10" s="20" customFormat="1" ht="13.9" customHeight="1" x14ac:dyDescent="0.25">
      <c r="A12" s="1558" t="str">
        <f>+'EQUIPOS '!B7</f>
        <v xml:space="preserve">CIZALLA DE CORTE VERTICAL </v>
      </c>
      <c r="B12" s="1559"/>
      <c r="C12" s="1559"/>
      <c r="D12" s="1560"/>
      <c r="E12" s="29" t="str">
        <f>+$E$11</f>
        <v>HR</v>
      </c>
      <c r="F12" s="30">
        <f>IFERROR(VLOOKUP(A12,'[10]EQUIPOS TRANSPOR SALARIO'!$A$3:$G$42,2,FALSE),0)</f>
        <v>0</v>
      </c>
      <c r="G12" s="31">
        <f>IFERROR(VLOOKUP(A12,'EQUIPOS '!$B$3:$N$55,12,FALSE),0)</f>
        <v>5174.01</v>
      </c>
      <c r="H12" s="32">
        <f>+H11</f>
        <v>10</v>
      </c>
      <c r="I12" s="33">
        <f t="shared" ref="I12:I19" si="0">IFERROR((G12/H12),0)</f>
        <v>517.40100000000007</v>
      </c>
      <c r="J12" s="33">
        <f t="shared" ref="J12:J19" si="1">ROUND(I12,0)</f>
        <v>517</v>
      </c>
    </row>
    <row r="13" spans="1:10" s="20" customFormat="1" ht="13.9" customHeight="1" x14ac:dyDescent="0.25">
      <c r="A13" s="1558" t="str">
        <f>+'EQUIPOS '!B24</f>
        <v>EQUIPO PINTURA ELECTROSTÁTICA</v>
      </c>
      <c r="B13" s="1559"/>
      <c r="C13" s="1559"/>
      <c r="D13" s="1560"/>
      <c r="E13" s="29" t="str">
        <f>+$E$11</f>
        <v>HR</v>
      </c>
      <c r="F13" s="30" t="str">
        <f>IFERROR(VLOOKUP(A13,'[10]EQUIPOS TRANSPOR SALARIO'!$A$3:$G$42,2,FALSE),0)</f>
        <v>Electrostática</v>
      </c>
      <c r="G13" s="31">
        <f>IFERROR(VLOOKUP(A13,'EQUIPOS '!$B$3:$N$55,12,FALSE),0)</f>
        <v>4047.59</v>
      </c>
      <c r="H13" s="32">
        <f t="shared" ref="H13:H19" si="2">+H12</f>
        <v>10</v>
      </c>
      <c r="I13" s="33">
        <f t="shared" si="0"/>
        <v>404.75900000000001</v>
      </c>
      <c r="J13" s="33">
        <f t="shared" si="1"/>
        <v>405</v>
      </c>
    </row>
    <row r="14" spans="1:10" s="20" customFormat="1" ht="13.9" customHeight="1" x14ac:dyDescent="0.25">
      <c r="A14" s="1558" t="str">
        <f>+'EQUIPOS '!B43</f>
        <v>TALADRO DE ARBOL</v>
      </c>
      <c r="B14" s="1559"/>
      <c r="C14" s="1559"/>
      <c r="D14" s="1560"/>
      <c r="E14" s="29" t="s">
        <v>202</v>
      </c>
      <c r="F14" s="30">
        <f>IFERROR(VLOOKUP(A14,'[10]EQUIPOS TRANSPOR SALARIO'!$A$3:$G$42,2,FALSE),0)</f>
        <v>0</v>
      </c>
      <c r="G14" s="31">
        <f>IFERROR(VLOOKUP(A14,'EQUIPOS '!$B$3:$N$55,12,FALSE),0)</f>
        <v>4898</v>
      </c>
      <c r="H14" s="32">
        <f t="shared" si="2"/>
        <v>10</v>
      </c>
      <c r="I14" s="33">
        <f t="shared" si="0"/>
        <v>489.8</v>
      </c>
      <c r="J14" s="33">
        <f t="shared" si="1"/>
        <v>490</v>
      </c>
    </row>
    <row r="15" spans="1:10" s="20" customFormat="1" ht="13.9" customHeight="1" x14ac:dyDescent="0.25">
      <c r="A15" s="1558" t="str">
        <f>+'EQUIPOS '!B27</f>
        <v xml:space="preserve">EQUIPO SOLDADURA ELECTRICA </v>
      </c>
      <c r="B15" s="1559"/>
      <c r="C15" s="1559"/>
      <c r="D15" s="1560"/>
      <c r="E15" s="29" t="str">
        <f>+$E$11</f>
        <v>HR</v>
      </c>
      <c r="F15" s="30">
        <f>IFERROR(VLOOKUP(A15,'[10]EQUIPOS TRANSPOR SALARIO'!$A$3:$G$42,2,FALSE),0)</f>
        <v>0</v>
      </c>
      <c r="G15" s="31">
        <f>IFERROR(VLOOKUP(A15,'EQUIPOS '!$B$3:$N$55,12,FALSE),0)</f>
        <v>4862.5</v>
      </c>
      <c r="H15" s="32">
        <f t="shared" si="2"/>
        <v>10</v>
      </c>
      <c r="I15" s="33">
        <f t="shared" si="0"/>
        <v>486.25</v>
      </c>
      <c r="J15" s="33">
        <f t="shared" si="1"/>
        <v>486</v>
      </c>
    </row>
    <row r="16" spans="1:10" s="20" customFormat="1" ht="13.9" customHeight="1" x14ac:dyDescent="0.25">
      <c r="A16" s="1558" t="str">
        <f>+'EQUIPOS '!B25</f>
        <v>EQUIPO  COLAMINADO</v>
      </c>
      <c r="B16" s="1559"/>
      <c r="C16" s="1559"/>
      <c r="D16" s="1560"/>
      <c r="E16" s="29" t="str">
        <f>+$E$11</f>
        <v>HR</v>
      </c>
      <c r="F16" s="30">
        <f>IFERROR(VLOOKUP(A16,'[10]EQUIPOS TRANSPOR SALARIO'!$A$3:$G$42,2,FALSE),0)</f>
        <v>0</v>
      </c>
      <c r="G16" s="31">
        <f>IFERROR(VLOOKUP(A16,'EQUIPOS '!$B$3:$N$55,12,FALSE),0)</f>
        <v>4701.8100000000004</v>
      </c>
      <c r="H16" s="32">
        <f t="shared" si="2"/>
        <v>10</v>
      </c>
      <c r="I16" s="33">
        <f t="shared" si="0"/>
        <v>470.18100000000004</v>
      </c>
      <c r="J16" s="33">
        <f t="shared" si="1"/>
        <v>470</v>
      </c>
    </row>
    <row r="17" spans="1:15" s="20" customFormat="1" ht="13.9" customHeight="1" x14ac:dyDescent="0.25">
      <c r="A17" s="5" t="str">
        <f>+'EQUIPOS '!B9</f>
        <v>COMPRESOR</v>
      </c>
      <c r="B17" s="6"/>
      <c r="C17" s="6"/>
      <c r="D17" s="7"/>
      <c r="E17" s="29" t="s">
        <v>202</v>
      </c>
      <c r="F17" s="30"/>
      <c r="G17" s="31">
        <f>IFERROR(VLOOKUP(A17,'EQUIPOS '!$B$3:$N$55,12,FALSE),0)</f>
        <v>7999.94</v>
      </c>
      <c r="H17" s="32">
        <f t="shared" si="2"/>
        <v>10</v>
      </c>
      <c r="I17" s="33">
        <f t="shared" si="0"/>
        <v>799.99399999999991</v>
      </c>
      <c r="J17" s="33">
        <f t="shared" si="1"/>
        <v>800</v>
      </c>
    </row>
    <row r="18" spans="1:15" s="20" customFormat="1" ht="13.9" customHeight="1" x14ac:dyDescent="0.25">
      <c r="A18" s="20" t="str">
        <f>+'EQUIPOS '!B51</f>
        <v xml:space="preserve">IMPRESORA DIGITAL PARA SEÑALES DE TRÁNSITO </v>
      </c>
      <c r="E18" s="29" t="str">
        <f>+$E$11</f>
        <v>HR</v>
      </c>
      <c r="G18" s="31">
        <f>IFERROR(VLOOKUP(A18,'EQUIPOS '!$B$3:$N$55,12,FALSE),0)</f>
        <v>64227.08</v>
      </c>
      <c r="H18" s="32">
        <f t="shared" si="2"/>
        <v>10</v>
      </c>
      <c r="I18" s="33">
        <f t="shared" si="0"/>
        <v>6422.7080000000005</v>
      </c>
      <c r="J18" s="33">
        <f t="shared" si="1"/>
        <v>6423</v>
      </c>
    </row>
    <row r="19" spans="1:15" s="20" customFormat="1" ht="13.9" customHeight="1" x14ac:dyDescent="0.25">
      <c r="A19" s="5" t="str">
        <f>+'EQUIPOS '!B39</f>
        <v xml:space="preserve">PULIDORA </v>
      </c>
      <c r="B19" s="6"/>
      <c r="C19" s="6"/>
      <c r="D19" s="7"/>
      <c r="E19" s="29" t="str">
        <f>+$E$11</f>
        <v>HR</v>
      </c>
      <c r="F19" s="30"/>
      <c r="G19" s="31">
        <f>IFERROR(VLOOKUP(A19,'EQUIPOS '!$B$3:$N$55,12,FALSE),0)</f>
        <v>2821</v>
      </c>
      <c r="H19" s="32">
        <f t="shared" si="2"/>
        <v>10</v>
      </c>
      <c r="I19" s="33">
        <f t="shared" si="0"/>
        <v>282.10000000000002</v>
      </c>
      <c r="J19" s="33">
        <f t="shared" si="1"/>
        <v>282</v>
      </c>
    </row>
    <row r="20" spans="1:15" s="20" customFormat="1" ht="13.9" customHeight="1" x14ac:dyDescent="0.25">
      <c r="A20" s="5" t="s">
        <v>330</v>
      </c>
      <c r="B20" s="6"/>
      <c r="C20" s="6"/>
      <c r="D20" s="7"/>
      <c r="E20" s="29"/>
      <c r="F20" s="79">
        <v>0.01</v>
      </c>
      <c r="G20" s="31"/>
      <c r="H20" s="32"/>
      <c r="I20" s="33">
        <f>+F20*J62</f>
        <v>211.82</v>
      </c>
      <c r="J20" s="33">
        <f>ROUND(I20,0)</f>
        <v>212</v>
      </c>
    </row>
    <row r="21" spans="1:15" s="20" customFormat="1" ht="13.9" customHeight="1" x14ac:dyDescent="0.25">
      <c r="I21" s="30" t="s">
        <v>257</v>
      </c>
      <c r="J21" s="34">
        <f>+SUM(J11:J20)</f>
        <v>10463</v>
      </c>
    </row>
    <row r="22" spans="1:15" s="20" customFormat="1" ht="13.9" customHeight="1" x14ac:dyDescent="0.25"/>
    <row r="23" spans="1:15" s="20" customFormat="1" ht="13.9" customHeight="1" x14ac:dyDescent="0.25">
      <c r="A23" s="1742" t="s">
        <v>263</v>
      </c>
      <c r="B23" s="1743"/>
      <c r="C23" s="1743"/>
      <c r="D23" s="1743"/>
      <c r="E23" s="1743"/>
      <c r="F23" s="1743"/>
      <c r="G23" s="1743"/>
      <c r="H23" s="1744"/>
      <c r="I23" s="27"/>
    </row>
    <row r="24" spans="1:15" ht="13.9" customHeight="1" x14ac:dyDescent="0.25">
      <c r="A24" s="1562" t="s">
        <v>251</v>
      </c>
      <c r="B24" s="1563"/>
      <c r="C24" s="1563"/>
      <c r="D24" s="1563"/>
      <c r="E24" s="1563"/>
      <c r="F24" s="1564"/>
      <c r="G24" s="28" t="s">
        <v>252</v>
      </c>
      <c r="H24" s="28" t="s">
        <v>264</v>
      </c>
      <c r="I24" s="38" t="s">
        <v>256</v>
      </c>
      <c r="J24" s="28" t="s">
        <v>257</v>
      </c>
    </row>
    <row r="25" spans="1:15" ht="13.9" customHeight="1" x14ac:dyDescent="0.25">
      <c r="A25" s="1558" t="s">
        <v>106</v>
      </c>
      <c r="B25" s="1559"/>
      <c r="C25" s="1559"/>
      <c r="D25" s="1559"/>
      <c r="E25" s="1559"/>
      <c r="F25" s="1560"/>
      <c r="G25" s="86" t="s">
        <v>265</v>
      </c>
      <c r="H25" s="35">
        <f>ROUND(0.75*0.75,2)*2</f>
        <v>1.1200000000000001</v>
      </c>
      <c r="I25" s="33">
        <f>+IFERROR(VLOOKUP(A25,'INSUMOS '!$B$2:$AP$167,'INSUMOS '!$AO$2+1,FALSE),0)</f>
        <v>85500.55</v>
      </c>
      <c r="J25" s="33">
        <f>ROUND(I25*H25,0)</f>
        <v>95761</v>
      </c>
      <c r="N25" s="1374">
        <f>H25*0.0015*7850</f>
        <v>13.188000000000002</v>
      </c>
      <c r="O25" s="593" t="s">
        <v>106</v>
      </c>
    </row>
    <row r="26" spans="1:15" ht="13.9" customHeight="1" x14ac:dyDescent="0.25">
      <c r="A26" s="1558" t="s">
        <v>90</v>
      </c>
      <c r="B26" s="1559"/>
      <c r="C26" s="1559"/>
      <c r="D26" s="1559"/>
      <c r="E26" s="1559"/>
      <c r="F26" s="1560"/>
      <c r="G26" s="29" t="s">
        <v>265</v>
      </c>
      <c r="H26" s="35">
        <f>+H25</f>
        <v>1.1200000000000001</v>
      </c>
      <c r="I26" s="33">
        <f>+IFERROR(VLOOKUP(A26,'INSUMOS '!$B$2:$AP$167,'INSUMOS '!$AO$2+1,FALSE),0)</f>
        <v>153328.9296</v>
      </c>
      <c r="J26" s="33">
        <f t="shared" ref="J26:J39" si="3">ROUND(I26*H26,0)</f>
        <v>171728</v>
      </c>
      <c r="N26" s="1374">
        <f>H26*0.2/0.36</f>
        <v>0.62222222222222234</v>
      </c>
      <c r="O26" s="593" t="s">
        <v>90</v>
      </c>
    </row>
    <row r="27" spans="1:15" ht="13.9" customHeight="1" x14ac:dyDescent="0.25">
      <c r="A27" s="1558" t="str">
        <f>'INSUMOS '!B105</f>
        <v>TUBO GALVANIZADO DE 2" X 2,0 mm ESPESOR DE PARED</v>
      </c>
      <c r="B27" s="1559"/>
      <c r="C27" s="1559"/>
      <c r="D27" s="1559"/>
      <c r="E27" s="1559"/>
      <c r="F27" s="1560"/>
      <c r="G27" s="29" t="s">
        <v>13</v>
      </c>
      <c r="H27" s="35">
        <f>5.81+0.6</f>
        <v>6.4099999999999993</v>
      </c>
      <c r="I27" s="33">
        <f>+IFERROR(VLOOKUP(A27,'INSUMOS '!$B$2:$AP$167,'INSUMOS '!$AO$2+1,FALSE),0)</f>
        <v>16939</v>
      </c>
      <c r="J27" s="33">
        <f t="shared" si="3"/>
        <v>108579</v>
      </c>
      <c r="N27" s="1374">
        <f>(((2*0.0254+0.004)^2*PI()/4)-(2*0.0254)^2*PI()/4)*7850*H27</f>
        <v>16.693272281627902</v>
      </c>
      <c r="O27" s="593" t="s">
        <v>7315</v>
      </c>
    </row>
    <row r="28" spans="1:15" ht="13.9" customHeight="1" x14ac:dyDescent="0.25">
      <c r="A28" s="1558" t="s">
        <v>156</v>
      </c>
      <c r="B28" s="1559"/>
      <c r="C28" s="1559"/>
      <c r="D28" s="1559"/>
      <c r="E28" s="1559"/>
      <c r="F28" s="1560"/>
      <c r="G28" s="29" t="s">
        <v>13</v>
      </c>
      <c r="H28" s="35">
        <v>0.15</v>
      </c>
      <c r="I28" s="33">
        <f>+IFERROR(VLOOKUP(A28,'INSUMOS '!$B$2:$AP$167,'INSUMOS '!$AO$2+1,FALSE),0)</f>
        <v>16804.093333333331</v>
      </c>
      <c r="J28" s="33">
        <f t="shared" si="3"/>
        <v>2521</v>
      </c>
      <c r="N28" s="1374">
        <f>4*0.0254*(0.0254/8)*H28*7850</f>
        <v>0.37983794999999998</v>
      </c>
      <c r="O28" s="593" t="s">
        <v>156</v>
      </c>
    </row>
    <row r="29" spans="1:15" ht="13.9" customHeight="1" x14ac:dyDescent="0.25">
      <c r="A29" s="1558" t="s">
        <v>42</v>
      </c>
      <c r="B29" s="1559"/>
      <c r="C29" s="1559"/>
      <c r="D29" s="1559"/>
      <c r="E29" s="1559"/>
      <c r="F29" s="1560"/>
      <c r="G29" s="29" t="s">
        <v>266</v>
      </c>
      <c r="H29" s="35">
        <v>8</v>
      </c>
      <c r="I29" s="33">
        <f>+IFERROR(VLOOKUP(A29,'INSUMOS '!$B$2:$AP$167,'INSUMOS '!$AO$2+1,FALSE),0)</f>
        <v>1747.5</v>
      </c>
      <c r="J29" s="33">
        <f t="shared" si="3"/>
        <v>13980</v>
      </c>
      <c r="N29" s="1374">
        <f>H29*0.3/4</f>
        <v>0.6</v>
      </c>
      <c r="O29" s="593" t="s">
        <v>42</v>
      </c>
    </row>
    <row r="30" spans="1:15" ht="13.9" customHeight="1" x14ac:dyDescent="0.25">
      <c r="A30" s="1558" t="s">
        <v>43</v>
      </c>
      <c r="B30" s="1559"/>
      <c r="C30" s="1559"/>
      <c r="D30" s="1559"/>
      <c r="E30" s="1559"/>
      <c r="F30" s="1560"/>
      <c r="G30" s="29" t="s">
        <v>266</v>
      </c>
      <c r="H30" s="35">
        <v>8</v>
      </c>
      <c r="I30" s="33">
        <f>+IFERROR(VLOOKUP(A30,'INSUMOS '!$B$2:$AP$167,'INSUMOS '!$AO$2+1,FALSE),0)</f>
        <v>170</v>
      </c>
      <c r="J30" s="33">
        <f t="shared" si="3"/>
        <v>1360</v>
      </c>
      <c r="N30" s="1374">
        <f>H30/4*0.1</f>
        <v>0.2</v>
      </c>
      <c r="O30" s="593" t="s">
        <v>43</v>
      </c>
    </row>
    <row r="31" spans="1:15" ht="13.9" customHeight="1" x14ac:dyDescent="0.25">
      <c r="A31" s="1558" t="s">
        <v>92</v>
      </c>
      <c r="B31" s="1559"/>
      <c r="C31" s="1559"/>
      <c r="D31" s="1559"/>
      <c r="E31" s="1559"/>
      <c r="F31" s="1560"/>
      <c r="G31" s="29" t="s">
        <v>266</v>
      </c>
      <c r="H31" s="35">
        <v>1</v>
      </c>
      <c r="I31" s="33">
        <f>+IFERROR(VLOOKUP(A31,'INSUMOS '!$B$2:$AP$167,'INSUMOS '!$AO$2+1,FALSE),0)</f>
        <v>2500</v>
      </c>
      <c r="J31" s="33">
        <f t="shared" si="3"/>
        <v>2500</v>
      </c>
      <c r="N31" s="1375">
        <f>H31*0.05</f>
        <v>0.05</v>
      </c>
      <c r="O31" s="593" t="s">
        <v>92</v>
      </c>
    </row>
    <row r="32" spans="1:15" ht="13.9" customHeight="1" x14ac:dyDescent="0.25">
      <c r="A32" s="1558" t="s">
        <v>89</v>
      </c>
      <c r="B32" s="1559"/>
      <c r="C32" s="1559"/>
      <c r="D32" s="1559"/>
      <c r="E32" s="1559"/>
      <c r="F32" s="1560"/>
      <c r="G32" s="29" t="s">
        <v>265</v>
      </c>
      <c r="H32" s="37">
        <f>+H25</f>
        <v>1.1200000000000001</v>
      </c>
      <c r="I32" s="33">
        <f>+IFERROR(VLOOKUP(A32,'INSUMOS '!$B$2:$AP$167,'INSUMOS '!$AO$2+1,FALSE),0)</f>
        <v>65174.538799999995</v>
      </c>
      <c r="J32" s="33">
        <f t="shared" si="3"/>
        <v>72995</v>
      </c>
      <c r="N32" s="1374">
        <f>H32/0.36*0.3</f>
        <v>0.93333333333333346</v>
      </c>
      <c r="O32" s="593" t="s">
        <v>89</v>
      </c>
    </row>
    <row r="33" spans="1:15" ht="13.9" customHeight="1" x14ac:dyDescent="0.25">
      <c r="A33" s="1558" t="s">
        <v>334</v>
      </c>
      <c r="B33" s="1559"/>
      <c r="C33" s="1559"/>
      <c r="D33" s="1559"/>
      <c r="E33" s="1559"/>
      <c r="F33" s="1560"/>
      <c r="G33" s="29" t="s">
        <v>6</v>
      </c>
      <c r="H33" s="37">
        <f>((0.0254*2+0.004)*PI()*H27+H25+8*0.0254*H28+5*0.0588^2*PI()/4)/3</f>
        <v>0.75586610112382135</v>
      </c>
      <c r="I33" s="33">
        <f>+IFERROR(VLOOKUP(A33,'INSUMOS '!$B$2:$AP$167,'INSUMOS '!$AO$2+1,FALSE),0)</f>
        <v>26664.5</v>
      </c>
      <c r="J33" s="33">
        <f t="shared" si="3"/>
        <v>20155</v>
      </c>
      <c r="N33" s="1374">
        <f>H33</f>
        <v>0.75586610112382135</v>
      </c>
      <c r="O33" s="593" t="s">
        <v>334</v>
      </c>
    </row>
    <row r="34" spans="1:15" ht="13.9" customHeight="1" x14ac:dyDescent="0.25">
      <c r="A34" s="1558" t="s">
        <v>45</v>
      </c>
      <c r="B34" s="1559"/>
      <c r="C34" s="1559"/>
      <c r="D34" s="1559"/>
      <c r="E34" s="1559"/>
      <c r="F34" s="1560"/>
      <c r="G34" s="29" t="s">
        <v>157</v>
      </c>
      <c r="H34" s="606">
        <f>H25/3.44*0.22</f>
        <v>7.1627906976744191E-2</v>
      </c>
      <c r="I34" s="33">
        <f>+IFERROR(VLOOKUP(A34,'INSUMOS '!$B$2:$AP$167,'INSUMOS '!$AO$2+1,FALSE),0)</f>
        <v>440873.77039999992</v>
      </c>
      <c r="J34" s="33">
        <f t="shared" si="3"/>
        <v>31579</v>
      </c>
      <c r="N34" s="1405">
        <f>H34*0.454</f>
        <v>3.2519069767441865E-2</v>
      </c>
      <c r="O34" s="593" t="s">
        <v>45</v>
      </c>
    </row>
    <row r="35" spans="1:15" ht="13.9" customHeight="1" x14ac:dyDescent="0.25">
      <c r="A35" s="1558" t="str">
        <f>'INSUMOS '!B28</f>
        <v>CONCRETO  HIDRAULICO 2500 PSI 17 MPA (175 KG/CM2)</v>
      </c>
      <c r="B35" s="1559"/>
      <c r="C35" s="1559"/>
      <c r="D35" s="1559"/>
      <c r="E35" s="1559"/>
      <c r="F35" s="1560"/>
      <c r="G35" s="29" t="s">
        <v>3</v>
      </c>
      <c r="H35" s="35">
        <f>+PI()*0.25*0.25/4*0.55</f>
        <v>2.6998061866787288E-2</v>
      </c>
      <c r="I35" s="33">
        <f>+IFERROR(VLOOKUP(A35,'INSUMOS '!$B$2:$AP$167,'INSUMOS '!$AO$2+1,FALSE),0)</f>
        <v>486142</v>
      </c>
      <c r="J35" s="33">
        <f t="shared" si="3"/>
        <v>13125</v>
      </c>
      <c r="N35" s="1374">
        <f>H35*2400</f>
        <v>64.795348480289491</v>
      </c>
      <c r="O35" s="593" t="s">
        <v>98</v>
      </c>
    </row>
    <row r="36" spans="1:15" ht="13.9" customHeight="1" x14ac:dyDescent="0.25">
      <c r="A36" s="1558" t="s">
        <v>87</v>
      </c>
      <c r="B36" s="1559"/>
      <c r="C36" s="1559"/>
      <c r="D36" s="1559"/>
      <c r="E36" s="1559"/>
      <c r="F36" s="1560"/>
      <c r="G36" s="29" t="s">
        <v>6</v>
      </c>
      <c r="H36" s="606">
        <f>0.005^2/2*(10*0.0588*PI())*7850</f>
        <v>0.1812620421304971</v>
      </c>
      <c r="I36" s="33">
        <f>+IFERROR(VLOOKUP(A36,'INSUMOS '!$B$2:$AP$167,'INSUMOS '!$AO$2+1,FALSE),0)</f>
        <v>19163.666666666668</v>
      </c>
      <c r="J36" s="33">
        <f t="shared" si="3"/>
        <v>3474</v>
      </c>
      <c r="N36" s="1374">
        <f>H36</f>
        <v>0.1812620421304971</v>
      </c>
      <c r="O36" s="593" t="s">
        <v>87</v>
      </c>
    </row>
    <row r="37" spans="1:15" ht="13.9" customHeight="1" x14ac:dyDescent="0.25">
      <c r="A37" s="1558" t="s">
        <v>26</v>
      </c>
      <c r="B37" s="1559"/>
      <c r="C37" s="1559"/>
      <c r="D37" s="1559"/>
      <c r="E37" s="1559"/>
      <c r="F37" s="1560"/>
      <c r="G37" s="29" t="s">
        <v>266</v>
      </c>
      <c r="H37" s="54">
        <v>0.02</v>
      </c>
      <c r="I37" s="33">
        <f>+IFERROR(VLOOKUP(A37,'INSUMOS '!$B$2:$AP$167,'INSUMOS '!$AO$2+1,FALSE),0)</f>
        <v>31741.5</v>
      </c>
      <c r="J37" s="33">
        <f t="shared" si="3"/>
        <v>635</v>
      </c>
      <c r="N37" s="1374">
        <f>H37*0.106</f>
        <v>2.1199999999999999E-3</v>
      </c>
      <c r="O37" s="593" t="s">
        <v>26</v>
      </c>
    </row>
    <row r="38" spans="1:15" ht="13.9" customHeight="1" x14ac:dyDescent="0.25">
      <c r="A38" s="1558" t="str">
        <f>'INSUMOS '!B50</f>
        <v>LÁMINA GALVANIZADA C 16 E=1,50 mm</v>
      </c>
      <c r="B38" s="1559"/>
      <c r="C38" s="1559"/>
      <c r="D38" s="1559"/>
      <c r="E38" s="1559"/>
      <c r="F38" s="1560"/>
      <c r="G38" s="86" t="s">
        <v>265</v>
      </c>
      <c r="H38" s="606">
        <f>0.0588^2*PI()/4*5</f>
        <v>1.357733513028437E-2</v>
      </c>
      <c r="I38" s="33">
        <f>+IFERROR(VLOOKUP(A38,'INSUMOS '!$B$2:$AP$167,'INSUMOS '!$AO$2+1,FALSE),0)</f>
        <v>85500.55</v>
      </c>
      <c r="J38" s="33">
        <f>ROUND(I38*H38,0)</f>
        <v>1161</v>
      </c>
      <c r="N38" s="1374">
        <f>H38*0.0015*7850</f>
        <v>0.15987312115909846</v>
      </c>
      <c r="O38" s="593" t="s">
        <v>106</v>
      </c>
    </row>
    <row r="39" spans="1:15" ht="13.9" customHeight="1" x14ac:dyDescent="0.25">
      <c r="A39" s="1558" t="s">
        <v>333</v>
      </c>
      <c r="B39" s="1559"/>
      <c r="C39" s="1559"/>
      <c r="D39" s="1559"/>
      <c r="E39" s="1559"/>
      <c r="F39" s="1560"/>
      <c r="G39" s="29" t="s">
        <v>114</v>
      </c>
      <c r="H39" s="74">
        <v>0.05</v>
      </c>
      <c r="I39" s="33">
        <f>+SUM(J25:J37)</f>
        <v>538392</v>
      </c>
      <c r="J39" s="33">
        <f t="shared" si="3"/>
        <v>26920</v>
      </c>
    </row>
    <row r="40" spans="1:15" ht="13.9" customHeight="1" x14ac:dyDescent="0.25">
      <c r="A40" s="80"/>
      <c r="B40" s="8"/>
      <c r="C40" s="8"/>
      <c r="D40" s="8"/>
      <c r="E40" s="8"/>
      <c r="F40" s="81"/>
      <c r="G40" s="29"/>
      <c r="H40" s="35"/>
      <c r="I40" s="33"/>
      <c r="J40" s="33"/>
      <c r="N40" s="1401">
        <f>SUM(N25:N38)</f>
        <v>98.59365460165381</v>
      </c>
    </row>
    <row r="41" spans="1:15" ht="13.9" customHeight="1" x14ac:dyDescent="0.25">
      <c r="A41" s="20"/>
      <c r="B41" s="20"/>
      <c r="C41" s="20"/>
      <c r="D41" s="20"/>
      <c r="E41" s="20"/>
      <c r="G41" s="20"/>
      <c r="H41" s="20"/>
      <c r="I41" s="30" t="s">
        <v>257</v>
      </c>
      <c r="J41" s="34">
        <f>+SUM(J25:J40)</f>
        <v>566473</v>
      </c>
    </row>
    <row r="42" spans="1:15" ht="13.9" customHeight="1" x14ac:dyDescent="0.25"/>
    <row r="43" spans="1:15" ht="13.9" customHeight="1" x14ac:dyDescent="0.25">
      <c r="A43" s="1561" t="s">
        <v>267</v>
      </c>
      <c r="B43" s="1561"/>
      <c r="C43" s="1561"/>
      <c r="D43" s="1561"/>
      <c r="E43" s="1561"/>
      <c r="F43" s="1561"/>
      <c r="G43" s="1561"/>
      <c r="H43" s="1561"/>
      <c r="I43" s="27"/>
    </row>
    <row r="44" spans="1:15" ht="13.9" customHeight="1" x14ac:dyDescent="0.25">
      <c r="A44" s="1562" t="s">
        <v>268</v>
      </c>
      <c r="B44" s="1563"/>
      <c r="C44" s="1563"/>
      <c r="D44" s="1563"/>
      <c r="E44" s="1563"/>
      <c r="F44" s="1564"/>
      <c r="G44" s="38" t="s">
        <v>255</v>
      </c>
      <c r="H44" s="28" t="s">
        <v>269</v>
      </c>
      <c r="I44" s="28" t="s">
        <v>256</v>
      </c>
      <c r="J44" s="28" t="s">
        <v>257</v>
      </c>
    </row>
    <row r="45" spans="1:15" ht="13.9" customHeight="1" x14ac:dyDescent="0.25">
      <c r="A45" s="1558" t="str">
        <f>+'EQUIPOS '!B6</f>
        <v>CAMION INCLUYE CONDUCTOR</v>
      </c>
      <c r="B45" s="1559"/>
      <c r="C45" s="1559"/>
      <c r="D45" s="1559"/>
      <c r="E45" s="1559"/>
      <c r="F45" s="1560"/>
      <c r="G45" s="1403">
        <f>(N40/1000)/12</f>
        <v>8.2161378834711505E-3</v>
      </c>
      <c r="H45" s="33">
        <f>+IFERROR(VLOOKUP(A45,'EQUIPOS '!$B$3:$M$78,12,FALSE),0)</f>
        <v>611492.5</v>
      </c>
      <c r="I45" s="33">
        <f>IFERROR(H45*G45,0)</f>
        <v>5024.1066947084828</v>
      </c>
      <c r="J45" s="33">
        <f>ROUND(I45,0)</f>
        <v>5024</v>
      </c>
    </row>
    <row r="46" spans="1:15" ht="13.9" customHeight="1" x14ac:dyDescent="0.25">
      <c r="A46" s="1558"/>
      <c r="B46" s="1559"/>
      <c r="C46" s="1559"/>
      <c r="D46" s="1559"/>
      <c r="E46" s="1559"/>
      <c r="F46" s="1560"/>
      <c r="G46" s="29"/>
      <c r="H46" s="33"/>
      <c r="I46" s="33"/>
      <c r="J46" s="33"/>
      <c r="N46" s="39"/>
    </row>
    <row r="47" spans="1:15" ht="13.9" customHeight="1" x14ac:dyDescent="0.25">
      <c r="A47" s="1558"/>
      <c r="B47" s="1559"/>
      <c r="C47" s="1559"/>
      <c r="D47" s="1559"/>
      <c r="E47" s="1559"/>
      <c r="F47" s="1560"/>
      <c r="G47" s="29"/>
      <c r="H47" s="33"/>
      <c r="I47" s="33"/>
      <c r="J47" s="33"/>
      <c r="N47" s="39"/>
    </row>
    <row r="48" spans="1:15" ht="13.9" customHeight="1" x14ac:dyDescent="0.25">
      <c r="G48" s="39"/>
      <c r="H48" s="39"/>
      <c r="I48" s="30" t="s">
        <v>257</v>
      </c>
      <c r="J48" s="33">
        <f>+SUM(J45:J47)</f>
        <v>5024</v>
      </c>
      <c r="N48" s="39"/>
    </row>
    <row r="49" spans="1:10" ht="13.9" customHeight="1" x14ac:dyDescent="0.25"/>
    <row r="50" spans="1:10" ht="13.9" customHeight="1" x14ac:dyDescent="0.25">
      <c r="A50" s="1561" t="s">
        <v>270</v>
      </c>
      <c r="B50" s="1561"/>
      <c r="C50" s="1561"/>
      <c r="D50" s="1561"/>
      <c r="E50" s="1561"/>
      <c r="F50" s="1561"/>
      <c r="G50" s="1561"/>
      <c r="H50" s="1561"/>
      <c r="I50" s="27"/>
    </row>
    <row r="51" spans="1:10" s="39" customFormat="1" ht="13.9" customHeight="1" x14ac:dyDescent="0.25">
      <c r="A51" s="1562" t="s">
        <v>271</v>
      </c>
      <c r="B51" s="1563"/>
      <c r="C51" s="1563"/>
      <c r="D51" s="1564"/>
      <c r="E51" s="28" t="s">
        <v>272</v>
      </c>
      <c r="F51" s="28" t="s">
        <v>264</v>
      </c>
      <c r="G51" s="28" t="s">
        <v>273</v>
      </c>
      <c r="H51" s="28" t="s">
        <v>255</v>
      </c>
      <c r="I51" s="28" t="s">
        <v>256</v>
      </c>
      <c r="J51" s="28" t="s">
        <v>257</v>
      </c>
    </row>
    <row r="52" spans="1:10" s="39" customFormat="1" ht="13.9" customHeight="1" x14ac:dyDescent="0.25">
      <c r="A52" s="1571" t="str">
        <f>+PERSONAL!B40</f>
        <v xml:space="preserve">SOLDADOR </v>
      </c>
      <c r="B52" s="1572"/>
      <c r="C52" s="1572"/>
      <c r="D52" s="1573"/>
      <c r="E52" s="609">
        <f>+IFERROR(VLOOKUP(A52,PERSONAL!$B$3:$E$56,4,FALSE),0)</f>
        <v>110344</v>
      </c>
      <c r="F52" s="601">
        <v>1</v>
      </c>
      <c r="G52" s="609">
        <f t="shared" ref="G52:G57" si="4">+E52*F52</f>
        <v>110344</v>
      </c>
      <c r="H52" s="54">
        <v>40</v>
      </c>
      <c r="I52" s="55">
        <f t="shared" ref="I52:I57" si="5">IFERROR(ROUND(G52/H52,0),0)</f>
        <v>2759</v>
      </c>
      <c r="J52" s="55">
        <f t="shared" ref="J52:J57" si="6">+I52</f>
        <v>2759</v>
      </c>
    </row>
    <row r="53" spans="1:10" s="39" customFormat="1" ht="13.9" customHeight="1" x14ac:dyDescent="0.25">
      <c r="A53" s="1571" t="str">
        <f>+PERSONAL!B27</f>
        <v xml:space="preserve">PINTOR </v>
      </c>
      <c r="B53" s="1572"/>
      <c r="C53" s="1572"/>
      <c r="D53" s="1573"/>
      <c r="E53" s="609">
        <f>+IFERROR(VLOOKUP(A53,PERSONAL!$B$3:$E$56,4,FALSE),0)</f>
        <v>100054</v>
      </c>
      <c r="F53" s="601">
        <v>1</v>
      </c>
      <c r="G53" s="609">
        <f t="shared" si="4"/>
        <v>100054</v>
      </c>
      <c r="H53" s="54">
        <f>H52</f>
        <v>40</v>
      </c>
      <c r="I53" s="55">
        <f t="shared" si="5"/>
        <v>2501</v>
      </c>
      <c r="J53" s="55">
        <f t="shared" si="6"/>
        <v>2501</v>
      </c>
    </row>
    <row r="54" spans="1:10" s="39" customFormat="1" ht="13.9" customHeight="1" x14ac:dyDescent="0.25">
      <c r="A54" s="1571" t="str">
        <f>+PERSONAL!B7</f>
        <v>COLAMINADOR</v>
      </c>
      <c r="B54" s="1572"/>
      <c r="C54" s="1572"/>
      <c r="D54" s="1573"/>
      <c r="E54" s="609">
        <f>+IFERROR(VLOOKUP(A54,PERSONAL!$B$3:$E$56,4,FALSE),0)</f>
        <v>91275</v>
      </c>
      <c r="F54" s="601">
        <v>1</v>
      </c>
      <c r="G54" s="609">
        <f t="shared" si="4"/>
        <v>91275</v>
      </c>
      <c r="H54" s="54">
        <f>H53</f>
        <v>40</v>
      </c>
      <c r="I54" s="55">
        <f t="shared" si="5"/>
        <v>2282</v>
      </c>
      <c r="J54" s="55">
        <f t="shared" si="6"/>
        <v>2282</v>
      </c>
    </row>
    <row r="55" spans="1:10" s="39" customFormat="1" ht="13.9" customHeight="1" x14ac:dyDescent="0.25">
      <c r="A55" s="1739" t="str">
        <f>+PERSONAL!B18</f>
        <v>JEFE DE CUADRILLA DIURNO</v>
      </c>
      <c r="B55" s="1740"/>
      <c r="C55" s="1740"/>
      <c r="D55" s="1741"/>
      <c r="E55" s="1415">
        <f>+IFERROR(VLOOKUP(A55,PERSONAL!$B$3:$E$56,4,FALSE),0)</f>
        <v>166031</v>
      </c>
      <c r="F55" s="1416">
        <v>1</v>
      </c>
      <c r="G55" s="1415">
        <f t="shared" si="4"/>
        <v>166031</v>
      </c>
      <c r="H55" s="1081">
        <v>40</v>
      </c>
      <c r="I55" s="1004">
        <f t="shared" si="5"/>
        <v>4151</v>
      </c>
      <c r="J55" s="1004">
        <f t="shared" si="6"/>
        <v>4151</v>
      </c>
    </row>
    <row r="56" spans="1:10" s="39" customFormat="1" ht="13.9" customHeight="1" x14ac:dyDescent="0.25">
      <c r="A56" s="1739" t="str">
        <f>+PERSONAL!B3</f>
        <v>AUXILIAR DE TRÁFICO</v>
      </c>
      <c r="B56" s="1740"/>
      <c r="C56" s="1740"/>
      <c r="D56" s="1741"/>
      <c r="E56" s="1415">
        <f>+IFERROR(VLOOKUP(A56,PERSONAL!$B$3:$E$56,4,FALSE),0)</f>
        <v>89632</v>
      </c>
      <c r="F56" s="1416">
        <v>1</v>
      </c>
      <c r="G56" s="1415">
        <f t="shared" si="4"/>
        <v>89632</v>
      </c>
      <c r="H56" s="1081">
        <v>40</v>
      </c>
      <c r="I56" s="1004">
        <f t="shared" si="5"/>
        <v>2241</v>
      </c>
      <c r="J56" s="1004">
        <f t="shared" si="6"/>
        <v>2241</v>
      </c>
    </row>
    <row r="57" spans="1:10" s="39" customFormat="1" ht="13.9" customHeight="1" x14ac:dyDescent="0.25">
      <c r="A57" s="1739" t="str">
        <f>+PERSONAL!B5</f>
        <v xml:space="preserve">AYUDANTE </v>
      </c>
      <c r="B57" s="1740"/>
      <c r="C57" s="1740"/>
      <c r="D57" s="1741"/>
      <c r="E57" s="1415">
        <f>+IFERROR(VLOOKUP(A57,PERSONAL!$B$3:$E$56,4,FALSE),0)</f>
        <v>72476</v>
      </c>
      <c r="F57" s="1416">
        <v>4</v>
      </c>
      <c r="G57" s="1415">
        <f t="shared" si="4"/>
        <v>289904</v>
      </c>
      <c r="H57" s="1081">
        <v>40</v>
      </c>
      <c r="I57" s="1004">
        <f t="shared" si="5"/>
        <v>7248</v>
      </c>
      <c r="J57" s="1004">
        <f t="shared" si="6"/>
        <v>7248</v>
      </c>
    </row>
    <row r="58" spans="1:10" s="39" customFormat="1" ht="13.9" customHeight="1" x14ac:dyDescent="0.25">
      <c r="A58" s="1558"/>
      <c r="B58" s="1559"/>
      <c r="C58" s="1559"/>
      <c r="D58" s="1560"/>
      <c r="E58" s="40"/>
      <c r="F58" s="30"/>
      <c r="G58" s="40"/>
      <c r="H58" s="35"/>
      <c r="I58" s="33"/>
      <c r="J58" s="33"/>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s="39" customFormat="1" ht="13.9" customHeight="1" x14ac:dyDescent="0.25">
      <c r="A61" s="1558"/>
      <c r="B61" s="1559"/>
      <c r="C61" s="1559"/>
      <c r="D61" s="1560"/>
      <c r="E61" s="40"/>
      <c r="F61" s="30"/>
      <c r="G61" s="40"/>
      <c r="H61" s="35"/>
      <c r="I61" s="33"/>
      <c r="J61" s="33"/>
    </row>
    <row r="62" spans="1:10" ht="13.9" customHeight="1" x14ac:dyDescent="0.25">
      <c r="A62" s="20"/>
      <c r="B62" s="20"/>
      <c r="C62" s="20"/>
      <c r="E62" s="20"/>
      <c r="F62" s="20"/>
      <c r="G62" s="20"/>
      <c r="H62" s="20"/>
      <c r="I62" s="30" t="s">
        <v>257</v>
      </c>
      <c r="J62" s="34">
        <f>+SUM(J52:J61)</f>
        <v>21182</v>
      </c>
    </row>
    <row r="63" spans="1:10" ht="13.9" customHeight="1" x14ac:dyDescent="0.25"/>
    <row r="64" spans="1:10" ht="13.9" customHeight="1" x14ac:dyDescent="0.25">
      <c r="E64" s="41" t="s">
        <v>276</v>
      </c>
      <c r="I64" s="42">
        <f>+J62+J48+J41+J21</f>
        <v>603142</v>
      </c>
      <c r="J64" s="43"/>
    </row>
    <row r="65" ht="13.9" customHeight="1" x14ac:dyDescent="0.25"/>
    <row r="66" ht="14.1" customHeight="1" x14ac:dyDescent="0.25"/>
  </sheetData>
  <mergeCells count="48">
    <mergeCell ref="A34:F34"/>
    <mergeCell ref="A35:F35"/>
    <mergeCell ref="A36:F36"/>
    <mergeCell ref="A37:F37"/>
    <mergeCell ref="A39:F39"/>
    <mergeCell ref="A38:F38"/>
    <mergeCell ref="A29:F29"/>
    <mergeCell ref="A30:F30"/>
    <mergeCell ref="A31:F31"/>
    <mergeCell ref="A32:F32"/>
    <mergeCell ref="A33:F33"/>
    <mergeCell ref="A14:D14"/>
    <mergeCell ref="A1:J1"/>
    <mergeCell ref="A2:J2"/>
    <mergeCell ref="A4:J4"/>
    <mergeCell ref="A6:B6"/>
    <mergeCell ref="A7:B7"/>
    <mergeCell ref="C7:J7"/>
    <mergeCell ref="A9:H9"/>
    <mergeCell ref="A10:D10"/>
    <mergeCell ref="A11:D11"/>
    <mergeCell ref="A12:D12"/>
    <mergeCell ref="A13:D13"/>
    <mergeCell ref="A52:D52"/>
    <mergeCell ref="A15:D15"/>
    <mergeCell ref="A16:D16"/>
    <mergeCell ref="A23:H23"/>
    <mergeCell ref="A24:F24"/>
    <mergeCell ref="A43:H43"/>
    <mergeCell ref="A44:F44"/>
    <mergeCell ref="A45:F45"/>
    <mergeCell ref="A46:F46"/>
    <mergeCell ref="A47:F47"/>
    <mergeCell ref="A50:H50"/>
    <mergeCell ref="A51:D51"/>
    <mergeCell ref="A25:F25"/>
    <mergeCell ref="A26:F26"/>
    <mergeCell ref="A27:F27"/>
    <mergeCell ref="A28:F28"/>
    <mergeCell ref="A59:D59"/>
    <mergeCell ref="A60:D60"/>
    <mergeCell ref="A61:D61"/>
    <mergeCell ref="A53:D53"/>
    <mergeCell ref="A54:D54"/>
    <mergeCell ref="A55:D55"/>
    <mergeCell ref="A56:D56"/>
    <mergeCell ref="A57:D57"/>
    <mergeCell ref="A58:D58"/>
  </mergeCells>
  <pageMargins left="0.70866141732283472" right="0.70866141732283472" top="0.78740157480314965" bottom="0.78740157480314965" header="0.31496062992125984" footer="0.31496062992125984"/>
  <pageSetup scale="85" orientation="portrait" r:id="rId1"/>
  <drawing r:id="rId2"/>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A00-000000000000}">
  <sheetPr codeName="Hoja14">
    <tabColor rgb="FF00B050"/>
  </sheetPr>
  <dimension ref="A1:O65"/>
  <sheetViews>
    <sheetView topLeftCell="A41" workbookViewId="0">
      <selection activeCell="G45" sqref="G45"/>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3" width="11.42578125" style="19"/>
    <col min="14" max="15" width="0" style="19" hidden="1" customWidth="1"/>
    <col min="16"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10</v>
      </c>
      <c r="D6" s="23"/>
      <c r="E6" s="23"/>
      <c r="F6" s="23"/>
      <c r="G6" s="23"/>
      <c r="H6" s="24"/>
      <c r="I6" s="25" t="s">
        <v>248</v>
      </c>
      <c r="J6" s="26" t="str">
        <f>+VLOOKUP(C6,'ANEXO PLIEGO_1'!$A$7:$C$133,3,FALSE)</f>
        <v>UN</v>
      </c>
    </row>
    <row r="7" spans="1:10" ht="35.1" customHeight="1" x14ac:dyDescent="0.25">
      <c r="A7" s="1568" t="s">
        <v>249</v>
      </c>
      <c r="B7" s="1570"/>
      <c r="C7" s="1578" t="str">
        <f>+VLOOKUP(C6,'ANEXO PLIEGO_1'!A7:B133,2,FALSE)</f>
        <v xml:space="preserve">Fabricación, suministro e instalación de Señal Reglamentaria, Preventiva ó informativa de 75 cm, material reflectivo Tipo XI , película antigraffiti, en lámina  galvanizada C-16 E=1,5mm, pedestal en tubo galvanizado de sección circular con diámetro interior de 2" y e=2 mm cumpliendo con normatividad vigente. </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'!B45</f>
        <v>TRONZADORA</v>
      </c>
      <c r="B11" s="1559"/>
      <c r="C11" s="1559"/>
      <c r="D11" s="1560"/>
      <c r="E11" s="29" t="s">
        <v>202</v>
      </c>
      <c r="F11" s="30">
        <f>IFERROR(VLOOKUP(A11,'[10]EQUIPOS TRANSPOR SALARIO'!$A$3:$G$42,2,FALSE),0)</f>
        <v>0</v>
      </c>
      <c r="G11" s="31">
        <f>IFERROR(VLOOKUP(A11,'EQUIPOS '!$B$3:$N$55,12,FALSE),0)</f>
        <v>3779.5</v>
      </c>
      <c r="H11" s="32">
        <v>10</v>
      </c>
      <c r="I11" s="33">
        <f t="shared" ref="I11:I19" si="0">IFERROR((G11/H11),0)</f>
        <v>377.95</v>
      </c>
      <c r="J11" s="33">
        <f>ROUND(I11,0)</f>
        <v>378</v>
      </c>
    </row>
    <row r="12" spans="1:10" s="20" customFormat="1" ht="13.9" customHeight="1" x14ac:dyDescent="0.25">
      <c r="A12" s="1558" t="str">
        <f>+'EQUIPOS '!B7</f>
        <v xml:space="preserve">CIZALLA DE CORTE VERTICAL </v>
      </c>
      <c r="B12" s="1559"/>
      <c r="C12" s="1559"/>
      <c r="D12" s="1560"/>
      <c r="E12" s="29" t="str">
        <f>+$E$11</f>
        <v>HR</v>
      </c>
      <c r="F12" s="30">
        <f>IFERROR(VLOOKUP(A12,'[10]EQUIPOS TRANSPOR SALARIO'!$A$3:$G$42,2,FALSE),0)</f>
        <v>0</v>
      </c>
      <c r="G12" s="31">
        <f>IFERROR(VLOOKUP(A12,'EQUIPOS '!$B$3:$N$55,12,FALSE),0)</f>
        <v>5174.01</v>
      </c>
      <c r="H12" s="32">
        <f>+H11</f>
        <v>10</v>
      </c>
      <c r="I12" s="33">
        <f t="shared" si="0"/>
        <v>517.40100000000007</v>
      </c>
      <c r="J12" s="33">
        <f t="shared" ref="J12:J19" si="1">ROUND(I12,0)</f>
        <v>517</v>
      </c>
    </row>
    <row r="13" spans="1:10" s="20" customFormat="1" ht="13.9" customHeight="1" x14ac:dyDescent="0.25">
      <c r="A13" s="1558" t="str">
        <f>+'EQUIPOS '!B24</f>
        <v>EQUIPO PINTURA ELECTROSTÁTICA</v>
      </c>
      <c r="B13" s="1559"/>
      <c r="C13" s="1559"/>
      <c r="D13" s="1560"/>
      <c r="E13" s="29" t="str">
        <f>+$E$11</f>
        <v>HR</v>
      </c>
      <c r="F13" s="30" t="str">
        <f>IFERROR(VLOOKUP(A13,'[10]EQUIPOS TRANSPOR SALARIO'!$A$3:$G$42,2,FALSE),0)</f>
        <v>Electrostática</v>
      </c>
      <c r="G13" s="31">
        <f>IFERROR(VLOOKUP(A13,'EQUIPOS '!$B$3:$N$55,12,FALSE),0)</f>
        <v>4047.59</v>
      </c>
      <c r="H13" s="32">
        <f t="shared" ref="H13:H19" si="2">+H12</f>
        <v>10</v>
      </c>
      <c r="I13" s="33">
        <f t="shared" si="0"/>
        <v>404.75900000000001</v>
      </c>
      <c r="J13" s="33">
        <f t="shared" si="1"/>
        <v>405</v>
      </c>
    </row>
    <row r="14" spans="1:10" s="20" customFormat="1" ht="13.9" customHeight="1" x14ac:dyDescent="0.25">
      <c r="A14" s="1558" t="str">
        <f>+'EQUIPOS '!B43</f>
        <v>TALADRO DE ARBOL</v>
      </c>
      <c r="B14" s="1559"/>
      <c r="C14" s="1559"/>
      <c r="D14" s="1560"/>
      <c r="E14" s="29" t="str">
        <f>+$E$11</f>
        <v>HR</v>
      </c>
      <c r="F14" s="30">
        <f>IFERROR(VLOOKUP(A14,'[10]EQUIPOS TRANSPOR SALARIO'!$A$3:$G$42,2,FALSE),0)</f>
        <v>0</v>
      </c>
      <c r="G14" s="31">
        <f>IFERROR(VLOOKUP(A14,'EQUIPOS '!$B$3:$N$55,12,FALSE),0)</f>
        <v>4898</v>
      </c>
      <c r="H14" s="32">
        <f t="shared" si="2"/>
        <v>10</v>
      </c>
      <c r="I14" s="33">
        <f t="shared" si="0"/>
        <v>489.8</v>
      </c>
      <c r="J14" s="33">
        <f t="shared" si="1"/>
        <v>490</v>
      </c>
    </row>
    <row r="15" spans="1:10" s="20" customFormat="1" ht="13.9" customHeight="1" x14ac:dyDescent="0.25">
      <c r="A15" s="1558" t="str">
        <f>+'EQUIPOS '!B27</f>
        <v xml:space="preserve">EQUIPO SOLDADURA ELECTRICA </v>
      </c>
      <c r="B15" s="1559"/>
      <c r="C15" s="1559"/>
      <c r="D15" s="1560"/>
      <c r="E15" s="29" t="s">
        <v>202</v>
      </c>
      <c r="F15" s="30">
        <f>IFERROR(VLOOKUP(A15,'[10]EQUIPOS TRANSPOR SALARIO'!$A$3:$G$42,2,FALSE),0)</f>
        <v>0</v>
      </c>
      <c r="G15" s="31">
        <f>IFERROR(VLOOKUP(A15,'EQUIPOS '!$B$3:$N$55,12,FALSE),0)</f>
        <v>4862.5</v>
      </c>
      <c r="H15" s="32">
        <f t="shared" si="2"/>
        <v>10</v>
      </c>
      <c r="I15" s="33">
        <f t="shared" si="0"/>
        <v>486.25</v>
      </c>
      <c r="J15" s="33">
        <f t="shared" si="1"/>
        <v>486</v>
      </c>
    </row>
    <row r="16" spans="1:10" s="20" customFormat="1" ht="13.9" customHeight="1" x14ac:dyDescent="0.25">
      <c r="A16" s="1558" t="str">
        <f>+'EQUIPOS '!B25</f>
        <v>EQUIPO  COLAMINADO</v>
      </c>
      <c r="B16" s="1559"/>
      <c r="C16" s="1559"/>
      <c r="D16" s="1560"/>
      <c r="E16" s="29" t="str">
        <f>+$E$11</f>
        <v>HR</v>
      </c>
      <c r="F16" s="30">
        <f>IFERROR(VLOOKUP(A16,'[10]EQUIPOS TRANSPOR SALARIO'!$A$3:$G$42,2,FALSE),0)</f>
        <v>0</v>
      </c>
      <c r="G16" s="31">
        <f>IFERROR(VLOOKUP(A16,'EQUIPOS '!$B$3:$N$55,12,FALSE),0)</f>
        <v>4701.8100000000004</v>
      </c>
      <c r="H16" s="32">
        <f t="shared" si="2"/>
        <v>10</v>
      </c>
      <c r="I16" s="33">
        <f t="shared" si="0"/>
        <v>470.18100000000004</v>
      </c>
      <c r="J16" s="33">
        <f t="shared" si="1"/>
        <v>470</v>
      </c>
    </row>
    <row r="17" spans="1:15" s="20" customFormat="1" ht="13.9" customHeight="1" x14ac:dyDescent="0.25">
      <c r="A17" s="5" t="str">
        <f>+'EQUIPOS '!B9</f>
        <v>COMPRESOR</v>
      </c>
      <c r="B17" s="6"/>
      <c r="C17" s="6"/>
      <c r="D17" s="7"/>
      <c r="E17" s="29" t="str">
        <f>+$E$11</f>
        <v>HR</v>
      </c>
      <c r="F17" s="30"/>
      <c r="G17" s="31">
        <f>IFERROR(VLOOKUP(A17,'EQUIPOS '!$B$3:$N$55,12,FALSE),0)</f>
        <v>7999.94</v>
      </c>
      <c r="H17" s="32">
        <f t="shared" si="2"/>
        <v>10</v>
      </c>
      <c r="I17" s="33">
        <f t="shared" si="0"/>
        <v>799.99399999999991</v>
      </c>
      <c r="J17" s="33">
        <f t="shared" si="1"/>
        <v>800</v>
      </c>
    </row>
    <row r="18" spans="1:15" s="20" customFormat="1" ht="13.9" customHeight="1" x14ac:dyDescent="0.25">
      <c r="A18" s="20" t="str">
        <f>+'EQUIPOS '!B51</f>
        <v xml:space="preserve">IMPRESORA DIGITAL PARA SEÑALES DE TRÁNSITO </v>
      </c>
      <c r="E18" s="29" t="str">
        <f>+$E$11</f>
        <v>HR</v>
      </c>
      <c r="G18" s="31">
        <f>IFERROR(VLOOKUP(A18,'EQUIPOS '!$B$3:$N$55,12,FALSE),0)</f>
        <v>64227.08</v>
      </c>
      <c r="H18" s="32">
        <f t="shared" si="2"/>
        <v>10</v>
      </c>
      <c r="I18" s="33">
        <f t="shared" si="0"/>
        <v>6422.7080000000005</v>
      </c>
      <c r="J18" s="33">
        <f t="shared" si="1"/>
        <v>6423</v>
      </c>
    </row>
    <row r="19" spans="1:15" s="20" customFormat="1" ht="13.9" customHeight="1" x14ac:dyDescent="0.25">
      <c r="A19" s="5" t="str">
        <f>+'EQUIPOS '!B39</f>
        <v xml:space="preserve">PULIDORA </v>
      </c>
      <c r="B19" s="6"/>
      <c r="C19" s="6"/>
      <c r="D19" s="7"/>
      <c r="E19" s="29" t="s">
        <v>202</v>
      </c>
      <c r="F19" s="30"/>
      <c r="G19" s="31">
        <f>IFERROR(VLOOKUP(A19,'EQUIPOS '!$B$3:$N$55,12,FALSE),0)</f>
        <v>2821</v>
      </c>
      <c r="H19" s="32">
        <f t="shared" si="2"/>
        <v>10</v>
      </c>
      <c r="I19" s="33">
        <f t="shared" si="0"/>
        <v>282.10000000000002</v>
      </c>
      <c r="J19" s="33">
        <f t="shared" si="1"/>
        <v>282</v>
      </c>
    </row>
    <row r="20" spans="1:15" s="20" customFormat="1" ht="13.9" customHeight="1" x14ac:dyDescent="0.25">
      <c r="A20" s="5" t="s">
        <v>330</v>
      </c>
      <c r="B20" s="6"/>
      <c r="C20" s="6"/>
      <c r="D20" s="7"/>
      <c r="E20" s="29"/>
      <c r="F20" s="79">
        <v>0.01</v>
      </c>
      <c r="G20" s="31"/>
      <c r="H20" s="32"/>
      <c r="I20" s="33">
        <f>+F20*J61</f>
        <v>163.94</v>
      </c>
      <c r="J20" s="33">
        <f>ROUND(I20,0)</f>
        <v>164</v>
      </c>
    </row>
    <row r="21" spans="1:15" s="20" customFormat="1" ht="13.9" customHeight="1" x14ac:dyDescent="0.25">
      <c r="I21" s="30" t="s">
        <v>257</v>
      </c>
      <c r="J21" s="34">
        <f>+SUM(J11:J20)</f>
        <v>10415</v>
      </c>
    </row>
    <row r="22" spans="1:15" s="20" customFormat="1" ht="13.9" customHeight="1" x14ac:dyDescent="0.25"/>
    <row r="23" spans="1:15" s="20" customFormat="1" ht="13.9" customHeight="1" x14ac:dyDescent="0.25">
      <c r="A23" s="1742" t="s">
        <v>263</v>
      </c>
      <c r="B23" s="1743"/>
      <c r="C23" s="1743"/>
      <c r="D23" s="1743"/>
      <c r="E23" s="1743"/>
      <c r="F23" s="1743"/>
      <c r="G23" s="1743"/>
      <c r="H23" s="1744"/>
      <c r="I23" s="27"/>
    </row>
    <row r="24" spans="1:15" ht="13.9" customHeight="1" x14ac:dyDescent="0.25">
      <c r="A24" s="1562" t="s">
        <v>251</v>
      </c>
      <c r="B24" s="1563"/>
      <c r="C24" s="1563"/>
      <c r="D24" s="1563"/>
      <c r="E24" s="1563"/>
      <c r="F24" s="1564"/>
      <c r="G24" s="28" t="s">
        <v>252</v>
      </c>
      <c r="H24" s="28" t="s">
        <v>264</v>
      </c>
      <c r="I24" s="38" t="s">
        <v>256</v>
      </c>
      <c r="J24" s="28" t="s">
        <v>257</v>
      </c>
    </row>
    <row r="25" spans="1:15" ht="13.9" customHeight="1" x14ac:dyDescent="0.25">
      <c r="A25" s="1558" t="str">
        <f>'INSUMOS '!B50</f>
        <v>LÁMINA GALVANIZADA C 16 E=1,50 mm</v>
      </c>
      <c r="B25" s="1559"/>
      <c r="C25" s="1559"/>
      <c r="D25" s="1559"/>
      <c r="E25" s="1559"/>
      <c r="F25" s="1560"/>
      <c r="G25" s="86" t="s">
        <v>12</v>
      </c>
      <c r="H25" s="35">
        <f>ROUND(0.75*0.75,2)</f>
        <v>0.56000000000000005</v>
      </c>
      <c r="I25" s="33">
        <f>+IFERROR(VLOOKUP(A25,'INSUMOS '!$B$2:$AP$167,'INSUMOS '!$AO$2+1,FALSE),0)</f>
        <v>85500.55</v>
      </c>
      <c r="J25" s="33">
        <f>ROUND(I25*H25,0)</f>
        <v>47880</v>
      </c>
      <c r="N25" s="1374">
        <f>H25*0.0015*7850</f>
        <v>6.5940000000000012</v>
      </c>
      <c r="O25" s="593" t="s">
        <v>106</v>
      </c>
    </row>
    <row r="26" spans="1:15" ht="13.9" customHeight="1" x14ac:dyDescent="0.25">
      <c r="A26" s="1559" t="str">
        <f>'INSUMOS '!B63</f>
        <v xml:space="preserve">PAPEL REFLECTIVO TIPO XI </v>
      </c>
      <c r="B26" s="1559"/>
      <c r="C26" s="1559"/>
      <c r="D26" s="1559"/>
      <c r="E26" s="1559"/>
      <c r="F26" s="1560"/>
      <c r="G26" s="29" t="s">
        <v>12</v>
      </c>
      <c r="H26" s="35">
        <f>+H25</f>
        <v>0.56000000000000005</v>
      </c>
      <c r="I26" s="33">
        <f>+IFERROR(VLOOKUP(A26,'INSUMOS '!$B$2:$AP$167,'INSUMOS '!$AO$2+1,FALSE),0)</f>
        <v>153328.9296</v>
      </c>
      <c r="J26" s="33">
        <f t="shared" ref="J26:J37" si="3">ROUND(I26*H26,0)</f>
        <v>85864</v>
      </c>
      <c r="N26" s="1374">
        <f>H26*0.2/0.36</f>
        <v>0.31111111111111117</v>
      </c>
      <c r="O26" s="593" t="s">
        <v>90</v>
      </c>
    </row>
    <row r="27" spans="1:15" ht="13.9" customHeight="1" x14ac:dyDescent="0.25">
      <c r="A27" s="1558" t="str">
        <f>'INSUMOS '!B105</f>
        <v>TUBO GALVANIZADO DE 2" X 2,0 mm ESPESOR DE PARED</v>
      </c>
      <c r="B27" s="1559"/>
      <c r="C27" s="1559"/>
      <c r="D27" s="1559"/>
      <c r="E27" s="1559"/>
      <c r="F27" s="1560"/>
      <c r="G27" s="29" t="s">
        <v>13</v>
      </c>
      <c r="H27" s="35">
        <f>3.77+0.6</f>
        <v>4.37</v>
      </c>
      <c r="I27" s="33">
        <f>+IFERROR(VLOOKUP(A27,'INSUMOS '!$B$2:$AP$167,'INSUMOS '!$AO$2+1,FALSE),0)</f>
        <v>16939</v>
      </c>
      <c r="J27" s="33">
        <f t="shared" si="3"/>
        <v>74023</v>
      </c>
      <c r="N27" s="1374">
        <f>(((2*0.0254+0.004)^2*PI()/4)-(2*0.0254)^2*PI()/4)*7850*H27</f>
        <v>11.380592803543516</v>
      </c>
      <c r="O27" s="593" t="s">
        <v>7315</v>
      </c>
    </row>
    <row r="28" spans="1:15" ht="13.9" customHeight="1" x14ac:dyDescent="0.25">
      <c r="A28" s="1559" t="str">
        <f>'INSUMOS '!B8</f>
        <v>ÁNGULO METÁLICO DE 2"X2"X1/8" L=6M</v>
      </c>
      <c r="B28" s="1559"/>
      <c r="C28" s="1559"/>
      <c r="D28" s="1559"/>
      <c r="E28" s="1559"/>
      <c r="F28" s="1560"/>
      <c r="G28" s="29" t="s">
        <v>13</v>
      </c>
      <c r="H28" s="35">
        <f>0.15</f>
        <v>0.15</v>
      </c>
      <c r="I28" s="33">
        <f>+IFERROR(VLOOKUP(A28,'INSUMOS '!$B$2:$AP$167,'INSUMOS '!$AO$2+1,FALSE),0)</f>
        <v>16804.093333333331</v>
      </c>
      <c r="J28" s="33">
        <f t="shared" si="3"/>
        <v>2521</v>
      </c>
      <c r="N28" s="1374">
        <f>4*0.0254*(0.0254/8)*H28*7850</f>
        <v>0.37983794999999998</v>
      </c>
      <c r="O28" s="593" t="s">
        <v>156</v>
      </c>
    </row>
    <row r="29" spans="1:15" ht="13.9" customHeight="1" x14ac:dyDescent="0.25">
      <c r="A29" s="1558" t="s">
        <v>42</v>
      </c>
      <c r="B29" s="1559"/>
      <c r="C29" s="1559"/>
      <c r="D29" s="1559"/>
      <c r="E29" s="1559"/>
      <c r="F29" s="1560"/>
      <c r="G29" s="29" t="s">
        <v>266</v>
      </c>
      <c r="H29" s="35">
        <f>4</f>
        <v>4</v>
      </c>
      <c r="I29" s="33">
        <f>+IFERROR(VLOOKUP(A29,'INSUMOS '!$B$2:$AP$167,'INSUMOS '!$AO$2+1,FALSE),0)</f>
        <v>1747.5</v>
      </c>
      <c r="J29" s="33">
        <f t="shared" si="3"/>
        <v>6990</v>
      </c>
      <c r="N29" s="1374">
        <f>H29*0.3/4</f>
        <v>0.3</v>
      </c>
      <c r="O29" s="593" t="s">
        <v>42</v>
      </c>
    </row>
    <row r="30" spans="1:15" ht="13.9" customHeight="1" x14ac:dyDescent="0.25">
      <c r="A30" s="1641" t="s">
        <v>43</v>
      </c>
      <c r="B30" s="1641"/>
      <c r="C30" s="1641"/>
      <c r="D30" s="1641"/>
      <c r="E30" s="1641"/>
      <c r="F30" s="1642"/>
      <c r="G30" s="29" t="s">
        <v>266</v>
      </c>
      <c r="H30" s="35">
        <f>4</f>
        <v>4</v>
      </c>
      <c r="I30" s="33">
        <f>+IFERROR(VLOOKUP(A30,'INSUMOS '!$B$2:$AP$167,'INSUMOS '!$AO$2+1,FALSE),0)</f>
        <v>170</v>
      </c>
      <c r="J30" s="33">
        <f t="shared" si="3"/>
        <v>680</v>
      </c>
      <c r="N30" s="1374">
        <f>H30/4*0.1</f>
        <v>0.1</v>
      </c>
      <c r="O30" s="593" t="s">
        <v>43</v>
      </c>
    </row>
    <row r="31" spans="1:15" ht="13.9" customHeight="1" x14ac:dyDescent="0.25">
      <c r="A31" s="1745" t="s">
        <v>92</v>
      </c>
      <c r="B31" s="1745"/>
      <c r="C31" s="1745"/>
      <c r="D31" s="1745"/>
      <c r="E31" s="1745"/>
      <c r="F31" s="1746"/>
      <c r="G31" s="29" t="s">
        <v>266</v>
      </c>
      <c r="H31" s="35">
        <v>1</v>
      </c>
      <c r="I31" s="33">
        <f>+IFERROR(VLOOKUP(A31,'INSUMOS '!$B$2:$AP$167,'INSUMOS '!$AO$2+1,FALSE),0)</f>
        <v>2500</v>
      </c>
      <c r="J31" s="33">
        <f t="shared" si="3"/>
        <v>2500</v>
      </c>
      <c r="N31" s="1375">
        <f>H31*0.05</f>
        <v>0.05</v>
      </c>
      <c r="O31" s="593" t="s">
        <v>92</v>
      </c>
    </row>
    <row r="32" spans="1:15" ht="13.9" customHeight="1" x14ac:dyDescent="0.25">
      <c r="A32" s="1745" t="s">
        <v>89</v>
      </c>
      <c r="B32" s="1745"/>
      <c r="C32" s="1745"/>
      <c r="D32" s="1745"/>
      <c r="E32" s="1745"/>
      <c r="F32" s="1746"/>
      <c r="G32" s="29" t="s">
        <v>12</v>
      </c>
      <c r="H32" s="37">
        <f>+H25</f>
        <v>0.56000000000000005</v>
      </c>
      <c r="I32" s="33">
        <f>+IFERROR(VLOOKUP(A32,'INSUMOS '!$B$2:$AP$167,'INSUMOS '!$AO$2+1,FALSE),0)</f>
        <v>65174.538799999995</v>
      </c>
      <c r="J32" s="33">
        <f t="shared" si="3"/>
        <v>36498</v>
      </c>
      <c r="N32" s="1374">
        <f>H32/0.36*0.3</f>
        <v>0.46666666666666673</v>
      </c>
      <c r="O32" s="593" t="s">
        <v>89</v>
      </c>
    </row>
    <row r="33" spans="1:15" ht="13.9" customHeight="1" x14ac:dyDescent="0.25">
      <c r="A33" s="1745" t="s">
        <v>334</v>
      </c>
      <c r="B33" s="1745"/>
      <c r="C33" s="1745"/>
      <c r="D33" s="1745"/>
      <c r="E33" s="1745"/>
      <c r="F33" s="1746"/>
      <c r="G33" s="29" t="s">
        <v>6</v>
      </c>
      <c r="H33" s="37">
        <f>((0.0254*2+0.004)*PI()*H27+H25+8*0.0254*H28+3*0.0588^2*PI()/4)/3</f>
        <v>0.45032081446308009</v>
      </c>
      <c r="I33" s="33">
        <f>+IFERROR(VLOOKUP(A33,'INSUMOS '!$B$2:$AP$167,'INSUMOS '!$AO$2+1,FALSE),0)</f>
        <v>26664.5</v>
      </c>
      <c r="J33" s="33">
        <f t="shared" si="3"/>
        <v>12008</v>
      </c>
      <c r="N33" s="1374">
        <f>H33</f>
        <v>0.45032081446308009</v>
      </c>
      <c r="O33" s="593" t="s">
        <v>334</v>
      </c>
    </row>
    <row r="34" spans="1:15" ht="13.9" customHeight="1" x14ac:dyDescent="0.25">
      <c r="A34" s="1745" t="s">
        <v>45</v>
      </c>
      <c r="B34" s="1745"/>
      <c r="C34" s="1745"/>
      <c r="D34" s="1745"/>
      <c r="E34" s="1745"/>
      <c r="F34" s="1746"/>
      <c r="G34" s="29" t="s">
        <v>157</v>
      </c>
      <c r="H34" s="37">
        <f>H25/3.44*0.22</f>
        <v>3.5813953488372095E-2</v>
      </c>
      <c r="I34" s="33">
        <f>+IFERROR(VLOOKUP(A34,'INSUMOS '!$B$2:$AP$167,'INSUMOS '!$AO$2+1,FALSE),0)</f>
        <v>440873.77039999992</v>
      </c>
      <c r="J34" s="33">
        <f t="shared" si="3"/>
        <v>15789</v>
      </c>
      <c r="N34" s="1405">
        <f>H34*0.454</f>
        <v>1.6259534883720932E-2</v>
      </c>
      <c r="O34" s="593" t="s">
        <v>45</v>
      </c>
    </row>
    <row r="35" spans="1:15" ht="13.9" customHeight="1" x14ac:dyDescent="0.25">
      <c r="A35" s="1745" t="str">
        <f>'INSUMOS '!B28</f>
        <v>CONCRETO  HIDRAULICO 2500 PSI 17 MPA (175 KG/CM2)</v>
      </c>
      <c r="B35" s="1745"/>
      <c r="C35" s="1745"/>
      <c r="D35" s="1745"/>
      <c r="E35" s="1745"/>
      <c r="F35" s="1746"/>
      <c r="G35" s="29" t="s">
        <v>3</v>
      </c>
      <c r="H35" s="35">
        <f>+PI()*0.25*0.25/4*0.55</f>
        <v>2.6998061866787288E-2</v>
      </c>
      <c r="I35" s="33">
        <f>+IFERROR(VLOOKUP(A35,'INSUMOS '!$B$2:$AP$167,'INSUMOS '!$AO$2+1,FALSE),0)</f>
        <v>486142</v>
      </c>
      <c r="J35" s="33">
        <f t="shared" si="3"/>
        <v>13125</v>
      </c>
      <c r="N35" s="1374">
        <f>H35*2400</f>
        <v>64.795348480289491</v>
      </c>
      <c r="O35" s="593" t="s">
        <v>98</v>
      </c>
    </row>
    <row r="36" spans="1:15" ht="13.9" customHeight="1" x14ac:dyDescent="0.25">
      <c r="A36" s="1745" t="s">
        <v>87</v>
      </c>
      <c r="B36" s="1745"/>
      <c r="C36" s="1745"/>
      <c r="D36" s="1745"/>
      <c r="E36" s="1745"/>
      <c r="F36" s="1746"/>
      <c r="G36" s="29" t="s">
        <v>6</v>
      </c>
      <c r="H36" s="37">
        <f>0.005^2/2*(6*0.0588*PI())*7850</f>
        <v>0.10875722527829824</v>
      </c>
      <c r="I36" s="33">
        <f>+IFERROR(VLOOKUP(A36,'INSUMOS '!$B$2:$AP$167,'INSUMOS '!$AO$2+1,FALSE),0)</f>
        <v>19163.666666666668</v>
      </c>
      <c r="J36" s="33">
        <f t="shared" si="3"/>
        <v>2084</v>
      </c>
      <c r="N36" s="1374">
        <f>H36</f>
        <v>0.10875722527829824</v>
      </c>
      <c r="O36" s="593" t="s">
        <v>87</v>
      </c>
    </row>
    <row r="37" spans="1:15" ht="13.9" customHeight="1" x14ac:dyDescent="0.25">
      <c r="A37" s="1745" t="s">
        <v>26</v>
      </c>
      <c r="B37" s="1745"/>
      <c r="C37" s="1745"/>
      <c r="D37" s="1745"/>
      <c r="E37" s="1745"/>
      <c r="F37" s="1746"/>
      <c r="G37" s="29" t="s">
        <v>266</v>
      </c>
      <c r="H37" s="37">
        <v>0.01</v>
      </c>
      <c r="I37" s="33">
        <f>+IFERROR(VLOOKUP(A37,'INSUMOS '!$B$2:$AP$167,'INSUMOS '!$AO$2+1,FALSE),0)</f>
        <v>31741.5</v>
      </c>
      <c r="J37" s="33">
        <f t="shared" si="3"/>
        <v>317</v>
      </c>
      <c r="N37" s="1374">
        <f>H37*0.106</f>
        <v>1.06E-3</v>
      </c>
      <c r="O37" s="593" t="s">
        <v>26</v>
      </c>
    </row>
    <row r="38" spans="1:15" ht="13.9" customHeight="1" x14ac:dyDescent="0.25">
      <c r="A38" s="1558" t="str">
        <f>'INSUMOS '!B50</f>
        <v>LÁMINA GALVANIZADA C 16 E=1,50 mm</v>
      </c>
      <c r="B38" s="1559"/>
      <c r="C38" s="1559"/>
      <c r="D38" s="1559"/>
      <c r="E38" s="1559"/>
      <c r="F38" s="1560"/>
      <c r="G38" s="86" t="s">
        <v>12</v>
      </c>
      <c r="H38" s="606">
        <f>0.0588^2*PI()/4*3</f>
        <v>8.1464010781706203E-3</v>
      </c>
      <c r="I38" s="33">
        <f>+IFERROR(VLOOKUP(A38,'INSUMOS '!$B$2:$AP$167,'INSUMOS '!$AO$2+1,FALSE),0)</f>
        <v>85500.55</v>
      </c>
      <c r="J38" s="33">
        <f>ROUND(I38*H38,0)</f>
        <v>697</v>
      </c>
      <c r="N38" s="1374">
        <f>H38*0.0015*7850</f>
        <v>9.5923872695459059E-2</v>
      </c>
      <c r="O38" s="593" t="s">
        <v>106</v>
      </c>
    </row>
    <row r="39" spans="1:15" ht="13.9" customHeight="1" x14ac:dyDescent="0.25">
      <c r="A39" s="1747" t="s">
        <v>333</v>
      </c>
      <c r="B39" s="1747"/>
      <c r="C39" s="1747"/>
      <c r="D39" s="1747"/>
      <c r="E39" s="1747"/>
      <c r="F39" s="1748"/>
      <c r="G39" s="29"/>
      <c r="H39" s="74">
        <v>0.05</v>
      </c>
      <c r="I39" s="33">
        <f>+SUM(J25:J38)</f>
        <v>300976</v>
      </c>
      <c r="J39" s="33">
        <f>ROUND(I39*H39,0)</f>
        <v>15049</v>
      </c>
    </row>
    <row r="40" spans="1:15" ht="13.9" customHeight="1" x14ac:dyDescent="0.25">
      <c r="A40" s="20"/>
      <c r="B40" s="20"/>
      <c r="C40" s="20"/>
      <c r="D40" s="20"/>
      <c r="E40" s="20"/>
      <c r="G40" s="20"/>
      <c r="H40" s="20"/>
      <c r="I40" s="30" t="s">
        <v>257</v>
      </c>
      <c r="J40" s="34">
        <f>+SUM(J25:J39)</f>
        <v>316025</v>
      </c>
      <c r="N40" s="1401">
        <f>SUM(N25:N38)</f>
        <v>85.049878458931346</v>
      </c>
    </row>
    <row r="41" spans="1:15" ht="13.9" customHeight="1" x14ac:dyDescent="0.25">
      <c r="N41" s="1404">
        <f>N40-N35</f>
        <v>20.254529978641855</v>
      </c>
    </row>
    <row r="42" spans="1:15" ht="13.9" customHeight="1" x14ac:dyDescent="0.25">
      <c r="A42" s="1561" t="s">
        <v>267</v>
      </c>
      <c r="B42" s="1561"/>
      <c r="C42" s="1561"/>
      <c r="D42" s="1561"/>
      <c r="E42" s="1561"/>
      <c r="F42" s="1561"/>
      <c r="G42" s="1561"/>
      <c r="H42" s="1561"/>
      <c r="I42" s="27"/>
    </row>
    <row r="43" spans="1:15" ht="13.9" customHeight="1" x14ac:dyDescent="0.25">
      <c r="A43" s="1562" t="s">
        <v>268</v>
      </c>
      <c r="B43" s="1563"/>
      <c r="C43" s="1563"/>
      <c r="D43" s="1563"/>
      <c r="E43" s="1563"/>
      <c r="F43" s="1564"/>
      <c r="G43" s="38" t="s">
        <v>255</v>
      </c>
      <c r="H43" s="28" t="s">
        <v>269</v>
      </c>
      <c r="I43" s="28" t="s">
        <v>256</v>
      </c>
      <c r="J43" s="28" t="s">
        <v>257</v>
      </c>
    </row>
    <row r="44" spans="1:15" ht="13.9" customHeight="1" x14ac:dyDescent="0.25">
      <c r="A44" s="1558" t="str">
        <f>+'EQUIPOS '!B6</f>
        <v>CAMION INCLUYE CONDUCTOR</v>
      </c>
      <c r="B44" s="1559"/>
      <c r="C44" s="1559"/>
      <c r="D44" s="1559"/>
      <c r="E44" s="1559"/>
      <c r="F44" s="1560"/>
      <c r="G44" s="1403">
        <f>(N40/1000)/12</f>
        <v>7.0874898715776119E-3</v>
      </c>
      <c r="H44" s="33">
        <f>+IFERROR(VLOOKUP(A44,'EQUIPOS '!$B$3:$M$78,12,FALSE),0)</f>
        <v>611492.5</v>
      </c>
      <c r="I44" s="33">
        <f>IFERROR(H44*G44,0)</f>
        <v>4333.946900295673</v>
      </c>
      <c r="J44" s="33">
        <f>ROUND(I44,0)</f>
        <v>4334</v>
      </c>
    </row>
    <row r="45" spans="1:15" ht="13.9" customHeight="1" x14ac:dyDescent="0.25">
      <c r="A45" s="1558"/>
      <c r="B45" s="1559"/>
      <c r="C45" s="1559"/>
      <c r="D45" s="1559"/>
      <c r="E45" s="1559"/>
      <c r="F45" s="1560"/>
      <c r="G45" s="29"/>
      <c r="H45" s="33"/>
      <c r="I45" s="33"/>
      <c r="J45" s="33"/>
      <c r="N45" s="39"/>
    </row>
    <row r="46" spans="1:15" ht="13.9" customHeight="1" x14ac:dyDescent="0.25">
      <c r="A46" s="1558"/>
      <c r="B46" s="1559"/>
      <c r="C46" s="1559"/>
      <c r="D46" s="1559"/>
      <c r="E46" s="1559"/>
      <c r="F46" s="1560"/>
      <c r="G46" s="29"/>
      <c r="H46" s="33"/>
      <c r="I46" s="33"/>
      <c r="J46" s="33"/>
      <c r="N46" s="39"/>
    </row>
    <row r="47" spans="1:15" ht="13.9" customHeight="1" x14ac:dyDescent="0.25">
      <c r="G47" s="39"/>
      <c r="H47" s="39"/>
      <c r="I47" s="30" t="s">
        <v>257</v>
      </c>
      <c r="J47" s="33">
        <f>+SUM(J44:J46)</f>
        <v>4334</v>
      </c>
      <c r="N47" s="39"/>
    </row>
    <row r="48" spans="1:15" ht="13.9" customHeight="1" x14ac:dyDescent="0.25">
      <c r="N48" s="39"/>
    </row>
    <row r="49" spans="1:10" ht="13.9" customHeight="1" x14ac:dyDescent="0.25">
      <c r="A49" s="1561" t="s">
        <v>270</v>
      </c>
      <c r="B49" s="1561"/>
      <c r="C49" s="1561"/>
      <c r="D49" s="1561"/>
      <c r="E49" s="1561"/>
      <c r="F49" s="1561"/>
      <c r="G49" s="1561"/>
      <c r="H49" s="1561"/>
      <c r="I49" s="27"/>
    </row>
    <row r="50" spans="1:10" s="39" customFormat="1" ht="13.9" customHeight="1" x14ac:dyDescent="0.25">
      <c r="A50" s="1562" t="s">
        <v>271</v>
      </c>
      <c r="B50" s="1563"/>
      <c r="C50" s="1563"/>
      <c r="D50" s="1564"/>
      <c r="E50" s="28" t="s">
        <v>272</v>
      </c>
      <c r="F50" s="28" t="s">
        <v>264</v>
      </c>
      <c r="G50" s="28" t="s">
        <v>273</v>
      </c>
      <c r="H50" s="28" t="s">
        <v>255</v>
      </c>
      <c r="I50" s="28" t="s">
        <v>256</v>
      </c>
      <c r="J50" s="28" t="s">
        <v>257</v>
      </c>
    </row>
    <row r="51" spans="1:10" s="39" customFormat="1" ht="13.9" customHeight="1" x14ac:dyDescent="0.25">
      <c r="A51" s="1571" t="str">
        <f>+PERSONAL!B40</f>
        <v xml:space="preserve">SOLDADOR </v>
      </c>
      <c r="B51" s="1572"/>
      <c r="C51" s="1572"/>
      <c r="D51" s="1573"/>
      <c r="E51" s="609">
        <f>+IFERROR(VLOOKUP(A51,PERSONAL!$B$3:$E$56,4,FALSE),0)</f>
        <v>110344</v>
      </c>
      <c r="F51" s="601">
        <v>1</v>
      </c>
      <c r="G51" s="609">
        <f t="shared" ref="G51:G56" si="4">+E51*F51</f>
        <v>110344</v>
      </c>
      <c r="H51" s="54">
        <v>60</v>
      </c>
      <c r="I51" s="55">
        <f t="shared" ref="I51:I56" si="5">IFERROR(ROUND(G51/H51,0),0)</f>
        <v>1839</v>
      </c>
      <c r="J51" s="55">
        <f t="shared" ref="J51:J56" si="6">+I51</f>
        <v>1839</v>
      </c>
    </row>
    <row r="52" spans="1:10" s="39" customFormat="1" ht="13.9" customHeight="1" x14ac:dyDescent="0.25">
      <c r="A52" s="1571" t="str">
        <f>+PERSONAL!B27</f>
        <v xml:space="preserve">PINTOR </v>
      </c>
      <c r="B52" s="1572"/>
      <c r="C52" s="1572"/>
      <c r="D52" s="1573"/>
      <c r="E52" s="609">
        <f>+IFERROR(VLOOKUP(A52,PERSONAL!$B$3:$E$56,4,FALSE),0)</f>
        <v>100054</v>
      </c>
      <c r="F52" s="601">
        <v>1</v>
      </c>
      <c r="G52" s="609">
        <f t="shared" si="4"/>
        <v>100054</v>
      </c>
      <c r="H52" s="54">
        <f>H51</f>
        <v>60</v>
      </c>
      <c r="I52" s="55">
        <f t="shared" si="5"/>
        <v>1668</v>
      </c>
      <c r="J52" s="55">
        <f t="shared" si="6"/>
        <v>1668</v>
      </c>
    </row>
    <row r="53" spans="1:10" s="39" customFormat="1" ht="13.9" customHeight="1" x14ac:dyDescent="0.25">
      <c r="A53" s="1571" t="str">
        <f>+PERSONAL!B7</f>
        <v>COLAMINADOR</v>
      </c>
      <c r="B53" s="1572"/>
      <c r="C53" s="1572"/>
      <c r="D53" s="1573"/>
      <c r="E53" s="609">
        <f>+IFERROR(VLOOKUP(A53,PERSONAL!$B$3:$E$56,4,FALSE),0)</f>
        <v>91275</v>
      </c>
      <c r="F53" s="601">
        <v>1</v>
      </c>
      <c r="G53" s="609">
        <f t="shared" si="4"/>
        <v>91275</v>
      </c>
      <c r="H53" s="54">
        <f>H52</f>
        <v>60</v>
      </c>
      <c r="I53" s="55">
        <f t="shared" si="5"/>
        <v>1521</v>
      </c>
      <c r="J53" s="55">
        <f t="shared" si="6"/>
        <v>1521</v>
      </c>
    </row>
    <row r="54" spans="1:10" s="39" customFormat="1" ht="13.9" customHeight="1" x14ac:dyDescent="0.25">
      <c r="A54" s="1739" t="str">
        <f>+PERSONAL!B18</f>
        <v>JEFE DE CUADRILLA DIURNO</v>
      </c>
      <c r="B54" s="1740"/>
      <c r="C54" s="1740"/>
      <c r="D54" s="1741"/>
      <c r="E54" s="1415">
        <f>+IFERROR(VLOOKUP(A54,PERSONAL!$B$3:$E$56,4,FALSE),0)</f>
        <v>166031</v>
      </c>
      <c r="F54" s="1416">
        <v>1</v>
      </c>
      <c r="G54" s="1415">
        <f t="shared" si="4"/>
        <v>166031</v>
      </c>
      <c r="H54" s="1081">
        <v>48</v>
      </c>
      <c r="I54" s="1004">
        <f t="shared" si="5"/>
        <v>3459</v>
      </c>
      <c r="J54" s="1004">
        <f t="shared" si="6"/>
        <v>3459</v>
      </c>
    </row>
    <row r="55" spans="1:10" s="39" customFormat="1" ht="13.9" customHeight="1" x14ac:dyDescent="0.25">
      <c r="A55" s="1739" t="str">
        <f>+PERSONAL!B3</f>
        <v>AUXILIAR DE TRÁFICO</v>
      </c>
      <c r="B55" s="1740"/>
      <c r="C55" s="1740"/>
      <c r="D55" s="1741"/>
      <c r="E55" s="1415">
        <f>+IFERROR(VLOOKUP(A55,PERSONAL!$B$3:$E$56,4,FALSE),0)</f>
        <v>89632</v>
      </c>
      <c r="F55" s="1416">
        <v>1</v>
      </c>
      <c r="G55" s="1415">
        <f t="shared" si="4"/>
        <v>89632</v>
      </c>
      <c r="H55" s="1081">
        <v>48</v>
      </c>
      <c r="I55" s="1004">
        <f t="shared" si="5"/>
        <v>1867</v>
      </c>
      <c r="J55" s="1004">
        <f t="shared" si="6"/>
        <v>1867</v>
      </c>
    </row>
    <row r="56" spans="1:10" s="39" customFormat="1" ht="13.9" customHeight="1" x14ac:dyDescent="0.25">
      <c r="A56" s="1739" t="str">
        <f>+PERSONAL!B5</f>
        <v xml:space="preserve">AYUDANTE </v>
      </c>
      <c r="B56" s="1740"/>
      <c r="C56" s="1740"/>
      <c r="D56" s="1741"/>
      <c r="E56" s="1415">
        <f>+IFERROR(VLOOKUP(A56,PERSONAL!$B$3:$E$56,4,FALSE),0)</f>
        <v>72476</v>
      </c>
      <c r="F56" s="1416">
        <v>4</v>
      </c>
      <c r="G56" s="1415">
        <f t="shared" si="4"/>
        <v>289904</v>
      </c>
      <c r="H56" s="1081">
        <v>48</v>
      </c>
      <c r="I56" s="1004">
        <f t="shared" si="5"/>
        <v>6040</v>
      </c>
      <c r="J56" s="1004">
        <f t="shared" si="6"/>
        <v>6040</v>
      </c>
    </row>
    <row r="57" spans="1:10" s="39" customFormat="1" ht="13.9" customHeight="1" x14ac:dyDescent="0.25">
      <c r="A57" s="1558"/>
      <c r="B57" s="1559"/>
      <c r="C57" s="1559"/>
      <c r="D57" s="1560"/>
      <c r="E57" s="40"/>
      <c r="F57" s="30"/>
      <c r="G57" s="40"/>
      <c r="H57" s="35"/>
      <c r="I57" s="33"/>
      <c r="J57" s="33"/>
    </row>
    <row r="58" spans="1:10" s="39" customFormat="1" ht="13.9" customHeight="1" x14ac:dyDescent="0.25">
      <c r="A58" s="1558"/>
      <c r="B58" s="1559"/>
      <c r="C58" s="1559"/>
      <c r="D58" s="1560"/>
      <c r="E58" s="40"/>
      <c r="F58" s="30"/>
      <c r="G58" s="40"/>
      <c r="H58" s="35"/>
      <c r="I58" s="33"/>
      <c r="J58" s="33"/>
    </row>
    <row r="59" spans="1:10" s="39" customFormat="1" ht="13.9" customHeight="1" x14ac:dyDescent="0.25">
      <c r="A59" s="1558"/>
      <c r="B59" s="1559"/>
      <c r="C59" s="1559"/>
      <c r="D59" s="1560"/>
      <c r="E59" s="40"/>
      <c r="F59" s="30"/>
      <c r="G59" s="40"/>
      <c r="H59" s="35"/>
      <c r="I59" s="33"/>
      <c r="J59" s="33"/>
    </row>
    <row r="60" spans="1:10" s="39" customFormat="1" ht="13.9" customHeight="1" x14ac:dyDescent="0.25">
      <c r="A60" s="1558"/>
      <c r="B60" s="1559"/>
      <c r="C60" s="1559"/>
      <c r="D60" s="1560"/>
      <c r="E60" s="40"/>
      <c r="F60" s="30"/>
      <c r="G60" s="40"/>
      <c r="H60" s="35"/>
      <c r="I60" s="33"/>
      <c r="J60" s="33"/>
    </row>
    <row r="61" spans="1:10" ht="13.9" customHeight="1" x14ac:dyDescent="0.25">
      <c r="A61" s="20"/>
      <c r="B61" s="20"/>
      <c r="C61" s="20"/>
      <c r="E61" s="20"/>
      <c r="F61" s="20"/>
      <c r="G61" s="20"/>
      <c r="H61" s="20"/>
      <c r="I61" s="30" t="s">
        <v>257</v>
      </c>
      <c r="J61" s="34">
        <f>+SUM(J51:J60)</f>
        <v>16394</v>
      </c>
    </row>
    <row r="62" spans="1:10" ht="13.9" customHeight="1" x14ac:dyDescent="0.25"/>
    <row r="63" spans="1:10" ht="13.9" customHeight="1" x14ac:dyDescent="0.25">
      <c r="E63" s="41" t="s">
        <v>276</v>
      </c>
      <c r="I63" s="42">
        <f>+J61+J47+J40+J21</f>
        <v>347168</v>
      </c>
      <c r="J63" s="43"/>
    </row>
    <row r="64" spans="1:10" ht="13.9" customHeight="1" x14ac:dyDescent="0.25"/>
    <row r="65" ht="14.1" customHeight="1" x14ac:dyDescent="0.25"/>
  </sheetData>
  <mergeCells count="48">
    <mergeCell ref="A14:D14"/>
    <mergeCell ref="A1:J1"/>
    <mergeCell ref="A2:J2"/>
    <mergeCell ref="A4:J4"/>
    <mergeCell ref="A6:B6"/>
    <mergeCell ref="A7:B7"/>
    <mergeCell ref="C7:J7"/>
    <mergeCell ref="A9:H9"/>
    <mergeCell ref="A10:D10"/>
    <mergeCell ref="A11:D11"/>
    <mergeCell ref="A12:D12"/>
    <mergeCell ref="A13:D13"/>
    <mergeCell ref="A15:D15"/>
    <mergeCell ref="A16:D16"/>
    <mergeCell ref="A23:H23"/>
    <mergeCell ref="A24:F24"/>
    <mergeCell ref="A52:D52"/>
    <mergeCell ref="A42:H42"/>
    <mergeCell ref="A43:F43"/>
    <mergeCell ref="A44:F44"/>
    <mergeCell ref="A45:F45"/>
    <mergeCell ref="A46:F46"/>
    <mergeCell ref="A49:H49"/>
    <mergeCell ref="A50:D50"/>
    <mergeCell ref="A51:D51"/>
    <mergeCell ref="A25:F25"/>
    <mergeCell ref="A26:F26"/>
    <mergeCell ref="A27:F27"/>
    <mergeCell ref="A60:D60"/>
    <mergeCell ref="A53:D53"/>
    <mergeCell ref="A54:D54"/>
    <mergeCell ref="A55:D55"/>
    <mergeCell ref="A56:D56"/>
    <mergeCell ref="A57:D57"/>
    <mergeCell ref="A58:D58"/>
    <mergeCell ref="A28:F28"/>
    <mergeCell ref="A29:F29"/>
    <mergeCell ref="A30:F30"/>
    <mergeCell ref="A31:F31"/>
    <mergeCell ref="A59:D59"/>
    <mergeCell ref="A37:F37"/>
    <mergeCell ref="A38:F38"/>
    <mergeCell ref="A39:F39"/>
    <mergeCell ref="A32:F32"/>
    <mergeCell ref="A33:F33"/>
    <mergeCell ref="A34:F34"/>
    <mergeCell ref="A35:F35"/>
    <mergeCell ref="A36:F36"/>
  </mergeCells>
  <pageMargins left="0.70866141732283472" right="0.70866141732283472" top="0.78740157480314965" bottom="0.78740157480314965" header="0.31496062992125984" footer="0.31496062992125984"/>
  <pageSetup scale="85" orientation="portrait" r:id="rId1"/>
  <drawing r:id="rId2"/>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B00-000000000000}">
  <sheetPr codeName="Hoja13">
    <tabColor rgb="FF00B050"/>
  </sheetPr>
  <dimension ref="A1:O64"/>
  <sheetViews>
    <sheetView topLeftCell="A40" workbookViewId="0">
      <selection activeCell="G45" sqref="G45"/>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3" width="11.42578125" style="592"/>
    <col min="14" max="14" width="0" style="592" hidden="1" customWidth="1"/>
    <col min="15" max="15" width="11.85546875" style="592" hidden="1" customWidth="1"/>
    <col min="16" max="16384" width="11.42578125" style="592"/>
  </cols>
  <sheetData>
    <row r="1" spans="1:10" ht="29.25" customHeight="1" x14ac:dyDescent="0.25">
      <c r="A1" s="1680" t="s">
        <v>244</v>
      </c>
      <c r="B1" s="1681"/>
      <c r="C1" s="1681"/>
      <c r="D1" s="1681"/>
      <c r="E1" s="1681"/>
      <c r="F1" s="1681"/>
      <c r="G1" s="1681"/>
      <c r="H1" s="1681"/>
      <c r="I1" s="1681"/>
      <c r="J1" s="1681"/>
    </row>
    <row r="2" spans="1:10" ht="15" customHeight="1" x14ac:dyDescent="0.25">
      <c r="A2" s="1682" t="s">
        <v>245</v>
      </c>
      <c r="B2" s="1682"/>
      <c r="C2" s="1682"/>
      <c r="D2" s="1682"/>
      <c r="E2" s="1682"/>
      <c r="F2" s="1682"/>
      <c r="G2" s="1682"/>
      <c r="H2" s="1682"/>
      <c r="I2" s="1682"/>
      <c r="J2" s="1682"/>
    </row>
    <row r="4" spans="1:10" s="593" customFormat="1" ht="9.9499999999999993" customHeight="1" x14ac:dyDescent="0.25">
      <c r="A4" s="1683" t="s">
        <v>246</v>
      </c>
      <c r="B4" s="1683"/>
      <c r="C4" s="1683"/>
      <c r="D4" s="1683"/>
      <c r="E4" s="1683"/>
      <c r="F4" s="1683"/>
      <c r="G4" s="1683"/>
      <c r="H4" s="1683"/>
      <c r="I4" s="1683"/>
      <c r="J4" s="1683"/>
    </row>
    <row r="5" spans="1:10" s="593" customFormat="1" ht="9.9499999999999993" customHeight="1" x14ac:dyDescent="0.25">
      <c r="B5" s="594"/>
      <c r="C5" s="594"/>
      <c r="D5" s="594"/>
      <c r="E5" s="594"/>
      <c r="F5" s="594"/>
      <c r="G5" s="594"/>
    </row>
    <row r="6" spans="1:10" x14ac:dyDescent="0.25">
      <c r="A6" s="1571" t="s">
        <v>247</v>
      </c>
      <c r="B6" s="1573"/>
      <c r="C6" s="595">
        <v>9</v>
      </c>
      <c r="D6" s="596"/>
      <c r="E6" s="596"/>
      <c r="F6" s="596"/>
      <c r="G6" s="596"/>
      <c r="H6" s="597"/>
      <c r="I6" s="598" t="s">
        <v>248</v>
      </c>
      <c r="J6" s="599" t="str">
        <f>+VLOOKUP(C6,'ANEXO PLIEGO_1'!$A$7:$C$133,3,FALSE)</f>
        <v>UN</v>
      </c>
    </row>
    <row r="7" spans="1:10" ht="35.1" customHeight="1" x14ac:dyDescent="0.25">
      <c r="A7" s="1637" t="s">
        <v>249</v>
      </c>
      <c r="B7" s="1639"/>
      <c r="C7" s="1684" t="str">
        <f>+VLOOKUP(C6,'ANEXO PLIEGO_1'!$A$7:$B$103,2,FALSE)</f>
        <v>Fabricación, suministro e instalación de Señal SP-47 B, material reflectivo Tipo XI amarillo/verde fluorescente, película antigraffiti, en lámina  galvanizada C-16 E=1,5 mm, pedestal  de sección circular con diámetro interior de 2" y e=2 mm. cumpliendo con normatividad vigente.</v>
      </c>
      <c r="D7" s="1685"/>
      <c r="E7" s="1685"/>
      <c r="F7" s="1685"/>
      <c r="G7" s="1685"/>
      <c r="H7" s="1685"/>
      <c r="I7" s="1685"/>
      <c r="J7" s="1686"/>
    </row>
    <row r="9" spans="1:10" s="390" customFormat="1" ht="12.75" x14ac:dyDescent="0.25">
      <c r="A9" s="1673" t="s">
        <v>250</v>
      </c>
      <c r="B9" s="1673"/>
      <c r="C9" s="1673"/>
      <c r="D9" s="1673"/>
      <c r="E9" s="1673"/>
      <c r="F9" s="1673"/>
      <c r="G9" s="1673"/>
      <c r="H9" s="1673"/>
    </row>
    <row r="10" spans="1:10" s="593" customFormat="1" ht="13.9" customHeight="1" x14ac:dyDescent="0.25">
      <c r="A10" s="1674" t="s">
        <v>251</v>
      </c>
      <c r="B10" s="1675"/>
      <c r="C10" s="1675"/>
      <c r="D10" s="1676"/>
      <c r="E10" s="600" t="s">
        <v>252</v>
      </c>
      <c r="F10" s="600" t="s">
        <v>253</v>
      </c>
      <c r="G10" s="600" t="s">
        <v>254</v>
      </c>
      <c r="H10" s="600" t="s">
        <v>255</v>
      </c>
      <c r="I10" s="600" t="s">
        <v>256</v>
      </c>
      <c r="J10" s="600" t="s">
        <v>257</v>
      </c>
    </row>
    <row r="11" spans="1:10" s="593" customFormat="1" ht="13.9" customHeight="1" x14ac:dyDescent="0.25">
      <c r="A11" s="1571" t="str">
        <f>+'EQUIPOS '!B45</f>
        <v>TRONZADORA</v>
      </c>
      <c r="B11" s="1572"/>
      <c r="C11" s="1572"/>
      <c r="D11" s="1573"/>
      <c r="E11" s="53" t="s">
        <v>202</v>
      </c>
      <c r="F11" s="601"/>
      <c r="G11" s="602">
        <f>+IFERROR(VLOOKUP(A11,'EQUIPOS '!$B$3:$M$56,12,FALSE),0)</f>
        <v>3779.5</v>
      </c>
      <c r="H11" s="601">
        <v>1.5</v>
      </c>
      <c r="I11" s="55">
        <f>IFERROR((G11/H11),0)</f>
        <v>2519.6666666666665</v>
      </c>
      <c r="J11" s="55">
        <f>ROUND(I11,0)</f>
        <v>2520</v>
      </c>
    </row>
    <row r="12" spans="1:10" s="593" customFormat="1" ht="13.9" customHeight="1" x14ac:dyDescent="0.25">
      <c r="A12" s="1571" t="str">
        <f>+'EQUIPOS '!B7</f>
        <v xml:space="preserve">CIZALLA DE CORTE VERTICAL </v>
      </c>
      <c r="B12" s="1572"/>
      <c r="C12" s="1572"/>
      <c r="D12" s="1573"/>
      <c r="E12" s="53" t="str">
        <f>+$E$11</f>
        <v>HR</v>
      </c>
      <c r="F12" s="601"/>
      <c r="G12" s="602">
        <f>+IFERROR(VLOOKUP(A12,'EQUIPOS '!$B$3:$M$56,12,FALSE),0)</f>
        <v>5174.01</v>
      </c>
      <c r="H12" s="601">
        <f>+H11</f>
        <v>1.5</v>
      </c>
      <c r="I12" s="55">
        <f t="shared" ref="I12:I19" si="0">IFERROR((G12/H12),0)</f>
        <v>3449.34</v>
      </c>
      <c r="J12" s="55">
        <f t="shared" ref="J12:J20" si="1">ROUND(I12,0)</f>
        <v>3449</v>
      </c>
    </row>
    <row r="13" spans="1:10" s="593" customFormat="1" ht="13.9" customHeight="1" x14ac:dyDescent="0.25">
      <c r="A13" s="1571" t="str">
        <f>+'EQUIPOS '!B24</f>
        <v>EQUIPO PINTURA ELECTROSTÁTICA</v>
      </c>
      <c r="B13" s="1572"/>
      <c r="C13" s="1572"/>
      <c r="D13" s="1573"/>
      <c r="E13" s="53" t="str">
        <f>+$E$11</f>
        <v>HR</v>
      </c>
      <c r="F13" s="601"/>
      <c r="G13" s="602">
        <f>+IFERROR(VLOOKUP(A13,'EQUIPOS '!$B$3:$M$56,12,FALSE),0)</f>
        <v>4047.59</v>
      </c>
      <c r="H13" s="601">
        <f t="shared" ref="H13:H19" si="2">+H12</f>
        <v>1.5</v>
      </c>
      <c r="I13" s="55">
        <f>IFERROR((G13/H13),0)</f>
        <v>2698.3933333333334</v>
      </c>
      <c r="J13" s="55">
        <f t="shared" si="1"/>
        <v>2698</v>
      </c>
    </row>
    <row r="14" spans="1:10" s="593" customFormat="1" ht="13.9" customHeight="1" x14ac:dyDescent="0.25">
      <c r="A14" s="1571" t="str">
        <f>+'EQUIPOS '!B43</f>
        <v>TALADRO DE ARBOL</v>
      </c>
      <c r="B14" s="1572"/>
      <c r="C14" s="1572"/>
      <c r="D14" s="1573"/>
      <c r="E14" s="53" t="str">
        <f>+$E$11</f>
        <v>HR</v>
      </c>
      <c r="F14" s="601"/>
      <c r="G14" s="602">
        <f>+IFERROR(VLOOKUP(A14,'EQUIPOS '!$B$3:$M$56,12,FALSE),0)</f>
        <v>4898</v>
      </c>
      <c r="H14" s="601">
        <f t="shared" si="2"/>
        <v>1.5</v>
      </c>
      <c r="I14" s="55">
        <f t="shared" si="0"/>
        <v>3265.3333333333335</v>
      </c>
      <c r="J14" s="55">
        <f t="shared" si="1"/>
        <v>3265</v>
      </c>
    </row>
    <row r="15" spans="1:10" s="593" customFormat="1" ht="13.9" customHeight="1" x14ac:dyDescent="0.25">
      <c r="A15" s="1571" t="str">
        <f>+'EQUIPOS '!B27</f>
        <v xml:space="preserve">EQUIPO SOLDADURA ELECTRICA </v>
      </c>
      <c r="B15" s="1572"/>
      <c r="C15" s="1572"/>
      <c r="D15" s="1573"/>
      <c r="E15" s="53" t="s">
        <v>202</v>
      </c>
      <c r="F15" s="601"/>
      <c r="G15" s="602">
        <f>+IFERROR(VLOOKUP(A15,'EQUIPOS '!$B$3:$M$56,12,FALSE),0)</f>
        <v>4862.5</v>
      </c>
      <c r="H15" s="601">
        <f t="shared" si="2"/>
        <v>1.5</v>
      </c>
      <c r="I15" s="55">
        <f t="shared" si="0"/>
        <v>3241.6666666666665</v>
      </c>
      <c r="J15" s="55">
        <f t="shared" si="1"/>
        <v>3242</v>
      </c>
    </row>
    <row r="16" spans="1:10" s="593" customFormat="1" ht="13.9" customHeight="1" x14ac:dyDescent="0.25">
      <c r="A16" s="1571" t="str">
        <f>+'EQUIPOS '!B25</f>
        <v>EQUIPO  COLAMINADO</v>
      </c>
      <c r="B16" s="1572"/>
      <c r="C16" s="1572"/>
      <c r="D16" s="1573"/>
      <c r="E16" s="53" t="str">
        <f>+$E$11</f>
        <v>HR</v>
      </c>
      <c r="F16" s="601"/>
      <c r="G16" s="602">
        <f>+IFERROR(VLOOKUP(A16,'EQUIPOS '!$B$3:$M$56,12,FALSE),0)</f>
        <v>4701.8100000000004</v>
      </c>
      <c r="H16" s="601">
        <f t="shared" si="2"/>
        <v>1.5</v>
      </c>
      <c r="I16" s="55">
        <f t="shared" si="0"/>
        <v>3134.5400000000004</v>
      </c>
      <c r="J16" s="55">
        <f t="shared" si="1"/>
        <v>3135</v>
      </c>
    </row>
    <row r="17" spans="1:15" s="593" customFormat="1" ht="13.9" customHeight="1" x14ac:dyDescent="0.25">
      <c r="A17" s="1571" t="str">
        <f>+'EQUIPOS '!B9</f>
        <v>COMPRESOR</v>
      </c>
      <c r="B17" s="1572"/>
      <c r="C17" s="1572"/>
      <c r="D17" s="1573"/>
      <c r="E17" s="53" t="str">
        <f>+$E$11</f>
        <v>HR</v>
      </c>
      <c r="F17" s="601"/>
      <c r="G17" s="602">
        <f>+IFERROR(VLOOKUP(A17,'EQUIPOS '!$B$3:$M$56,12,FALSE),0)</f>
        <v>7999.94</v>
      </c>
      <c r="H17" s="601">
        <f t="shared" si="2"/>
        <v>1.5</v>
      </c>
      <c r="I17" s="55">
        <f t="shared" si="0"/>
        <v>5333.2933333333331</v>
      </c>
      <c r="J17" s="55">
        <f t="shared" si="1"/>
        <v>5333</v>
      </c>
    </row>
    <row r="18" spans="1:15" s="593" customFormat="1" ht="13.9" customHeight="1" x14ac:dyDescent="0.25">
      <c r="A18" s="1571" t="str">
        <f>+'EQUIPOS '!B51</f>
        <v xml:space="preserve">IMPRESORA DIGITAL PARA SEÑALES DE TRÁNSITO </v>
      </c>
      <c r="B18" s="1572"/>
      <c r="C18" s="1572"/>
      <c r="D18" s="1573"/>
      <c r="E18" s="53" t="str">
        <f>+$E$11</f>
        <v>HR</v>
      </c>
      <c r="F18" s="601"/>
      <c r="G18" s="602">
        <f>+IFERROR(VLOOKUP(A18,'EQUIPOS '!$B$3:$M$56,12,FALSE),0)</f>
        <v>64227.08</v>
      </c>
      <c r="H18" s="601">
        <f t="shared" si="2"/>
        <v>1.5</v>
      </c>
      <c r="I18" s="55">
        <f t="shared" si="0"/>
        <v>42818.053333333337</v>
      </c>
      <c r="J18" s="55">
        <f t="shared" si="1"/>
        <v>42818</v>
      </c>
    </row>
    <row r="19" spans="1:15" s="593" customFormat="1" ht="13.9" customHeight="1" x14ac:dyDescent="0.25">
      <c r="A19" s="1571" t="str">
        <f>+'EQUIPOS '!B39</f>
        <v xml:space="preserve">PULIDORA </v>
      </c>
      <c r="B19" s="1572"/>
      <c r="C19" s="1572"/>
      <c r="D19" s="1573"/>
      <c r="E19" s="53" t="s">
        <v>202</v>
      </c>
      <c r="F19" s="601"/>
      <c r="G19" s="602">
        <f>+IFERROR(VLOOKUP(A19,'EQUIPOS '!$B$3:$M$56,12,FALSE),0)</f>
        <v>2821</v>
      </c>
      <c r="H19" s="601">
        <f t="shared" si="2"/>
        <v>1.5</v>
      </c>
      <c r="I19" s="55">
        <f t="shared" si="0"/>
        <v>1880.6666666666667</v>
      </c>
      <c r="J19" s="55">
        <f t="shared" si="1"/>
        <v>1881</v>
      </c>
    </row>
    <row r="20" spans="1:15" s="593" customFormat="1" ht="13.9" customHeight="1" x14ac:dyDescent="0.25">
      <c r="A20" s="1571" t="s">
        <v>151</v>
      </c>
      <c r="B20" s="1572"/>
      <c r="C20" s="1572"/>
      <c r="D20" s="1573"/>
      <c r="E20" s="53" t="s">
        <v>259</v>
      </c>
      <c r="F20" s="601"/>
      <c r="G20" s="657">
        <v>0.01</v>
      </c>
      <c r="H20" s="601"/>
      <c r="I20" s="55">
        <f>+G20*J61</f>
        <v>706.03</v>
      </c>
      <c r="J20" s="55">
        <f t="shared" si="1"/>
        <v>706</v>
      </c>
    </row>
    <row r="21" spans="1:15" s="593" customFormat="1" ht="13.9" customHeight="1" x14ac:dyDescent="0.25">
      <c r="I21" s="601" t="s">
        <v>257</v>
      </c>
      <c r="J21" s="605">
        <f>+SUM(J11:J20)</f>
        <v>69047</v>
      </c>
      <c r="M21" s="592"/>
    </row>
    <row r="22" spans="1:15" s="593" customFormat="1" ht="13.9" customHeight="1" x14ac:dyDescent="0.25">
      <c r="M22" s="592"/>
    </row>
    <row r="23" spans="1:15" s="593" customFormat="1" ht="13.9" customHeight="1" x14ac:dyDescent="0.25">
      <c r="A23" s="1673" t="s">
        <v>263</v>
      </c>
      <c r="B23" s="1673"/>
      <c r="C23" s="1673"/>
      <c r="D23" s="1673"/>
      <c r="E23" s="1673"/>
      <c r="F23" s="1673"/>
      <c r="G23" s="1673"/>
      <c r="H23" s="1673"/>
      <c r="I23" s="390"/>
      <c r="M23" s="592"/>
    </row>
    <row r="24" spans="1:15" ht="13.9" customHeight="1" x14ac:dyDescent="0.25">
      <c r="A24" s="1677" t="s">
        <v>251</v>
      </c>
      <c r="B24" s="1678"/>
      <c r="C24" s="1678"/>
      <c r="D24" s="1678"/>
      <c r="E24" s="1678"/>
      <c r="F24" s="1679"/>
      <c r="G24" s="600" t="s">
        <v>252</v>
      </c>
      <c r="H24" s="600" t="s">
        <v>264</v>
      </c>
      <c r="I24" s="600" t="s">
        <v>256</v>
      </c>
      <c r="J24" s="600" t="s">
        <v>257</v>
      </c>
    </row>
    <row r="25" spans="1:15" ht="13.9" customHeight="1" x14ac:dyDescent="0.25">
      <c r="A25" s="1571" t="str">
        <f>+'INSUMOS '!B50</f>
        <v>LÁMINA GALVANIZADA C 16 E=1,50 mm</v>
      </c>
      <c r="B25" s="1572"/>
      <c r="C25" s="1572"/>
      <c r="D25" s="1572"/>
      <c r="E25" s="1572"/>
      <c r="F25" s="1573"/>
      <c r="G25" s="53" t="s">
        <v>12</v>
      </c>
      <c r="H25" s="54">
        <f>0.56</f>
        <v>0.56000000000000005</v>
      </c>
      <c r="I25" s="1397">
        <f>+IFERROR(VLOOKUP(A25,'INSUMOS '!$B$2:$AP$167,'INSUMOS '!$AO$2+1,FALSE),0)</f>
        <v>85500.55</v>
      </c>
      <c r="J25" s="1398">
        <f>ROUND(I25*H25,0)</f>
        <v>47880</v>
      </c>
      <c r="N25" s="1374">
        <f>H25*0.0015*7850</f>
        <v>6.5940000000000012</v>
      </c>
      <c r="O25" s="593" t="s">
        <v>106</v>
      </c>
    </row>
    <row r="26" spans="1:15" ht="30.75" customHeight="1" x14ac:dyDescent="0.25">
      <c r="A26" s="1637" t="str">
        <f>+'INSUMOS '!B125</f>
        <v>LÁMINA RETRORREFLECTIVA TIPO XI, NTC 4739, Color Amarillo/ verde Fluorescente de 123 cm de ancho por 45.7 metros de largo</v>
      </c>
      <c r="B26" s="1638"/>
      <c r="C26" s="1638"/>
      <c r="D26" s="1638"/>
      <c r="E26" s="1638"/>
      <c r="F26" s="1639"/>
      <c r="G26" s="53" t="s">
        <v>12</v>
      </c>
      <c r="H26" s="54">
        <f>+H25</f>
        <v>0.56000000000000005</v>
      </c>
      <c r="I26" s="1397">
        <f>+IFERROR(VLOOKUP(A26,'INSUMOS '!$B$2:$AP$167,'INSUMOS '!$AO$2+1,FALSE),0)</f>
        <v>196248</v>
      </c>
      <c r="J26" s="1398">
        <f t="shared" ref="J26:J37" si="3">ROUND(I26*H26,0)</f>
        <v>109899</v>
      </c>
      <c r="N26" s="1374">
        <f>H26*0.2/0.36</f>
        <v>0.31111111111111117</v>
      </c>
      <c r="O26" s="593" t="s">
        <v>90</v>
      </c>
    </row>
    <row r="27" spans="1:15" ht="13.9" customHeight="1" x14ac:dyDescent="0.25">
      <c r="A27" s="1571" t="str">
        <f>+'INSUMOS '!B105</f>
        <v>TUBO GALVANIZADO DE 2" X 2,0 mm ESPESOR DE PARED</v>
      </c>
      <c r="B27" s="1572"/>
      <c r="C27" s="1572"/>
      <c r="D27" s="1572"/>
      <c r="E27" s="1572"/>
      <c r="F27" s="1573"/>
      <c r="G27" s="53" t="s">
        <v>13</v>
      </c>
      <c r="H27" s="54">
        <f>3.84+0.6</f>
        <v>4.4399999999999995</v>
      </c>
      <c r="I27" s="1397">
        <f>+IFERROR(VLOOKUP(A27,'INSUMOS '!$B$2:$AP$167,'INSUMOS '!$AO$2+1,FALSE),0)</f>
        <v>16939</v>
      </c>
      <c r="J27" s="1398">
        <f t="shared" si="3"/>
        <v>75209</v>
      </c>
      <c r="N27" s="1374">
        <f>(((2*0.0254+0.004)^2*PI()/4)-(2*0.0254)^2*PI()/4)*7850*H27</f>
        <v>11.5628906287719</v>
      </c>
      <c r="O27" s="593" t="s">
        <v>7315</v>
      </c>
    </row>
    <row r="28" spans="1:15" ht="13.9" customHeight="1" x14ac:dyDescent="0.25">
      <c r="A28" s="1571" t="str">
        <f>+'INSUMOS '!B8</f>
        <v>ÁNGULO METÁLICO DE 2"X2"X1/8" L=6M</v>
      </c>
      <c r="B28" s="1572"/>
      <c r="C28" s="1572"/>
      <c r="D28" s="1572"/>
      <c r="E28" s="1572"/>
      <c r="F28" s="1573"/>
      <c r="G28" s="53" t="s">
        <v>13</v>
      </c>
      <c r="H28" s="54">
        <v>0.15</v>
      </c>
      <c r="I28" s="1397">
        <f>+IFERROR(VLOOKUP(A28,'INSUMOS '!$B$2:$AP$167,'INSUMOS '!$AO$2+1,FALSE),0)</f>
        <v>16804.093333333331</v>
      </c>
      <c r="J28" s="1398">
        <f t="shared" si="3"/>
        <v>2521</v>
      </c>
      <c r="N28" s="1374">
        <f>4*0.0254*(0.0254/8)*H28*7850</f>
        <v>0.37983794999999998</v>
      </c>
      <c r="O28" s="593" t="s">
        <v>156</v>
      </c>
    </row>
    <row r="29" spans="1:15" ht="13.9" customHeight="1" x14ac:dyDescent="0.25">
      <c r="A29" s="1571" t="str">
        <f>+'INSUMOS '!B102</f>
        <v>TORNILLOS 5/16 ZINCADO  (INCLUYE TUERCA DE SEGURIDAD Y ARANDELA)</v>
      </c>
      <c r="B29" s="1572"/>
      <c r="C29" s="1572"/>
      <c r="D29" s="1572"/>
      <c r="E29" s="1572"/>
      <c r="F29" s="1573"/>
      <c r="G29" s="53" t="s">
        <v>266</v>
      </c>
      <c r="H29" s="54">
        <v>4</v>
      </c>
      <c r="I29" s="1397">
        <f>+IFERROR(VLOOKUP(A29,'INSUMOS '!$B$2:$AP$167,'INSUMOS '!$AO$2+1,FALSE),0)</f>
        <v>1747.5</v>
      </c>
      <c r="J29" s="1398">
        <f t="shared" si="3"/>
        <v>6990</v>
      </c>
      <c r="N29" s="1374">
        <f>H29*0.3/4</f>
        <v>0.3</v>
      </c>
      <c r="O29" s="593" t="s">
        <v>42</v>
      </c>
    </row>
    <row r="30" spans="1:15" ht="13.9" customHeight="1" x14ac:dyDescent="0.25">
      <c r="A30" s="1571" t="str">
        <f>+'INSUMOS '!B88</f>
        <v>REMACHES CON ARANDELAS DE 4*10 MM</v>
      </c>
      <c r="B30" s="1572"/>
      <c r="C30" s="1572"/>
      <c r="D30" s="1572"/>
      <c r="E30" s="1572"/>
      <c r="F30" s="1573"/>
      <c r="G30" s="53" t="s">
        <v>266</v>
      </c>
      <c r="H30" s="54">
        <v>4</v>
      </c>
      <c r="I30" s="1397">
        <f>+IFERROR(VLOOKUP(A30,'INSUMOS '!$B$2:$AP$167,'INSUMOS '!$AO$2+1,FALSE),0)</f>
        <v>170</v>
      </c>
      <c r="J30" s="1398">
        <f t="shared" si="3"/>
        <v>680</v>
      </c>
      <c r="N30" s="1374">
        <f>H30/4*0.1</f>
        <v>0.1</v>
      </c>
      <c r="O30" s="593" t="s">
        <v>43</v>
      </c>
    </row>
    <row r="31" spans="1:15" ht="13.9" customHeight="1" x14ac:dyDescent="0.25">
      <c r="A31" s="1571" t="str">
        <f>+'INSUMOS '!B94</f>
        <v xml:space="preserve">STEAKER 15 X 15 CM EN PAPEL REFLECTIVO TIPO IV O SUPERIOR </v>
      </c>
      <c r="B31" s="1572"/>
      <c r="C31" s="1572"/>
      <c r="D31" s="1572"/>
      <c r="E31" s="1572"/>
      <c r="F31" s="1573"/>
      <c r="G31" s="53" t="s">
        <v>266</v>
      </c>
      <c r="H31" s="54">
        <v>1</v>
      </c>
      <c r="I31" s="1397">
        <f>+IFERROR(VLOOKUP(A31,'INSUMOS '!$B$2:$AP$167,'INSUMOS '!$AO$2+1,FALSE),0)</f>
        <v>2500</v>
      </c>
      <c r="J31" s="1398">
        <f t="shared" si="3"/>
        <v>2500</v>
      </c>
      <c r="N31" s="1375">
        <f>H31*0.05</f>
        <v>0.05</v>
      </c>
      <c r="O31" s="593" t="s">
        <v>92</v>
      </c>
    </row>
    <row r="32" spans="1:15" ht="13.9" customHeight="1" x14ac:dyDescent="0.25">
      <c r="A32" s="1571" t="str">
        <f>+'INSUMOS '!B67</f>
        <v xml:space="preserve">PELÍCULA ANTIGRAFITTI </v>
      </c>
      <c r="B32" s="1572"/>
      <c r="C32" s="1572"/>
      <c r="D32" s="1572"/>
      <c r="E32" s="1572"/>
      <c r="F32" s="1573"/>
      <c r="G32" s="53" t="s">
        <v>12</v>
      </c>
      <c r="H32" s="606">
        <f>+H25</f>
        <v>0.56000000000000005</v>
      </c>
      <c r="I32" s="1397">
        <f>+IFERROR(VLOOKUP(A32,'INSUMOS '!$B$2:$AP$167,'INSUMOS '!$AO$2+1,FALSE),0)</f>
        <v>65174.538799999995</v>
      </c>
      <c r="J32" s="1398">
        <f t="shared" si="3"/>
        <v>36498</v>
      </c>
      <c r="N32" s="1374">
        <f>H32/0.36*0.3</f>
        <v>0.46666666666666673</v>
      </c>
      <c r="O32" s="593" t="s">
        <v>89</v>
      </c>
    </row>
    <row r="33" spans="1:15" ht="13.9" customHeight="1" x14ac:dyDescent="0.25">
      <c r="A33" s="1571" t="str">
        <f>+'INSUMOS '!B73</f>
        <v>PINTURA ELECTROSTÁTICA M2</v>
      </c>
      <c r="B33" s="1572"/>
      <c r="C33" s="1572"/>
      <c r="D33" s="1572"/>
      <c r="E33" s="1572"/>
      <c r="F33" s="1573"/>
      <c r="G33" s="53" t="s">
        <v>6</v>
      </c>
      <c r="H33" s="37">
        <f>((0.0254*2+0.004)*PI()*H27+H25+8*0.0254*H28+3*0.0588^2*PI()/4)/3</f>
        <v>0.45433786426947015</v>
      </c>
      <c r="I33" s="1397">
        <f>+IFERROR(VLOOKUP(A33,'INSUMOS '!$B$2:$AP$167,'INSUMOS '!$AO$2+1,FALSE),0)</f>
        <v>26664.5</v>
      </c>
      <c r="J33" s="1398">
        <f t="shared" si="3"/>
        <v>12115</v>
      </c>
      <c r="N33" s="1374">
        <f>H33</f>
        <v>0.45433786426947015</v>
      </c>
      <c r="O33" s="593" t="s">
        <v>334</v>
      </c>
    </row>
    <row r="34" spans="1:15" ht="13.9" customHeight="1" x14ac:dyDescent="0.25">
      <c r="A34" s="1571" t="str">
        <f>+'INSUMOS '!B100</f>
        <v>TINTA TRASLUCIDA PARA CINTA REFLECTIVA</v>
      </c>
      <c r="B34" s="1572"/>
      <c r="C34" s="1572"/>
      <c r="D34" s="1572"/>
      <c r="E34" s="1572"/>
      <c r="F34" s="1573"/>
      <c r="G34" s="53" t="s">
        <v>157</v>
      </c>
      <c r="H34" s="606">
        <f>H25/3.44*0.22</f>
        <v>3.5813953488372095E-2</v>
      </c>
      <c r="I34" s="1397">
        <f>+IFERROR(VLOOKUP(A34,'INSUMOS '!$B$2:$AP$167,'INSUMOS '!$AO$2+1,FALSE),0)</f>
        <v>440873.77039999992</v>
      </c>
      <c r="J34" s="1398">
        <f t="shared" si="3"/>
        <v>15789</v>
      </c>
      <c r="N34" s="1405">
        <f>H34*0.454</f>
        <v>1.6259534883720932E-2</v>
      </c>
      <c r="O34" s="593" t="s">
        <v>45</v>
      </c>
    </row>
    <row r="35" spans="1:15" ht="13.9" customHeight="1" x14ac:dyDescent="0.25">
      <c r="A35" s="1687" t="str">
        <f>+'INSUMOS '!B28</f>
        <v>CONCRETO  HIDRAULICO 2500 PSI 17 MPA (175 KG/CM2)</v>
      </c>
      <c r="B35" s="1572"/>
      <c r="C35" s="1572"/>
      <c r="D35" s="1572"/>
      <c r="E35" s="1572"/>
      <c r="F35" s="1573"/>
      <c r="G35" s="53" t="s">
        <v>3</v>
      </c>
      <c r="H35" s="606">
        <f>+PI()*0.25*0.25/4*0.55</f>
        <v>2.6998061866787288E-2</v>
      </c>
      <c r="I35" s="1397">
        <f>+IFERROR(VLOOKUP(A35,'INSUMOS '!$B$2:$AP$167,'INSUMOS '!$AO$2+1,FALSE),0)</f>
        <v>486142</v>
      </c>
      <c r="J35" s="1398">
        <f t="shared" si="3"/>
        <v>13125</v>
      </c>
      <c r="N35" s="1374">
        <f>H35*2400</f>
        <v>64.795348480289491</v>
      </c>
      <c r="O35" s="593" t="s">
        <v>98</v>
      </c>
    </row>
    <row r="36" spans="1:15" ht="13.9" customHeight="1" x14ac:dyDescent="0.25">
      <c r="A36" s="1571" t="str">
        <f>+'INSUMOS '!B93</f>
        <v>SOLDADURA ELECTRICA  E 6013 O SIMILAR</v>
      </c>
      <c r="B36" s="1572"/>
      <c r="C36" s="1572"/>
      <c r="D36" s="1572"/>
      <c r="E36" s="1572"/>
      <c r="F36" s="1573"/>
      <c r="G36" s="53" t="s">
        <v>6</v>
      </c>
      <c r="H36" s="606">
        <f>0.005^2/2*(6*0.0588*PI())*7850</f>
        <v>0.10875722527829824</v>
      </c>
      <c r="I36" s="1397">
        <f>+IFERROR(VLOOKUP(A36,'INSUMOS '!$B$2:$AP$167,'INSUMOS '!$AO$2+1,FALSE),0)</f>
        <v>19163.666666666668</v>
      </c>
      <c r="J36" s="1398">
        <f t="shared" si="3"/>
        <v>2084</v>
      </c>
      <c r="N36" s="1374">
        <f>H36</f>
        <v>0.10875722527829824</v>
      </c>
      <c r="O36" s="593" t="s">
        <v>87</v>
      </c>
    </row>
    <row r="37" spans="1:15" ht="13.9" customHeight="1" x14ac:dyDescent="0.25">
      <c r="A37" s="1571" t="str">
        <f>+'INSUMOS '!B21</f>
        <v>BROCA PARA METAL 1/2"</v>
      </c>
      <c r="B37" s="1572"/>
      <c r="C37" s="1572"/>
      <c r="D37" s="1572"/>
      <c r="E37" s="1572"/>
      <c r="F37" s="1573"/>
      <c r="G37" s="53" t="s">
        <v>266</v>
      </c>
      <c r="H37" s="1399">
        <v>0.01</v>
      </c>
      <c r="I37" s="1397">
        <f>+IFERROR(VLOOKUP(A37,'INSUMOS '!$B$2:$AP$167,'INSUMOS '!$AO$2+1,FALSE),0)</f>
        <v>31741.5</v>
      </c>
      <c r="J37" s="1398">
        <f t="shared" si="3"/>
        <v>317</v>
      </c>
      <c r="N37" s="1374">
        <f>H37*0.106</f>
        <v>1.06E-3</v>
      </c>
      <c r="O37" s="593" t="s">
        <v>26</v>
      </c>
    </row>
    <row r="38" spans="1:15" ht="13.9" customHeight="1" x14ac:dyDescent="0.25">
      <c r="A38" s="1571" t="str">
        <f>+'INSUMOS '!B50</f>
        <v>LÁMINA GALVANIZADA C 16 E=1,50 mm</v>
      </c>
      <c r="B38" s="1572"/>
      <c r="C38" s="1572"/>
      <c r="D38" s="1572"/>
      <c r="E38" s="1572"/>
      <c r="F38" s="1573"/>
      <c r="G38" s="53" t="s">
        <v>12</v>
      </c>
      <c r="H38" s="606">
        <f>0.0588^2*PI()/4*3</f>
        <v>8.1464010781706203E-3</v>
      </c>
      <c r="I38" s="1397">
        <f>+IFERROR(VLOOKUP(A38,'INSUMOS '!$B$2:$AP$167,'INSUMOS '!$AO$2+1,FALSE),0)</f>
        <v>85500.55</v>
      </c>
      <c r="J38" s="1398">
        <f>ROUND(I38*H38,0)</f>
        <v>697</v>
      </c>
      <c r="N38" s="1374">
        <f>H38*0.0015*7850</f>
        <v>9.5923872695459059E-2</v>
      </c>
      <c r="O38" s="593" t="s">
        <v>106</v>
      </c>
    </row>
    <row r="39" spans="1:15" ht="13.9" customHeight="1" x14ac:dyDescent="0.25">
      <c r="A39" s="1571" t="s">
        <v>333</v>
      </c>
      <c r="B39" s="1572"/>
      <c r="C39" s="1572"/>
      <c r="D39" s="1572"/>
      <c r="E39" s="1572"/>
      <c r="F39" s="1573"/>
      <c r="G39" s="53"/>
      <c r="H39" s="1400">
        <v>0.05</v>
      </c>
      <c r="I39" s="1398">
        <f>+SUM(J25:J38)</f>
        <v>326304</v>
      </c>
      <c r="J39" s="1398">
        <f>ROUND(I39*H39,0)</f>
        <v>16315</v>
      </c>
    </row>
    <row r="40" spans="1:15" ht="13.9" customHeight="1" x14ac:dyDescent="0.25">
      <c r="A40" s="593"/>
      <c r="B40" s="593"/>
      <c r="C40" s="593"/>
      <c r="D40" s="593"/>
      <c r="E40" s="593"/>
      <c r="G40" s="593"/>
      <c r="H40" s="593"/>
      <c r="I40" s="601" t="s">
        <v>257</v>
      </c>
      <c r="J40" s="605">
        <f>+SUM(J25:J39)</f>
        <v>342619</v>
      </c>
      <c r="N40" s="1376">
        <f>SUM(N25:N38)</f>
        <v>85.236193333966114</v>
      </c>
    </row>
    <row r="41" spans="1:15" ht="13.9" customHeight="1" x14ac:dyDescent="0.25"/>
    <row r="42" spans="1:15" ht="13.9" customHeight="1" x14ac:dyDescent="0.25">
      <c r="A42" s="1673" t="s">
        <v>267</v>
      </c>
      <c r="B42" s="1673"/>
      <c r="C42" s="1673"/>
      <c r="D42" s="1673"/>
      <c r="E42" s="1673"/>
      <c r="F42" s="1673"/>
      <c r="G42" s="1673"/>
      <c r="H42" s="1673"/>
      <c r="I42" s="390"/>
    </row>
    <row r="43" spans="1:15" ht="13.9" customHeight="1" x14ac:dyDescent="0.25">
      <c r="A43" s="1674" t="s">
        <v>268</v>
      </c>
      <c r="B43" s="1675"/>
      <c r="C43" s="1675"/>
      <c r="D43" s="1675"/>
      <c r="E43" s="1675"/>
      <c r="F43" s="1676"/>
      <c r="G43" s="607" t="s">
        <v>255</v>
      </c>
      <c r="H43" s="600" t="s">
        <v>269</v>
      </c>
      <c r="I43" s="600" t="s">
        <v>256</v>
      </c>
      <c r="J43" s="600" t="s">
        <v>257</v>
      </c>
    </row>
    <row r="44" spans="1:15" ht="13.9" customHeight="1" x14ac:dyDescent="0.25">
      <c r="A44" s="1571" t="str">
        <f>+'EQUIPOS '!B6</f>
        <v>CAMION INCLUYE CONDUCTOR</v>
      </c>
      <c r="B44" s="1572"/>
      <c r="C44" s="1572"/>
      <c r="D44" s="1572"/>
      <c r="E44" s="1572"/>
      <c r="F44" s="1573"/>
      <c r="G44" s="1402">
        <f>(N40/1000)/12</f>
        <v>7.1030161111638431E-3</v>
      </c>
      <c r="H44" s="55">
        <f>+IFERROR(VLOOKUP(A44,'EQUIPOS '!$B$3:$M$61,12,FALSE),0)</f>
        <v>611492.5</v>
      </c>
      <c r="I44" s="55">
        <f>IFERROR(H44*G44,0)</f>
        <v>4343.4410793558563</v>
      </c>
      <c r="J44" s="55">
        <f>ROUND(I44,0)</f>
        <v>4343</v>
      </c>
    </row>
    <row r="45" spans="1:15" ht="13.9" customHeight="1" x14ac:dyDescent="0.25">
      <c r="A45" s="1571"/>
      <c r="B45" s="1572"/>
      <c r="C45" s="1572"/>
      <c r="D45" s="1572"/>
      <c r="E45" s="1572"/>
      <c r="F45" s="1573"/>
      <c r="G45" s="53"/>
      <c r="H45" s="55"/>
      <c r="I45" s="55"/>
      <c r="J45" s="55"/>
    </row>
    <row r="46" spans="1:15" ht="13.9" customHeight="1" x14ac:dyDescent="0.25">
      <c r="A46" s="1571"/>
      <c r="B46" s="1572"/>
      <c r="C46" s="1572"/>
      <c r="D46" s="1572"/>
      <c r="E46" s="1572"/>
      <c r="F46" s="1573"/>
      <c r="G46" s="53"/>
      <c r="H46" s="55"/>
      <c r="I46" s="55"/>
      <c r="J46" s="55"/>
    </row>
    <row r="47" spans="1:15" ht="13.9" customHeight="1" x14ac:dyDescent="0.25">
      <c r="G47" s="608"/>
      <c r="H47" s="608"/>
      <c r="I47" s="601" t="s">
        <v>257</v>
      </c>
      <c r="J47" s="55">
        <f>+SUM(J44:J46)</f>
        <v>4343</v>
      </c>
      <c r="M47" s="608"/>
    </row>
    <row r="48" spans="1:15" ht="13.9" customHeight="1" x14ac:dyDescent="0.25">
      <c r="M48" s="608"/>
    </row>
    <row r="49" spans="1:10" ht="13.9" customHeight="1" x14ac:dyDescent="0.25">
      <c r="A49" s="1673" t="s">
        <v>270</v>
      </c>
      <c r="B49" s="1673"/>
      <c r="C49" s="1673"/>
      <c r="D49" s="1673"/>
      <c r="E49" s="1673"/>
      <c r="F49" s="1673"/>
      <c r="G49" s="1673"/>
      <c r="H49" s="1673"/>
      <c r="I49" s="390"/>
    </row>
    <row r="50" spans="1:10" s="608" customFormat="1" ht="13.9" customHeight="1" x14ac:dyDescent="0.25">
      <c r="A50" s="1674" t="s">
        <v>271</v>
      </c>
      <c r="B50" s="1675"/>
      <c r="C50" s="1675"/>
      <c r="D50" s="1676"/>
      <c r="E50" s="600" t="s">
        <v>272</v>
      </c>
      <c r="F50" s="600" t="s">
        <v>264</v>
      </c>
      <c r="G50" s="600" t="s">
        <v>273</v>
      </c>
      <c r="H50" s="600" t="s">
        <v>255</v>
      </c>
      <c r="I50" s="600" t="s">
        <v>256</v>
      </c>
      <c r="J50" s="600" t="s">
        <v>257</v>
      </c>
    </row>
    <row r="51" spans="1:10" s="608" customFormat="1" ht="13.9" customHeight="1" x14ac:dyDescent="0.25">
      <c r="A51" s="1571" t="str">
        <f>+PERSONAL!B40</f>
        <v xml:space="preserve">SOLDADOR </v>
      </c>
      <c r="B51" s="1572"/>
      <c r="C51" s="1572"/>
      <c r="D51" s="1573"/>
      <c r="E51" s="609">
        <f>+IFERROR(VLOOKUP(A51,PERSONAL!$B$3:$E$56,4,FALSE),0)</f>
        <v>110344</v>
      </c>
      <c r="F51" s="601">
        <v>1</v>
      </c>
      <c r="G51" s="609">
        <f t="shared" ref="G51:G56" si="4">+E51*F51</f>
        <v>110344</v>
      </c>
      <c r="H51" s="54">
        <v>12</v>
      </c>
      <c r="I51" s="55">
        <f t="shared" ref="I51:I56" si="5">IFERROR(ROUND(G51/H51,0),0)</f>
        <v>9195</v>
      </c>
      <c r="J51" s="55">
        <f t="shared" ref="J51:J56" si="6">+I51</f>
        <v>9195</v>
      </c>
    </row>
    <row r="52" spans="1:10" s="608" customFormat="1" ht="13.9" customHeight="1" x14ac:dyDescent="0.25">
      <c r="A52" s="1571" t="str">
        <f>+PERSONAL!B27</f>
        <v xml:space="preserve">PINTOR </v>
      </c>
      <c r="B52" s="1572"/>
      <c r="C52" s="1572"/>
      <c r="D52" s="1573"/>
      <c r="E52" s="609">
        <f>+IFERROR(VLOOKUP(A52,PERSONAL!$B$3:$E$56,4,FALSE),0)</f>
        <v>100054</v>
      </c>
      <c r="F52" s="601">
        <v>1</v>
      </c>
      <c r="G52" s="609">
        <f t="shared" si="4"/>
        <v>100054</v>
      </c>
      <c r="H52" s="54">
        <f>H51</f>
        <v>12</v>
      </c>
      <c r="I52" s="55">
        <f t="shared" si="5"/>
        <v>8338</v>
      </c>
      <c r="J52" s="55">
        <f t="shared" si="6"/>
        <v>8338</v>
      </c>
    </row>
    <row r="53" spans="1:10" s="608" customFormat="1" ht="13.9" customHeight="1" x14ac:dyDescent="0.25">
      <c r="A53" s="1571" t="str">
        <f>+PERSONAL!B7</f>
        <v>COLAMINADOR</v>
      </c>
      <c r="B53" s="1572"/>
      <c r="C53" s="1572"/>
      <c r="D53" s="1573"/>
      <c r="E53" s="609">
        <f>+IFERROR(VLOOKUP(A53,PERSONAL!$B$3:$E$56,4,FALSE),0)</f>
        <v>91275</v>
      </c>
      <c r="F53" s="601">
        <v>1</v>
      </c>
      <c r="G53" s="609">
        <f t="shared" si="4"/>
        <v>91275</v>
      </c>
      <c r="H53" s="54">
        <f>H52</f>
        <v>12</v>
      </c>
      <c r="I53" s="55">
        <f t="shared" si="5"/>
        <v>7606</v>
      </c>
      <c r="J53" s="55">
        <f t="shared" si="6"/>
        <v>7606</v>
      </c>
    </row>
    <row r="54" spans="1:10" s="608" customFormat="1" ht="13.9" customHeight="1" x14ac:dyDescent="0.25">
      <c r="A54" s="1739" t="str">
        <f>+PERSONAL!B18</f>
        <v>JEFE DE CUADRILLA DIURNO</v>
      </c>
      <c r="B54" s="1740"/>
      <c r="C54" s="1740"/>
      <c r="D54" s="1741"/>
      <c r="E54" s="1415">
        <f>+IFERROR(VLOOKUP(A54,PERSONAL!$B$3:$E$56,4,FALSE),0)</f>
        <v>166031</v>
      </c>
      <c r="F54" s="1416">
        <v>1</v>
      </c>
      <c r="G54" s="1415">
        <f t="shared" si="4"/>
        <v>166031</v>
      </c>
      <c r="H54" s="1081">
        <v>12</v>
      </c>
      <c r="I54" s="1004">
        <f t="shared" si="5"/>
        <v>13836</v>
      </c>
      <c r="J54" s="1004">
        <f t="shared" si="6"/>
        <v>13836</v>
      </c>
    </row>
    <row r="55" spans="1:10" s="608" customFormat="1" ht="13.9" customHeight="1" x14ac:dyDescent="0.25">
      <c r="A55" s="1739" t="str">
        <f>+PERSONAL!B3</f>
        <v>AUXILIAR DE TRÁFICO</v>
      </c>
      <c r="B55" s="1740"/>
      <c r="C55" s="1740"/>
      <c r="D55" s="1741"/>
      <c r="E55" s="1415">
        <f>+IFERROR(VLOOKUP(A55,PERSONAL!$B$3:$E$56,4,FALSE),0)</f>
        <v>89632</v>
      </c>
      <c r="F55" s="1416">
        <v>1</v>
      </c>
      <c r="G55" s="1415">
        <f t="shared" si="4"/>
        <v>89632</v>
      </c>
      <c r="H55" s="1081">
        <v>12</v>
      </c>
      <c r="I55" s="1004">
        <f t="shared" si="5"/>
        <v>7469</v>
      </c>
      <c r="J55" s="1004">
        <f t="shared" si="6"/>
        <v>7469</v>
      </c>
    </row>
    <row r="56" spans="1:10" s="608" customFormat="1" ht="13.9" customHeight="1" x14ac:dyDescent="0.25">
      <c r="A56" s="1739" t="str">
        <f>+PERSONAL!B5</f>
        <v xml:space="preserve">AYUDANTE </v>
      </c>
      <c r="B56" s="1740"/>
      <c r="C56" s="1740"/>
      <c r="D56" s="1741"/>
      <c r="E56" s="1415">
        <f>+IFERROR(VLOOKUP(A56,PERSONAL!$B$3:$E$56,4,FALSE),0)</f>
        <v>72476</v>
      </c>
      <c r="F56" s="1416">
        <v>4</v>
      </c>
      <c r="G56" s="1415">
        <f t="shared" si="4"/>
        <v>289904</v>
      </c>
      <c r="H56" s="1081">
        <v>12</v>
      </c>
      <c r="I56" s="1004">
        <f t="shared" si="5"/>
        <v>24159</v>
      </c>
      <c r="J56" s="1004">
        <f t="shared" si="6"/>
        <v>24159</v>
      </c>
    </row>
    <row r="57" spans="1:10" s="608" customFormat="1" ht="13.9" customHeight="1" x14ac:dyDescent="0.25">
      <c r="A57" s="1571"/>
      <c r="B57" s="1572"/>
      <c r="C57" s="1572"/>
      <c r="D57" s="1573"/>
      <c r="E57" s="609"/>
      <c r="F57" s="601"/>
      <c r="G57" s="609"/>
      <c r="H57" s="54"/>
      <c r="I57" s="55"/>
      <c r="J57" s="55"/>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ht="13.9" customHeight="1" x14ac:dyDescent="0.25">
      <c r="A61" s="593"/>
      <c r="B61" s="593"/>
      <c r="C61" s="593"/>
      <c r="E61" s="593"/>
      <c r="F61" s="593"/>
      <c r="G61" s="593"/>
      <c r="H61" s="593"/>
      <c r="I61" s="601" t="s">
        <v>257</v>
      </c>
      <c r="J61" s="605">
        <f>+SUM(J51:J60)</f>
        <v>70603</v>
      </c>
    </row>
    <row r="62" spans="1:10" ht="13.9" customHeight="1" x14ac:dyDescent="0.25"/>
    <row r="63" spans="1:10" ht="13.9" customHeight="1" x14ac:dyDescent="0.25">
      <c r="E63" s="610" t="s">
        <v>276</v>
      </c>
      <c r="I63" s="611">
        <f>+J61+J47+J40+J21</f>
        <v>486612</v>
      </c>
      <c r="J63" s="612"/>
    </row>
    <row r="64" spans="1:10" ht="13.9" customHeight="1" x14ac:dyDescent="0.25"/>
  </sheetData>
  <mergeCells count="52">
    <mergeCell ref="A34:F34"/>
    <mergeCell ref="A35:F35"/>
    <mergeCell ref="A36:F36"/>
    <mergeCell ref="A14:D14"/>
    <mergeCell ref="A31:F31"/>
    <mergeCell ref="A15:D15"/>
    <mergeCell ref="A19:D19"/>
    <mergeCell ref="A20:D20"/>
    <mergeCell ref="A23:H23"/>
    <mergeCell ref="A24:F24"/>
    <mergeCell ref="A25:F25"/>
    <mergeCell ref="A26:F26"/>
    <mergeCell ref="A27:F27"/>
    <mergeCell ref="A28:F28"/>
    <mergeCell ref="A29:F29"/>
    <mergeCell ref="A30:F30"/>
    <mergeCell ref="A1:J1"/>
    <mergeCell ref="A2:J2"/>
    <mergeCell ref="A4:J4"/>
    <mergeCell ref="A6:B6"/>
    <mergeCell ref="A7:B7"/>
    <mergeCell ref="C7:J7"/>
    <mergeCell ref="A9:H9"/>
    <mergeCell ref="A10:D10"/>
    <mergeCell ref="A11:D11"/>
    <mergeCell ref="A12:D12"/>
    <mergeCell ref="A13:D13"/>
    <mergeCell ref="A16:D16"/>
    <mergeCell ref="A17:D17"/>
    <mergeCell ref="A18:D18"/>
    <mergeCell ref="A51:D51"/>
    <mergeCell ref="A32:F32"/>
    <mergeCell ref="A38:F38"/>
    <mergeCell ref="A39:F39"/>
    <mergeCell ref="A42:H42"/>
    <mergeCell ref="A43:F43"/>
    <mergeCell ref="A44:F44"/>
    <mergeCell ref="A45:F45"/>
    <mergeCell ref="A46:F46"/>
    <mergeCell ref="A49:H49"/>
    <mergeCell ref="A50:D50"/>
    <mergeCell ref="A33:F33"/>
    <mergeCell ref="A37:F37"/>
    <mergeCell ref="A59:D59"/>
    <mergeCell ref="A60:D60"/>
    <mergeCell ref="A52:D52"/>
    <mergeCell ref="A53:D53"/>
    <mergeCell ref="A54:D54"/>
    <mergeCell ref="A55:D55"/>
    <mergeCell ref="A56:D56"/>
    <mergeCell ref="A58:D58"/>
    <mergeCell ref="A57:D57"/>
  </mergeCells>
  <pageMargins left="0.70866141732283472" right="0.70866141732283472" top="0.78740157480314965" bottom="0.78740157480314965" header="0.31496062992125984" footer="0.31496062992125984"/>
  <pageSetup scale="85" orientation="portrait" r:id="rId1"/>
  <drawing r:id="rId2"/>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C00-000000000000}">
  <sheetPr codeName="Hoja12">
    <tabColor rgb="FF00B050"/>
  </sheetPr>
  <dimension ref="A1:O62"/>
  <sheetViews>
    <sheetView topLeftCell="A49" workbookViewId="0">
      <selection activeCell="G42" sqref="G42"/>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140625" style="592" bestFit="1" customWidth="1"/>
    <col min="9" max="9" width="13" style="592" bestFit="1" customWidth="1"/>
    <col min="10" max="10" width="12" style="592" customWidth="1"/>
    <col min="11" max="11" width="11.42578125" style="592"/>
    <col min="12" max="12" width="13.140625" style="592" bestFit="1" customWidth="1"/>
    <col min="13" max="13" width="11.5703125" style="592" bestFit="1" customWidth="1"/>
    <col min="14" max="14" width="14.5703125" style="592" hidden="1" customWidth="1"/>
    <col min="15" max="15" width="14" style="592" hidden="1" customWidth="1"/>
    <col min="16" max="16384" width="11.42578125" style="592"/>
  </cols>
  <sheetData>
    <row r="1" spans="1:15" ht="29.25" customHeight="1" x14ac:dyDescent="0.25">
      <c r="A1" s="1680" t="s">
        <v>244</v>
      </c>
      <c r="B1" s="1681"/>
      <c r="C1" s="1681"/>
      <c r="D1" s="1681"/>
      <c r="E1" s="1681"/>
      <c r="F1" s="1681"/>
      <c r="G1" s="1681"/>
      <c r="H1" s="1681"/>
      <c r="I1" s="1681"/>
      <c r="J1" s="1681"/>
    </row>
    <row r="2" spans="1:15" ht="15" customHeight="1" x14ac:dyDescent="0.25">
      <c r="A2" s="1682" t="s">
        <v>245</v>
      </c>
      <c r="B2" s="1682"/>
      <c r="C2" s="1682"/>
      <c r="D2" s="1682"/>
      <c r="E2" s="1682"/>
      <c r="F2" s="1682"/>
      <c r="G2" s="1682"/>
      <c r="H2" s="1682"/>
      <c r="I2" s="1682"/>
      <c r="J2" s="1682"/>
      <c r="L2" s="1749" t="s">
        <v>2909</v>
      </c>
      <c r="M2" s="1749"/>
      <c r="N2" s="1749"/>
      <c r="O2" s="1749"/>
    </row>
    <row r="4" spans="1:15" s="593" customFormat="1" ht="9.9499999999999993" customHeight="1" x14ac:dyDescent="0.25">
      <c r="A4" s="1683" t="s">
        <v>246</v>
      </c>
      <c r="B4" s="1683"/>
      <c r="C4" s="1683"/>
      <c r="D4" s="1683"/>
      <c r="E4" s="1683"/>
      <c r="F4" s="1683"/>
      <c r="G4" s="1683"/>
      <c r="H4" s="1683"/>
      <c r="I4" s="1683"/>
      <c r="J4" s="1683"/>
    </row>
    <row r="5" spans="1:15" s="593" customFormat="1" ht="9.9499999999999993" customHeight="1" x14ac:dyDescent="0.25">
      <c r="B5" s="594"/>
      <c r="C5" s="594"/>
      <c r="D5" s="594"/>
      <c r="E5" s="594"/>
      <c r="F5" s="594"/>
      <c r="G5" s="594"/>
    </row>
    <row r="6" spans="1:15" x14ac:dyDescent="0.25">
      <c r="A6" s="1571" t="s">
        <v>247</v>
      </c>
      <c r="B6" s="1573"/>
      <c r="C6" s="595">
        <v>8</v>
      </c>
      <c r="D6" s="596"/>
      <c r="E6" s="596"/>
      <c r="F6" s="596"/>
      <c r="G6" s="596"/>
      <c r="H6" s="597"/>
      <c r="I6" s="598" t="s">
        <v>248</v>
      </c>
      <c r="J6" s="599" t="str">
        <f>+VLOOKUP(C6,'ANEXO PLIEGO_1'!$A$7:$C$133,3,FALSE)</f>
        <v>M2</v>
      </c>
    </row>
    <row r="7" spans="1:15" ht="35.1" customHeight="1" x14ac:dyDescent="0.25">
      <c r="A7" s="1637" t="s">
        <v>249</v>
      </c>
      <c r="B7" s="1639"/>
      <c r="C7" s="1684" t="str">
        <f>+VLOOKUP(C6,'ANEXO PLIEGO_1'!$A$7:$B$103,2,FALSE)</f>
        <v>Fabricación de plaquetas, suministro e instalación para señal SR - SP - SI - ST (alto mínimo de 23 cm) material reflectivo Tipo XI, película antigraffiti, en lámina galvanizada C-16 E=1,5 mm, cumpliendo normatividad vigente.</v>
      </c>
      <c r="D7" s="1685"/>
      <c r="E7" s="1685"/>
      <c r="F7" s="1685"/>
      <c r="G7" s="1685"/>
      <c r="H7" s="1685"/>
      <c r="I7" s="1685"/>
      <c r="J7" s="1686"/>
    </row>
    <row r="9" spans="1:15" s="390" customFormat="1" ht="12.75" x14ac:dyDescent="0.25">
      <c r="A9" s="1673" t="s">
        <v>250</v>
      </c>
      <c r="B9" s="1673"/>
      <c r="C9" s="1673"/>
      <c r="D9" s="1673"/>
      <c r="E9" s="1673"/>
      <c r="F9" s="1673"/>
      <c r="G9" s="1673"/>
      <c r="H9" s="1673"/>
    </row>
    <row r="10" spans="1:15" s="593" customFormat="1" ht="13.9" customHeight="1" x14ac:dyDescent="0.25">
      <c r="A10" s="1674" t="s">
        <v>251</v>
      </c>
      <c r="B10" s="1675"/>
      <c r="C10" s="1675"/>
      <c r="D10" s="1676"/>
      <c r="E10" s="600" t="s">
        <v>252</v>
      </c>
      <c r="F10" s="600" t="s">
        <v>253</v>
      </c>
      <c r="G10" s="600" t="s">
        <v>254</v>
      </c>
      <c r="H10" s="600" t="s">
        <v>255</v>
      </c>
      <c r="I10" s="600" t="s">
        <v>256</v>
      </c>
      <c r="J10" s="600" t="s">
        <v>257</v>
      </c>
    </row>
    <row r="11" spans="1:15" s="593" customFormat="1" ht="13.9" customHeight="1" x14ac:dyDescent="0.25">
      <c r="A11" s="1571" t="str">
        <f>+'EQUIPOS '!B7</f>
        <v xml:space="preserve">CIZALLA DE CORTE VERTICAL </v>
      </c>
      <c r="B11" s="1572"/>
      <c r="C11" s="1572"/>
      <c r="D11" s="1573"/>
      <c r="E11" s="53" t="s">
        <v>202</v>
      </c>
      <c r="F11" s="601">
        <f>IFERROR(VLOOKUP(A11,'[10]EQUIPOS TRANSPOR SALARIO'!$A$3:$G$42,2,FALSE),0)</f>
        <v>0</v>
      </c>
      <c r="G11" s="602">
        <f>+IFERROR(VLOOKUP(A11,'EQUIPOS '!$B$3:$M$56,12,FALSE),0)</f>
        <v>5174.01</v>
      </c>
      <c r="H11" s="601">
        <v>20</v>
      </c>
      <c r="I11" s="55">
        <f>IFERROR((G11/H11),0)</f>
        <v>258.70050000000003</v>
      </c>
      <c r="J11" s="55">
        <f>ROUND(I11,0)</f>
        <v>259</v>
      </c>
    </row>
    <row r="12" spans="1:15" s="593" customFormat="1" ht="13.9" customHeight="1" x14ac:dyDescent="0.25">
      <c r="A12" s="1571" t="str">
        <f>+'EQUIPOS '!B9</f>
        <v>COMPRESOR</v>
      </c>
      <c r="B12" s="1572"/>
      <c r="C12" s="1572"/>
      <c r="D12" s="1573"/>
      <c r="E12" s="53" t="str">
        <f>+$E$11</f>
        <v>HR</v>
      </c>
      <c r="F12" s="601" t="str">
        <f>IFERROR(VLOOKUP(A12,'[10]EQUIPOS TRANSPOR SALARIO'!$A$3:$G$42,2,FALSE),0)</f>
        <v>Eléctrico</v>
      </c>
      <c r="G12" s="602">
        <f>+IFERROR(VLOOKUP(A12,'EQUIPOS '!$B$3:$M$56,12,FALSE),0)</f>
        <v>7999.94</v>
      </c>
      <c r="H12" s="601">
        <f>+H11</f>
        <v>20</v>
      </c>
      <c r="I12" s="55">
        <f t="shared" ref="I12:I18" si="0">IFERROR((G12/H12),0)</f>
        <v>399.99699999999996</v>
      </c>
      <c r="J12" s="55">
        <f t="shared" ref="J12:J18" si="1">ROUND(I12,0)</f>
        <v>400</v>
      </c>
    </row>
    <row r="13" spans="1:15" s="593" customFormat="1" ht="13.9" customHeight="1" x14ac:dyDescent="0.25">
      <c r="A13" s="1571" t="str">
        <f>+'EQUIPOS '!B25</f>
        <v>EQUIPO  COLAMINADO</v>
      </c>
      <c r="B13" s="1572"/>
      <c r="C13" s="1572"/>
      <c r="D13" s="1573"/>
      <c r="E13" s="53" t="str">
        <f t="shared" ref="E13:E18" si="2">+$E$11</f>
        <v>HR</v>
      </c>
      <c r="F13" s="601">
        <f>IFERROR(VLOOKUP(A13,'[10]EQUIPOS TRANSPOR SALARIO'!$A$3:$G$42,2,FALSE),0)</f>
        <v>0</v>
      </c>
      <c r="G13" s="602">
        <f>+IFERROR(VLOOKUP(A13,'EQUIPOS '!$B$3:$M$56,12,FALSE),0)</f>
        <v>4701.8100000000004</v>
      </c>
      <c r="H13" s="601">
        <f t="shared" ref="H13:H18" si="3">+H12</f>
        <v>20</v>
      </c>
      <c r="I13" s="55">
        <f t="shared" si="0"/>
        <v>235.09050000000002</v>
      </c>
      <c r="J13" s="55">
        <f t="shared" si="1"/>
        <v>235</v>
      </c>
    </row>
    <row r="14" spans="1:15" s="593" customFormat="1" ht="13.9" customHeight="1" x14ac:dyDescent="0.25">
      <c r="A14" s="1571" t="str">
        <f>+'EQUIPOS '!B24</f>
        <v>EQUIPO PINTURA ELECTROSTÁTICA</v>
      </c>
      <c r="B14" s="1572"/>
      <c r="C14" s="1572"/>
      <c r="D14" s="1573"/>
      <c r="E14" s="53" t="str">
        <f t="shared" si="2"/>
        <v>HR</v>
      </c>
      <c r="F14" s="601" t="str">
        <f>IFERROR(VLOOKUP(A14,'[10]EQUIPOS TRANSPOR SALARIO'!$A$3:$G$42,2,FALSE),0)</f>
        <v>Electrostática</v>
      </c>
      <c r="G14" s="602">
        <f>+IFERROR(VLOOKUP(A14,'EQUIPOS '!$B$3:$M$56,12,FALSE),0)</f>
        <v>4047.59</v>
      </c>
      <c r="H14" s="601">
        <f t="shared" si="3"/>
        <v>20</v>
      </c>
      <c r="I14" s="55">
        <f t="shared" si="0"/>
        <v>202.37950000000001</v>
      </c>
      <c r="J14" s="55">
        <f t="shared" si="1"/>
        <v>202</v>
      </c>
    </row>
    <row r="15" spans="1:15" s="593" customFormat="1" ht="13.9" hidden="1" customHeight="1" x14ac:dyDescent="0.25">
      <c r="A15" s="1571"/>
      <c r="B15" s="1572"/>
      <c r="C15" s="1572"/>
      <c r="D15" s="1573"/>
      <c r="E15" s="53"/>
      <c r="F15" s="601"/>
      <c r="G15" s="602"/>
      <c r="H15" s="601"/>
      <c r="I15" s="55"/>
      <c r="J15" s="55"/>
    </row>
    <row r="16" spans="1:15" s="593" customFormat="1" ht="19.5" customHeight="1" x14ac:dyDescent="0.25">
      <c r="A16" s="1637" t="str">
        <f>+'EQUIPOS '!B51</f>
        <v xml:space="preserve">IMPRESORA DIGITAL PARA SEÑALES DE TRÁNSITO </v>
      </c>
      <c r="B16" s="1638"/>
      <c r="C16" s="1638"/>
      <c r="D16" s="1639"/>
      <c r="E16" s="53" t="str">
        <f t="shared" si="2"/>
        <v>HR</v>
      </c>
      <c r="F16" s="601"/>
      <c r="G16" s="602">
        <f>+IFERROR(VLOOKUP(A16,'EQUIPOS '!$B$3:$M$56,12,FALSE),0)</f>
        <v>64227.08</v>
      </c>
      <c r="H16" s="601">
        <f>H14</f>
        <v>20</v>
      </c>
      <c r="I16" s="55">
        <f>IFERROR((G16/H16),0)</f>
        <v>3211.3540000000003</v>
      </c>
      <c r="J16" s="55">
        <f>ROUND(I16,0)</f>
        <v>3211</v>
      </c>
    </row>
    <row r="17" spans="1:15" s="593" customFormat="1" ht="13.9" customHeight="1" x14ac:dyDescent="0.25">
      <c r="A17" s="1571" t="str">
        <f>+'EQUIPOS '!B39</f>
        <v xml:space="preserve">PULIDORA </v>
      </c>
      <c r="B17" s="1572"/>
      <c r="C17" s="1572"/>
      <c r="D17" s="1573"/>
      <c r="E17" s="53" t="str">
        <f t="shared" si="2"/>
        <v>HR</v>
      </c>
      <c r="F17" s="601"/>
      <c r="G17" s="602">
        <f>+IFERROR(VLOOKUP(A17,'EQUIPOS '!$B$3:$M$56,12,FALSE),0)</f>
        <v>2821</v>
      </c>
      <c r="H17" s="601">
        <f t="shared" si="3"/>
        <v>20</v>
      </c>
      <c r="I17" s="55">
        <f>IFERROR((G17/H17),0)</f>
        <v>141.05000000000001</v>
      </c>
      <c r="J17" s="55">
        <f>ROUND(I17,0)</f>
        <v>141</v>
      </c>
    </row>
    <row r="18" spans="1:15" s="593" customFormat="1" ht="13.9" customHeight="1" x14ac:dyDescent="0.25">
      <c r="A18" s="1571" t="str">
        <f>+'EQUIPOS '!B43</f>
        <v>TALADRO DE ARBOL</v>
      </c>
      <c r="B18" s="1572"/>
      <c r="C18" s="1572"/>
      <c r="D18" s="1573"/>
      <c r="E18" s="53" t="str">
        <f t="shared" si="2"/>
        <v>HR</v>
      </c>
      <c r="F18" s="601">
        <f>IFERROR(VLOOKUP(A18,'[10]EQUIPOS TRANSPOR SALARIO'!$A$3:$G$42,2,FALSE),0)</f>
        <v>0</v>
      </c>
      <c r="G18" s="602">
        <f>+IFERROR(VLOOKUP(A18,'EQUIPOS '!$B$3:$M$56,12,FALSE),0)</f>
        <v>4898</v>
      </c>
      <c r="H18" s="601">
        <f t="shared" si="3"/>
        <v>20</v>
      </c>
      <c r="I18" s="55">
        <f t="shared" si="0"/>
        <v>244.9</v>
      </c>
      <c r="J18" s="55">
        <f t="shared" si="1"/>
        <v>245</v>
      </c>
    </row>
    <row r="19" spans="1:15" s="593" customFormat="1" ht="13.9" customHeight="1" x14ac:dyDescent="0.25">
      <c r="A19" s="1571" t="s">
        <v>330</v>
      </c>
      <c r="B19" s="1572"/>
      <c r="C19" s="1572"/>
      <c r="D19" s="1573"/>
      <c r="E19" s="53" t="s">
        <v>259</v>
      </c>
      <c r="F19" s="601"/>
      <c r="G19" s="603">
        <v>0.01</v>
      </c>
      <c r="H19" s="601"/>
      <c r="I19" s="55">
        <f>+G19*J58</f>
        <v>26.61</v>
      </c>
      <c r="J19" s="55">
        <f>ROUND(I19,0)</f>
        <v>27</v>
      </c>
    </row>
    <row r="20" spans="1:15" s="593" customFormat="1" ht="13.9" customHeight="1" x14ac:dyDescent="0.25">
      <c r="A20" s="1571"/>
      <c r="B20" s="1572"/>
      <c r="C20" s="1572"/>
      <c r="D20" s="1573"/>
      <c r="E20" s="53"/>
      <c r="F20" s="601"/>
      <c r="G20" s="602"/>
      <c r="H20" s="601"/>
      <c r="I20" s="55"/>
      <c r="J20" s="55"/>
    </row>
    <row r="21" spans="1:15" s="593" customFormat="1" ht="13.9" customHeight="1" x14ac:dyDescent="0.25">
      <c r="I21" s="601" t="s">
        <v>257</v>
      </c>
      <c r="J21" s="605">
        <f>+SUM(J11:J20)</f>
        <v>4720</v>
      </c>
    </row>
    <row r="22" spans="1:15" s="593" customFormat="1" ht="13.9" customHeight="1" x14ac:dyDescent="0.25"/>
    <row r="23" spans="1:15" s="593" customFormat="1" ht="13.9" customHeight="1" x14ac:dyDescent="0.25">
      <c r="A23" s="1673" t="s">
        <v>263</v>
      </c>
      <c r="B23" s="1673"/>
      <c r="C23" s="1673"/>
      <c r="D23" s="1673"/>
      <c r="E23" s="1673"/>
      <c r="F23" s="1673"/>
      <c r="G23" s="1673"/>
      <c r="H23" s="1673"/>
      <c r="I23" s="390"/>
    </row>
    <row r="24" spans="1:15" ht="13.9" customHeight="1" x14ac:dyDescent="0.25">
      <c r="A24" s="1677" t="s">
        <v>251</v>
      </c>
      <c r="B24" s="1678"/>
      <c r="C24" s="1678"/>
      <c r="D24" s="1678"/>
      <c r="E24" s="1678"/>
      <c r="F24" s="1679"/>
      <c r="G24" s="600" t="s">
        <v>252</v>
      </c>
      <c r="H24" s="600" t="s">
        <v>264</v>
      </c>
      <c r="I24" s="600" t="s">
        <v>256</v>
      </c>
      <c r="J24" s="600" t="s">
        <v>257</v>
      </c>
    </row>
    <row r="25" spans="1:15" ht="13.9" customHeight="1" x14ac:dyDescent="0.25">
      <c r="A25" s="1571" t="str">
        <f>+'INSUMOS '!B50</f>
        <v>LÁMINA GALVANIZADA C 16 E=1,50 mm</v>
      </c>
      <c r="B25" s="1572"/>
      <c r="C25" s="1572"/>
      <c r="D25" s="1572"/>
      <c r="E25" s="1572"/>
      <c r="F25" s="1573"/>
      <c r="G25" s="53" t="s">
        <v>12</v>
      </c>
      <c r="H25" s="54">
        <v>1</v>
      </c>
      <c r="I25" s="33">
        <f>+IFERROR(VLOOKUP(A25,'INSUMOS '!$B$2:$AP$167,'INSUMOS '!$AO$2+1,FALSE),0)</f>
        <v>85500.55</v>
      </c>
      <c r="J25" s="55">
        <f>ROUND(I25*H25,0)</f>
        <v>85501</v>
      </c>
      <c r="N25" s="1374">
        <f>H25*0.0015*7850</f>
        <v>11.775</v>
      </c>
      <c r="O25" s="593" t="s">
        <v>106</v>
      </c>
    </row>
    <row r="26" spans="1:15" ht="13.9" customHeight="1" x14ac:dyDescent="0.25">
      <c r="A26" s="1571" t="str">
        <f>+'INSUMOS '!B63</f>
        <v xml:space="preserve">PAPEL REFLECTIVO TIPO XI </v>
      </c>
      <c r="B26" s="1572"/>
      <c r="C26" s="1572"/>
      <c r="D26" s="1572"/>
      <c r="E26" s="1572"/>
      <c r="F26" s="1573"/>
      <c r="G26" s="53" t="s">
        <v>12</v>
      </c>
      <c r="H26" s="54">
        <f>+H25</f>
        <v>1</v>
      </c>
      <c r="I26" s="33">
        <f>+IFERROR(VLOOKUP(A26,'INSUMOS '!$B$2:$AP$167,'INSUMOS '!$AO$2+1,FALSE),0)</f>
        <v>153328.9296</v>
      </c>
      <c r="J26" s="55">
        <f t="shared" ref="J26:J33" si="4">ROUND(I26*H26,0)</f>
        <v>153329</v>
      </c>
      <c r="N26" s="1374">
        <f>H26*0.2/0.36</f>
        <v>0.55555555555555558</v>
      </c>
      <c r="O26" s="593" t="s">
        <v>90</v>
      </c>
    </row>
    <row r="27" spans="1:15" ht="13.9" customHeight="1" x14ac:dyDescent="0.25">
      <c r="A27" s="1571" t="str">
        <f>+'INSUMOS '!B102</f>
        <v>TORNILLOS 5/16 ZINCADO  (INCLUYE TUERCA DE SEGURIDAD Y ARANDELA)</v>
      </c>
      <c r="B27" s="1572"/>
      <c r="C27" s="1572"/>
      <c r="D27" s="1572"/>
      <c r="E27" s="1572"/>
      <c r="F27" s="1573"/>
      <c r="G27" s="53" t="s">
        <v>266</v>
      </c>
      <c r="H27" s="54">
        <v>4</v>
      </c>
      <c r="I27" s="33">
        <f>+IFERROR(VLOOKUP(A27,'INSUMOS '!$B$2:$AP$167,'INSUMOS '!$AO$2+1,FALSE),0)</f>
        <v>1747.5</v>
      </c>
      <c r="J27" s="55">
        <f t="shared" si="4"/>
        <v>6990</v>
      </c>
      <c r="N27" s="1374">
        <f>H27*0.3/4</f>
        <v>0.3</v>
      </c>
      <c r="O27" s="593" t="s">
        <v>42</v>
      </c>
    </row>
    <row r="28" spans="1:15" ht="13.9" customHeight="1" x14ac:dyDescent="0.25">
      <c r="A28" s="1571" t="str">
        <f>+'INSUMOS '!B88</f>
        <v>REMACHES CON ARANDELAS DE 4*10 MM</v>
      </c>
      <c r="B28" s="1572"/>
      <c r="C28" s="1572"/>
      <c r="D28" s="1572"/>
      <c r="E28" s="1572"/>
      <c r="F28" s="1573"/>
      <c r="G28" s="53" t="s">
        <v>13</v>
      </c>
      <c r="H28" s="54">
        <v>4</v>
      </c>
      <c r="I28" s="33">
        <f>+IFERROR(VLOOKUP(A28,'INSUMOS '!$B$2:$AP$167,'INSUMOS '!$AO$2+1,FALSE),0)</f>
        <v>170</v>
      </c>
      <c r="J28" s="55">
        <f t="shared" si="4"/>
        <v>680</v>
      </c>
      <c r="N28" s="1374">
        <f>H28/4*0.1</f>
        <v>0.1</v>
      </c>
      <c r="O28" s="593" t="s">
        <v>43</v>
      </c>
    </row>
    <row r="29" spans="1:15" ht="13.9" customHeight="1" x14ac:dyDescent="0.25">
      <c r="A29" s="1571" t="str">
        <f>+'INSUMOS '!B73</f>
        <v>PINTURA ELECTROSTÁTICA M2</v>
      </c>
      <c r="B29" s="1572"/>
      <c r="C29" s="1572"/>
      <c r="D29" s="1572"/>
      <c r="E29" s="1572"/>
      <c r="F29" s="1573"/>
      <c r="G29" s="53" t="s">
        <v>6</v>
      </c>
      <c r="H29" s="54">
        <f>H25/3</f>
        <v>0.33333333333333331</v>
      </c>
      <c r="I29" s="33">
        <f>+IFERROR(VLOOKUP(A29,'INSUMOS '!$B$2:$AP$167,'INSUMOS '!$AO$2+1,FALSE),0)</f>
        <v>26664.5</v>
      </c>
      <c r="J29" s="55">
        <f>ROUND(I29*H29,0)</f>
        <v>8888</v>
      </c>
      <c r="N29" s="1374">
        <f>H29</f>
        <v>0.33333333333333331</v>
      </c>
      <c r="O29" s="593" t="s">
        <v>334</v>
      </c>
    </row>
    <row r="30" spans="1:15" ht="13.9" customHeight="1" x14ac:dyDescent="0.25">
      <c r="A30" s="1571" t="str">
        <f>+'INSUMOS '!B100</f>
        <v>TINTA TRASLUCIDA PARA CINTA REFLECTIVA</v>
      </c>
      <c r="B30" s="1572"/>
      <c r="C30" s="1572"/>
      <c r="D30" s="1572"/>
      <c r="E30" s="1572"/>
      <c r="F30" s="1573"/>
      <c r="G30" s="53" t="s">
        <v>157</v>
      </c>
      <c r="H30" s="54">
        <f>H25/3.44*0.2</f>
        <v>5.8139534883720936E-2</v>
      </c>
      <c r="I30" s="33">
        <f>+IFERROR(VLOOKUP(A30,'INSUMOS '!$B$2:$AP$167,'INSUMOS '!$AO$2+1,FALSE),0)</f>
        <v>440873.77039999992</v>
      </c>
      <c r="J30" s="55">
        <f t="shared" si="4"/>
        <v>25632</v>
      </c>
      <c r="N30" s="1405">
        <f>H30*0.454</f>
        <v>2.6395348837209304E-2</v>
      </c>
      <c r="O30" s="593" t="s">
        <v>45</v>
      </c>
    </row>
    <row r="31" spans="1:15" ht="13.9" customHeight="1" x14ac:dyDescent="0.25">
      <c r="A31" s="1571" t="str">
        <f>+'INSUMOS '!B67</f>
        <v xml:space="preserve">PELÍCULA ANTIGRAFITTI </v>
      </c>
      <c r="B31" s="1572"/>
      <c r="C31" s="1572"/>
      <c r="D31" s="1572"/>
      <c r="E31" s="1572"/>
      <c r="F31" s="1573"/>
      <c r="G31" s="53" t="s">
        <v>12</v>
      </c>
      <c r="H31" s="54">
        <f>+H25</f>
        <v>1</v>
      </c>
      <c r="I31" s="33">
        <f>+IFERROR(VLOOKUP(A31,'INSUMOS '!$B$2:$AP$167,'INSUMOS '!$AO$2+1,FALSE),0)</f>
        <v>65174.538799999995</v>
      </c>
      <c r="J31" s="55">
        <f t="shared" si="4"/>
        <v>65175</v>
      </c>
      <c r="N31" s="1374">
        <f>H31/0.36*0.3</f>
        <v>0.83333333333333326</v>
      </c>
      <c r="O31" s="593" t="s">
        <v>89</v>
      </c>
    </row>
    <row r="32" spans="1:15" ht="13.9" customHeight="1" x14ac:dyDescent="0.25">
      <c r="A32" s="1571" t="str">
        <f>+'INSUMOS '!B94</f>
        <v xml:space="preserve">STEAKER 15 X 15 CM EN PAPEL REFLECTIVO TIPO IV O SUPERIOR </v>
      </c>
      <c r="B32" s="1572"/>
      <c r="C32" s="1572"/>
      <c r="D32" s="1572"/>
      <c r="E32" s="1572"/>
      <c r="F32" s="1573"/>
      <c r="G32" s="53" t="s">
        <v>266</v>
      </c>
      <c r="H32" s="606">
        <v>1</v>
      </c>
      <c r="I32" s="33">
        <f>+IFERROR(VLOOKUP(A32,'INSUMOS '!$B$2:$AP$167,'INSUMOS '!$AO$2+1,FALSE),0)</f>
        <v>2500</v>
      </c>
      <c r="J32" s="55">
        <f t="shared" si="4"/>
        <v>2500</v>
      </c>
      <c r="N32" s="1375">
        <f>H32*0.05</f>
        <v>0.05</v>
      </c>
      <c r="O32" s="593" t="s">
        <v>92</v>
      </c>
    </row>
    <row r="33" spans="1:15" ht="13.9" customHeight="1" x14ac:dyDescent="0.25">
      <c r="A33" s="1571" t="str">
        <f>+'INSUMOS '!B21</f>
        <v>BROCA PARA METAL 1/2"</v>
      </c>
      <c r="B33" s="1572"/>
      <c r="C33" s="1572"/>
      <c r="D33" s="1572"/>
      <c r="E33" s="1572"/>
      <c r="F33" s="1573"/>
      <c r="G33" s="53" t="s">
        <v>266</v>
      </c>
      <c r="H33" s="54">
        <v>0.01</v>
      </c>
      <c r="I33" s="33">
        <f>+IFERROR(VLOOKUP(A33,'INSUMOS '!$B$2:$AP$167,'INSUMOS '!$AO$2+1,FALSE),0)</f>
        <v>31741.5</v>
      </c>
      <c r="J33" s="55">
        <f t="shared" si="4"/>
        <v>317</v>
      </c>
      <c r="L33" s="658"/>
      <c r="N33" s="1374">
        <f>H33*0.106</f>
        <v>1.06E-3</v>
      </c>
      <c r="O33" s="593" t="s">
        <v>26</v>
      </c>
    </row>
    <row r="34" spans="1:15" ht="13.9" customHeight="1" x14ac:dyDescent="0.25">
      <c r="A34" s="1571" t="s">
        <v>333</v>
      </c>
      <c r="B34" s="1572"/>
      <c r="C34" s="1572"/>
      <c r="D34" s="1572"/>
      <c r="E34" s="1572"/>
      <c r="F34" s="1573"/>
      <c r="G34" s="53"/>
      <c r="H34" s="603">
        <v>0.05</v>
      </c>
      <c r="I34" s="55">
        <f>+SUM(J25:J33)-J27-J28-J32</f>
        <v>338842</v>
      </c>
      <c r="J34" s="55">
        <f>ROUND(I34*H34,0)</f>
        <v>16942</v>
      </c>
      <c r="N34" s="1374"/>
      <c r="O34" s="593"/>
    </row>
    <row r="35" spans="1:15" ht="13.9" customHeight="1" x14ac:dyDescent="0.25">
      <c r="A35" s="1571"/>
      <c r="B35" s="1572"/>
      <c r="C35" s="1572"/>
      <c r="D35" s="1572"/>
      <c r="E35" s="1572"/>
      <c r="F35" s="1573"/>
      <c r="G35" s="53"/>
      <c r="H35" s="54"/>
      <c r="I35" s="55"/>
      <c r="J35" s="55"/>
      <c r="N35" s="1374"/>
      <c r="O35" s="593"/>
    </row>
    <row r="36" spans="1:15" ht="13.9" customHeight="1" x14ac:dyDescent="0.25">
      <c r="A36" s="1571"/>
      <c r="B36" s="1572"/>
      <c r="C36" s="1572"/>
      <c r="D36" s="1572"/>
      <c r="E36" s="1572"/>
      <c r="F36" s="1573"/>
      <c r="G36" s="53"/>
      <c r="H36" s="54"/>
      <c r="I36" s="55"/>
      <c r="J36" s="55"/>
      <c r="N36" s="1374"/>
      <c r="O36" s="593"/>
    </row>
    <row r="37" spans="1:15" ht="13.9" customHeight="1" x14ac:dyDescent="0.25">
      <c r="A37" s="593"/>
      <c r="B37" s="593"/>
      <c r="C37" s="593"/>
      <c r="D37" s="593"/>
      <c r="E37" s="593"/>
      <c r="G37" s="593"/>
      <c r="H37" s="593"/>
      <c r="I37" s="601" t="s">
        <v>257</v>
      </c>
      <c r="J37" s="605">
        <f>+SUM(J25:J36)</f>
        <v>365954</v>
      </c>
      <c r="N37" s="1374">
        <f>SUM(N25:N33)</f>
        <v>13.974677571059434</v>
      </c>
      <c r="O37" s="593"/>
    </row>
    <row r="38" spans="1:15" ht="13.9" customHeight="1" x14ac:dyDescent="0.25">
      <c r="N38" s="1374"/>
      <c r="O38" s="593"/>
    </row>
    <row r="39" spans="1:15" ht="13.9" customHeight="1" x14ac:dyDescent="0.25">
      <c r="A39" s="1673" t="s">
        <v>267</v>
      </c>
      <c r="B39" s="1673"/>
      <c r="C39" s="1673"/>
      <c r="D39" s="1673"/>
      <c r="E39" s="1673"/>
      <c r="F39" s="1673"/>
      <c r="G39" s="1673"/>
      <c r="H39" s="1673"/>
      <c r="I39" s="390"/>
      <c r="N39" s="1374"/>
      <c r="O39" s="593"/>
    </row>
    <row r="40" spans="1:15" ht="13.9" customHeight="1" x14ac:dyDescent="0.25">
      <c r="A40" s="1674" t="s">
        <v>268</v>
      </c>
      <c r="B40" s="1675"/>
      <c r="C40" s="1675"/>
      <c r="D40" s="1675"/>
      <c r="E40" s="1675"/>
      <c r="F40" s="1676"/>
      <c r="G40" s="607" t="s">
        <v>255</v>
      </c>
      <c r="H40" s="600" t="s">
        <v>269</v>
      </c>
      <c r="I40" s="600" t="s">
        <v>256</v>
      </c>
      <c r="J40" s="600" t="s">
        <v>257</v>
      </c>
    </row>
    <row r="41" spans="1:15" ht="13.9" customHeight="1" x14ac:dyDescent="0.25">
      <c r="A41" s="1571" t="str">
        <f>+'EQUIPOS '!B6</f>
        <v>CAMION INCLUYE CONDUCTOR</v>
      </c>
      <c r="B41" s="1572"/>
      <c r="C41" s="1572"/>
      <c r="D41" s="1572"/>
      <c r="E41" s="1572"/>
      <c r="F41" s="1573"/>
      <c r="G41" s="659">
        <f>(N37/1000)/12</f>
        <v>1.1645564642549528E-3</v>
      </c>
      <c r="H41" s="55">
        <f>+IFERROR(VLOOKUP(A41,'EQUIPOS '!$B$3:$M$61,12,FALSE),0)</f>
        <v>611492.5</v>
      </c>
      <c r="I41" s="55">
        <f>IFERROR(H41*G41,0)</f>
        <v>712.11754371842176</v>
      </c>
      <c r="J41" s="55">
        <f>ROUND(I41,0)</f>
        <v>712</v>
      </c>
    </row>
    <row r="42" spans="1:15" ht="13.9" customHeight="1" x14ac:dyDescent="0.25">
      <c r="A42" s="1571"/>
      <c r="B42" s="1572"/>
      <c r="C42" s="1572"/>
      <c r="D42" s="1572"/>
      <c r="E42" s="1572"/>
      <c r="F42" s="1573"/>
      <c r="G42" s="53"/>
      <c r="H42" s="55"/>
      <c r="I42" s="55"/>
      <c r="J42" s="55"/>
    </row>
    <row r="43" spans="1:15" ht="13.9" customHeight="1" x14ac:dyDescent="0.25">
      <c r="A43" s="1571"/>
      <c r="B43" s="1572"/>
      <c r="C43" s="1572"/>
      <c r="D43" s="1572"/>
      <c r="E43" s="1572"/>
      <c r="F43" s="1573"/>
      <c r="G43" s="53"/>
      <c r="H43" s="55"/>
      <c r="I43" s="55"/>
      <c r="J43" s="55"/>
    </row>
    <row r="44" spans="1:15" ht="13.9" customHeight="1" x14ac:dyDescent="0.25">
      <c r="G44" s="608"/>
      <c r="H44" s="608"/>
      <c r="I44" s="601" t="s">
        <v>257</v>
      </c>
      <c r="J44" s="55">
        <f>+SUM(J41:J43)</f>
        <v>712</v>
      </c>
    </row>
    <row r="45" spans="1:15" ht="13.9" customHeight="1" x14ac:dyDescent="0.25"/>
    <row r="46" spans="1:15" ht="13.9" customHeight="1" x14ac:dyDescent="0.25">
      <c r="A46" s="1673" t="s">
        <v>270</v>
      </c>
      <c r="B46" s="1673"/>
      <c r="C46" s="1673"/>
      <c r="D46" s="1673"/>
      <c r="E46" s="1673"/>
      <c r="F46" s="1673"/>
      <c r="G46" s="1673"/>
      <c r="H46" s="1673"/>
      <c r="I46" s="390"/>
    </row>
    <row r="47" spans="1:15" s="608" customFormat="1" ht="13.9" customHeight="1" x14ac:dyDescent="0.25">
      <c r="A47" s="1674" t="s">
        <v>271</v>
      </c>
      <c r="B47" s="1675"/>
      <c r="C47" s="1675"/>
      <c r="D47" s="1676"/>
      <c r="E47" s="600" t="s">
        <v>272</v>
      </c>
      <c r="F47" s="600" t="s">
        <v>264</v>
      </c>
      <c r="G47" s="600" t="s">
        <v>273</v>
      </c>
      <c r="H47" s="600" t="s">
        <v>255</v>
      </c>
      <c r="I47" s="600" t="s">
        <v>256</v>
      </c>
      <c r="J47" s="600" t="s">
        <v>257</v>
      </c>
    </row>
    <row r="48" spans="1:15" s="608" customFormat="1" ht="13.9" customHeight="1" x14ac:dyDescent="0.25">
      <c r="A48" s="1571" t="str">
        <f>+PERSONAL!B40</f>
        <v xml:space="preserve">SOLDADOR </v>
      </c>
      <c r="B48" s="1572"/>
      <c r="C48" s="1572"/>
      <c r="D48" s="1573"/>
      <c r="E48" s="609">
        <f>+IFERROR(VLOOKUP(A48,PERSONAL!$B$3:$E$56,4,FALSE),0)</f>
        <v>110344</v>
      </c>
      <c r="F48" s="601"/>
      <c r="G48" s="609">
        <f>+E48*F48</f>
        <v>0</v>
      </c>
      <c r="H48" s="54">
        <f>+H11*8</f>
        <v>160</v>
      </c>
      <c r="I48" s="55">
        <f>IFERROR(ROUND(G48/H48,0),0)</f>
        <v>0</v>
      </c>
      <c r="J48" s="55">
        <f>+I48</f>
        <v>0</v>
      </c>
    </row>
    <row r="49" spans="1:10" s="608" customFormat="1" ht="13.9" customHeight="1" x14ac:dyDescent="0.25">
      <c r="A49" s="1571" t="str">
        <f>+PERSONAL!B27</f>
        <v xml:space="preserve">PINTOR </v>
      </c>
      <c r="B49" s="1572"/>
      <c r="C49" s="1572"/>
      <c r="D49" s="1573"/>
      <c r="E49" s="609">
        <f>+IFERROR(VLOOKUP(A49,PERSONAL!$B$3:$E$56,4,FALSE),0)</f>
        <v>100054</v>
      </c>
      <c r="F49" s="601">
        <v>1</v>
      </c>
      <c r="G49" s="609">
        <f>+E49*F49</f>
        <v>100054</v>
      </c>
      <c r="H49" s="54">
        <f>+H12*8</f>
        <v>160</v>
      </c>
      <c r="I49" s="55">
        <f>IFERROR(ROUND(G49/H49,0),0)</f>
        <v>625</v>
      </c>
      <c r="J49" s="55">
        <f>+I49</f>
        <v>625</v>
      </c>
    </row>
    <row r="50" spans="1:10" s="608" customFormat="1" ht="13.9" customHeight="1" x14ac:dyDescent="0.25">
      <c r="A50" s="1571" t="str">
        <f>+PERSONAL!B7</f>
        <v>COLAMINADOR</v>
      </c>
      <c r="B50" s="1572"/>
      <c r="C50" s="1572"/>
      <c r="D50" s="1573"/>
      <c r="E50" s="609">
        <f>+IFERROR(VLOOKUP(A50,PERSONAL!$B$3:$E$56,4,FALSE),0)</f>
        <v>91275</v>
      </c>
      <c r="F50" s="601">
        <v>1</v>
      </c>
      <c r="G50" s="609">
        <f>+E50*F50</f>
        <v>91275</v>
      </c>
      <c r="H50" s="54">
        <f>+H13*8</f>
        <v>160</v>
      </c>
      <c r="I50" s="55">
        <f>IFERROR(ROUND(G50/H50,0),0)</f>
        <v>570</v>
      </c>
      <c r="J50" s="55">
        <f>+I50</f>
        <v>570</v>
      </c>
    </row>
    <row r="51" spans="1:10" s="608" customFormat="1" ht="13.9" customHeight="1" x14ac:dyDescent="0.25">
      <c r="A51" s="1571" t="str">
        <f>+PERSONAL!B5</f>
        <v xml:space="preserve">AYUDANTE </v>
      </c>
      <c r="B51" s="1572"/>
      <c r="C51" s="1572"/>
      <c r="D51" s="1573"/>
      <c r="E51" s="609">
        <f>+IFERROR(VLOOKUP(A51,PERSONAL!$B$3:$E$56,4,FALSE),0)</f>
        <v>72476</v>
      </c>
      <c r="F51" s="601">
        <v>2</v>
      </c>
      <c r="G51" s="609">
        <f>+E51*F51</f>
        <v>144952</v>
      </c>
      <c r="H51" s="54">
        <f>+H14*8</f>
        <v>160</v>
      </c>
      <c r="I51" s="55">
        <f>IFERROR(ROUND(G51/H51,0),0)</f>
        <v>906</v>
      </c>
      <c r="J51" s="55">
        <f>+I51</f>
        <v>906</v>
      </c>
    </row>
    <row r="52" spans="1:10" s="608" customFormat="1" ht="13.9" customHeight="1" x14ac:dyDescent="0.25">
      <c r="A52" s="1571" t="s">
        <v>143</v>
      </c>
      <c r="B52" s="1572"/>
      <c r="C52" s="1572"/>
      <c r="D52" s="1573"/>
      <c r="E52" s="609">
        <f>+IFERROR(VLOOKUP(A52,PERSONAL!$B$3:$E$56,4,FALSE),0)</f>
        <v>89632</v>
      </c>
      <c r="F52" s="601">
        <v>1</v>
      </c>
      <c r="G52" s="609">
        <f>+E52*F52</f>
        <v>89632</v>
      </c>
      <c r="H52" s="54">
        <f>H51</f>
        <v>160</v>
      </c>
      <c r="I52" s="55">
        <f>IFERROR(ROUND(G52/H52,0),0)</f>
        <v>560</v>
      </c>
      <c r="J52" s="55">
        <f>+I52</f>
        <v>560</v>
      </c>
    </row>
    <row r="53" spans="1:10" s="608" customFormat="1" ht="13.9" customHeight="1" x14ac:dyDescent="0.25">
      <c r="A53" s="1571"/>
      <c r="B53" s="1572"/>
      <c r="C53" s="1572"/>
      <c r="D53" s="1573"/>
      <c r="E53" s="609"/>
      <c r="F53" s="601"/>
      <c r="G53" s="609"/>
      <c r="H53" s="54"/>
      <c r="I53" s="55"/>
      <c r="J53" s="55"/>
    </row>
    <row r="54" spans="1:10" s="608" customFormat="1" ht="13.9" customHeight="1" x14ac:dyDescent="0.25">
      <c r="A54" s="1571"/>
      <c r="B54" s="1572"/>
      <c r="C54" s="1572"/>
      <c r="D54" s="1573"/>
      <c r="E54" s="609"/>
      <c r="F54" s="601"/>
      <c r="G54" s="609"/>
      <c r="H54" s="54"/>
      <c r="I54" s="55"/>
      <c r="J54" s="55"/>
    </row>
    <row r="55" spans="1:10" s="608" customFormat="1" ht="13.9" customHeight="1" x14ac:dyDescent="0.25">
      <c r="A55" s="1571"/>
      <c r="B55" s="1572"/>
      <c r="C55" s="1572"/>
      <c r="D55" s="1573"/>
      <c r="E55" s="609"/>
      <c r="F55" s="601"/>
      <c r="G55" s="609"/>
      <c r="H55" s="54"/>
      <c r="I55" s="55"/>
      <c r="J55" s="55"/>
    </row>
    <row r="56" spans="1:10" s="608" customFormat="1" ht="13.9" customHeight="1" x14ac:dyDescent="0.25">
      <c r="A56" s="1571"/>
      <c r="B56" s="1572"/>
      <c r="C56" s="1572"/>
      <c r="D56" s="1573"/>
      <c r="E56" s="609"/>
      <c r="F56" s="601"/>
      <c r="G56" s="609"/>
      <c r="H56" s="54"/>
      <c r="I56" s="55"/>
      <c r="J56" s="55"/>
    </row>
    <row r="57" spans="1:10" s="608" customFormat="1" ht="13.9" customHeight="1" x14ac:dyDescent="0.25">
      <c r="A57" s="1571"/>
      <c r="B57" s="1572"/>
      <c r="C57" s="1572"/>
      <c r="D57" s="1573"/>
      <c r="E57" s="609"/>
      <c r="F57" s="601"/>
      <c r="G57" s="609"/>
      <c r="H57" s="54"/>
      <c r="I57" s="55"/>
      <c r="J57" s="55"/>
    </row>
    <row r="58" spans="1:10" ht="13.9" customHeight="1" x14ac:dyDescent="0.25">
      <c r="A58" s="593"/>
      <c r="B58" s="593"/>
      <c r="C58" s="593"/>
      <c r="E58" s="593"/>
      <c r="F58" s="593"/>
      <c r="G58" s="593"/>
      <c r="H58" s="593"/>
      <c r="I58" s="601" t="s">
        <v>257</v>
      </c>
      <c r="J58" s="605">
        <f>+SUM(J48:J57)</f>
        <v>2661</v>
      </c>
    </row>
    <row r="59" spans="1:10" ht="13.9" customHeight="1" x14ac:dyDescent="0.25"/>
    <row r="60" spans="1:10" ht="13.9" customHeight="1" x14ac:dyDescent="0.25">
      <c r="E60" s="610" t="s">
        <v>276</v>
      </c>
      <c r="I60" s="611">
        <f>+J58+J44+J37+J21</f>
        <v>374047</v>
      </c>
      <c r="J60" s="612"/>
    </row>
    <row r="61" spans="1:10" ht="13.9" customHeight="1" x14ac:dyDescent="0.25"/>
    <row r="62" spans="1:10" ht="14.1" customHeight="1" x14ac:dyDescent="0.25"/>
  </sheetData>
  <mergeCells count="50">
    <mergeCell ref="L2:O2"/>
    <mergeCell ref="A14:D14"/>
    <mergeCell ref="A1:J1"/>
    <mergeCell ref="A2:J2"/>
    <mergeCell ref="A4:J4"/>
    <mergeCell ref="A6:B6"/>
    <mergeCell ref="A7:B7"/>
    <mergeCell ref="C7:J7"/>
    <mergeCell ref="A9:H9"/>
    <mergeCell ref="A10:D10"/>
    <mergeCell ref="A11:D11"/>
    <mergeCell ref="A12:D12"/>
    <mergeCell ref="A13:D13"/>
    <mergeCell ref="A31:F31"/>
    <mergeCell ref="A15:D15"/>
    <mergeCell ref="A18:D18"/>
    <mergeCell ref="A20:D20"/>
    <mergeCell ref="A23:H23"/>
    <mergeCell ref="A24:F24"/>
    <mergeCell ref="A25:F25"/>
    <mergeCell ref="A26:F26"/>
    <mergeCell ref="A27:F27"/>
    <mergeCell ref="A28:F28"/>
    <mergeCell ref="A29:F29"/>
    <mergeCell ref="A30:F30"/>
    <mergeCell ref="A16:D16"/>
    <mergeCell ref="A17:D17"/>
    <mergeCell ref="A19:D19"/>
    <mergeCell ref="A32:F32"/>
    <mergeCell ref="A33:F33"/>
    <mergeCell ref="A36:F36"/>
    <mergeCell ref="A39:H39"/>
    <mergeCell ref="A40:F40"/>
    <mergeCell ref="A34:F34"/>
    <mergeCell ref="A35:F35"/>
    <mergeCell ref="A56:D56"/>
    <mergeCell ref="A57:D57"/>
    <mergeCell ref="A50:D50"/>
    <mergeCell ref="A51:D51"/>
    <mergeCell ref="A52:D52"/>
    <mergeCell ref="A53:D53"/>
    <mergeCell ref="A54:D54"/>
    <mergeCell ref="A55:D55"/>
    <mergeCell ref="A49:D49"/>
    <mergeCell ref="A41:F41"/>
    <mergeCell ref="A42:F42"/>
    <mergeCell ref="A43:F43"/>
    <mergeCell ref="A46:H46"/>
    <mergeCell ref="A47:D47"/>
    <mergeCell ref="A48:D48"/>
  </mergeCells>
  <pageMargins left="0.70866141732283472" right="0.70866141732283472" top="0.78740157480314965" bottom="0.78740157480314965" header="0.31496062992125984" footer="0.31496062992125984"/>
  <pageSetup scale="85" orientation="portrait" r:id="rId1"/>
  <drawing r:id="rId2"/>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D00-000000000000}">
  <sheetPr codeName="Hoja11">
    <tabColor rgb="FF00B050"/>
  </sheetPr>
  <dimension ref="A1:O65"/>
  <sheetViews>
    <sheetView topLeftCell="A46" workbookViewId="0">
      <selection activeCell="G46" sqref="G4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2" width="11.42578125" style="592"/>
    <col min="13" max="15" width="0" style="592" hidden="1" customWidth="1"/>
    <col min="16" max="16384" width="11.42578125" style="592"/>
  </cols>
  <sheetData>
    <row r="1" spans="1:13" ht="29.25" customHeight="1" x14ac:dyDescent="0.25">
      <c r="A1" s="1680" t="s">
        <v>244</v>
      </c>
      <c r="B1" s="1681"/>
      <c r="C1" s="1681"/>
      <c r="D1" s="1681"/>
      <c r="E1" s="1681"/>
      <c r="F1" s="1681"/>
      <c r="G1" s="1681"/>
      <c r="H1" s="1681"/>
      <c r="I1" s="1681"/>
      <c r="J1" s="1681"/>
    </row>
    <row r="2" spans="1:13" ht="15" customHeight="1" x14ac:dyDescent="0.25">
      <c r="A2" s="1682" t="s">
        <v>245</v>
      </c>
      <c r="B2" s="1682"/>
      <c r="C2" s="1682"/>
      <c r="D2" s="1682"/>
      <c r="E2" s="1682"/>
      <c r="F2" s="1682"/>
      <c r="G2" s="1682"/>
      <c r="H2" s="1682"/>
      <c r="I2" s="1682"/>
      <c r="J2" s="1682"/>
    </row>
    <row r="4" spans="1:13" s="593" customFormat="1" ht="9.9499999999999993" customHeight="1" x14ac:dyDescent="0.25">
      <c r="A4" s="1683" t="s">
        <v>246</v>
      </c>
      <c r="B4" s="1683"/>
      <c r="C4" s="1683"/>
      <c r="D4" s="1683"/>
      <c r="E4" s="1683"/>
      <c r="F4" s="1683"/>
      <c r="G4" s="1683"/>
      <c r="H4" s="1683"/>
      <c r="I4" s="1683"/>
      <c r="J4" s="1683"/>
    </row>
    <row r="5" spans="1:13" s="593" customFormat="1" ht="9.9499999999999993" customHeight="1" x14ac:dyDescent="0.25">
      <c r="B5" s="594"/>
      <c r="C5" s="594"/>
      <c r="D5" s="594"/>
      <c r="E5" s="594"/>
      <c r="F5" s="594"/>
      <c r="G5" s="594"/>
    </row>
    <row r="6" spans="1:13" x14ac:dyDescent="0.25">
      <c r="A6" s="1571" t="s">
        <v>247</v>
      </c>
      <c r="B6" s="1573"/>
      <c r="C6" s="595">
        <v>7</v>
      </c>
      <c r="D6" s="596"/>
      <c r="E6" s="596"/>
      <c r="F6" s="596"/>
      <c r="G6" s="596"/>
      <c r="H6" s="597"/>
      <c r="I6" s="598" t="s">
        <v>248</v>
      </c>
      <c r="J6" s="599" t="str">
        <f>+VLOOKUP(C6,'ANEXO PLIEGO_1'!$A$7:$C$133,3,FALSE)</f>
        <v>UN</v>
      </c>
    </row>
    <row r="7" spans="1:13" ht="35.1" customHeight="1" x14ac:dyDescent="0.25">
      <c r="A7" s="1637" t="s">
        <v>249</v>
      </c>
      <c r="B7" s="1639"/>
      <c r="C7" s="1684" t="str">
        <f>+VLOOKUP(C6,'ANEXO PLIEGO_1'!$A$7:$B$103,2,FALSE)</f>
        <v>Fabricación, suministro e instalación de Señal doble SP47 ó SP47A/SR de 60 cm , material reflectivo Tipo Tipo XI amarillo/verde fluorescente, película antigraffiti, en lámina  galvanizada C-16 E=1,5 mm, pedestal en tubo galvanizado de sección circular con diámetro interior de 2" y e=2 mm. cumpliendo con normatividad vigente.</v>
      </c>
      <c r="D7" s="1685"/>
      <c r="E7" s="1685"/>
      <c r="F7" s="1685"/>
      <c r="G7" s="1685"/>
      <c r="H7" s="1685"/>
      <c r="I7" s="1685"/>
      <c r="J7" s="1686"/>
    </row>
    <row r="9" spans="1:13" s="390" customFormat="1" ht="12.75" x14ac:dyDescent="0.25">
      <c r="A9" s="1673" t="s">
        <v>250</v>
      </c>
      <c r="B9" s="1673"/>
      <c r="C9" s="1673"/>
      <c r="D9" s="1673"/>
      <c r="E9" s="1673"/>
      <c r="F9" s="1673"/>
      <c r="G9" s="1673"/>
      <c r="H9" s="1673"/>
    </row>
    <row r="10" spans="1:13" s="593" customFormat="1" ht="13.9" customHeight="1" x14ac:dyDescent="0.25">
      <c r="A10" s="1674" t="s">
        <v>251</v>
      </c>
      <c r="B10" s="1675"/>
      <c r="C10" s="1675"/>
      <c r="D10" s="1676"/>
      <c r="E10" s="600" t="s">
        <v>252</v>
      </c>
      <c r="F10" s="600" t="s">
        <v>253</v>
      </c>
      <c r="G10" s="600" t="s">
        <v>254</v>
      </c>
      <c r="H10" s="600" t="s">
        <v>255</v>
      </c>
      <c r="I10" s="600" t="s">
        <v>256</v>
      </c>
      <c r="J10" s="600" t="s">
        <v>257</v>
      </c>
    </row>
    <row r="11" spans="1:13" s="593" customFormat="1" ht="13.9" customHeight="1" x14ac:dyDescent="0.25">
      <c r="A11" s="1571" t="str">
        <f>+'EQUIPOS '!B45</f>
        <v>TRONZADORA</v>
      </c>
      <c r="B11" s="1572"/>
      <c r="C11" s="1572"/>
      <c r="D11" s="1573"/>
      <c r="E11" s="53" t="s">
        <v>259</v>
      </c>
      <c r="F11" s="601"/>
      <c r="G11" s="602">
        <f>+IFERROR(VLOOKUP(A11,'EQUIPOS '!$B$3:$M$56,12,FALSE),0)</f>
        <v>3779.5</v>
      </c>
      <c r="H11" s="601">
        <v>10</v>
      </c>
      <c r="I11" s="55">
        <f t="shared" ref="I11:I19" si="0">IFERROR((G11/H11),0)</f>
        <v>377.95</v>
      </c>
      <c r="J11" s="55">
        <f t="shared" ref="J11:J19" si="1">ROUND(I11,0)</f>
        <v>378</v>
      </c>
      <c r="M11" s="1388">
        <v>2</v>
      </c>
    </row>
    <row r="12" spans="1:13" s="593" customFormat="1" ht="13.9" customHeight="1" x14ac:dyDescent="0.25">
      <c r="A12" s="1571" t="str">
        <f>+'EQUIPOS '!B7</f>
        <v xml:space="preserve">CIZALLA DE CORTE VERTICAL </v>
      </c>
      <c r="B12" s="1572"/>
      <c r="C12" s="1572"/>
      <c r="D12" s="1573"/>
      <c r="E12" s="53" t="s">
        <v>259</v>
      </c>
      <c r="F12" s="601"/>
      <c r="G12" s="602">
        <f>+IFERROR(VLOOKUP(A12,'EQUIPOS '!$B$3:$M$56,12,FALSE),0)</f>
        <v>5174.01</v>
      </c>
      <c r="H12" s="601">
        <f>+H11</f>
        <v>10</v>
      </c>
      <c r="I12" s="55">
        <f t="shared" si="0"/>
        <v>517.40100000000007</v>
      </c>
      <c r="J12" s="55">
        <f t="shared" si="1"/>
        <v>517</v>
      </c>
      <c r="M12" s="593">
        <v>1</v>
      </c>
    </row>
    <row r="13" spans="1:13" s="593" customFormat="1" ht="13.9" customHeight="1" x14ac:dyDescent="0.25">
      <c r="A13" s="1571" t="str">
        <f>+'EQUIPOS '!B24</f>
        <v>EQUIPO PINTURA ELECTROSTÁTICA</v>
      </c>
      <c r="B13" s="1572"/>
      <c r="C13" s="1572"/>
      <c r="D13" s="1573"/>
      <c r="E13" s="53" t="s">
        <v>259</v>
      </c>
      <c r="F13" s="601"/>
      <c r="G13" s="602">
        <f>+IFERROR(VLOOKUP(A13,'EQUIPOS '!$B$3:$M$56,12,FALSE),0)</f>
        <v>4047.59</v>
      </c>
      <c r="H13" s="601">
        <f t="shared" ref="H13:H19" si="2">+H12</f>
        <v>10</v>
      </c>
      <c r="I13" s="55">
        <f t="shared" si="0"/>
        <v>404.75900000000001</v>
      </c>
      <c r="J13" s="55">
        <f t="shared" si="1"/>
        <v>405</v>
      </c>
      <c r="M13" s="593">
        <v>2</v>
      </c>
    </row>
    <row r="14" spans="1:13" s="593" customFormat="1" ht="13.9" customHeight="1" x14ac:dyDescent="0.25">
      <c r="A14" s="1571" t="str">
        <f>+'EQUIPOS '!B43</f>
        <v>TALADRO DE ARBOL</v>
      </c>
      <c r="B14" s="1572"/>
      <c r="C14" s="1572"/>
      <c r="D14" s="1573"/>
      <c r="E14" s="53" t="s">
        <v>259</v>
      </c>
      <c r="F14" s="601"/>
      <c r="G14" s="602">
        <f>+IFERROR(VLOOKUP(A14,'EQUIPOS '!$B$3:$M$56,12,FALSE),0)</f>
        <v>4898</v>
      </c>
      <c r="H14" s="601">
        <f t="shared" si="2"/>
        <v>10</v>
      </c>
      <c r="I14" s="55">
        <f t="shared" si="0"/>
        <v>489.8</v>
      </c>
      <c r="J14" s="55">
        <f t="shared" si="1"/>
        <v>490</v>
      </c>
      <c r="M14" s="1388">
        <v>1.5</v>
      </c>
    </row>
    <row r="15" spans="1:13" s="593" customFormat="1" ht="13.9" customHeight="1" x14ac:dyDescent="0.25">
      <c r="A15" s="1571" t="str">
        <f>+'EQUIPOS '!B27</f>
        <v xml:space="preserve">EQUIPO SOLDADURA ELECTRICA </v>
      </c>
      <c r="B15" s="1572"/>
      <c r="C15" s="1572"/>
      <c r="D15" s="1573"/>
      <c r="E15" s="53" t="s">
        <v>259</v>
      </c>
      <c r="F15" s="601"/>
      <c r="G15" s="602">
        <f>+IFERROR(VLOOKUP(A15,'EQUIPOS '!$B$3:$M$56,12,FALSE),0)</f>
        <v>4862.5</v>
      </c>
      <c r="H15" s="601">
        <f t="shared" si="2"/>
        <v>10</v>
      </c>
      <c r="I15" s="55">
        <f t="shared" si="0"/>
        <v>486.25</v>
      </c>
      <c r="J15" s="55">
        <f t="shared" si="1"/>
        <v>486</v>
      </c>
      <c r="M15" s="593">
        <v>9</v>
      </c>
    </row>
    <row r="16" spans="1:13" s="593" customFormat="1" ht="13.9" customHeight="1" x14ac:dyDescent="0.25">
      <c r="A16" s="1571" t="str">
        <f>+'EQUIPOS '!B25</f>
        <v>EQUIPO  COLAMINADO</v>
      </c>
      <c r="B16" s="1572"/>
      <c r="C16" s="1572"/>
      <c r="D16" s="1573"/>
      <c r="E16" s="53" t="s">
        <v>259</v>
      </c>
      <c r="F16" s="601"/>
      <c r="G16" s="602">
        <f>+IFERROR(VLOOKUP(A16,'EQUIPOS '!$B$3:$M$56,12,FALSE),0)</f>
        <v>4701.8100000000004</v>
      </c>
      <c r="H16" s="601">
        <f t="shared" si="2"/>
        <v>10</v>
      </c>
      <c r="I16" s="55">
        <f t="shared" si="0"/>
        <v>470.18100000000004</v>
      </c>
      <c r="J16" s="55">
        <f t="shared" si="1"/>
        <v>470</v>
      </c>
      <c r="M16" s="1388">
        <v>3</v>
      </c>
    </row>
    <row r="17" spans="1:15" s="593" customFormat="1" ht="13.9" customHeight="1" x14ac:dyDescent="0.25">
      <c r="A17" s="1571" t="str">
        <f>+'EQUIPOS '!B9</f>
        <v>COMPRESOR</v>
      </c>
      <c r="B17" s="1572"/>
      <c r="C17" s="1572"/>
      <c r="D17" s="1573"/>
      <c r="E17" s="53" t="s">
        <v>259</v>
      </c>
      <c r="F17" s="601"/>
      <c r="G17" s="602">
        <f>+IFERROR(VLOOKUP(A17,'EQUIPOS '!$B$3:$M$56,12,FALSE),0)</f>
        <v>7999.94</v>
      </c>
      <c r="H17" s="601">
        <f t="shared" si="2"/>
        <v>10</v>
      </c>
      <c r="I17" s="55">
        <f t="shared" si="0"/>
        <v>799.99399999999991</v>
      </c>
      <c r="J17" s="55">
        <f t="shared" si="1"/>
        <v>800</v>
      </c>
      <c r="M17" s="593">
        <v>9</v>
      </c>
    </row>
    <row r="18" spans="1:15" s="593" customFormat="1" ht="13.9" customHeight="1" x14ac:dyDescent="0.25">
      <c r="A18" s="1571" t="str">
        <f>+'EQUIPOS '!B51</f>
        <v xml:space="preserve">IMPRESORA DIGITAL PARA SEÑALES DE TRÁNSITO </v>
      </c>
      <c r="B18" s="1572"/>
      <c r="C18" s="1572"/>
      <c r="D18" s="1573"/>
      <c r="E18" s="53" t="s">
        <v>259</v>
      </c>
      <c r="F18" s="601"/>
      <c r="G18" s="602">
        <f>+IFERROR(VLOOKUP(A18,'EQUIPOS '!$B$3:$M$56,12,FALSE),0)</f>
        <v>64227.08</v>
      </c>
      <c r="H18" s="601">
        <f t="shared" si="2"/>
        <v>10</v>
      </c>
      <c r="I18" s="55">
        <f t="shared" si="0"/>
        <v>6422.7080000000005</v>
      </c>
      <c r="J18" s="55">
        <f t="shared" si="1"/>
        <v>6423</v>
      </c>
      <c r="M18" s="593">
        <v>2.5</v>
      </c>
    </row>
    <row r="19" spans="1:15" s="593" customFormat="1" ht="13.9" customHeight="1" x14ac:dyDescent="0.25">
      <c r="A19" s="1571" t="str">
        <f>+'EQUIPOS '!B39</f>
        <v xml:space="preserve">PULIDORA </v>
      </c>
      <c r="B19" s="1572"/>
      <c r="C19" s="1572"/>
      <c r="D19" s="1573"/>
      <c r="E19" s="53" t="s">
        <v>259</v>
      </c>
      <c r="F19" s="601"/>
      <c r="G19" s="602">
        <f>+IFERROR(VLOOKUP(A19,'EQUIPOS '!$B$3:$M$56,12,FALSE),0)</f>
        <v>2821</v>
      </c>
      <c r="H19" s="601">
        <f t="shared" si="2"/>
        <v>10</v>
      </c>
      <c r="I19" s="55">
        <f t="shared" si="0"/>
        <v>282.10000000000002</v>
      </c>
      <c r="J19" s="55">
        <f t="shared" si="1"/>
        <v>282</v>
      </c>
      <c r="M19" s="1388">
        <v>2</v>
      </c>
    </row>
    <row r="20" spans="1:15" s="593" customFormat="1" ht="13.9" customHeight="1" x14ac:dyDescent="0.25">
      <c r="A20" s="1571" t="s">
        <v>151</v>
      </c>
      <c r="B20" s="1572"/>
      <c r="C20" s="1572"/>
      <c r="D20" s="1573"/>
      <c r="E20" s="53" t="s">
        <v>259</v>
      </c>
      <c r="F20" s="601"/>
      <c r="G20" s="657">
        <v>0.02</v>
      </c>
      <c r="H20" s="601"/>
      <c r="I20" s="55">
        <f>+G20*J62</f>
        <v>423.64</v>
      </c>
      <c r="J20" s="55">
        <f>ROUND(I20,0)</f>
        <v>424</v>
      </c>
      <c r="M20" s="593">
        <v>4</v>
      </c>
    </row>
    <row r="21" spans="1:15" s="593" customFormat="1" ht="13.9" customHeight="1" x14ac:dyDescent="0.25">
      <c r="A21" s="1571"/>
      <c r="B21" s="1572"/>
      <c r="C21" s="1572"/>
      <c r="D21" s="1573"/>
      <c r="E21" s="53"/>
      <c r="F21" s="601"/>
      <c r="G21" s="602"/>
      <c r="H21" s="601"/>
      <c r="I21" s="55"/>
      <c r="J21" s="55"/>
      <c r="M21" s="1381">
        <f>SUM(M11:M20)</f>
        <v>36</v>
      </c>
    </row>
    <row r="22" spans="1:15" s="593" customFormat="1" ht="13.9" customHeight="1" x14ac:dyDescent="0.25">
      <c r="I22" s="601" t="s">
        <v>257</v>
      </c>
      <c r="J22" s="605">
        <f>+SUM(J11:J21)</f>
        <v>10675</v>
      </c>
      <c r="M22" s="593">
        <f>M21/SUM(F52:F54)</f>
        <v>12</v>
      </c>
      <c r="N22" s="593">
        <f>480/M22</f>
        <v>40</v>
      </c>
    </row>
    <row r="23" spans="1:15" s="593" customFormat="1" ht="13.9" customHeight="1" x14ac:dyDescent="0.25"/>
    <row r="24" spans="1:15" s="593" customFormat="1" ht="13.9" customHeight="1" x14ac:dyDescent="0.25">
      <c r="A24" s="1673" t="s">
        <v>263</v>
      </c>
      <c r="B24" s="1673"/>
      <c r="C24" s="1673"/>
      <c r="D24" s="1673"/>
      <c r="E24" s="1673"/>
      <c r="F24" s="1673"/>
      <c r="G24" s="1673"/>
      <c r="H24" s="1673"/>
      <c r="I24" s="390"/>
    </row>
    <row r="25" spans="1:15" ht="13.9" customHeight="1" x14ac:dyDescent="0.25">
      <c r="A25" s="1677" t="s">
        <v>251</v>
      </c>
      <c r="B25" s="1678"/>
      <c r="C25" s="1678"/>
      <c r="D25" s="1678"/>
      <c r="E25" s="1678"/>
      <c r="F25" s="1679"/>
      <c r="G25" s="600" t="s">
        <v>252</v>
      </c>
      <c r="H25" s="600" t="s">
        <v>264</v>
      </c>
      <c r="I25" s="600" t="s">
        <v>256</v>
      </c>
      <c r="J25" s="600" t="s">
        <v>257</v>
      </c>
      <c r="L25" s="390"/>
    </row>
    <row r="26" spans="1:15" ht="13.9" customHeight="1" x14ac:dyDescent="0.25">
      <c r="A26" s="1721" t="str">
        <f>+'INSUMOS '!B50</f>
        <v>LÁMINA GALVANIZADA C 16 E=1,50 mm</v>
      </c>
      <c r="B26" s="1722"/>
      <c r="C26" s="1722"/>
      <c r="D26" s="1722"/>
      <c r="E26" s="1722"/>
      <c r="F26" s="1723"/>
      <c r="G26" s="53" t="s">
        <v>265</v>
      </c>
      <c r="H26" s="54">
        <f>0.73*0.73+0.6*0.6</f>
        <v>0.89289999999999992</v>
      </c>
      <c r="I26" s="33">
        <f>+IFERROR(VLOOKUP(A26,'INSUMOS '!$B$2:$AP$167,'INSUMOS '!$AO$2+1,FALSE),0)</f>
        <v>85500.55</v>
      </c>
      <c r="J26" s="55">
        <f>ROUND(I26*H26,0)</f>
        <v>76343</v>
      </c>
      <c r="L26" s="390"/>
      <c r="N26" s="1374">
        <f>H26*0.0015*7850</f>
        <v>10.513897500000001</v>
      </c>
      <c r="O26" s="593" t="s">
        <v>106</v>
      </c>
    </row>
    <row r="27" spans="1:15" ht="30" customHeight="1" x14ac:dyDescent="0.25">
      <c r="A27" s="1755" t="str">
        <f>+'INSUMOS '!B125</f>
        <v>LÁMINA RETRORREFLECTIVA TIPO XI, NTC 4739, Color Amarillo/ verde Fluorescente de 123 cm de ancho por 45.7 metros de largo</v>
      </c>
      <c r="B27" s="1756"/>
      <c r="C27" s="1756"/>
      <c r="D27" s="1756"/>
      <c r="E27" s="1756"/>
      <c r="F27" s="1757"/>
      <c r="G27" s="53" t="s">
        <v>265</v>
      </c>
      <c r="H27" s="54">
        <f>+H26</f>
        <v>0.89289999999999992</v>
      </c>
      <c r="I27" s="33">
        <f>+IFERROR(VLOOKUP(A27,'INSUMOS '!$B$2:$AP$167,'INSUMOS '!$AO$2+1,FALSE),0)</f>
        <v>196248</v>
      </c>
      <c r="J27" s="55">
        <f t="shared" ref="J27:J40" si="3">ROUND(I27*H27,0)</f>
        <v>175230</v>
      </c>
      <c r="L27" s="390"/>
      <c r="N27" s="1374">
        <f>H27*0.2/0.36</f>
        <v>0.49605555555555553</v>
      </c>
      <c r="O27" s="593" t="s">
        <v>90</v>
      </c>
    </row>
    <row r="28" spans="1:15" ht="13.9" customHeight="1" x14ac:dyDescent="0.25">
      <c r="A28" s="1721" t="str">
        <f>'INSUMOS '!B105</f>
        <v>TUBO GALVANIZADO DE 2" X 2,0 mm ESPESOR DE PARED</v>
      </c>
      <c r="B28" s="1722"/>
      <c r="C28" s="1722"/>
      <c r="D28" s="1722"/>
      <c r="E28" s="1722"/>
      <c r="F28" s="1723"/>
      <c r="G28" s="53" t="s">
        <v>13</v>
      </c>
      <c r="H28" s="54">
        <f>4.48+0.6</f>
        <v>5.08</v>
      </c>
      <c r="I28" s="33">
        <f>+IFERROR(VLOOKUP(A28,'INSUMOS '!$B$2:$AP$167,'INSUMOS '!$AO$2+1,FALSE),0)</f>
        <v>16939</v>
      </c>
      <c r="J28" s="55">
        <f t="shared" si="3"/>
        <v>86050</v>
      </c>
      <c r="L28" s="390"/>
      <c r="N28" s="1374">
        <f>(((2*0.0254+0.004)^2*PI()/4)-(2*0.0254)^2*PI()/4)*7850*H28</f>
        <v>13.229613602288573</v>
      </c>
      <c r="O28" s="593" t="s">
        <v>7315</v>
      </c>
    </row>
    <row r="29" spans="1:15" ht="13.9" customHeight="1" x14ac:dyDescent="0.25">
      <c r="A29" s="1721" t="str">
        <f>+'INSUMOS '!B8</f>
        <v>ÁNGULO METÁLICO DE 2"X2"X1/8" L=6M</v>
      </c>
      <c r="B29" s="1722"/>
      <c r="C29" s="1722"/>
      <c r="D29" s="1722"/>
      <c r="E29" s="1722"/>
      <c r="F29" s="1723"/>
      <c r="G29" s="53" t="s">
        <v>13</v>
      </c>
      <c r="H29" s="54">
        <v>0.15</v>
      </c>
      <c r="I29" s="33">
        <f>+IFERROR(VLOOKUP(A29,'INSUMOS '!$B$2:$AP$167,'INSUMOS '!$AO$2+1,FALSE),0)</f>
        <v>16804.093333333331</v>
      </c>
      <c r="J29" s="55">
        <f t="shared" si="3"/>
        <v>2521</v>
      </c>
      <c r="L29" s="390"/>
      <c r="N29" s="1374">
        <f>4*0.0254*(0.0254/8)*H29*7850</f>
        <v>0.37983794999999998</v>
      </c>
      <c r="O29" s="593" t="s">
        <v>156</v>
      </c>
    </row>
    <row r="30" spans="1:15" ht="13.9" customHeight="1" x14ac:dyDescent="0.25">
      <c r="A30" s="1721" t="str">
        <f>+'INSUMOS '!B102</f>
        <v>TORNILLOS 5/16 ZINCADO  (INCLUYE TUERCA DE SEGURIDAD Y ARANDELA)</v>
      </c>
      <c r="B30" s="1722"/>
      <c r="C30" s="1722"/>
      <c r="D30" s="1722"/>
      <c r="E30" s="1722"/>
      <c r="F30" s="1723"/>
      <c r="G30" s="53" t="s">
        <v>13</v>
      </c>
      <c r="H30" s="54">
        <v>8</v>
      </c>
      <c r="I30" s="33">
        <f>+IFERROR(VLOOKUP(A30,'INSUMOS '!$B$2:$AP$167,'INSUMOS '!$AO$2+1,FALSE),0)</f>
        <v>1747.5</v>
      </c>
      <c r="J30" s="55">
        <f t="shared" si="3"/>
        <v>13980</v>
      </c>
      <c r="N30" s="1374">
        <f>H30*0.3/4</f>
        <v>0.6</v>
      </c>
      <c r="O30" s="593" t="s">
        <v>42</v>
      </c>
    </row>
    <row r="31" spans="1:15" ht="13.9" customHeight="1" x14ac:dyDescent="0.25">
      <c r="A31" s="1721" t="str">
        <f>+'INSUMOS '!B88</f>
        <v>REMACHES CON ARANDELAS DE 4*10 MM</v>
      </c>
      <c r="B31" s="1722"/>
      <c r="C31" s="1722"/>
      <c r="D31" s="1722"/>
      <c r="E31" s="1722"/>
      <c r="F31" s="1723"/>
      <c r="G31" s="53" t="s">
        <v>266</v>
      </c>
      <c r="H31" s="54">
        <v>8</v>
      </c>
      <c r="I31" s="33">
        <f>+IFERROR(VLOOKUP(A31,'INSUMOS '!$B$2:$AP$167,'INSUMOS '!$AO$2+1,FALSE),0)</f>
        <v>170</v>
      </c>
      <c r="J31" s="55">
        <f t="shared" si="3"/>
        <v>1360</v>
      </c>
      <c r="N31" s="1374">
        <f>H31/4*0.1</f>
        <v>0.2</v>
      </c>
      <c r="O31" s="593" t="s">
        <v>43</v>
      </c>
    </row>
    <row r="32" spans="1:15" ht="13.9" customHeight="1" x14ac:dyDescent="0.25">
      <c r="A32" s="1750" t="str">
        <f>+'INSUMOS '!B94</f>
        <v xml:space="preserve">STEAKER 15 X 15 CM EN PAPEL REFLECTIVO TIPO IV O SUPERIOR </v>
      </c>
      <c r="B32" s="1751"/>
      <c r="C32" s="1751"/>
      <c r="D32" s="1751"/>
      <c r="E32" s="1751"/>
      <c r="F32" s="1751"/>
      <c r="G32" s="53" t="s">
        <v>266</v>
      </c>
      <c r="H32" s="54">
        <v>1</v>
      </c>
      <c r="I32" s="33">
        <f>+IFERROR(VLOOKUP(A32,'INSUMOS '!$B$2:$AP$167,'INSUMOS '!$AO$2+1,FALSE),0)</f>
        <v>2500</v>
      </c>
      <c r="J32" s="55">
        <f t="shared" si="3"/>
        <v>2500</v>
      </c>
      <c r="N32" s="1375">
        <f>H32*0.05</f>
        <v>0.05</v>
      </c>
      <c r="O32" s="593" t="s">
        <v>92</v>
      </c>
    </row>
    <row r="33" spans="1:15" ht="13.9" customHeight="1" x14ac:dyDescent="0.25">
      <c r="A33" s="1750" t="str">
        <f>+'INSUMOS '!B67</f>
        <v xml:space="preserve">PELÍCULA ANTIGRAFITTI </v>
      </c>
      <c r="B33" s="1751"/>
      <c r="C33" s="1751"/>
      <c r="D33" s="1751"/>
      <c r="E33" s="1751"/>
      <c r="F33" s="1751"/>
      <c r="G33" s="53" t="s">
        <v>12</v>
      </c>
      <c r="H33" s="54">
        <f>+H26</f>
        <v>0.89289999999999992</v>
      </c>
      <c r="I33" s="33">
        <f>+IFERROR(VLOOKUP(A33,'INSUMOS '!$B$2:$AP$167,'INSUMOS '!$AO$2+1,FALSE),0)</f>
        <v>65174.538799999995</v>
      </c>
      <c r="J33" s="55">
        <f t="shared" si="3"/>
        <v>58194</v>
      </c>
      <c r="N33" s="1374">
        <f>H33/0.36*0.3</f>
        <v>0.74408333333333332</v>
      </c>
      <c r="O33" s="593" t="s">
        <v>89</v>
      </c>
    </row>
    <row r="34" spans="1:15" ht="13.9" customHeight="1" x14ac:dyDescent="0.25">
      <c r="A34" s="1721" t="str">
        <f>+'INSUMOS '!B73</f>
        <v>PINTURA ELECTROSTÁTICA M2</v>
      </c>
      <c r="B34" s="1722"/>
      <c r="C34" s="1722"/>
      <c r="D34" s="1722"/>
      <c r="E34" s="1722"/>
      <c r="F34" s="1723"/>
      <c r="G34" s="53" t="s">
        <v>6</v>
      </c>
      <c r="H34" s="37">
        <f>((0.0254*2+0.004)*PI()*H28+H26+8*0.0254*H29+5*0.0588^2*PI()/4)/3</f>
        <v>0.60384215480240844</v>
      </c>
      <c r="I34" s="33">
        <f>+IFERROR(VLOOKUP(A34,'INSUMOS '!$B$2:$AP$167,'INSUMOS '!$AO$2+1,FALSE),0)</f>
        <v>26664.5</v>
      </c>
      <c r="J34" s="55">
        <f t="shared" si="3"/>
        <v>16101</v>
      </c>
      <c r="N34" s="1374">
        <f>H34</f>
        <v>0.60384215480240844</v>
      </c>
      <c r="O34" s="593" t="s">
        <v>334</v>
      </c>
    </row>
    <row r="35" spans="1:15" ht="13.9" customHeight="1" x14ac:dyDescent="0.25">
      <c r="A35" s="1721" t="str">
        <f>+'INSUMOS '!B100</f>
        <v>TINTA TRASLUCIDA PARA CINTA REFLECTIVA</v>
      </c>
      <c r="B35" s="1722"/>
      <c r="C35" s="1722"/>
      <c r="D35" s="1722"/>
      <c r="E35" s="1722"/>
      <c r="F35" s="1723"/>
      <c r="G35" s="53" t="s">
        <v>157</v>
      </c>
      <c r="H35" s="606">
        <f>H26/3.44*0.22</f>
        <v>5.710406976744186E-2</v>
      </c>
      <c r="I35" s="33">
        <f>+IFERROR(VLOOKUP(A35,'INSUMOS '!$B$2:$AP$167,'INSUMOS '!$AO$2+1,FALSE),0)</f>
        <v>440873.77039999992</v>
      </c>
      <c r="J35" s="55">
        <f t="shared" si="3"/>
        <v>25176</v>
      </c>
      <c r="N35" s="1405">
        <f>H35*0.454</f>
        <v>2.5925247674418606E-2</v>
      </c>
      <c r="O35" s="593" t="s">
        <v>45</v>
      </c>
    </row>
    <row r="36" spans="1:15" ht="13.9" customHeight="1" x14ac:dyDescent="0.25">
      <c r="A36" s="1752" t="str">
        <f>+'INSUMOS '!B28</f>
        <v>CONCRETO  HIDRAULICO 2500 PSI 17 MPA (175 KG/CM2)</v>
      </c>
      <c r="B36" s="1722"/>
      <c r="C36" s="1722"/>
      <c r="D36" s="1722"/>
      <c r="E36" s="1722"/>
      <c r="F36" s="1723"/>
      <c r="G36" s="53" t="s">
        <v>3</v>
      </c>
      <c r="H36" s="606">
        <f>+PI()*0.25*0.25/4*0.55</f>
        <v>2.6998061866787288E-2</v>
      </c>
      <c r="I36" s="33">
        <f>+IFERROR(VLOOKUP(A36,'INSUMOS '!$B$2:$AP$167,'INSUMOS '!$AO$2+1,FALSE),0)</f>
        <v>486142</v>
      </c>
      <c r="J36" s="55">
        <f t="shared" si="3"/>
        <v>13125</v>
      </c>
      <c r="N36" s="1374">
        <f>H36*2400</f>
        <v>64.795348480289491</v>
      </c>
      <c r="O36" s="593" t="s">
        <v>98</v>
      </c>
    </row>
    <row r="37" spans="1:15" ht="13.9" customHeight="1" x14ac:dyDescent="0.25">
      <c r="A37" s="1687" t="str">
        <f>+'INSUMOS '!B93</f>
        <v>SOLDADURA ELECTRICA  E 6013 O SIMILAR</v>
      </c>
      <c r="B37" s="1753"/>
      <c r="C37" s="1753"/>
      <c r="D37" s="1753"/>
      <c r="E37" s="1753"/>
      <c r="F37" s="1754"/>
      <c r="G37" s="53" t="s">
        <v>6</v>
      </c>
      <c r="H37" s="606">
        <f>0.005^2/2*(10*0.0588*PI())*7850</f>
        <v>0.1812620421304971</v>
      </c>
      <c r="I37" s="33">
        <f>+IFERROR(VLOOKUP(A37,'INSUMOS '!$B$2:$AP$167,'INSUMOS '!$AO$2+1,FALSE),0)</f>
        <v>19163.666666666668</v>
      </c>
      <c r="J37" s="55">
        <f t="shared" si="3"/>
        <v>3474</v>
      </c>
      <c r="N37" s="1374">
        <f>H37</f>
        <v>0.1812620421304971</v>
      </c>
      <c r="O37" s="593" t="s">
        <v>87</v>
      </c>
    </row>
    <row r="38" spans="1:15" ht="13.9" customHeight="1" x14ac:dyDescent="0.25">
      <c r="A38" s="1721" t="str">
        <f>+'INSUMOS '!B21</f>
        <v>BROCA PARA METAL 1/2"</v>
      </c>
      <c r="B38" s="1722"/>
      <c r="C38" s="1722"/>
      <c r="D38" s="1722"/>
      <c r="E38" s="1722"/>
      <c r="F38" s="1723"/>
      <c r="G38" s="53" t="s">
        <v>266</v>
      </c>
      <c r="H38" s="54">
        <v>0.02</v>
      </c>
      <c r="I38" s="33">
        <f>+IFERROR(VLOOKUP(A38,'INSUMOS '!$B$2:$AP$167,'INSUMOS '!$AO$2+1,FALSE),0)</f>
        <v>31741.5</v>
      </c>
      <c r="J38" s="55">
        <f t="shared" si="3"/>
        <v>635</v>
      </c>
      <c r="N38" s="1374">
        <f>H38*0.106</f>
        <v>2.1199999999999999E-3</v>
      </c>
      <c r="O38" s="593" t="s">
        <v>26</v>
      </c>
    </row>
    <row r="39" spans="1:15" ht="13.9" customHeight="1" x14ac:dyDescent="0.25">
      <c r="A39" s="1571" t="str">
        <f>'INSUMOS '!B50</f>
        <v>LÁMINA GALVANIZADA C 16 E=1,50 mm</v>
      </c>
      <c r="B39" s="1572"/>
      <c r="C39" s="1572"/>
      <c r="D39" s="1572"/>
      <c r="E39" s="1572"/>
      <c r="F39" s="1573"/>
      <c r="G39" s="53" t="s">
        <v>265</v>
      </c>
      <c r="H39" s="606">
        <f>0.0588^2*PI()/4*5</f>
        <v>1.357733513028437E-2</v>
      </c>
      <c r="I39" s="33">
        <f>+IFERROR(VLOOKUP(A39,'INSUMOS '!$B$2:$AP$167,'INSUMOS '!$AO$2+1,FALSE),0)</f>
        <v>85500.55</v>
      </c>
      <c r="J39" s="55">
        <f>ROUND(I39*H39,0)</f>
        <v>1161</v>
      </c>
      <c r="N39" s="1374">
        <f>H39*0.0015*7850</f>
        <v>0.15987312115909846</v>
      </c>
      <c r="O39" s="593" t="s">
        <v>106</v>
      </c>
    </row>
    <row r="40" spans="1:15" ht="13.9" customHeight="1" x14ac:dyDescent="0.25">
      <c r="A40" s="1721" t="s">
        <v>333</v>
      </c>
      <c r="B40" s="1722"/>
      <c r="C40" s="1722"/>
      <c r="D40" s="1722"/>
      <c r="E40" s="1722"/>
      <c r="F40" s="1723"/>
      <c r="G40" s="53"/>
      <c r="H40" s="603">
        <v>0.05</v>
      </c>
      <c r="I40" s="55">
        <f>+SUM(J26:J39)</f>
        <v>475850</v>
      </c>
      <c r="J40" s="55">
        <f t="shared" si="3"/>
        <v>23793</v>
      </c>
      <c r="N40" s="592">
        <f>SUM(N25:N39)</f>
        <v>91.98185898723338</v>
      </c>
    </row>
    <row r="41" spans="1:15" ht="13.9" customHeight="1" x14ac:dyDescent="0.25">
      <c r="A41" s="593"/>
      <c r="B41" s="593"/>
      <c r="C41" s="593"/>
      <c r="D41" s="593"/>
      <c r="E41" s="593"/>
      <c r="G41" s="593"/>
      <c r="H41" s="593"/>
      <c r="I41" s="601" t="s">
        <v>257</v>
      </c>
      <c r="J41" s="605">
        <f>+SUM(J26:J40)</f>
        <v>499643</v>
      </c>
    </row>
    <row r="42" spans="1:15" ht="13.9" customHeight="1" x14ac:dyDescent="0.25"/>
    <row r="43" spans="1:15" ht="13.9" customHeight="1" x14ac:dyDescent="0.25">
      <c r="A43" s="1673" t="s">
        <v>267</v>
      </c>
      <c r="B43" s="1673"/>
      <c r="C43" s="1673"/>
      <c r="D43" s="1673"/>
      <c r="E43" s="1673"/>
      <c r="F43" s="1673"/>
      <c r="G43" s="1673"/>
      <c r="H43" s="1673"/>
      <c r="I43" s="390"/>
    </row>
    <row r="44" spans="1:15" ht="13.9" customHeight="1" x14ac:dyDescent="0.25">
      <c r="A44" s="1674" t="s">
        <v>268</v>
      </c>
      <c r="B44" s="1675"/>
      <c r="C44" s="1675"/>
      <c r="D44" s="1675"/>
      <c r="E44" s="1675"/>
      <c r="F44" s="1676"/>
      <c r="G44" s="607" t="s">
        <v>255</v>
      </c>
      <c r="H44" s="600" t="s">
        <v>269</v>
      </c>
      <c r="I44" s="600" t="s">
        <v>256</v>
      </c>
      <c r="J44" s="600" t="s">
        <v>257</v>
      </c>
    </row>
    <row r="45" spans="1:15" ht="13.9" customHeight="1" x14ac:dyDescent="0.25">
      <c r="A45" s="1571" t="str">
        <f>+'EQUIPOS '!B6</f>
        <v>CAMION INCLUYE CONDUCTOR</v>
      </c>
      <c r="B45" s="1572"/>
      <c r="C45" s="1572"/>
      <c r="D45" s="1572"/>
      <c r="E45" s="1572"/>
      <c r="F45" s="1573"/>
      <c r="G45" s="1323">
        <f>(N40/1000)/12</f>
        <v>7.6651549156027815E-3</v>
      </c>
      <c r="H45" s="55">
        <f>+IFERROR(VLOOKUP(A45,'EQUIPOS '!$B$3:$M$61,12,FALSE),0)</f>
        <v>611492.5</v>
      </c>
      <c r="I45" s="55">
        <f>IFERROR(H45*G45,0)</f>
        <v>4687.184742229234</v>
      </c>
      <c r="J45" s="55">
        <f>ROUND(I45,0)</f>
        <v>4687</v>
      </c>
    </row>
    <row r="46" spans="1:15" ht="13.9" customHeight="1" x14ac:dyDescent="0.25">
      <c r="A46" s="1571"/>
      <c r="B46" s="1572"/>
      <c r="C46" s="1572"/>
      <c r="D46" s="1572"/>
      <c r="E46" s="1572"/>
      <c r="F46" s="1573"/>
      <c r="G46" s="53"/>
      <c r="H46" s="55"/>
      <c r="I46" s="55"/>
      <c r="J46" s="55"/>
    </row>
    <row r="47" spans="1:15" ht="13.9" customHeight="1" x14ac:dyDescent="0.25">
      <c r="A47" s="1571"/>
      <c r="B47" s="1572"/>
      <c r="C47" s="1572"/>
      <c r="D47" s="1572"/>
      <c r="E47" s="1572"/>
      <c r="F47" s="1573"/>
      <c r="G47" s="53"/>
      <c r="H47" s="55"/>
      <c r="I47" s="55"/>
      <c r="J47" s="55"/>
    </row>
    <row r="48" spans="1:15" ht="13.9" customHeight="1" x14ac:dyDescent="0.25">
      <c r="G48" s="608"/>
      <c r="H48" s="608"/>
      <c r="I48" s="601" t="s">
        <v>257</v>
      </c>
      <c r="J48" s="55">
        <f>+SUM(J45:J47)</f>
        <v>4687</v>
      </c>
      <c r="N48" s="608"/>
      <c r="O48" s="608"/>
    </row>
    <row r="49" spans="1:10" ht="13.9" customHeight="1" x14ac:dyDescent="0.25"/>
    <row r="50" spans="1:10" ht="13.9" customHeight="1" x14ac:dyDescent="0.25">
      <c r="A50" s="1673" t="s">
        <v>270</v>
      </c>
      <c r="B50" s="1673"/>
      <c r="C50" s="1673"/>
      <c r="D50" s="1673"/>
      <c r="E50" s="1673"/>
      <c r="F50" s="1673"/>
      <c r="G50" s="1673"/>
      <c r="H50" s="1673"/>
      <c r="I50" s="390"/>
    </row>
    <row r="51" spans="1:10" s="608" customFormat="1" ht="13.9" customHeight="1" x14ac:dyDescent="0.25">
      <c r="A51" s="1674" t="s">
        <v>271</v>
      </c>
      <c r="B51" s="1675"/>
      <c r="C51" s="1675"/>
      <c r="D51" s="1676"/>
      <c r="E51" s="600" t="s">
        <v>272</v>
      </c>
      <c r="F51" s="600" t="s">
        <v>264</v>
      </c>
      <c r="G51" s="600" t="s">
        <v>273</v>
      </c>
      <c r="H51" s="600" t="s">
        <v>255</v>
      </c>
      <c r="I51" s="600" t="s">
        <v>256</v>
      </c>
      <c r="J51" s="600" t="s">
        <v>257</v>
      </c>
    </row>
    <row r="52" spans="1:10" s="608" customFormat="1" ht="13.9" customHeight="1" x14ac:dyDescent="0.25">
      <c r="A52" s="1571" t="str">
        <f>+PERSONAL!B40</f>
        <v xml:space="preserve">SOLDADOR </v>
      </c>
      <c r="B52" s="1572"/>
      <c r="C52" s="1572"/>
      <c r="D52" s="1573"/>
      <c r="E52" s="609">
        <f>+IFERROR(VLOOKUP(A52,PERSONAL!$B$3:$E$56,4,FALSE),0)</f>
        <v>110344</v>
      </c>
      <c r="F52" s="601">
        <v>1</v>
      </c>
      <c r="G52" s="609">
        <f t="shared" ref="G52:G57" si="4">+E52*F52</f>
        <v>110344</v>
      </c>
      <c r="H52" s="54">
        <f>N22</f>
        <v>40</v>
      </c>
      <c r="I52" s="55">
        <f t="shared" ref="I52:I57" si="5">IFERROR(ROUND(G52/H52,0),0)</f>
        <v>2759</v>
      </c>
      <c r="J52" s="55">
        <f t="shared" ref="J52:J57" si="6">+I52</f>
        <v>2759</v>
      </c>
    </row>
    <row r="53" spans="1:10" s="608" customFormat="1" ht="13.9" customHeight="1" x14ac:dyDescent="0.25">
      <c r="A53" s="1571" t="str">
        <f>+PERSONAL!B27</f>
        <v xml:space="preserve">PINTOR </v>
      </c>
      <c r="B53" s="1572"/>
      <c r="C53" s="1572"/>
      <c r="D53" s="1573"/>
      <c r="E53" s="609">
        <f>+IFERROR(VLOOKUP(A53,PERSONAL!$B$3:$E$56,4,FALSE),0)</f>
        <v>100054</v>
      </c>
      <c r="F53" s="601">
        <v>1</v>
      </c>
      <c r="G53" s="609">
        <f t="shared" si="4"/>
        <v>100054</v>
      </c>
      <c r="H53" s="54">
        <f>H52</f>
        <v>40</v>
      </c>
      <c r="I53" s="55">
        <f t="shared" si="5"/>
        <v>2501</v>
      </c>
      <c r="J53" s="55">
        <f t="shared" si="6"/>
        <v>2501</v>
      </c>
    </row>
    <row r="54" spans="1:10" s="608" customFormat="1" ht="13.9" customHeight="1" x14ac:dyDescent="0.25">
      <c r="A54" s="1571" t="str">
        <f>+PERSONAL!B7</f>
        <v>COLAMINADOR</v>
      </c>
      <c r="B54" s="1572"/>
      <c r="C54" s="1572"/>
      <c r="D54" s="1573"/>
      <c r="E54" s="609">
        <f>+IFERROR(VLOOKUP(A54,PERSONAL!$B$3:$E$56,4,FALSE),0)</f>
        <v>91275</v>
      </c>
      <c r="F54" s="601">
        <v>1</v>
      </c>
      <c r="G54" s="609">
        <f t="shared" si="4"/>
        <v>91275</v>
      </c>
      <c r="H54" s="54">
        <f>H53</f>
        <v>40</v>
      </c>
      <c r="I54" s="55">
        <f t="shared" si="5"/>
        <v>2282</v>
      </c>
      <c r="J54" s="55">
        <f t="shared" si="6"/>
        <v>2282</v>
      </c>
    </row>
    <row r="55" spans="1:10" s="608" customFormat="1" ht="13.9" customHeight="1" x14ac:dyDescent="0.25">
      <c r="A55" s="1739" t="str">
        <f>+PERSONAL!B18</f>
        <v>JEFE DE CUADRILLA DIURNO</v>
      </c>
      <c r="B55" s="1740"/>
      <c r="C55" s="1740"/>
      <c r="D55" s="1741"/>
      <c r="E55" s="1415">
        <f>+IFERROR(VLOOKUP(A55,PERSONAL!$B$3:$E$56,4,FALSE),0)</f>
        <v>166031</v>
      </c>
      <c r="F55" s="1416">
        <v>1</v>
      </c>
      <c r="G55" s="1415">
        <f t="shared" si="4"/>
        <v>166031</v>
      </c>
      <c r="H55" s="1081">
        <v>40</v>
      </c>
      <c r="I55" s="1004">
        <f t="shared" si="5"/>
        <v>4151</v>
      </c>
      <c r="J55" s="1004">
        <f t="shared" si="6"/>
        <v>4151</v>
      </c>
    </row>
    <row r="56" spans="1:10" s="608" customFormat="1" ht="13.9" customHeight="1" x14ac:dyDescent="0.25">
      <c r="A56" s="1739" t="str">
        <f>+PERSONAL!B3</f>
        <v>AUXILIAR DE TRÁFICO</v>
      </c>
      <c r="B56" s="1740"/>
      <c r="C56" s="1740"/>
      <c r="D56" s="1741"/>
      <c r="E56" s="1415">
        <f>+IFERROR(VLOOKUP(A56,PERSONAL!$B$3:$E$56,4,FALSE),0)</f>
        <v>89632</v>
      </c>
      <c r="F56" s="1416">
        <v>1</v>
      </c>
      <c r="G56" s="1415">
        <f t="shared" si="4"/>
        <v>89632</v>
      </c>
      <c r="H56" s="1081">
        <v>40</v>
      </c>
      <c r="I56" s="1004">
        <f t="shared" si="5"/>
        <v>2241</v>
      </c>
      <c r="J56" s="1004">
        <f t="shared" si="6"/>
        <v>2241</v>
      </c>
    </row>
    <row r="57" spans="1:10" s="608" customFormat="1" ht="13.9" customHeight="1" x14ac:dyDescent="0.25">
      <c r="A57" s="1739" t="str">
        <f>+PERSONAL!B5</f>
        <v xml:space="preserve">AYUDANTE </v>
      </c>
      <c r="B57" s="1740"/>
      <c r="C57" s="1740"/>
      <c r="D57" s="1741"/>
      <c r="E57" s="1415">
        <f>+IFERROR(VLOOKUP(A57,PERSONAL!$B$3:$E$56,4,FALSE),0)</f>
        <v>72476</v>
      </c>
      <c r="F57" s="1416">
        <v>4</v>
      </c>
      <c r="G57" s="1415">
        <f t="shared" si="4"/>
        <v>289904</v>
      </c>
      <c r="H57" s="1081">
        <v>40</v>
      </c>
      <c r="I57" s="1004">
        <f t="shared" si="5"/>
        <v>7248</v>
      </c>
      <c r="J57" s="1004">
        <f t="shared" si="6"/>
        <v>7248</v>
      </c>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s="608" customFormat="1" ht="13.9" customHeight="1" x14ac:dyDescent="0.25">
      <c r="A61" s="1571"/>
      <c r="B61" s="1572"/>
      <c r="C61" s="1572"/>
      <c r="D61" s="1573"/>
      <c r="E61" s="609"/>
      <c r="F61" s="601"/>
      <c r="G61" s="609"/>
      <c r="H61" s="54"/>
      <c r="I61" s="55"/>
      <c r="J61" s="55"/>
    </row>
    <row r="62" spans="1:10" ht="13.9" customHeight="1" x14ac:dyDescent="0.25">
      <c r="A62" s="593"/>
      <c r="B62" s="593"/>
      <c r="C62" s="593"/>
      <c r="E62" s="593"/>
      <c r="F62" s="593"/>
      <c r="G62" s="593"/>
      <c r="H62" s="593"/>
      <c r="I62" s="601" t="s">
        <v>257</v>
      </c>
      <c r="J62" s="605">
        <f>+SUM(J52:J61)</f>
        <v>21182</v>
      </c>
    </row>
    <row r="63" spans="1:10" ht="13.9" customHeight="1" x14ac:dyDescent="0.25"/>
    <row r="64" spans="1:10" ht="13.9" customHeight="1" x14ac:dyDescent="0.25">
      <c r="E64" s="610" t="s">
        <v>276</v>
      </c>
      <c r="I64" s="611">
        <f>+J62+J48+J41+J22</f>
        <v>536187</v>
      </c>
      <c r="J64" s="612"/>
    </row>
    <row r="65" ht="13.9" customHeight="1" x14ac:dyDescent="0.25"/>
  </sheetData>
  <mergeCells count="53">
    <mergeCell ref="A14:D14"/>
    <mergeCell ref="A1:J1"/>
    <mergeCell ref="A2:J2"/>
    <mergeCell ref="A4:J4"/>
    <mergeCell ref="A6:B6"/>
    <mergeCell ref="A7:B7"/>
    <mergeCell ref="C7:J7"/>
    <mergeCell ref="A9:H9"/>
    <mergeCell ref="A10:D10"/>
    <mergeCell ref="A11:D11"/>
    <mergeCell ref="A12:D12"/>
    <mergeCell ref="A13:D13"/>
    <mergeCell ref="A32:F32"/>
    <mergeCell ref="A15:D15"/>
    <mergeCell ref="A19:D19"/>
    <mergeCell ref="A21:D21"/>
    <mergeCell ref="A24:H24"/>
    <mergeCell ref="A25:F25"/>
    <mergeCell ref="A26:F26"/>
    <mergeCell ref="A27:F27"/>
    <mergeCell ref="A28:F28"/>
    <mergeCell ref="A29:F29"/>
    <mergeCell ref="A30:F30"/>
    <mergeCell ref="A31:F31"/>
    <mergeCell ref="A16:D16"/>
    <mergeCell ref="A17:D17"/>
    <mergeCell ref="A18:D18"/>
    <mergeCell ref="A20:D20"/>
    <mergeCell ref="A52:D52"/>
    <mergeCell ref="A33:F33"/>
    <mergeCell ref="A34:F34"/>
    <mergeCell ref="A38:F38"/>
    <mergeCell ref="A40:F40"/>
    <mergeCell ref="A43:H43"/>
    <mergeCell ref="A44:F44"/>
    <mergeCell ref="A45:F45"/>
    <mergeCell ref="A46:F46"/>
    <mergeCell ref="A47:F47"/>
    <mergeCell ref="A50:H50"/>
    <mergeCell ref="A51:D51"/>
    <mergeCell ref="A35:F35"/>
    <mergeCell ref="A36:F36"/>
    <mergeCell ref="A37:F37"/>
    <mergeCell ref="A39:F39"/>
    <mergeCell ref="A59:D59"/>
    <mergeCell ref="A60:D60"/>
    <mergeCell ref="A61:D61"/>
    <mergeCell ref="A53:D53"/>
    <mergeCell ref="A54:D54"/>
    <mergeCell ref="A55:D55"/>
    <mergeCell ref="A56:D56"/>
    <mergeCell ref="A57:D57"/>
    <mergeCell ref="A58:D58"/>
  </mergeCells>
  <pageMargins left="0.70866141732283472" right="0.70866141732283472" top="0.78740157480314965" bottom="0.78740157480314965" header="0.31496062992125984" footer="0.31496062992125984"/>
  <pageSetup scale="85" orientation="portrait" r:id="rId1"/>
  <drawing r:id="rId2"/>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E00-000000000000}">
  <sheetPr codeName="Hoja10">
    <tabColor rgb="FF00B050"/>
  </sheetPr>
  <dimension ref="A1:R66"/>
  <sheetViews>
    <sheetView topLeftCell="A48" workbookViewId="0">
      <selection activeCell="G45" sqref="G45"/>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7" width="11" style="592" bestFit="1" customWidth="1"/>
    <col min="8" max="8" width="11" style="592" customWidth="1"/>
    <col min="9" max="9" width="12.85546875" style="592" bestFit="1" customWidth="1"/>
    <col min="10" max="10" width="12" style="592" customWidth="1"/>
    <col min="11" max="12" width="11.42578125" style="592"/>
    <col min="13" max="17" width="0" style="592" hidden="1" customWidth="1"/>
    <col min="18" max="16384" width="11.42578125" style="592"/>
  </cols>
  <sheetData>
    <row r="1" spans="1:13" ht="29.25" customHeight="1" x14ac:dyDescent="0.25">
      <c r="A1" s="1680" t="s">
        <v>244</v>
      </c>
      <c r="B1" s="1681"/>
      <c r="C1" s="1681"/>
      <c r="D1" s="1681"/>
      <c r="E1" s="1681"/>
      <c r="F1" s="1681"/>
      <c r="G1" s="1681"/>
      <c r="H1" s="1681"/>
      <c r="I1" s="1681"/>
      <c r="J1" s="1681"/>
    </row>
    <row r="2" spans="1:13" ht="15" customHeight="1" x14ac:dyDescent="0.25">
      <c r="A2" s="1682" t="s">
        <v>245</v>
      </c>
      <c r="B2" s="1682"/>
      <c r="C2" s="1682"/>
      <c r="D2" s="1682"/>
      <c r="E2" s="1682"/>
      <c r="F2" s="1682"/>
      <c r="G2" s="1682"/>
      <c r="H2" s="1682"/>
      <c r="I2" s="1682"/>
      <c r="J2" s="1682"/>
    </row>
    <row r="4" spans="1:13" s="593" customFormat="1" ht="9.9499999999999993" customHeight="1" x14ac:dyDescent="0.25">
      <c r="A4" s="1683" t="s">
        <v>246</v>
      </c>
      <c r="B4" s="1683"/>
      <c r="C4" s="1683"/>
      <c r="D4" s="1683"/>
      <c r="E4" s="1683"/>
      <c r="F4" s="1683"/>
      <c r="G4" s="1683"/>
      <c r="H4" s="1683"/>
      <c r="I4" s="1683"/>
      <c r="J4" s="1683"/>
    </row>
    <row r="5" spans="1:13" s="593" customFormat="1" ht="9.9499999999999993" customHeight="1" x14ac:dyDescent="0.25">
      <c r="B5" s="594"/>
      <c r="C5" s="594"/>
      <c r="D5" s="594"/>
      <c r="E5" s="594"/>
      <c r="F5" s="594"/>
      <c r="G5" s="594"/>
    </row>
    <row r="6" spans="1:13" x14ac:dyDescent="0.25">
      <c r="A6" s="1571" t="s">
        <v>247</v>
      </c>
      <c r="B6" s="1573"/>
      <c r="C6" s="595">
        <v>6</v>
      </c>
      <c r="D6" s="596"/>
      <c r="E6" s="596"/>
      <c r="F6" s="596"/>
      <c r="G6" s="596"/>
      <c r="H6" s="597"/>
      <c r="I6" s="598" t="s">
        <v>248</v>
      </c>
      <c r="J6" s="599" t="str">
        <f>+VLOOKUP(C6,'ANEXO PLIEGO_1'!$A$7:$C$133,3,FALSE)</f>
        <v>UN</v>
      </c>
    </row>
    <row r="7" spans="1:13" ht="35.1" customHeight="1" x14ac:dyDescent="0.25">
      <c r="A7" s="1637" t="s">
        <v>249</v>
      </c>
      <c r="B7" s="1639"/>
      <c r="C7" s="1684" t="str">
        <f>+VLOOKUP(C6,'ANEXO PLIEGO_1'!$A$7:$B$103,2,FALSE)</f>
        <v>Fabricación, suministro e instalación de Señal doble de 60 cm, material reflectivo Tipo XI , película antigraffiti, en lámina  galvanizada C-16 E=1,5 mm, pedestal en tubo galvanizado de sección circular con diámetro interior de 2" y e=2 mm para SP/SR-SI/SR cumpliendo con normatividad vigente.</v>
      </c>
      <c r="D7" s="1685"/>
      <c r="E7" s="1685"/>
      <c r="F7" s="1685"/>
      <c r="G7" s="1685"/>
      <c r="H7" s="1685"/>
      <c r="I7" s="1685"/>
      <c r="J7" s="1686"/>
    </row>
    <row r="9" spans="1:13" s="390" customFormat="1" ht="12.75" x14ac:dyDescent="0.25">
      <c r="A9" s="1673" t="s">
        <v>250</v>
      </c>
      <c r="B9" s="1673"/>
      <c r="C9" s="1673"/>
      <c r="D9" s="1673"/>
      <c r="E9" s="1673"/>
      <c r="F9" s="1673"/>
      <c r="G9" s="1673"/>
      <c r="H9" s="1673"/>
    </row>
    <row r="10" spans="1:13" s="593" customFormat="1" ht="13.9" customHeight="1" x14ac:dyDescent="0.25">
      <c r="A10" s="1674" t="s">
        <v>251</v>
      </c>
      <c r="B10" s="1675"/>
      <c r="C10" s="1675"/>
      <c r="D10" s="1676"/>
      <c r="E10" s="600" t="s">
        <v>252</v>
      </c>
      <c r="F10" s="600" t="s">
        <v>253</v>
      </c>
      <c r="G10" s="600" t="s">
        <v>254</v>
      </c>
      <c r="H10" s="600" t="s">
        <v>255</v>
      </c>
      <c r="I10" s="600" t="s">
        <v>256</v>
      </c>
      <c r="J10" s="600" t="s">
        <v>257</v>
      </c>
    </row>
    <row r="11" spans="1:13" s="593" customFormat="1" ht="13.9" customHeight="1" x14ac:dyDescent="0.25">
      <c r="A11" s="1571" t="str">
        <f>+'EQUIPOS '!B45</f>
        <v>TRONZADORA</v>
      </c>
      <c r="B11" s="1572"/>
      <c r="C11" s="1572"/>
      <c r="D11" s="1573"/>
      <c r="E11" s="53" t="s">
        <v>202</v>
      </c>
      <c r="F11" s="601">
        <f>IFERROR(VLOOKUP(A11,'[10]EQUIPOS TRANSPOR SALARIO'!$A$3:$G$42,2,FALSE),0)</f>
        <v>0</v>
      </c>
      <c r="G11" s="602">
        <f>+IFERROR(VLOOKUP(A11,'EQUIPOS '!$B$3:$M$56,12,FALSE),0)</f>
        <v>3779.5</v>
      </c>
      <c r="H11" s="601">
        <v>10</v>
      </c>
      <c r="I11" s="55">
        <f t="shared" ref="I11:I19" si="0">IFERROR((G11/H11),0)</f>
        <v>377.95</v>
      </c>
      <c r="J11" s="55">
        <f t="shared" ref="J11:J20" si="1">ROUND(I11,0)</f>
        <v>378</v>
      </c>
      <c r="M11" s="1388">
        <v>2</v>
      </c>
    </row>
    <row r="12" spans="1:13" s="593" customFormat="1" ht="13.9" customHeight="1" x14ac:dyDescent="0.25">
      <c r="A12" s="1571" t="str">
        <f>+'EQUIPOS '!B7</f>
        <v xml:space="preserve">CIZALLA DE CORTE VERTICAL </v>
      </c>
      <c r="B12" s="1572"/>
      <c r="C12" s="1572"/>
      <c r="D12" s="1573"/>
      <c r="E12" s="53" t="s">
        <v>202</v>
      </c>
      <c r="F12" s="601">
        <f>IFERROR(VLOOKUP(A12,'[10]EQUIPOS TRANSPOR SALARIO'!$A$3:$G$42,2,FALSE),0)</f>
        <v>0</v>
      </c>
      <c r="G12" s="602">
        <f>+IFERROR(VLOOKUP(A12,'EQUIPOS '!$B$3:$M$56,12,FALSE),0)</f>
        <v>5174.01</v>
      </c>
      <c r="H12" s="601">
        <f>+H11</f>
        <v>10</v>
      </c>
      <c r="I12" s="55">
        <f t="shared" si="0"/>
        <v>517.40100000000007</v>
      </c>
      <c r="J12" s="55">
        <f t="shared" si="1"/>
        <v>517</v>
      </c>
      <c r="M12" s="593">
        <v>1</v>
      </c>
    </row>
    <row r="13" spans="1:13" s="593" customFormat="1" ht="13.9" customHeight="1" x14ac:dyDescent="0.25">
      <c r="A13" s="1571" t="str">
        <f>+'EQUIPOS '!B24</f>
        <v>EQUIPO PINTURA ELECTROSTÁTICA</v>
      </c>
      <c r="B13" s="1572"/>
      <c r="C13" s="1572"/>
      <c r="D13" s="1573"/>
      <c r="E13" s="53" t="s">
        <v>202</v>
      </c>
      <c r="F13" s="601" t="str">
        <f>IFERROR(VLOOKUP(A13,'[10]EQUIPOS TRANSPOR SALARIO'!$A$3:$G$42,2,FALSE),0)</f>
        <v>Electrostática</v>
      </c>
      <c r="G13" s="602">
        <f>+IFERROR(VLOOKUP(A13,'EQUIPOS '!$B$3:$M$56,12,FALSE),0)</f>
        <v>4047.59</v>
      </c>
      <c r="H13" s="601">
        <f t="shared" ref="H13:H19" si="2">+H12</f>
        <v>10</v>
      </c>
      <c r="I13" s="55">
        <f t="shared" si="0"/>
        <v>404.75900000000001</v>
      </c>
      <c r="J13" s="55">
        <f t="shared" si="1"/>
        <v>405</v>
      </c>
      <c r="M13" s="593">
        <v>2</v>
      </c>
    </row>
    <row r="14" spans="1:13" s="593" customFormat="1" ht="13.9" customHeight="1" x14ac:dyDescent="0.25">
      <c r="A14" s="1571" t="str">
        <f>+'EQUIPOS '!B43</f>
        <v>TALADRO DE ARBOL</v>
      </c>
      <c r="B14" s="1572"/>
      <c r="C14" s="1572"/>
      <c r="D14" s="1573"/>
      <c r="E14" s="53" t="s">
        <v>202</v>
      </c>
      <c r="F14" s="601">
        <f>IFERROR(VLOOKUP(A14,'[10]EQUIPOS TRANSPOR SALARIO'!$A$3:$G$42,2,FALSE),0)</f>
        <v>0</v>
      </c>
      <c r="G14" s="602">
        <f>+IFERROR(VLOOKUP(A14,'EQUIPOS '!$B$3:$M$56,12,FALSE),0)</f>
        <v>4898</v>
      </c>
      <c r="H14" s="601">
        <f t="shared" si="2"/>
        <v>10</v>
      </c>
      <c r="I14" s="55">
        <f t="shared" si="0"/>
        <v>489.8</v>
      </c>
      <c r="J14" s="55">
        <f t="shared" si="1"/>
        <v>490</v>
      </c>
      <c r="M14" s="1388">
        <v>1.5</v>
      </c>
    </row>
    <row r="15" spans="1:13" s="593" customFormat="1" ht="13.9" customHeight="1" x14ac:dyDescent="0.25">
      <c r="A15" s="1571" t="str">
        <f>+'EQUIPOS '!B27</f>
        <v xml:space="preserve">EQUIPO SOLDADURA ELECTRICA </v>
      </c>
      <c r="B15" s="1572"/>
      <c r="C15" s="1572"/>
      <c r="D15" s="1573"/>
      <c r="E15" s="53" t="s">
        <v>202</v>
      </c>
      <c r="F15" s="601">
        <f>IFERROR(VLOOKUP(A15,'[10]EQUIPOS TRANSPOR SALARIO'!$A$3:$G$42,2,FALSE),0)</f>
        <v>0</v>
      </c>
      <c r="G15" s="602">
        <f>+IFERROR(VLOOKUP(A15,'EQUIPOS '!$B$3:$M$56,12,FALSE),0)</f>
        <v>4862.5</v>
      </c>
      <c r="H15" s="601">
        <f t="shared" si="2"/>
        <v>10</v>
      </c>
      <c r="I15" s="55">
        <f t="shared" si="0"/>
        <v>486.25</v>
      </c>
      <c r="J15" s="55">
        <f t="shared" si="1"/>
        <v>486</v>
      </c>
      <c r="M15" s="593">
        <v>9</v>
      </c>
    </row>
    <row r="16" spans="1:13" s="593" customFormat="1" ht="13.9" customHeight="1" x14ac:dyDescent="0.25">
      <c r="A16" s="1571" t="str">
        <f>+'EQUIPOS '!B25</f>
        <v>EQUIPO  COLAMINADO</v>
      </c>
      <c r="B16" s="1572"/>
      <c r="C16" s="1572"/>
      <c r="D16" s="1573"/>
      <c r="E16" s="53" t="s">
        <v>202</v>
      </c>
      <c r="F16" s="601"/>
      <c r="G16" s="602">
        <f>+IFERROR(VLOOKUP(A16,'EQUIPOS '!$B$3:$M$56,12,FALSE),0)</f>
        <v>4701.8100000000004</v>
      </c>
      <c r="H16" s="601">
        <f t="shared" si="2"/>
        <v>10</v>
      </c>
      <c r="I16" s="55">
        <f t="shared" si="0"/>
        <v>470.18100000000004</v>
      </c>
      <c r="J16" s="55">
        <f t="shared" si="1"/>
        <v>470</v>
      </c>
      <c r="M16" s="1388">
        <v>3</v>
      </c>
    </row>
    <row r="17" spans="1:17" s="593" customFormat="1" ht="13.9" customHeight="1" x14ac:dyDescent="0.25">
      <c r="A17" s="1571" t="str">
        <f>+'EQUIPOS '!B9</f>
        <v>COMPRESOR</v>
      </c>
      <c r="B17" s="1572"/>
      <c r="C17" s="1572"/>
      <c r="D17" s="1573"/>
      <c r="E17" s="53" t="s">
        <v>202</v>
      </c>
      <c r="F17" s="601"/>
      <c r="G17" s="602">
        <f>+IFERROR(VLOOKUP(A17,'EQUIPOS '!$B$3:$M$56,12,FALSE),0)</f>
        <v>7999.94</v>
      </c>
      <c r="H17" s="601">
        <f t="shared" si="2"/>
        <v>10</v>
      </c>
      <c r="I17" s="55">
        <f t="shared" si="0"/>
        <v>799.99399999999991</v>
      </c>
      <c r="J17" s="55">
        <f t="shared" si="1"/>
        <v>800</v>
      </c>
      <c r="M17" s="593">
        <v>9</v>
      </c>
    </row>
    <row r="18" spans="1:17" s="593" customFormat="1" ht="13.9" customHeight="1" x14ac:dyDescent="0.25">
      <c r="A18" s="1571" t="str">
        <f>+'EQUIPOS '!B51</f>
        <v xml:space="preserve">IMPRESORA DIGITAL PARA SEÑALES DE TRÁNSITO </v>
      </c>
      <c r="B18" s="1572"/>
      <c r="C18" s="1572"/>
      <c r="D18" s="1573"/>
      <c r="E18" s="53" t="s">
        <v>202</v>
      </c>
      <c r="F18" s="601"/>
      <c r="G18" s="602">
        <f>+IFERROR(VLOOKUP(A18,'EQUIPOS '!$B$3:$M$56,12,FALSE),0)</f>
        <v>64227.08</v>
      </c>
      <c r="H18" s="601">
        <f t="shared" si="2"/>
        <v>10</v>
      </c>
      <c r="I18" s="55">
        <f t="shared" si="0"/>
        <v>6422.7080000000005</v>
      </c>
      <c r="J18" s="55">
        <f t="shared" si="1"/>
        <v>6423</v>
      </c>
      <c r="M18" s="593">
        <v>2.5</v>
      </c>
    </row>
    <row r="19" spans="1:17" s="593" customFormat="1" ht="13.9" customHeight="1" x14ac:dyDescent="0.25">
      <c r="A19" s="1571" t="str">
        <f>+'EQUIPOS '!B39</f>
        <v xml:space="preserve">PULIDORA </v>
      </c>
      <c r="B19" s="1572"/>
      <c r="C19" s="1572"/>
      <c r="D19" s="1573"/>
      <c r="E19" s="53" t="s">
        <v>202</v>
      </c>
      <c r="F19" s="601"/>
      <c r="G19" s="602">
        <f>+IFERROR(VLOOKUP(A19,'EQUIPOS '!$B$3:$M$56,12,FALSE),0)</f>
        <v>2821</v>
      </c>
      <c r="H19" s="601">
        <f t="shared" si="2"/>
        <v>10</v>
      </c>
      <c r="I19" s="55">
        <f t="shared" si="0"/>
        <v>282.10000000000002</v>
      </c>
      <c r="J19" s="55">
        <f t="shared" si="1"/>
        <v>282</v>
      </c>
      <c r="M19" s="1388">
        <v>2</v>
      </c>
    </row>
    <row r="20" spans="1:17" s="593" customFormat="1" ht="13.9" customHeight="1" x14ac:dyDescent="0.25">
      <c r="A20" s="1571" t="s">
        <v>151</v>
      </c>
      <c r="B20" s="1572"/>
      <c r="C20" s="1572"/>
      <c r="D20" s="1573"/>
      <c r="E20" s="53"/>
      <c r="F20" s="601"/>
      <c r="G20" s="603">
        <v>0.02</v>
      </c>
      <c r="H20" s="601"/>
      <c r="I20" s="55">
        <f>+G20*J62</f>
        <v>423.64</v>
      </c>
      <c r="J20" s="55">
        <f t="shared" si="1"/>
        <v>424</v>
      </c>
      <c r="M20" s="593">
        <v>4</v>
      </c>
    </row>
    <row r="21" spans="1:17" s="593" customFormat="1" ht="13.9" customHeight="1" x14ac:dyDescent="0.25">
      <c r="A21" s="1571"/>
      <c r="B21" s="1572"/>
      <c r="C21" s="1572"/>
      <c r="D21" s="1573"/>
      <c r="E21" s="53"/>
      <c r="F21" s="601"/>
      <c r="G21" s="602"/>
      <c r="H21" s="601"/>
      <c r="I21" s="55"/>
      <c r="J21" s="55"/>
      <c r="M21" s="1381">
        <f>SUM(M11:M20)</f>
        <v>36</v>
      </c>
      <c r="N21" s="593" t="s">
        <v>7370</v>
      </c>
    </row>
    <row r="22" spans="1:17" s="593" customFormat="1" ht="13.9" customHeight="1" x14ac:dyDescent="0.25">
      <c r="I22" s="601" t="s">
        <v>257</v>
      </c>
      <c r="J22" s="605">
        <f>+SUM(J11:J21)</f>
        <v>10675</v>
      </c>
      <c r="K22" s="1379"/>
      <c r="M22" s="593">
        <f>M21/SUM(F52:F54)</f>
        <v>12</v>
      </c>
      <c r="N22" s="593">
        <f>480/M22</f>
        <v>40</v>
      </c>
    </row>
    <row r="23" spans="1:17" s="593" customFormat="1" ht="13.9" customHeight="1" x14ac:dyDescent="0.25"/>
    <row r="24" spans="1:17" s="593" customFormat="1" ht="13.9" customHeight="1" x14ac:dyDescent="0.25">
      <c r="A24" s="1673" t="s">
        <v>263</v>
      </c>
      <c r="B24" s="1673"/>
      <c r="C24" s="1673"/>
      <c r="D24" s="1673"/>
      <c r="E24" s="1673"/>
      <c r="F24" s="1673"/>
      <c r="G24" s="1673"/>
      <c r="H24" s="1673"/>
      <c r="I24" s="390"/>
    </row>
    <row r="25" spans="1:17" ht="13.9" customHeight="1" x14ac:dyDescent="0.25">
      <c r="A25" s="1677" t="s">
        <v>251</v>
      </c>
      <c r="B25" s="1678"/>
      <c r="C25" s="1678"/>
      <c r="D25" s="1678"/>
      <c r="E25" s="1678"/>
      <c r="F25" s="1679"/>
      <c r="G25" s="600" t="s">
        <v>252</v>
      </c>
      <c r="H25" s="600" t="s">
        <v>264</v>
      </c>
      <c r="I25" s="600" t="s">
        <v>256</v>
      </c>
      <c r="J25" s="600" t="s">
        <v>257</v>
      </c>
      <c r="N25" s="1378" t="s">
        <v>7369</v>
      </c>
      <c r="P25" s="593"/>
      <c r="Q25" s="593"/>
    </row>
    <row r="26" spans="1:17" ht="13.9" customHeight="1" x14ac:dyDescent="0.25">
      <c r="A26" s="1721" t="str">
        <f>+'INSUMOS '!B50</f>
        <v>LÁMINA GALVANIZADA C 16 E=1,50 mm</v>
      </c>
      <c r="B26" s="1722"/>
      <c r="C26" s="1722"/>
      <c r="D26" s="1722"/>
      <c r="E26" s="1722"/>
      <c r="F26" s="1723"/>
      <c r="G26" s="53" t="s">
        <v>265</v>
      </c>
      <c r="H26" s="54">
        <f>0.6*0.6*2</f>
        <v>0.72</v>
      </c>
      <c r="I26" s="33">
        <f>+IFERROR(VLOOKUP(A26,'INSUMOS '!$B$2:$AP$167,'INSUMOS '!$AO$2+1,FALSE),0)</f>
        <v>85500.55</v>
      </c>
      <c r="J26" s="55">
        <f>ROUND(I26*H26,0)</f>
        <v>61560</v>
      </c>
      <c r="K26" s="1379"/>
      <c r="N26" s="1374">
        <f>H26*0.0015*7850</f>
        <v>8.4779999999999998</v>
      </c>
      <c r="P26" s="593"/>
      <c r="Q26" s="593"/>
    </row>
    <row r="27" spans="1:17" ht="13.9" customHeight="1" x14ac:dyDescent="0.25">
      <c r="A27" s="1721" t="str">
        <f>+'INSUMOS '!B63</f>
        <v xml:space="preserve">PAPEL REFLECTIVO TIPO XI </v>
      </c>
      <c r="B27" s="1722"/>
      <c r="C27" s="1722"/>
      <c r="D27" s="1722"/>
      <c r="E27" s="1722"/>
      <c r="F27" s="1723"/>
      <c r="G27" s="53" t="s">
        <v>265</v>
      </c>
      <c r="H27" s="54">
        <f>+H26</f>
        <v>0.72</v>
      </c>
      <c r="I27" s="33">
        <f>+IFERROR(VLOOKUP(A27,'INSUMOS '!$B$2:$AP$167,'INSUMOS '!$AO$2+1,FALSE),0)</f>
        <v>153328.9296</v>
      </c>
      <c r="J27" s="55">
        <f t="shared" ref="J27:J38" si="3">ROUND(I27*H27,0)</f>
        <v>110397</v>
      </c>
      <c r="K27" s="1379"/>
      <c r="N27" s="1374">
        <f>H27*0.2/0.36</f>
        <v>0.39999999999999997</v>
      </c>
      <c r="P27" s="593"/>
      <c r="Q27" s="593"/>
    </row>
    <row r="28" spans="1:17" ht="13.9" customHeight="1" x14ac:dyDescent="0.25">
      <c r="A28" s="1688" t="str">
        <f>+'INSUMOS '!B105</f>
        <v>TUBO GALVANIZADO DE 2" X 2,0 mm ESPESOR DE PARED</v>
      </c>
      <c r="B28" s="1689"/>
      <c r="C28" s="1689"/>
      <c r="D28" s="1689"/>
      <c r="E28" s="1689"/>
      <c r="F28" s="1690"/>
      <c r="G28" s="53" t="s">
        <v>13</v>
      </c>
      <c r="H28" s="35">
        <f>3.4+0.6+0.6</f>
        <v>4.5999999999999996</v>
      </c>
      <c r="I28" s="33">
        <f>+IFERROR(VLOOKUP(A28,'INSUMOS '!$B$2:$AP$167,'INSUMOS '!$AO$2+1,FALSE),0)</f>
        <v>16939</v>
      </c>
      <c r="J28" s="33">
        <f t="shared" si="3"/>
        <v>77919</v>
      </c>
      <c r="K28" s="1379"/>
      <c r="M28" s="1380"/>
      <c r="N28" s="1374">
        <f>Q28*7850*H28</f>
        <v>11.979571372151069</v>
      </c>
      <c r="O28" s="592">
        <f>(2*0.0254+0.004)^2*PI()/4</f>
        <v>2.3585821006090733E-3</v>
      </c>
      <c r="P28" s="592">
        <f>(2*0.0254)^2*PI()/4</f>
        <v>2.0268299163899908E-3</v>
      </c>
      <c r="Q28" s="592">
        <f>O28-P28</f>
        <v>3.3175218421908253E-4</v>
      </c>
    </row>
    <row r="29" spans="1:17" ht="13.9" customHeight="1" x14ac:dyDescent="0.25">
      <c r="A29" s="1721" t="str">
        <f>+'INSUMOS '!B8</f>
        <v>ÁNGULO METÁLICO DE 2"X2"X1/8" L=6M</v>
      </c>
      <c r="B29" s="1722"/>
      <c r="C29" s="1722"/>
      <c r="D29" s="1722"/>
      <c r="E29" s="1722"/>
      <c r="F29" s="1723"/>
      <c r="G29" s="53" t="s">
        <v>13</v>
      </c>
      <c r="H29" s="54">
        <f>15/100</f>
        <v>0.15</v>
      </c>
      <c r="I29" s="33">
        <f>+IFERROR(VLOOKUP(A29,'INSUMOS '!$B$2:$AP$167,'INSUMOS '!$AO$2+1,FALSE),0)</f>
        <v>16804.093333333331</v>
      </c>
      <c r="J29" s="55">
        <f t="shared" si="3"/>
        <v>2521</v>
      </c>
      <c r="K29" s="1379"/>
      <c r="N29" s="1374">
        <f>4*0.0254*(0.0254/8)*H29*7850</f>
        <v>0.37983794999999998</v>
      </c>
      <c r="P29" s="593"/>
      <c r="Q29" s="593"/>
    </row>
    <row r="30" spans="1:17" ht="13.9" customHeight="1" x14ac:dyDescent="0.25">
      <c r="A30" s="1721" t="str">
        <f>+'INSUMOS '!B102</f>
        <v>TORNILLOS 5/16 ZINCADO  (INCLUYE TUERCA DE SEGURIDAD Y ARANDELA)</v>
      </c>
      <c r="B30" s="1722"/>
      <c r="C30" s="1722"/>
      <c r="D30" s="1722"/>
      <c r="E30" s="1722"/>
      <c r="F30" s="1723"/>
      <c r="G30" s="53" t="s">
        <v>266</v>
      </c>
      <c r="H30" s="54">
        <v>8</v>
      </c>
      <c r="I30" s="33">
        <f>+IFERROR(VLOOKUP(A30,'INSUMOS '!$B$2:$AP$167,'INSUMOS '!$AO$2+1,FALSE),0)</f>
        <v>1747.5</v>
      </c>
      <c r="J30" s="55">
        <f t="shared" si="3"/>
        <v>13980</v>
      </c>
      <c r="K30" s="1379"/>
      <c r="N30" s="1374">
        <f>H30*0.3/4</f>
        <v>0.6</v>
      </c>
      <c r="P30" s="593"/>
      <c r="Q30" s="593"/>
    </row>
    <row r="31" spans="1:17" ht="13.9" customHeight="1" x14ac:dyDescent="0.25">
      <c r="A31" s="1721" t="str">
        <f>+'INSUMOS '!B88</f>
        <v>REMACHES CON ARANDELAS DE 4*10 MM</v>
      </c>
      <c r="B31" s="1722"/>
      <c r="C31" s="1722"/>
      <c r="D31" s="1722"/>
      <c r="E31" s="1722"/>
      <c r="F31" s="1723"/>
      <c r="G31" s="53" t="s">
        <v>266</v>
      </c>
      <c r="H31" s="54">
        <v>8</v>
      </c>
      <c r="I31" s="33">
        <f>+IFERROR(VLOOKUP(A31,'INSUMOS '!$B$2:$AP$167,'INSUMOS '!$AO$2+1,FALSE),0)</f>
        <v>170</v>
      </c>
      <c r="J31" s="55">
        <f t="shared" si="3"/>
        <v>1360</v>
      </c>
      <c r="K31" s="1379"/>
      <c r="N31" s="1374">
        <f>H31/4*0.1</f>
        <v>0.2</v>
      </c>
      <c r="P31" s="593"/>
      <c r="Q31" s="593"/>
    </row>
    <row r="32" spans="1:17" ht="13.9" customHeight="1" x14ac:dyDescent="0.25">
      <c r="A32" s="1750" t="str">
        <f>+'INSUMOS '!B94</f>
        <v xml:space="preserve">STEAKER 15 X 15 CM EN PAPEL REFLECTIVO TIPO IV O SUPERIOR </v>
      </c>
      <c r="B32" s="1751"/>
      <c r="C32" s="1751"/>
      <c r="D32" s="1751"/>
      <c r="E32" s="1751"/>
      <c r="F32" s="1751"/>
      <c r="G32" s="53" t="s">
        <v>266</v>
      </c>
      <c r="H32" s="54">
        <v>1</v>
      </c>
      <c r="I32" s="33">
        <f>+IFERROR(VLOOKUP(A32,'INSUMOS '!$B$2:$AP$167,'INSUMOS '!$AO$2+1,FALSE),0)</f>
        <v>2500</v>
      </c>
      <c r="J32" s="55">
        <f t="shared" si="3"/>
        <v>2500</v>
      </c>
      <c r="K32" s="1379"/>
      <c r="M32" s="627"/>
      <c r="N32" s="1375">
        <f>H32*0.05</f>
        <v>0.05</v>
      </c>
      <c r="P32" s="593"/>
      <c r="Q32" s="593"/>
    </row>
    <row r="33" spans="1:18" ht="13.9" customHeight="1" x14ac:dyDescent="0.25">
      <c r="A33" s="1750" t="str">
        <f>+'INSUMOS '!B67</f>
        <v xml:space="preserve">PELÍCULA ANTIGRAFITTI </v>
      </c>
      <c r="B33" s="1751"/>
      <c r="C33" s="1751"/>
      <c r="D33" s="1751"/>
      <c r="E33" s="1751"/>
      <c r="F33" s="1751"/>
      <c r="G33" s="53" t="s">
        <v>12</v>
      </c>
      <c r="H33" s="54">
        <f>+H26</f>
        <v>0.72</v>
      </c>
      <c r="I33" s="33">
        <f>+IFERROR(VLOOKUP(A33,'INSUMOS '!$B$2:$AP$167,'INSUMOS '!$AO$2+1,FALSE),0)</f>
        <v>65174.538799999995</v>
      </c>
      <c r="J33" s="55">
        <f t="shared" si="3"/>
        <v>46926</v>
      </c>
      <c r="K33" s="1379"/>
      <c r="N33" s="1374">
        <f>H33/0.36*0.3</f>
        <v>0.6</v>
      </c>
      <c r="P33" s="593"/>
      <c r="Q33" s="593"/>
    </row>
    <row r="34" spans="1:18" ht="13.9" customHeight="1" x14ac:dyDescent="0.25">
      <c r="A34" s="1721" t="str">
        <f>+'INSUMOS '!B73</f>
        <v>PINTURA ELECTROSTÁTICA M2</v>
      </c>
      <c r="B34" s="1722"/>
      <c r="C34" s="1722"/>
      <c r="D34" s="1722"/>
      <c r="E34" s="1722"/>
      <c r="F34" s="1723"/>
      <c r="G34" s="53" t="s">
        <v>3205</v>
      </c>
      <c r="H34" s="37">
        <f>((0.0254*2+0.004)*PI()*H28+H26+8*0.0254*H29+5*0.0588^2*PI()/4)/3</f>
        <v>0.51866333708239976</v>
      </c>
      <c r="I34" s="33">
        <f>+IFERROR(VLOOKUP(A34,'INSUMOS '!$B$2:$AP$167,'INSUMOS '!$AO$2+1,FALSE),0)</f>
        <v>26664.5</v>
      </c>
      <c r="J34" s="55">
        <f t="shared" si="3"/>
        <v>13830</v>
      </c>
      <c r="K34" s="1379"/>
      <c r="N34" s="1374">
        <f>H34</f>
        <v>0.51866333708239976</v>
      </c>
      <c r="P34" s="593"/>
      <c r="Q34" s="593"/>
    </row>
    <row r="35" spans="1:18" ht="13.9" customHeight="1" x14ac:dyDescent="0.25">
      <c r="A35" s="1721" t="str">
        <f>+'INSUMOS '!B100</f>
        <v>TINTA TRASLUCIDA PARA CINTA REFLECTIVA</v>
      </c>
      <c r="B35" s="1722"/>
      <c r="C35" s="1722"/>
      <c r="D35" s="1722"/>
      <c r="E35" s="1722"/>
      <c r="F35" s="1723"/>
      <c r="G35" s="53" t="s">
        <v>157</v>
      </c>
      <c r="H35" s="606">
        <f>H26/3.44*0.22</f>
        <v>4.6046511627906975E-2</v>
      </c>
      <c r="I35" s="33">
        <f>+IFERROR(VLOOKUP(A35,'INSUMOS '!$B$2:$AP$167,'INSUMOS '!$AO$2+1,FALSE),0)</f>
        <v>440873.77039999992</v>
      </c>
      <c r="J35" s="55">
        <f t="shared" si="3"/>
        <v>20301</v>
      </c>
      <c r="K35" s="1379"/>
      <c r="N35" s="1405">
        <f>H35*0.454</f>
        <v>2.0905116279069769E-2</v>
      </c>
      <c r="P35" s="593"/>
      <c r="Q35" s="593"/>
    </row>
    <row r="36" spans="1:18" ht="13.9" customHeight="1" x14ac:dyDescent="0.25">
      <c r="A36" s="1752" t="str">
        <f>+'INSUMOS '!B28</f>
        <v>CONCRETO  HIDRAULICO 2500 PSI 17 MPA (175 KG/CM2)</v>
      </c>
      <c r="B36" s="1722"/>
      <c r="C36" s="1722"/>
      <c r="D36" s="1722"/>
      <c r="E36" s="1722"/>
      <c r="F36" s="1723"/>
      <c r="G36" s="53" t="s">
        <v>3</v>
      </c>
      <c r="H36" s="606">
        <f>+PI()*0.25*0.25/4*0.55</f>
        <v>2.6998061866787288E-2</v>
      </c>
      <c r="I36" s="33">
        <f>+IFERROR(VLOOKUP(A36,'INSUMOS '!$B$2:$AP$167,'INSUMOS '!$AO$2+1,FALSE),0)</f>
        <v>486142</v>
      </c>
      <c r="J36" s="55">
        <f t="shared" si="3"/>
        <v>13125</v>
      </c>
      <c r="K36" s="1379"/>
      <c r="N36" s="1374">
        <f>H36*2400</f>
        <v>64.795348480289491</v>
      </c>
      <c r="P36" s="593"/>
      <c r="Q36" s="593"/>
    </row>
    <row r="37" spans="1:18" ht="13.9" customHeight="1" x14ac:dyDescent="0.25">
      <c r="A37" s="1687" t="str">
        <f>+'INSUMOS '!B93</f>
        <v>SOLDADURA ELECTRICA  E 6013 O SIMILAR</v>
      </c>
      <c r="B37" s="1753"/>
      <c r="C37" s="1753"/>
      <c r="D37" s="1753"/>
      <c r="E37" s="1753"/>
      <c r="F37" s="1754"/>
      <c r="G37" s="53" t="s">
        <v>6</v>
      </c>
      <c r="H37" s="606">
        <f>0.005^2/2*(10*0.0588*PI())*7850</f>
        <v>0.1812620421304971</v>
      </c>
      <c r="I37" s="33">
        <f>+IFERROR(VLOOKUP(A37,'INSUMOS '!$B$2:$AP$167,'INSUMOS '!$AO$2+1,FALSE),0)</f>
        <v>19163.666666666668</v>
      </c>
      <c r="J37" s="55">
        <f t="shared" si="3"/>
        <v>3474</v>
      </c>
      <c r="K37" s="1379"/>
      <c r="N37" s="1374">
        <f>H37</f>
        <v>0.1812620421304971</v>
      </c>
      <c r="P37" s="593"/>
      <c r="Q37" s="593"/>
    </row>
    <row r="38" spans="1:18" ht="13.9" customHeight="1" x14ac:dyDescent="0.25">
      <c r="A38" s="1721" t="str">
        <f>+'INSUMOS '!B21</f>
        <v>BROCA PARA METAL 1/2"</v>
      </c>
      <c r="B38" s="1722"/>
      <c r="C38" s="1722"/>
      <c r="D38" s="1722"/>
      <c r="E38" s="1722"/>
      <c r="F38" s="1723"/>
      <c r="G38" s="53" t="s">
        <v>266</v>
      </c>
      <c r="H38" s="606">
        <f>0.01*2</f>
        <v>0.02</v>
      </c>
      <c r="I38" s="33">
        <f>+IFERROR(VLOOKUP(A38,'INSUMOS '!$B$2:$AP$167,'INSUMOS '!$AO$2+1,FALSE),0)</f>
        <v>31741.5</v>
      </c>
      <c r="J38" s="55">
        <f t="shared" si="3"/>
        <v>635</v>
      </c>
      <c r="K38" s="1379"/>
      <c r="N38" s="1374">
        <f>H38*0.106</f>
        <v>2.1199999999999999E-3</v>
      </c>
      <c r="P38" s="593"/>
      <c r="Q38" s="593"/>
    </row>
    <row r="39" spans="1:18" ht="13.9" customHeight="1" x14ac:dyDescent="0.25">
      <c r="A39" s="1721" t="str">
        <f>'INSUMOS '!B50</f>
        <v>LÁMINA GALVANIZADA C 16 E=1,50 mm</v>
      </c>
      <c r="B39" s="1722"/>
      <c r="C39" s="1722"/>
      <c r="D39" s="1722"/>
      <c r="E39" s="1722"/>
      <c r="F39" s="1723"/>
      <c r="G39" s="53" t="s">
        <v>266</v>
      </c>
      <c r="H39" s="1408">
        <f>0.0588^2*PI()/4*5</f>
        <v>1.357733513028437E-2</v>
      </c>
      <c r="I39" s="33">
        <f>+IFERROR(VLOOKUP(A39,'INSUMOS '!$B$2:$AP$167,'INSUMOS '!$AO$2+1,FALSE),0)</f>
        <v>85500.55</v>
      </c>
      <c r="J39" s="55">
        <f>ROUND(I39*H39,0)</f>
        <v>1161</v>
      </c>
      <c r="K39" s="1379"/>
      <c r="N39" s="1374">
        <f>H39*0.0015*7850</f>
        <v>0.15987312115909846</v>
      </c>
      <c r="P39" s="593"/>
      <c r="Q39" s="593"/>
    </row>
    <row r="40" spans="1:18" ht="13.9" customHeight="1" x14ac:dyDescent="0.25">
      <c r="A40" s="1721" t="s">
        <v>333</v>
      </c>
      <c r="B40" s="1722"/>
      <c r="C40" s="1722"/>
      <c r="D40" s="1722"/>
      <c r="E40" s="1722"/>
      <c r="F40" s="1723"/>
      <c r="G40" s="53" t="s">
        <v>4</v>
      </c>
      <c r="H40" s="603">
        <v>0.05</v>
      </c>
      <c r="I40" s="55">
        <f>+SUM(J26:J39)</f>
        <v>369689</v>
      </c>
      <c r="J40" s="55">
        <f t="shared" ref="J40" si="4">ROUND(I40*H40,0)</f>
        <v>18484</v>
      </c>
      <c r="N40" s="592">
        <f>SUM(N25:N39)</f>
        <v>88.365581419091626</v>
      </c>
      <c r="P40" s="593"/>
      <c r="Q40" s="593"/>
    </row>
    <row r="41" spans="1:18" ht="13.9" customHeight="1" x14ac:dyDescent="0.25">
      <c r="A41" s="593"/>
      <c r="B41" s="593"/>
      <c r="C41" s="593"/>
      <c r="D41" s="593"/>
      <c r="E41" s="593"/>
      <c r="G41" s="593"/>
      <c r="H41" s="593"/>
      <c r="I41" s="600" t="s">
        <v>257</v>
      </c>
      <c r="J41" s="605">
        <f>+SUM(J26:J40)</f>
        <v>388173</v>
      </c>
      <c r="P41" s="593"/>
      <c r="Q41" s="593"/>
    </row>
    <row r="42" spans="1:18" ht="13.9" customHeight="1" x14ac:dyDescent="0.25">
      <c r="P42" s="593"/>
      <c r="Q42" s="593"/>
    </row>
    <row r="43" spans="1:18" ht="13.9" customHeight="1" x14ac:dyDescent="0.25">
      <c r="A43" s="1673" t="s">
        <v>267</v>
      </c>
      <c r="B43" s="1673"/>
      <c r="C43" s="1673"/>
      <c r="D43" s="1673"/>
      <c r="E43" s="1673"/>
      <c r="F43" s="1673"/>
      <c r="G43" s="1673"/>
      <c r="H43" s="1673"/>
      <c r="I43" s="390"/>
      <c r="R43" s="592">
        <f>480/40</f>
        <v>12</v>
      </c>
    </row>
    <row r="44" spans="1:18" ht="13.9" customHeight="1" x14ac:dyDescent="0.25">
      <c r="A44" s="1674" t="s">
        <v>268</v>
      </c>
      <c r="B44" s="1675"/>
      <c r="C44" s="1675"/>
      <c r="D44" s="1675"/>
      <c r="E44" s="1675"/>
      <c r="F44" s="1676"/>
      <c r="G44" s="607" t="s">
        <v>255</v>
      </c>
      <c r="H44" s="600" t="s">
        <v>269</v>
      </c>
      <c r="I44" s="600" t="s">
        <v>256</v>
      </c>
      <c r="J44" s="600" t="s">
        <v>257</v>
      </c>
    </row>
    <row r="45" spans="1:18" ht="13.9" customHeight="1" x14ac:dyDescent="0.25">
      <c r="A45" s="1571" t="str">
        <f>+'EQUIPOS '!B6</f>
        <v>CAMION INCLUYE CONDUCTOR</v>
      </c>
      <c r="B45" s="1572"/>
      <c r="C45" s="1572"/>
      <c r="D45" s="1572"/>
      <c r="E45" s="1572"/>
      <c r="F45" s="1573"/>
      <c r="G45" s="1413">
        <f>(N40/1000)/12</f>
        <v>7.3637984515909681E-3</v>
      </c>
      <c r="H45" s="55">
        <f>+IFERROR(VLOOKUP(A45,'EQUIPOS '!$B$3:$M$61,12,FALSE),0)</f>
        <v>611492.5</v>
      </c>
      <c r="I45" s="55">
        <f>IFERROR(H45*G45,0)</f>
        <v>4502.9075246594903</v>
      </c>
      <c r="J45" s="55">
        <f>ROUND(I45,0)</f>
        <v>4503</v>
      </c>
    </row>
    <row r="46" spans="1:18" ht="13.9" customHeight="1" x14ac:dyDescent="0.25">
      <c r="A46" s="1571"/>
      <c r="B46" s="1572"/>
      <c r="C46" s="1572"/>
      <c r="D46" s="1572"/>
      <c r="E46" s="1572"/>
      <c r="F46" s="1573"/>
      <c r="G46" s="53"/>
      <c r="H46" s="55"/>
      <c r="I46" s="55"/>
      <c r="J46" s="55"/>
    </row>
    <row r="47" spans="1:18" ht="13.9" customHeight="1" x14ac:dyDescent="0.25">
      <c r="A47" s="1571"/>
      <c r="B47" s="1572"/>
      <c r="C47" s="1572"/>
      <c r="D47" s="1572"/>
      <c r="E47" s="1572"/>
      <c r="F47" s="1573"/>
      <c r="G47" s="53"/>
      <c r="H47" s="55"/>
      <c r="I47" s="55"/>
      <c r="J47" s="55"/>
      <c r="L47" s="608"/>
    </row>
    <row r="48" spans="1:18" ht="13.9" customHeight="1" x14ac:dyDescent="0.25">
      <c r="G48" s="608"/>
      <c r="H48" s="608"/>
      <c r="I48" s="600" t="s">
        <v>257</v>
      </c>
      <c r="J48" s="55">
        <f>+SUM(J45:J47)</f>
        <v>4503</v>
      </c>
      <c r="L48" s="608"/>
    </row>
    <row r="49" spans="1:10" ht="13.9" customHeight="1" x14ac:dyDescent="0.25"/>
    <row r="50" spans="1:10" ht="13.9" customHeight="1" x14ac:dyDescent="0.25">
      <c r="A50" s="1673" t="s">
        <v>270</v>
      </c>
      <c r="B50" s="1673"/>
      <c r="C50" s="1673"/>
      <c r="D50" s="1673"/>
      <c r="E50" s="1673"/>
      <c r="F50" s="1673"/>
      <c r="G50" s="1673"/>
      <c r="H50" s="1673"/>
      <c r="I50" s="390"/>
    </row>
    <row r="51" spans="1:10" s="608" customFormat="1" ht="13.9" customHeight="1" x14ac:dyDescent="0.25">
      <c r="A51" s="1674" t="s">
        <v>271</v>
      </c>
      <c r="B51" s="1675"/>
      <c r="C51" s="1675"/>
      <c r="D51" s="1676"/>
      <c r="E51" s="600" t="s">
        <v>272</v>
      </c>
      <c r="F51" s="600" t="s">
        <v>264</v>
      </c>
      <c r="G51" s="600" t="s">
        <v>273</v>
      </c>
      <c r="H51" s="600" t="s">
        <v>255</v>
      </c>
      <c r="I51" s="600" t="s">
        <v>256</v>
      </c>
      <c r="J51" s="600" t="s">
        <v>257</v>
      </c>
    </row>
    <row r="52" spans="1:10" s="608" customFormat="1" ht="13.9" customHeight="1" x14ac:dyDescent="0.25">
      <c r="A52" s="1571" t="str">
        <f>+PERSONAL!B40</f>
        <v xml:space="preserve">SOLDADOR </v>
      </c>
      <c r="B52" s="1572"/>
      <c r="C52" s="1572"/>
      <c r="D52" s="1573"/>
      <c r="E52" s="609">
        <f>+IFERROR(VLOOKUP(A52,PERSONAL!$B$3:$E$56,4,FALSE),0)</f>
        <v>110344</v>
      </c>
      <c r="F52" s="601">
        <v>1</v>
      </c>
      <c r="G52" s="609">
        <f t="shared" ref="G52:G57" si="5">+E52*F52</f>
        <v>110344</v>
      </c>
      <c r="H52" s="54">
        <f>N22</f>
        <v>40</v>
      </c>
      <c r="I52" s="55">
        <f t="shared" ref="I52:I57" si="6">IFERROR(ROUND(G52/H52,0),0)</f>
        <v>2759</v>
      </c>
      <c r="J52" s="55">
        <f t="shared" ref="J52:J57" si="7">+I52</f>
        <v>2759</v>
      </c>
    </row>
    <row r="53" spans="1:10" s="608" customFormat="1" ht="13.9" customHeight="1" x14ac:dyDescent="0.25">
      <c r="A53" s="1571" t="str">
        <f>+PERSONAL!B27</f>
        <v xml:space="preserve">PINTOR </v>
      </c>
      <c r="B53" s="1572"/>
      <c r="C53" s="1572"/>
      <c r="D53" s="1573"/>
      <c r="E53" s="609">
        <f>+IFERROR(VLOOKUP(A53,PERSONAL!$B$3:$E$56,4,FALSE),0)</f>
        <v>100054</v>
      </c>
      <c r="F53" s="601">
        <v>1</v>
      </c>
      <c r="G53" s="609">
        <f t="shared" si="5"/>
        <v>100054</v>
      </c>
      <c r="H53" s="54">
        <f>H52</f>
        <v>40</v>
      </c>
      <c r="I53" s="55">
        <f t="shared" si="6"/>
        <v>2501</v>
      </c>
      <c r="J53" s="55">
        <f t="shared" si="7"/>
        <v>2501</v>
      </c>
    </row>
    <row r="54" spans="1:10" s="608" customFormat="1" ht="13.9" customHeight="1" x14ac:dyDescent="0.25">
      <c r="A54" s="1571" t="str">
        <f>+PERSONAL!B7</f>
        <v>COLAMINADOR</v>
      </c>
      <c r="B54" s="1572"/>
      <c r="C54" s="1572"/>
      <c r="D54" s="1573"/>
      <c r="E54" s="609">
        <f>+IFERROR(VLOOKUP(A54,PERSONAL!$B$3:$E$56,4,FALSE),0)</f>
        <v>91275</v>
      </c>
      <c r="F54" s="601">
        <v>1</v>
      </c>
      <c r="G54" s="609">
        <f t="shared" si="5"/>
        <v>91275</v>
      </c>
      <c r="H54" s="54">
        <f>H53</f>
        <v>40</v>
      </c>
      <c r="I54" s="55">
        <f t="shared" si="6"/>
        <v>2282</v>
      </c>
      <c r="J54" s="55">
        <f t="shared" si="7"/>
        <v>2282</v>
      </c>
    </row>
    <row r="55" spans="1:10" s="608" customFormat="1" ht="13.9" customHeight="1" x14ac:dyDescent="0.25">
      <c r="A55" s="1739" t="str">
        <f>+PERSONAL!B18</f>
        <v>JEFE DE CUADRILLA DIURNO</v>
      </c>
      <c r="B55" s="1740"/>
      <c r="C55" s="1740"/>
      <c r="D55" s="1741"/>
      <c r="E55" s="1415">
        <f>+IFERROR(VLOOKUP(A55,PERSONAL!$B$3:$E$56,4,FALSE),0)</f>
        <v>166031</v>
      </c>
      <c r="F55" s="1416">
        <v>1</v>
      </c>
      <c r="G55" s="1415">
        <f t="shared" si="5"/>
        <v>166031</v>
      </c>
      <c r="H55" s="1081">
        <v>40</v>
      </c>
      <c r="I55" s="1004">
        <f t="shared" si="6"/>
        <v>4151</v>
      </c>
      <c r="J55" s="1004">
        <f t="shared" si="7"/>
        <v>4151</v>
      </c>
    </row>
    <row r="56" spans="1:10" s="608" customFormat="1" ht="13.9" customHeight="1" x14ac:dyDescent="0.25">
      <c r="A56" s="1739" t="str">
        <f>+PERSONAL!B3</f>
        <v>AUXILIAR DE TRÁFICO</v>
      </c>
      <c r="B56" s="1740"/>
      <c r="C56" s="1740"/>
      <c r="D56" s="1741"/>
      <c r="E56" s="1415">
        <f>+IFERROR(VLOOKUP(A56,PERSONAL!$B$3:$E$56,4,FALSE),0)</f>
        <v>89632</v>
      </c>
      <c r="F56" s="1416">
        <v>1</v>
      </c>
      <c r="G56" s="1415">
        <f t="shared" si="5"/>
        <v>89632</v>
      </c>
      <c r="H56" s="1081">
        <v>40</v>
      </c>
      <c r="I56" s="1004">
        <f t="shared" si="6"/>
        <v>2241</v>
      </c>
      <c r="J56" s="1004">
        <f t="shared" si="7"/>
        <v>2241</v>
      </c>
    </row>
    <row r="57" spans="1:10" s="608" customFormat="1" ht="13.9" customHeight="1" x14ac:dyDescent="0.25">
      <c r="A57" s="1739" t="str">
        <f>+PERSONAL!B5</f>
        <v xml:space="preserve">AYUDANTE </v>
      </c>
      <c r="B57" s="1740"/>
      <c r="C57" s="1740"/>
      <c r="D57" s="1741"/>
      <c r="E57" s="1415">
        <f>+IFERROR(VLOOKUP(A57,PERSONAL!$B$3:$E$56,4,FALSE),0)</f>
        <v>72476</v>
      </c>
      <c r="F57" s="1416">
        <v>4</v>
      </c>
      <c r="G57" s="1415">
        <f t="shared" si="5"/>
        <v>289904</v>
      </c>
      <c r="H57" s="1081">
        <v>40</v>
      </c>
      <c r="I57" s="1004">
        <f t="shared" si="6"/>
        <v>7248</v>
      </c>
      <c r="J57" s="1004">
        <f t="shared" si="7"/>
        <v>7248</v>
      </c>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s="608" customFormat="1" ht="13.9" customHeight="1" x14ac:dyDescent="0.25">
      <c r="A61" s="1571"/>
      <c r="B61" s="1572"/>
      <c r="C61" s="1572"/>
      <c r="D61" s="1573"/>
      <c r="E61" s="609"/>
      <c r="F61" s="601"/>
      <c r="G61" s="609"/>
      <c r="H61" s="54"/>
      <c r="I61" s="55"/>
      <c r="J61" s="55"/>
    </row>
    <row r="62" spans="1:10" ht="13.9" customHeight="1" x14ac:dyDescent="0.25">
      <c r="A62" s="593"/>
      <c r="B62" s="593"/>
      <c r="C62" s="593"/>
      <c r="E62" s="593"/>
      <c r="F62" s="593"/>
      <c r="G62" s="593"/>
      <c r="H62" s="593"/>
      <c r="I62" s="600" t="s">
        <v>257</v>
      </c>
      <c r="J62" s="605">
        <f>+SUM(J52:J61)</f>
        <v>21182</v>
      </c>
    </row>
    <row r="63" spans="1:10" ht="13.9" customHeight="1" x14ac:dyDescent="0.25"/>
    <row r="64" spans="1:10" ht="13.9" customHeight="1" x14ac:dyDescent="0.25">
      <c r="E64" s="610" t="s">
        <v>276</v>
      </c>
      <c r="I64" s="611">
        <f>+J62+J48+J41+J22</f>
        <v>424533</v>
      </c>
      <c r="J64" s="612"/>
    </row>
    <row r="65" ht="13.9" customHeight="1" x14ac:dyDescent="0.25"/>
    <row r="66" ht="14.1" customHeight="1" x14ac:dyDescent="0.25"/>
  </sheetData>
  <mergeCells count="53">
    <mergeCell ref="A14:D14"/>
    <mergeCell ref="A1:J1"/>
    <mergeCell ref="A2:J2"/>
    <mergeCell ref="A4:J4"/>
    <mergeCell ref="A6:B6"/>
    <mergeCell ref="A7:B7"/>
    <mergeCell ref="C7:J7"/>
    <mergeCell ref="A9:H9"/>
    <mergeCell ref="A10:D10"/>
    <mergeCell ref="A11:D11"/>
    <mergeCell ref="A12:D12"/>
    <mergeCell ref="A13:D13"/>
    <mergeCell ref="A26:F26"/>
    <mergeCell ref="A27:F27"/>
    <mergeCell ref="A28:F28"/>
    <mergeCell ref="A29:F29"/>
    <mergeCell ref="A30:F30"/>
    <mergeCell ref="A15:D15"/>
    <mergeCell ref="A20:D20"/>
    <mergeCell ref="A21:D21"/>
    <mergeCell ref="A24:H24"/>
    <mergeCell ref="A25:F25"/>
    <mergeCell ref="A16:D16"/>
    <mergeCell ref="A17:D17"/>
    <mergeCell ref="A18:D18"/>
    <mergeCell ref="A19:D19"/>
    <mergeCell ref="A52:D52"/>
    <mergeCell ref="A34:F34"/>
    <mergeCell ref="A35:F35"/>
    <mergeCell ref="A36:F36"/>
    <mergeCell ref="A37:F37"/>
    <mergeCell ref="A44:F44"/>
    <mergeCell ref="A45:F45"/>
    <mergeCell ref="A46:F46"/>
    <mergeCell ref="A47:F47"/>
    <mergeCell ref="A50:H50"/>
    <mergeCell ref="A39:F39"/>
    <mergeCell ref="A32:F32"/>
    <mergeCell ref="A31:F31"/>
    <mergeCell ref="A60:D60"/>
    <mergeCell ref="A61:D61"/>
    <mergeCell ref="A54:D54"/>
    <mergeCell ref="A55:D55"/>
    <mergeCell ref="A56:D56"/>
    <mergeCell ref="A57:D57"/>
    <mergeCell ref="A58:D58"/>
    <mergeCell ref="A59:D59"/>
    <mergeCell ref="A53:D53"/>
    <mergeCell ref="A33:F33"/>
    <mergeCell ref="A38:F38"/>
    <mergeCell ref="A40:F40"/>
    <mergeCell ref="A43:H43"/>
    <mergeCell ref="A51:D51"/>
  </mergeCells>
  <pageMargins left="0.70866141732283472" right="0.70866141732283472" top="0.78740157480314965" bottom="0.78740157480314965" header="0.31496062992125984" footer="0.31496062992125984"/>
  <pageSetup scale="85" orientation="portrait" r:id="rId1"/>
  <drawing r:id="rId2"/>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F00-000000000000}">
  <sheetPr codeName="Hoja9">
    <tabColor rgb="FF00B050"/>
  </sheetPr>
  <dimension ref="A1:P66"/>
  <sheetViews>
    <sheetView topLeftCell="A48" zoomScaleNormal="100" workbookViewId="0">
      <selection activeCell="G46" sqref="G46"/>
    </sheetView>
  </sheetViews>
  <sheetFormatPr baseColWidth="10" defaultColWidth="11.42578125" defaultRowHeight="14.25" x14ac:dyDescent="0.25"/>
  <cols>
    <col min="1" max="1" width="3.710937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1" width="13.7109375" style="592" bestFit="1" customWidth="1"/>
    <col min="12" max="12" width="0" style="592" hidden="1" customWidth="1"/>
    <col min="13" max="13" width="15.7109375" style="592" hidden="1" customWidth="1"/>
    <col min="14" max="14" width="11" style="592" hidden="1" customWidth="1"/>
    <col min="15" max="15" width="11.42578125" style="592" hidden="1" customWidth="1"/>
    <col min="16" max="16" width="0" style="592" hidden="1" customWidth="1"/>
    <col min="17" max="17" width="11.42578125" style="592"/>
    <col min="18" max="19" width="13.140625" style="592" bestFit="1" customWidth="1"/>
    <col min="20" max="16384" width="11.42578125" style="592"/>
  </cols>
  <sheetData>
    <row r="1" spans="1:16" ht="29.25" customHeight="1" x14ac:dyDescent="0.25">
      <c r="A1" s="1680"/>
      <c r="B1" s="1681"/>
      <c r="C1" s="1681"/>
      <c r="D1" s="1681"/>
      <c r="E1" s="1681"/>
      <c r="F1" s="1681"/>
      <c r="G1" s="1681"/>
      <c r="H1" s="1681"/>
      <c r="I1" s="1681"/>
      <c r="J1" s="1681"/>
    </row>
    <row r="2" spans="1:16" ht="15" customHeight="1" x14ac:dyDescent="0.25">
      <c r="A2" s="1682" t="s">
        <v>245</v>
      </c>
      <c r="B2" s="1682"/>
      <c r="C2" s="1682"/>
      <c r="D2" s="1682"/>
      <c r="E2" s="1682"/>
      <c r="F2" s="1682"/>
      <c r="G2" s="1682"/>
      <c r="H2" s="1682"/>
      <c r="I2" s="1682"/>
      <c r="J2" s="1682"/>
    </row>
    <row r="4" spans="1:16" s="593" customFormat="1" ht="9.9499999999999993" customHeight="1" x14ac:dyDescent="0.25">
      <c r="A4" s="1683" t="s">
        <v>246</v>
      </c>
      <c r="B4" s="1683"/>
      <c r="C4" s="1683"/>
      <c r="D4" s="1683"/>
      <c r="E4" s="1683"/>
      <c r="F4" s="1683"/>
      <c r="G4" s="1683"/>
      <c r="H4" s="1683"/>
      <c r="I4" s="1683"/>
      <c r="J4" s="1683"/>
    </row>
    <row r="5" spans="1:16" s="593" customFormat="1" ht="9.9499999999999993" customHeight="1" x14ac:dyDescent="0.25">
      <c r="B5" s="594"/>
      <c r="C5" s="594"/>
      <c r="D5" s="594"/>
      <c r="E5" s="594"/>
      <c r="F5" s="594"/>
      <c r="G5" s="594"/>
    </row>
    <row r="6" spans="1:16" x14ac:dyDescent="0.25">
      <c r="A6" s="1571" t="s">
        <v>247</v>
      </c>
      <c r="B6" s="1573"/>
      <c r="C6" s="595">
        <v>5</v>
      </c>
      <c r="D6" s="596"/>
      <c r="E6" s="596"/>
      <c r="F6" s="596"/>
      <c r="G6" s="596"/>
      <c r="H6" s="597"/>
      <c r="I6" s="598" t="s">
        <v>248</v>
      </c>
      <c r="J6" s="599" t="str">
        <f>+VLOOKUP(C6,'ANEXO PLIEGO_1'!$A$7:$C$133,3,FALSE)</f>
        <v>UN</v>
      </c>
    </row>
    <row r="7" spans="1:16" ht="35.1" customHeight="1" x14ac:dyDescent="0.25">
      <c r="A7" s="1637" t="s">
        <v>249</v>
      </c>
      <c r="B7" s="1639"/>
      <c r="C7" s="1684" t="str">
        <f>+VLOOKUP(C6,'ANEXO PLIEGO_1'!$A$7:$B$103,2,FALSE)</f>
        <v>Fabricación, suministro e instalación de Señal Reglamentaria, Preventiva o informativa de 60 cm, material reflectivo Tipo XI , película antigraffiti, en lámina  galvanizada C-16, E=1,5 mm, pedestal en tubo galvanizado de sección circular con diámetro interior de 2" y e=2 mm para SR - SP cumpliendo con normatividad vigente.</v>
      </c>
      <c r="D7" s="1685"/>
      <c r="E7" s="1685"/>
      <c r="F7" s="1685"/>
      <c r="G7" s="1685"/>
      <c r="H7" s="1685"/>
      <c r="I7" s="1685"/>
      <c r="J7" s="1686"/>
    </row>
    <row r="9" spans="1:16" s="390" customFormat="1" ht="12.75" x14ac:dyDescent="0.25">
      <c r="A9" s="1673" t="s">
        <v>250</v>
      </c>
      <c r="B9" s="1673"/>
      <c r="C9" s="1673"/>
      <c r="D9" s="1673"/>
      <c r="E9" s="1673"/>
      <c r="F9" s="1673"/>
      <c r="G9" s="1673"/>
      <c r="H9" s="1673"/>
    </row>
    <row r="10" spans="1:16" s="593" customFormat="1" ht="13.9" customHeight="1" x14ac:dyDescent="0.25">
      <c r="A10" s="1674" t="s">
        <v>251</v>
      </c>
      <c r="B10" s="1675"/>
      <c r="C10" s="1675"/>
      <c r="D10" s="1676"/>
      <c r="E10" s="600" t="s">
        <v>252</v>
      </c>
      <c r="F10" s="600" t="s">
        <v>253</v>
      </c>
      <c r="G10" s="600" t="s">
        <v>254</v>
      </c>
      <c r="H10" s="600" t="s">
        <v>255</v>
      </c>
      <c r="I10" s="600" t="s">
        <v>256</v>
      </c>
      <c r="J10" s="600" t="s">
        <v>257</v>
      </c>
      <c r="M10" s="593" t="s">
        <v>7371</v>
      </c>
    </row>
    <row r="11" spans="1:16" s="593" customFormat="1" ht="13.9" customHeight="1" x14ac:dyDescent="0.25">
      <c r="A11" s="1571" t="str">
        <f>+'EQUIPOS '!B45</f>
        <v>TRONZADORA</v>
      </c>
      <c r="B11" s="1572"/>
      <c r="C11" s="1572"/>
      <c r="D11" s="1573"/>
      <c r="E11" s="53" t="s">
        <v>259</v>
      </c>
      <c r="F11" s="601">
        <f>IFERROR(VLOOKUP(A11,'[10]EQUIPOS TRANSPOR SALARIO'!$A$3:$G$42,2,FALSE),0)</f>
        <v>0</v>
      </c>
      <c r="G11" s="602">
        <f>+IFERROR(VLOOKUP(A11,'EQUIPOS '!$B$3:$M$56,12,FALSE),0)</f>
        <v>3779.5</v>
      </c>
      <c r="H11" s="601">
        <v>10</v>
      </c>
      <c r="I11" s="55">
        <f t="shared" ref="I11:I19" si="0">IFERROR((G11/H11),0)</f>
        <v>377.95</v>
      </c>
      <c r="J11" s="55">
        <f t="shared" ref="J11:J20" si="1">ROUND(I11,0)</f>
        <v>378</v>
      </c>
      <c r="M11" s="593">
        <v>1.5</v>
      </c>
    </row>
    <row r="12" spans="1:16" s="593" customFormat="1" ht="13.9" customHeight="1" x14ac:dyDescent="0.25">
      <c r="A12" s="1571" t="str">
        <f>+'EQUIPOS '!B7</f>
        <v xml:space="preserve">CIZALLA DE CORTE VERTICAL </v>
      </c>
      <c r="B12" s="1572"/>
      <c r="C12" s="1572"/>
      <c r="D12" s="1573"/>
      <c r="E12" s="53" t="s">
        <v>259</v>
      </c>
      <c r="F12" s="601">
        <f>IFERROR(VLOOKUP(A12,'[10]EQUIPOS TRANSPOR SALARIO'!$A$3:$G$42,2,FALSE),0)</f>
        <v>0</v>
      </c>
      <c r="G12" s="602">
        <f>+IFERROR(VLOOKUP(A12,'EQUIPOS '!$B$3:$M$56,12,FALSE),0)</f>
        <v>5174.01</v>
      </c>
      <c r="H12" s="601">
        <f>+$H$11</f>
        <v>10</v>
      </c>
      <c r="I12" s="55">
        <f t="shared" si="0"/>
        <v>517.40100000000007</v>
      </c>
      <c r="J12" s="55">
        <f t="shared" si="1"/>
        <v>517</v>
      </c>
      <c r="M12" s="593">
        <v>1</v>
      </c>
    </row>
    <row r="13" spans="1:16" s="593" customFormat="1" ht="13.9" customHeight="1" x14ac:dyDescent="0.25">
      <c r="A13" s="1571" t="str">
        <f>+'EQUIPOS '!B24</f>
        <v>EQUIPO PINTURA ELECTROSTÁTICA</v>
      </c>
      <c r="B13" s="1572"/>
      <c r="C13" s="1572"/>
      <c r="D13" s="1573"/>
      <c r="E13" s="53" t="s">
        <v>259</v>
      </c>
      <c r="F13" s="601" t="str">
        <f>IFERROR(VLOOKUP(A13,'[10]EQUIPOS TRANSPOR SALARIO'!$A$3:$G$42,2,FALSE),0)</f>
        <v>Electrostática</v>
      </c>
      <c r="G13" s="602">
        <f>+IFERROR(VLOOKUP(A13,'EQUIPOS '!$B$3:$M$56,12,FALSE),0)</f>
        <v>4047.59</v>
      </c>
      <c r="H13" s="601">
        <f t="shared" ref="H13:H19" si="2">+$H$11</f>
        <v>10</v>
      </c>
      <c r="I13" s="55">
        <f t="shared" si="0"/>
        <v>404.75900000000001</v>
      </c>
      <c r="J13" s="55">
        <f t="shared" si="1"/>
        <v>405</v>
      </c>
      <c r="M13" s="593">
        <v>3</v>
      </c>
    </row>
    <row r="14" spans="1:16" s="593" customFormat="1" ht="13.9" customHeight="1" x14ac:dyDescent="0.25">
      <c r="A14" s="1571" t="str">
        <f>+'EQUIPOS '!B43</f>
        <v>TALADRO DE ARBOL</v>
      </c>
      <c r="B14" s="1572"/>
      <c r="C14" s="1572"/>
      <c r="D14" s="1573"/>
      <c r="E14" s="53" t="s">
        <v>259</v>
      </c>
      <c r="F14" s="601">
        <f>IFERROR(VLOOKUP(A14,'[10]EQUIPOS TRANSPOR SALARIO'!$A$3:$G$42,2,FALSE),0)</f>
        <v>0</v>
      </c>
      <c r="G14" s="602">
        <f>+IFERROR(VLOOKUP(A14,'EQUIPOS '!$B$3:$M$56,12,FALSE),0)</f>
        <v>4898</v>
      </c>
      <c r="H14" s="601">
        <f t="shared" si="2"/>
        <v>10</v>
      </c>
      <c r="I14" s="55">
        <f t="shared" si="0"/>
        <v>489.8</v>
      </c>
      <c r="J14" s="55">
        <f t="shared" si="1"/>
        <v>490</v>
      </c>
      <c r="M14" s="593">
        <v>1.5</v>
      </c>
    </row>
    <row r="15" spans="1:16" s="593" customFormat="1" ht="13.9" customHeight="1" x14ac:dyDescent="0.25">
      <c r="A15" s="1571" t="str">
        <f>+'EQUIPOS '!B27</f>
        <v xml:space="preserve">EQUIPO SOLDADURA ELECTRICA </v>
      </c>
      <c r="B15" s="1572"/>
      <c r="C15" s="1572"/>
      <c r="D15" s="1573"/>
      <c r="E15" s="53" t="s">
        <v>259</v>
      </c>
      <c r="F15" s="601">
        <f>IFERROR(VLOOKUP(A15,'[10]EQUIPOS TRANSPOR SALARIO'!$A$3:$G$42,2,FALSE),0)</f>
        <v>0</v>
      </c>
      <c r="G15" s="602">
        <f>+IFERROR(VLOOKUP(A15,'EQUIPOS '!$B$3:$M$56,12,FALSE),0)</f>
        <v>4862.5</v>
      </c>
      <c r="H15" s="601">
        <f t="shared" si="2"/>
        <v>10</v>
      </c>
      <c r="I15" s="55">
        <f t="shared" si="0"/>
        <v>486.25</v>
      </c>
      <c r="J15" s="55">
        <f t="shared" si="1"/>
        <v>486</v>
      </c>
      <c r="M15" s="593">
        <v>3</v>
      </c>
      <c r="P15" s="593">
        <f>O15*2</f>
        <v>0</v>
      </c>
    </row>
    <row r="16" spans="1:16" s="593" customFormat="1" ht="13.9" customHeight="1" x14ac:dyDescent="0.25">
      <c r="A16" s="1571" t="str">
        <f>+'EQUIPOS '!B25</f>
        <v>EQUIPO  COLAMINADO</v>
      </c>
      <c r="B16" s="1572"/>
      <c r="C16" s="1572"/>
      <c r="D16" s="1573"/>
      <c r="E16" s="53" t="s">
        <v>259</v>
      </c>
      <c r="F16" s="601">
        <f>IFERROR(VLOOKUP(A16,'[10]EQUIPOS TRANSPOR SALARIO'!$A$3:$G$42,2,FALSE),0)</f>
        <v>0</v>
      </c>
      <c r="G16" s="602">
        <f>+IFERROR(VLOOKUP(A16,'EQUIPOS '!$B$3:$M$56,12,FALSE),0)</f>
        <v>4701.8100000000004</v>
      </c>
      <c r="H16" s="601">
        <f t="shared" si="2"/>
        <v>10</v>
      </c>
      <c r="I16" s="55">
        <f t="shared" si="0"/>
        <v>470.18100000000004</v>
      </c>
      <c r="J16" s="55">
        <f t="shared" si="1"/>
        <v>470</v>
      </c>
      <c r="M16" s="593">
        <v>2.5</v>
      </c>
    </row>
    <row r="17" spans="1:15" s="593" customFormat="1" ht="13.9" customHeight="1" x14ac:dyDescent="0.25">
      <c r="A17" s="1571" t="str">
        <f>+'EQUIPOS '!B9</f>
        <v>COMPRESOR</v>
      </c>
      <c r="B17" s="1572"/>
      <c r="C17" s="1572"/>
      <c r="D17" s="1573"/>
      <c r="E17" s="53" t="s">
        <v>259</v>
      </c>
      <c r="F17" s="601" t="str">
        <f>IFERROR(VLOOKUP(A17,'[10]EQUIPOS TRANSPOR SALARIO'!$A$3:$G$42,2,FALSE),0)</f>
        <v>Eléctrico</v>
      </c>
      <c r="G17" s="602">
        <f>+IFERROR(VLOOKUP(A17,'EQUIPOS '!$B$3:$M$56,12,FALSE),0)</f>
        <v>7999.94</v>
      </c>
      <c r="H17" s="601">
        <f t="shared" si="2"/>
        <v>10</v>
      </c>
      <c r="I17" s="55">
        <f t="shared" si="0"/>
        <v>799.99399999999991</v>
      </c>
      <c r="J17" s="55">
        <f t="shared" si="1"/>
        <v>800</v>
      </c>
      <c r="M17" s="593">
        <v>5</v>
      </c>
    </row>
    <row r="18" spans="1:15" s="593" customFormat="1" ht="13.9" customHeight="1" x14ac:dyDescent="0.25">
      <c r="A18" s="1571" t="str">
        <f>+'EQUIPOS '!B51</f>
        <v xml:space="preserve">IMPRESORA DIGITAL PARA SEÑALES DE TRÁNSITO </v>
      </c>
      <c r="B18" s="1572"/>
      <c r="C18" s="1572"/>
      <c r="D18" s="1573"/>
      <c r="E18" s="53" t="s">
        <v>259</v>
      </c>
      <c r="F18" s="601">
        <f>IFERROR(VLOOKUP(A18,'[10]EQUIPOS TRANSPOR SALARIO'!$A$3:$G$42,2,FALSE),0)</f>
        <v>0</v>
      </c>
      <c r="G18" s="602">
        <f>+IFERROR(VLOOKUP(A18,'EQUIPOS '!$B$3:$M$56,12,FALSE),0)</f>
        <v>64227.08</v>
      </c>
      <c r="H18" s="601">
        <f t="shared" si="2"/>
        <v>10</v>
      </c>
      <c r="I18" s="55">
        <f t="shared" si="0"/>
        <v>6422.7080000000005</v>
      </c>
      <c r="J18" s="55">
        <f t="shared" si="1"/>
        <v>6423</v>
      </c>
      <c r="M18" s="593">
        <v>2</v>
      </c>
    </row>
    <row r="19" spans="1:15" s="593" customFormat="1" ht="13.9" customHeight="1" x14ac:dyDescent="0.25">
      <c r="A19" s="1571" t="str">
        <f>+'EQUIPOS '!B39</f>
        <v xml:space="preserve">PULIDORA </v>
      </c>
      <c r="B19" s="1572"/>
      <c r="C19" s="1572"/>
      <c r="D19" s="1573"/>
      <c r="E19" s="53" t="s">
        <v>259</v>
      </c>
      <c r="F19" s="601">
        <f>IFERROR(VLOOKUP(A19,'[10]EQUIPOS TRANSPOR SALARIO'!$A$3:$G$42,2,FALSE),0)</f>
        <v>0</v>
      </c>
      <c r="G19" s="602">
        <f>+IFERROR(VLOOKUP(A19,'EQUIPOS '!$B$3:$M$56,12,FALSE),0)</f>
        <v>2821</v>
      </c>
      <c r="H19" s="601">
        <f t="shared" si="2"/>
        <v>10</v>
      </c>
      <c r="I19" s="55">
        <f t="shared" si="0"/>
        <v>282.10000000000002</v>
      </c>
      <c r="J19" s="55">
        <f t="shared" si="1"/>
        <v>282</v>
      </c>
      <c r="M19" s="593">
        <v>1.5</v>
      </c>
    </row>
    <row r="20" spans="1:15" s="593" customFormat="1" ht="13.9" customHeight="1" x14ac:dyDescent="0.25">
      <c r="A20" s="1571" t="s">
        <v>151</v>
      </c>
      <c r="B20" s="1572"/>
      <c r="C20" s="1572"/>
      <c r="D20" s="1573"/>
      <c r="E20" s="53" t="s">
        <v>259</v>
      </c>
      <c r="F20" s="601" t="str">
        <f>IFERROR(VLOOKUP(A20,'[10]EQUIPOS TRANSPOR SALARIO'!$A$3:$G$42,2,FALSE),0)</f>
        <v>Global</v>
      </c>
      <c r="G20" s="603">
        <v>0.01</v>
      </c>
      <c r="H20" s="601"/>
      <c r="I20" s="55">
        <f>+G20*J62</f>
        <v>163.94</v>
      </c>
      <c r="J20" s="55">
        <f t="shared" si="1"/>
        <v>164</v>
      </c>
      <c r="M20" s="593">
        <v>3</v>
      </c>
    </row>
    <row r="21" spans="1:15" s="593" customFormat="1" ht="13.9" customHeight="1" x14ac:dyDescent="0.25">
      <c r="A21" s="1571"/>
      <c r="B21" s="1572"/>
      <c r="C21" s="1572"/>
      <c r="D21" s="1573"/>
      <c r="E21" s="53"/>
      <c r="F21" s="601"/>
      <c r="G21" s="602"/>
      <c r="H21" s="601"/>
      <c r="I21" s="55"/>
      <c r="J21" s="55"/>
      <c r="M21" s="1381">
        <f>SUM(M11:M20)</f>
        <v>24</v>
      </c>
      <c r="N21" s="593" t="s">
        <v>7370</v>
      </c>
    </row>
    <row r="22" spans="1:15" s="593" customFormat="1" ht="13.9" customHeight="1" x14ac:dyDescent="0.25">
      <c r="I22" s="601" t="s">
        <v>257</v>
      </c>
      <c r="J22" s="605">
        <f>+SUM(J11:J21)</f>
        <v>10415</v>
      </c>
      <c r="K22" s="1379"/>
      <c r="M22" s="593">
        <f>M21/SUM(F52:F54)</f>
        <v>8</v>
      </c>
      <c r="N22" s="593">
        <f>480/M22</f>
        <v>60</v>
      </c>
    </row>
    <row r="23" spans="1:15" s="593" customFormat="1" ht="13.9" customHeight="1" x14ac:dyDescent="0.25"/>
    <row r="24" spans="1:15" s="593" customFormat="1" ht="13.9" customHeight="1" x14ac:dyDescent="0.25">
      <c r="A24" s="1673" t="s">
        <v>263</v>
      </c>
      <c r="B24" s="1673"/>
      <c r="C24" s="1673"/>
      <c r="D24" s="1673"/>
      <c r="E24" s="1673"/>
      <c r="F24" s="1673"/>
      <c r="G24" s="1673"/>
      <c r="H24" s="1673"/>
      <c r="I24" s="390"/>
    </row>
    <row r="25" spans="1:15" ht="13.9" customHeight="1" x14ac:dyDescent="0.25">
      <c r="A25" s="1677" t="s">
        <v>251</v>
      </c>
      <c r="B25" s="1678"/>
      <c r="C25" s="1678"/>
      <c r="D25" s="1678"/>
      <c r="E25" s="1678"/>
      <c r="F25" s="1679"/>
      <c r="G25" s="600" t="s">
        <v>252</v>
      </c>
      <c r="H25" s="600" t="s">
        <v>264</v>
      </c>
      <c r="I25" s="600" t="s">
        <v>256</v>
      </c>
      <c r="J25" s="600" t="s">
        <v>257</v>
      </c>
      <c r="N25" s="1378" t="s">
        <v>7369</v>
      </c>
    </row>
    <row r="26" spans="1:15" ht="13.9" customHeight="1" x14ac:dyDescent="0.25">
      <c r="A26" s="1721" t="str">
        <f>+'INSUMOS '!B50</f>
        <v>LÁMINA GALVANIZADA C 16 E=1,50 mm</v>
      </c>
      <c r="B26" s="1722"/>
      <c r="C26" s="1722"/>
      <c r="D26" s="1722"/>
      <c r="E26" s="1722"/>
      <c r="F26" s="1723"/>
      <c r="G26" s="53" t="s">
        <v>265</v>
      </c>
      <c r="H26" s="54">
        <f>0.6*0.6</f>
        <v>0.36</v>
      </c>
      <c r="I26" s="33">
        <f>+IFERROR(VLOOKUP(A26,'INSUMOS '!$B$2:$AP$167,'INSUMOS '!$AO$2+1,FALSE),0)</f>
        <v>85500.55</v>
      </c>
      <c r="J26" s="55">
        <f>ROUND(I26*H26,0)</f>
        <v>30780</v>
      </c>
      <c r="K26" s="1379"/>
      <c r="N26" s="1413">
        <f>H26*0.0015*7850</f>
        <v>4.2389999999999999</v>
      </c>
      <c r="O26" s="593" t="s">
        <v>106</v>
      </c>
    </row>
    <row r="27" spans="1:15" ht="13.9" customHeight="1" x14ac:dyDescent="0.25">
      <c r="A27" s="1721" t="str">
        <f>+'INSUMOS '!B63</f>
        <v xml:space="preserve">PAPEL REFLECTIVO TIPO XI </v>
      </c>
      <c r="B27" s="1722"/>
      <c r="C27" s="1722"/>
      <c r="D27" s="1722"/>
      <c r="E27" s="1722"/>
      <c r="F27" s="1723"/>
      <c r="G27" s="53" t="s">
        <v>265</v>
      </c>
      <c r="H27" s="54">
        <f>+H26</f>
        <v>0.36</v>
      </c>
      <c r="I27" s="33">
        <f>+IFERROR(VLOOKUP(A27,'INSUMOS '!$B$2:$AP$167,'INSUMOS '!$AO$2+1,FALSE),0)</f>
        <v>153328.9296</v>
      </c>
      <c r="J27" s="55">
        <f t="shared" ref="J27:J38" si="3">ROUND(I27*H27,0)</f>
        <v>55198</v>
      </c>
      <c r="K27" s="1379"/>
      <c r="N27" s="1413">
        <f>H27*0.2/0.36</f>
        <v>0.19999999999999998</v>
      </c>
      <c r="O27" s="593" t="s">
        <v>90</v>
      </c>
    </row>
    <row r="28" spans="1:15" ht="13.9" customHeight="1" x14ac:dyDescent="0.25">
      <c r="A28" s="1718" t="str">
        <f>+'INSUMOS '!B105</f>
        <v>TUBO GALVANIZADO DE 2" X 2,0 mm ESPESOR DE PARED</v>
      </c>
      <c r="B28" s="1719"/>
      <c r="C28" s="1719"/>
      <c r="D28" s="1719"/>
      <c r="E28" s="1719"/>
      <c r="F28" s="1720"/>
      <c r="G28" s="1389" t="s">
        <v>13</v>
      </c>
      <c r="H28" s="1390">
        <f>3.4+0.6</f>
        <v>4</v>
      </c>
      <c r="I28" s="1005">
        <f>+IFERROR(VLOOKUP(A28,'INSUMOS '!$B$2:$AP$167,'INSUMOS '!$AO$2+1,FALSE),0)</f>
        <v>16939</v>
      </c>
      <c r="J28" s="1005">
        <f t="shared" si="3"/>
        <v>67756</v>
      </c>
      <c r="K28" s="1379"/>
      <c r="N28" s="1413">
        <f>(((2*0.0254+0.004)^2*PI()/4)-(2*0.0254)^2*PI()/4)*7850*H28</f>
        <v>10.417018584479191</v>
      </c>
      <c r="O28" s="593" t="s">
        <v>7315</v>
      </c>
    </row>
    <row r="29" spans="1:15" ht="13.9" customHeight="1" x14ac:dyDescent="0.25">
      <c r="A29" s="1727" t="str">
        <f>+'INSUMOS '!B8</f>
        <v>ÁNGULO METÁLICO DE 2"X2"X1/8" L=6M</v>
      </c>
      <c r="B29" s="1728"/>
      <c r="C29" s="1728"/>
      <c r="D29" s="1728"/>
      <c r="E29" s="1728"/>
      <c r="F29" s="1729"/>
      <c r="G29" s="1391" t="s">
        <v>13</v>
      </c>
      <c r="H29" s="1081">
        <f>15/100</f>
        <v>0.15</v>
      </c>
      <c r="I29" s="1005">
        <f>+IFERROR(VLOOKUP(A29,'INSUMOS '!$B$2:$AP$167,'INSUMOS '!$AO$2+1,FALSE),0)</f>
        <v>16804.093333333331</v>
      </c>
      <c r="J29" s="1004">
        <f t="shared" si="3"/>
        <v>2521</v>
      </c>
      <c r="K29" s="1379"/>
      <c r="N29" s="1413">
        <f>4*0.0254*(0.0254/8)*H29*7850</f>
        <v>0.37983794999999998</v>
      </c>
      <c r="O29" s="593" t="s">
        <v>156</v>
      </c>
    </row>
    <row r="30" spans="1:15" ht="13.9" customHeight="1" x14ac:dyDescent="0.25">
      <c r="A30" s="1727" t="str">
        <f>+'INSUMOS '!B102</f>
        <v>TORNILLOS 5/16 ZINCADO  (INCLUYE TUERCA DE SEGURIDAD Y ARANDELA)</v>
      </c>
      <c r="B30" s="1728"/>
      <c r="C30" s="1728"/>
      <c r="D30" s="1728"/>
      <c r="E30" s="1728"/>
      <c r="F30" s="1729"/>
      <c r="G30" s="1391" t="s">
        <v>266</v>
      </c>
      <c r="H30" s="1081">
        <v>4</v>
      </c>
      <c r="I30" s="1005">
        <f>+IFERROR(VLOOKUP(A30,'INSUMOS '!$B$2:$AP$167,'INSUMOS '!$AO$2+1,FALSE),0)</f>
        <v>1747.5</v>
      </c>
      <c r="J30" s="1004">
        <f t="shared" si="3"/>
        <v>6990</v>
      </c>
      <c r="K30" s="1379"/>
      <c r="N30" s="1413">
        <f>H30*0.3/4</f>
        <v>0.3</v>
      </c>
      <c r="O30" s="593" t="s">
        <v>42</v>
      </c>
    </row>
    <row r="31" spans="1:15" ht="13.9" customHeight="1" x14ac:dyDescent="0.25">
      <c r="A31" s="1730" t="str">
        <f>+'INSUMOS '!B88</f>
        <v>REMACHES CON ARANDELAS DE 4*10 MM</v>
      </c>
      <c r="B31" s="1730"/>
      <c r="C31" s="1730"/>
      <c r="D31" s="1730"/>
      <c r="E31" s="1730"/>
      <c r="F31" s="1730"/>
      <c r="G31" s="1416" t="s">
        <v>266</v>
      </c>
      <c r="H31" s="1081">
        <v>4</v>
      </c>
      <c r="I31" s="1005">
        <f>+IFERROR(VLOOKUP(A31,'INSUMOS '!$B$2:$AP$167,'INSUMOS '!$AO$2+1,FALSE),0)</f>
        <v>170</v>
      </c>
      <c r="J31" s="1004">
        <f t="shared" si="3"/>
        <v>680</v>
      </c>
      <c r="K31" s="1379"/>
      <c r="N31" s="1413">
        <f>H31/4*0.1</f>
        <v>0.1</v>
      </c>
      <c r="O31" s="593" t="s">
        <v>43</v>
      </c>
    </row>
    <row r="32" spans="1:15" s="593" customFormat="1" ht="13.9" customHeight="1" x14ac:dyDescent="0.25">
      <c r="A32" s="1730" t="str">
        <f>+'INSUMOS '!B94</f>
        <v xml:space="preserve">STEAKER 15 X 15 CM EN PAPEL REFLECTIVO TIPO IV O SUPERIOR </v>
      </c>
      <c r="B32" s="1730"/>
      <c r="C32" s="1730"/>
      <c r="D32" s="1730"/>
      <c r="E32" s="1730"/>
      <c r="F32" s="1730"/>
      <c r="G32" s="1416" t="s">
        <v>266</v>
      </c>
      <c r="H32" s="1081">
        <v>1</v>
      </c>
      <c r="I32" s="1005">
        <f>+IFERROR(VLOOKUP(A32,'INSUMOS '!$B$2:$AP$167,'INSUMOS '!$AO$2+1,FALSE),0)</f>
        <v>2500</v>
      </c>
      <c r="J32" s="1004">
        <f t="shared" si="3"/>
        <v>2500</v>
      </c>
      <c r="K32" s="1470"/>
      <c r="L32" s="592"/>
      <c r="M32" s="592"/>
      <c r="N32" s="1413">
        <f>H32*0.05</f>
        <v>0.05</v>
      </c>
      <c r="O32" s="593" t="s">
        <v>92</v>
      </c>
    </row>
    <row r="33" spans="1:15" x14ac:dyDescent="0.25">
      <c r="A33" s="1730" t="str">
        <f>+'INSUMOS '!B67</f>
        <v xml:space="preserve">PELÍCULA ANTIGRAFITTI </v>
      </c>
      <c r="B33" s="1730"/>
      <c r="C33" s="1730"/>
      <c r="D33" s="1730"/>
      <c r="E33" s="1730"/>
      <c r="F33" s="1730"/>
      <c r="G33" s="1416" t="s">
        <v>12</v>
      </c>
      <c r="H33" s="1081">
        <f>+H26</f>
        <v>0.36</v>
      </c>
      <c r="I33" s="1005">
        <f>+IFERROR(VLOOKUP(A33,'INSUMOS '!$B$2:$AP$167,'INSUMOS '!$AO$2+1,FALSE),0)</f>
        <v>65174.538799999995</v>
      </c>
      <c r="J33" s="1004">
        <f t="shared" si="3"/>
        <v>23463</v>
      </c>
      <c r="K33" s="1379"/>
      <c r="N33" s="1413">
        <f>H33/0.36*0.3</f>
        <v>0.3</v>
      </c>
      <c r="O33" s="593" t="s">
        <v>89</v>
      </c>
    </row>
    <row r="34" spans="1:15" ht="13.9" customHeight="1" x14ac:dyDescent="0.25">
      <c r="A34" s="1730" t="str">
        <f>+'INSUMOS '!B73</f>
        <v>PINTURA ELECTROSTÁTICA M2</v>
      </c>
      <c r="B34" s="1730"/>
      <c r="C34" s="1730"/>
      <c r="D34" s="1730"/>
      <c r="E34" s="1730"/>
      <c r="F34" s="1730"/>
      <c r="G34" s="1391" t="s">
        <v>6</v>
      </c>
      <c r="H34" s="1392">
        <f>((0.0254*2+0.004)*PI()*H28+H26+8*H29*0.0254+3*0.0588^2*PI()/4)/3</f>
        <v>0.36242117024835108</v>
      </c>
      <c r="I34" s="1005">
        <f>+IFERROR(VLOOKUP(A34,'INSUMOS '!$B$2:$AP$167,'INSUMOS '!$AO$2+1,FALSE),0)</f>
        <v>26664.5</v>
      </c>
      <c r="J34" s="1004">
        <f t="shared" si="3"/>
        <v>9664</v>
      </c>
      <c r="K34" s="1379"/>
      <c r="N34" s="1413">
        <f>H34</f>
        <v>0.36242117024835108</v>
      </c>
      <c r="O34" s="593" t="s">
        <v>334</v>
      </c>
    </row>
    <row r="35" spans="1:15" ht="13.9" customHeight="1" x14ac:dyDescent="0.25">
      <c r="A35" s="1727" t="str">
        <f>+'INSUMOS '!B100</f>
        <v>TINTA TRASLUCIDA PARA CINTA REFLECTIVA</v>
      </c>
      <c r="B35" s="1728"/>
      <c r="C35" s="1728"/>
      <c r="D35" s="1728"/>
      <c r="E35" s="1728"/>
      <c r="F35" s="1729"/>
      <c r="G35" s="1391" t="s">
        <v>157</v>
      </c>
      <c r="H35" s="1393">
        <f>H26/3.44*0.22</f>
        <v>2.3023255813953487E-2</v>
      </c>
      <c r="I35" s="1005">
        <f>+IFERROR(VLOOKUP(A35,'INSUMOS '!$B$2:$AP$167,'INSUMOS '!$AO$2+1,FALSE),0)</f>
        <v>440873.77039999992</v>
      </c>
      <c r="J35" s="1004">
        <f t="shared" si="3"/>
        <v>10150</v>
      </c>
      <c r="K35" s="1379"/>
      <c r="N35" s="1413">
        <f>H35*0.454</f>
        <v>1.0452558139534884E-2</v>
      </c>
      <c r="O35" s="593" t="s">
        <v>45</v>
      </c>
    </row>
    <row r="36" spans="1:15" ht="13.9" customHeight="1" x14ac:dyDescent="0.25">
      <c r="A36" s="1731" t="str">
        <f>+'INSUMOS '!B28</f>
        <v>CONCRETO  HIDRAULICO 2500 PSI 17 MPA (175 KG/CM2)</v>
      </c>
      <c r="B36" s="1728"/>
      <c r="C36" s="1728"/>
      <c r="D36" s="1728"/>
      <c r="E36" s="1728"/>
      <c r="F36" s="1729"/>
      <c r="G36" s="1391" t="s">
        <v>3</v>
      </c>
      <c r="H36" s="1393">
        <f>+PI()*0.25*0.25/4*0.55</f>
        <v>2.6998061866787288E-2</v>
      </c>
      <c r="I36" s="1005">
        <f>+IFERROR(VLOOKUP(A36,'INSUMOS '!$B$2:$AP$167,'INSUMOS '!$AO$2+1,FALSE),0)</f>
        <v>486142</v>
      </c>
      <c r="J36" s="1004">
        <f t="shared" si="3"/>
        <v>13125</v>
      </c>
      <c r="K36" s="1379"/>
      <c r="N36" s="1413">
        <f>H36*2400</f>
        <v>64.795348480289491</v>
      </c>
      <c r="O36" s="593" t="s">
        <v>98</v>
      </c>
    </row>
    <row r="37" spans="1:15" ht="13.9" customHeight="1" x14ac:dyDescent="0.25">
      <c r="A37" s="1732" t="str">
        <f>+'INSUMOS '!B93</f>
        <v>SOLDADURA ELECTRICA  E 6013 O SIMILAR</v>
      </c>
      <c r="B37" s="1733"/>
      <c r="C37" s="1733"/>
      <c r="D37" s="1733"/>
      <c r="E37" s="1733"/>
      <c r="F37" s="1734"/>
      <c r="G37" s="1391" t="s">
        <v>6</v>
      </c>
      <c r="H37" s="1393">
        <f>0.005^2/2*(6*0.0588*PI())*7850</f>
        <v>0.10875722527829824</v>
      </c>
      <c r="I37" s="1005">
        <f>+IFERROR(VLOOKUP(A37,'INSUMOS '!$B$2:$AP$167,'INSUMOS '!$AO$2+1,FALSE),0)</f>
        <v>19163.666666666668</v>
      </c>
      <c r="J37" s="1004">
        <f t="shared" si="3"/>
        <v>2084</v>
      </c>
      <c r="K37" s="1379"/>
      <c r="N37" s="1413">
        <f>H37</f>
        <v>0.10875722527829824</v>
      </c>
      <c r="O37" s="593" t="s">
        <v>87</v>
      </c>
    </row>
    <row r="38" spans="1:15" ht="13.9" customHeight="1" x14ac:dyDescent="0.25">
      <c r="A38" s="1727" t="str">
        <f>+'INSUMOS '!B21</f>
        <v>BROCA PARA METAL 1/2"</v>
      </c>
      <c r="B38" s="1728"/>
      <c r="C38" s="1728"/>
      <c r="D38" s="1728"/>
      <c r="E38" s="1728"/>
      <c r="F38" s="1729"/>
      <c r="G38" s="1391" t="s">
        <v>266</v>
      </c>
      <c r="H38" s="1393">
        <v>0.01</v>
      </c>
      <c r="I38" s="1005">
        <f>+IFERROR(VLOOKUP(A38,'INSUMOS '!$B$2:$AP$167,'INSUMOS '!$AO$2+1,FALSE),0)</f>
        <v>31741.5</v>
      </c>
      <c r="J38" s="1004">
        <f t="shared" si="3"/>
        <v>317</v>
      </c>
      <c r="K38" s="1379"/>
      <c r="N38" s="1413">
        <f>H38*0.106</f>
        <v>1.06E-3</v>
      </c>
      <c r="O38" s="593" t="s">
        <v>26</v>
      </c>
    </row>
    <row r="39" spans="1:15" ht="13.9" customHeight="1" x14ac:dyDescent="0.25">
      <c r="A39" s="1727" t="str">
        <f>'INSUMOS '!B50</f>
        <v>LÁMINA GALVANIZADA C 16 E=1,50 mm</v>
      </c>
      <c r="B39" s="1728"/>
      <c r="C39" s="1728"/>
      <c r="D39" s="1728"/>
      <c r="E39" s="1728"/>
      <c r="F39" s="1729"/>
      <c r="G39" s="1391" t="s">
        <v>265</v>
      </c>
      <c r="H39" s="1394">
        <f>0.0588^2*PI()/4*3</f>
        <v>8.1464010781706203E-3</v>
      </c>
      <c r="I39" s="1005">
        <f>+IFERROR(VLOOKUP(A39,'INSUMOS '!$B$2:$AP$167,'INSUMOS '!$AO$2+1,FALSE),0)</f>
        <v>85500.55</v>
      </c>
      <c r="J39" s="1004">
        <f>ROUND(I39*H39,0)</f>
        <v>697</v>
      </c>
      <c r="K39" s="1379"/>
      <c r="N39" s="1413">
        <f>H39*0.0015*7850</f>
        <v>9.5923872695459059E-2</v>
      </c>
      <c r="O39" s="593" t="s">
        <v>106</v>
      </c>
    </row>
    <row r="40" spans="1:15" ht="13.9" customHeight="1" x14ac:dyDescent="0.25">
      <c r="A40" s="1721" t="s">
        <v>333</v>
      </c>
      <c r="B40" s="1722"/>
      <c r="C40" s="1722"/>
      <c r="D40" s="1722"/>
      <c r="E40" s="1722"/>
      <c r="F40" s="1723"/>
      <c r="G40" s="53"/>
      <c r="H40" s="603">
        <v>0.05</v>
      </c>
      <c r="I40" s="55">
        <f>+SUM(J26:J39)</f>
        <v>225925</v>
      </c>
      <c r="J40" s="55">
        <f>ROUND(I40*H40,0)</f>
        <v>11296</v>
      </c>
      <c r="K40" s="1379"/>
      <c r="N40" s="1413"/>
      <c r="O40" s="593"/>
    </row>
    <row r="41" spans="1:15" ht="13.9" customHeight="1" x14ac:dyDescent="0.25">
      <c r="A41" s="593"/>
      <c r="B41" s="593"/>
      <c r="C41" s="593"/>
      <c r="D41" s="593"/>
      <c r="E41" s="593"/>
      <c r="G41" s="593"/>
      <c r="H41" s="593"/>
      <c r="I41" s="601" t="s">
        <v>257</v>
      </c>
      <c r="J41" s="605">
        <f>+SUM(J26:J40)</f>
        <v>237221</v>
      </c>
      <c r="K41" s="1379"/>
      <c r="N41" s="1413">
        <f>SUM(N26:N39)</f>
        <v>81.359819841130317</v>
      </c>
      <c r="O41" s="593"/>
    </row>
    <row r="42" spans="1:15" ht="13.9" customHeight="1" x14ac:dyDescent="0.25"/>
    <row r="43" spans="1:15" ht="13.9" customHeight="1" x14ac:dyDescent="0.25">
      <c r="A43" s="1673" t="s">
        <v>267</v>
      </c>
      <c r="B43" s="1673"/>
      <c r="C43" s="1673"/>
      <c r="D43" s="1673"/>
      <c r="E43" s="1673"/>
      <c r="F43" s="1673"/>
      <c r="G43" s="1673"/>
      <c r="H43" s="1673"/>
      <c r="I43" s="390"/>
    </row>
    <row r="44" spans="1:15" ht="13.9" customHeight="1" x14ac:dyDescent="0.25">
      <c r="A44" s="1674" t="s">
        <v>268</v>
      </c>
      <c r="B44" s="1675"/>
      <c r="C44" s="1675"/>
      <c r="D44" s="1675"/>
      <c r="E44" s="1675"/>
      <c r="F44" s="1676"/>
      <c r="G44" s="607" t="s">
        <v>255</v>
      </c>
      <c r="H44" s="600" t="s">
        <v>269</v>
      </c>
      <c r="I44" s="600" t="s">
        <v>256</v>
      </c>
      <c r="J44" s="600" t="s">
        <v>257</v>
      </c>
    </row>
    <row r="45" spans="1:15" ht="13.9" customHeight="1" x14ac:dyDescent="0.25">
      <c r="A45" s="1571" t="str">
        <f>+'EQUIPOS '!B6</f>
        <v>CAMION INCLUYE CONDUCTOR</v>
      </c>
      <c r="B45" s="1572"/>
      <c r="C45" s="1572"/>
      <c r="D45" s="1572"/>
      <c r="E45" s="1572"/>
      <c r="F45" s="1573"/>
      <c r="G45" s="1377">
        <f>(N41/1000)/12</f>
        <v>6.7799849867608598E-3</v>
      </c>
      <c r="H45" s="55">
        <f>+IFERROR(VLOOKUP(A45,'EQUIPOS '!$B$3:$M$61,12,FALSE),0)</f>
        <v>611492.5</v>
      </c>
      <c r="I45" s="55">
        <f>IFERROR(H45*G45,0)</f>
        <v>4145.9099695168652</v>
      </c>
      <c r="J45" s="55">
        <f>ROUND(I45,0)</f>
        <v>4146</v>
      </c>
    </row>
    <row r="46" spans="1:15" ht="13.9" customHeight="1" x14ac:dyDescent="0.25">
      <c r="A46" s="1571"/>
      <c r="B46" s="1572"/>
      <c r="C46" s="1572"/>
      <c r="D46" s="1572"/>
      <c r="E46" s="1572"/>
      <c r="F46" s="1573"/>
      <c r="G46" s="53"/>
      <c r="H46" s="55"/>
      <c r="I46" s="55"/>
      <c r="J46" s="55"/>
      <c r="K46" s="760"/>
    </row>
    <row r="47" spans="1:15" ht="13.9" customHeight="1" x14ac:dyDescent="0.25">
      <c r="A47" s="1571"/>
      <c r="B47" s="1572"/>
      <c r="C47" s="1572"/>
      <c r="D47" s="1572"/>
      <c r="E47" s="1572"/>
      <c r="F47" s="1573"/>
      <c r="G47" s="53"/>
      <c r="H47" s="55"/>
      <c r="I47" s="55"/>
      <c r="J47" s="55"/>
      <c r="K47" s="760"/>
    </row>
    <row r="48" spans="1:15" ht="13.9" customHeight="1" x14ac:dyDescent="0.25">
      <c r="G48" s="608"/>
      <c r="H48" s="608"/>
      <c r="I48" s="601" t="s">
        <v>257</v>
      </c>
      <c r="J48" s="55">
        <f>+SUM(J45:J47)</f>
        <v>4146</v>
      </c>
      <c r="K48" s="760"/>
    </row>
    <row r="49" spans="1:10" ht="13.9" customHeight="1" x14ac:dyDescent="0.25"/>
    <row r="50" spans="1:10" ht="13.9" customHeight="1" x14ac:dyDescent="0.25">
      <c r="A50" s="1673" t="s">
        <v>270</v>
      </c>
      <c r="B50" s="1673"/>
      <c r="C50" s="1673"/>
      <c r="D50" s="1673"/>
      <c r="E50" s="1673"/>
      <c r="F50" s="1673"/>
      <c r="G50" s="1673"/>
      <c r="H50" s="1673"/>
      <c r="I50" s="390"/>
    </row>
    <row r="51" spans="1:10" s="608" customFormat="1" ht="13.9" customHeight="1" x14ac:dyDescent="0.25">
      <c r="A51" s="1674" t="s">
        <v>271</v>
      </c>
      <c r="B51" s="1675"/>
      <c r="C51" s="1675"/>
      <c r="D51" s="1676"/>
      <c r="E51" s="600" t="s">
        <v>272</v>
      </c>
      <c r="F51" s="600" t="s">
        <v>264</v>
      </c>
      <c r="G51" s="600" t="s">
        <v>273</v>
      </c>
      <c r="H51" s="600" t="s">
        <v>255</v>
      </c>
      <c r="I51" s="600" t="s">
        <v>256</v>
      </c>
      <c r="J51" s="600" t="s">
        <v>257</v>
      </c>
    </row>
    <row r="52" spans="1:10" s="608" customFormat="1" ht="13.9" customHeight="1" x14ac:dyDescent="0.25">
      <c r="A52" s="1571" t="str">
        <f>+PERSONAL!B40</f>
        <v xml:space="preserve">SOLDADOR </v>
      </c>
      <c r="B52" s="1572"/>
      <c r="C52" s="1572"/>
      <c r="D52" s="1573"/>
      <c r="E52" s="609">
        <f>+IFERROR(VLOOKUP(A52,PERSONAL!$B$3:$E$56,4,FALSE),0)</f>
        <v>110344</v>
      </c>
      <c r="F52" s="601">
        <v>1</v>
      </c>
      <c r="G52" s="609">
        <f t="shared" ref="G52:G57" si="4">+E52*F52</f>
        <v>110344</v>
      </c>
      <c r="H52" s="54">
        <f>N22</f>
        <v>60</v>
      </c>
      <c r="I52" s="55">
        <f t="shared" ref="I52:I57" si="5">IFERROR(ROUND(G52/H52,0),0)</f>
        <v>1839</v>
      </c>
      <c r="J52" s="55">
        <f t="shared" ref="J52:J57" si="6">+I52</f>
        <v>1839</v>
      </c>
    </row>
    <row r="53" spans="1:10" s="608" customFormat="1" ht="13.9" customHeight="1" x14ac:dyDescent="0.25">
      <c r="A53" s="1571" t="str">
        <f>+PERSONAL!B27</f>
        <v xml:space="preserve">PINTOR </v>
      </c>
      <c r="B53" s="1572"/>
      <c r="C53" s="1572"/>
      <c r="D53" s="1573"/>
      <c r="E53" s="609">
        <f>+IFERROR(VLOOKUP(A53,PERSONAL!$B$3:$E$56,4,FALSE),0)</f>
        <v>100054</v>
      </c>
      <c r="F53" s="601">
        <v>1</v>
      </c>
      <c r="G53" s="609">
        <f t="shared" si="4"/>
        <v>100054</v>
      </c>
      <c r="H53" s="54">
        <f>H52</f>
        <v>60</v>
      </c>
      <c r="I53" s="55">
        <f t="shared" si="5"/>
        <v>1668</v>
      </c>
      <c r="J53" s="55">
        <f t="shared" si="6"/>
        <v>1668</v>
      </c>
    </row>
    <row r="54" spans="1:10" s="608" customFormat="1" ht="13.9" customHeight="1" x14ac:dyDescent="0.25">
      <c r="A54" s="1571" t="str">
        <f>+PERSONAL!B7</f>
        <v>COLAMINADOR</v>
      </c>
      <c r="B54" s="1572"/>
      <c r="C54" s="1572"/>
      <c r="D54" s="1573"/>
      <c r="E54" s="609">
        <f>+IFERROR(VLOOKUP(A54,PERSONAL!$B$3:$E$56,4,FALSE),0)</f>
        <v>91275</v>
      </c>
      <c r="F54" s="601">
        <v>1</v>
      </c>
      <c r="G54" s="609">
        <f t="shared" si="4"/>
        <v>91275</v>
      </c>
      <c r="H54" s="54">
        <f>H53</f>
        <v>60</v>
      </c>
      <c r="I54" s="55">
        <f t="shared" si="5"/>
        <v>1521</v>
      </c>
      <c r="J54" s="55">
        <f t="shared" si="6"/>
        <v>1521</v>
      </c>
    </row>
    <row r="55" spans="1:10" s="608" customFormat="1" ht="13.9" customHeight="1" x14ac:dyDescent="0.25">
      <c r="A55" s="1571" t="str">
        <f>+PERSONAL!B18</f>
        <v>JEFE DE CUADRILLA DIURNO</v>
      </c>
      <c r="B55" s="1572"/>
      <c r="C55" s="1572"/>
      <c r="D55" s="1573"/>
      <c r="E55" s="1412">
        <f>+IFERROR(VLOOKUP(A55,PERSONAL!$B$3:$E$56,4,FALSE),0)</f>
        <v>166031</v>
      </c>
      <c r="F55" s="601">
        <v>1</v>
      </c>
      <c r="G55" s="1412">
        <f t="shared" si="4"/>
        <v>166031</v>
      </c>
      <c r="H55" s="54">
        <v>48</v>
      </c>
      <c r="I55" s="1398">
        <f t="shared" si="5"/>
        <v>3459</v>
      </c>
      <c r="J55" s="1398">
        <f t="shared" si="6"/>
        <v>3459</v>
      </c>
    </row>
    <row r="56" spans="1:10" s="608" customFormat="1" ht="13.9" customHeight="1" x14ac:dyDescent="0.25">
      <c r="A56" s="1571" t="str">
        <f>+PERSONAL!B3</f>
        <v>AUXILIAR DE TRÁFICO</v>
      </c>
      <c r="B56" s="1572"/>
      <c r="C56" s="1572"/>
      <c r="D56" s="1573"/>
      <c r="E56" s="1412">
        <f>+IFERROR(VLOOKUP(A56,PERSONAL!$B$3:$E$56,4,FALSE),0)</f>
        <v>89632</v>
      </c>
      <c r="F56" s="601">
        <v>1</v>
      </c>
      <c r="G56" s="1412">
        <f t="shared" si="4"/>
        <v>89632</v>
      </c>
      <c r="H56" s="54">
        <v>48</v>
      </c>
      <c r="I56" s="1398">
        <f t="shared" si="5"/>
        <v>1867</v>
      </c>
      <c r="J56" s="1398">
        <f t="shared" si="6"/>
        <v>1867</v>
      </c>
    </row>
    <row r="57" spans="1:10" s="608" customFormat="1" ht="13.9" customHeight="1" x14ac:dyDescent="0.25">
      <c r="A57" s="1571" t="str">
        <f>+PERSONAL!B5</f>
        <v xml:space="preserve">AYUDANTE </v>
      </c>
      <c r="B57" s="1572"/>
      <c r="C57" s="1572"/>
      <c r="D57" s="1573"/>
      <c r="E57" s="1412">
        <f>+IFERROR(VLOOKUP(A57,PERSONAL!$B$3:$E$56,4,FALSE),0)</f>
        <v>72476</v>
      </c>
      <c r="F57" s="601">
        <v>4</v>
      </c>
      <c r="G57" s="1412">
        <f t="shared" si="4"/>
        <v>289904</v>
      </c>
      <c r="H57" s="54">
        <v>48</v>
      </c>
      <c r="I57" s="1398">
        <f t="shared" si="5"/>
        <v>6040</v>
      </c>
      <c r="J57" s="1398">
        <f t="shared" si="6"/>
        <v>6040</v>
      </c>
    </row>
    <row r="58" spans="1:10" s="608" customFormat="1" ht="13.9" customHeight="1" x14ac:dyDescent="0.25">
      <c r="A58" s="1571"/>
      <c r="B58" s="1572"/>
      <c r="C58" s="1572"/>
      <c r="D58" s="1573"/>
      <c r="E58" s="609"/>
      <c r="F58" s="601"/>
      <c r="G58" s="609"/>
      <c r="H58" s="54"/>
      <c r="I58" s="55"/>
      <c r="J58" s="55"/>
    </row>
    <row r="59" spans="1:10" s="608" customFormat="1" ht="13.9" customHeight="1" x14ac:dyDescent="0.25">
      <c r="A59" s="1571"/>
      <c r="B59" s="1572"/>
      <c r="C59" s="1572"/>
      <c r="D59" s="1573"/>
      <c r="E59" s="609"/>
      <c r="F59" s="601"/>
      <c r="G59" s="609"/>
      <c r="H59" s="54"/>
      <c r="I59" s="55"/>
      <c r="J59" s="55"/>
    </row>
    <row r="60" spans="1:10" s="608" customFormat="1" ht="13.9" customHeight="1" x14ac:dyDescent="0.25">
      <c r="A60" s="1571"/>
      <c r="B60" s="1572"/>
      <c r="C60" s="1572"/>
      <c r="D60" s="1573"/>
      <c r="E60" s="609"/>
      <c r="F60" s="601"/>
      <c r="G60" s="609"/>
      <c r="H60" s="54"/>
      <c r="I60" s="55"/>
      <c r="J60" s="55"/>
    </row>
    <row r="61" spans="1:10" s="608" customFormat="1" ht="13.9" customHeight="1" x14ac:dyDescent="0.25">
      <c r="A61" s="1571"/>
      <c r="B61" s="1572"/>
      <c r="C61" s="1572"/>
      <c r="D61" s="1573"/>
      <c r="E61" s="609"/>
      <c r="F61" s="601"/>
      <c r="G61" s="609"/>
      <c r="H61" s="54"/>
      <c r="I61" s="55"/>
      <c r="J61" s="55"/>
    </row>
    <row r="62" spans="1:10" ht="13.9" customHeight="1" x14ac:dyDescent="0.25">
      <c r="A62" s="593"/>
      <c r="B62" s="593"/>
      <c r="C62" s="593"/>
      <c r="E62" s="593"/>
      <c r="F62" s="593"/>
      <c r="G62" s="593"/>
      <c r="H62" s="593"/>
      <c r="I62" s="601" t="s">
        <v>257</v>
      </c>
      <c r="J62" s="605">
        <f>+SUM(J52:J61)</f>
        <v>16394</v>
      </c>
    </row>
    <row r="63" spans="1:10" ht="13.9" customHeight="1" x14ac:dyDescent="0.25"/>
    <row r="64" spans="1:10" ht="13.9" customHeight="1" x14ac:dyDescent="0.25">
      <c r="E64" s="610" t="s">
        <v>276</v>
      </c>
      <c r="I64" s="611">
        <f>+J62+J48+J41+J22</f>
        <v>268176</v>
      </c>
      <c r="J64" s="612"/>
    </row>
    <row r="65" ht="13.9" customHeight="1" x14ac:dyDescent="0.25"/>
    <row r="66" ht="14.1" customHeight="1" x14ac:dyDescent="0.25"/>
  </sheetData>
  <mergeCells count="53">
    <mergeCell ref="A32:F32"/>
    <mergeCell ref="A33:F33"/>
    <mergeCell ref="A14:D14"/>
    <mergeCell ref="A1:J1"/>
    <mergeCell ref="A2:J2"/>
    <mergeCell ref="A4:J4"/>
    <mergeCell ref="A6:B6"/>
    <mergeCell ref="A7:B7"/>
    <mergeCell ref="C7:J7"/>
    <mergeCell ref="A9:H9"/>
    <mergeCell ref="A10:D10"/>
    <mergeCell ref="A11:D11"/>
    <mergeCell ref="A12:D12"/>
    <mergeCell ref="A13:D13"/>
    <mergeCell ref="A34:F34"/>
    <mergeCell ref="A15:D15"/>
    <mergeCell ref="A16:D16"/>
    <mergeCell ref="A21:D21"/>
    <mergeCell ref="A24:H24"/>
    <mergeCell ref="A25:F25"/>
    <mergeCell ref="A26:F26"/>
    <mergeCell ref="A27:F27"/>
    <mergeCell ref="A28:F28"/>
    <mergeCell ref="A29:F29"/>
    <mergeCell ref="A30:F30"/>
    <mergeCell ref="A31:F31"/>
    <mergeCell ref="A17:D17"/>
    <mergeCell ref="A18:D18"/>
    <mergeCell ref="A19:D19"/>
    <mergeCell ref="A20:D20"/>
    <mergeCell ref="A53:D53"/>
    <mergeCell ref="A35:F35"/>
    <mergeCell ref="A40:F40"/>
    <mergeCell ref="A43:H43"/>
    <mergeCell ref="A44:F44"/>
    <mergeCell ref="A45:F45"/>
    <mergeCell ref="A46:F46"/>
    <mergeCell ref="A47:F47"/>
    <mergeCell ref="A50:H50"/>
    <mergeCell ref="A51:D51"/>
    <mergeCell ref="A52:D52"/>
    <mergeCell ref="A36:F36"/>
    <mergeCell ref="A38:F38"/>
    <mergeCell ref="A37:F37"/>
    <mergeCell ref="A39:F39"/>
    <mergeCell ref="A60:D60"/>
    <mergeCell ref="A61:D61"/>
    <mergeCell ref="A57:D57"/>
    <mergeCell ref="A54:D54"/>
    <mergeCell ref="A56:D56"/>
    <mergeCell ref="A58:D58"/>
    <mergeCell ref="A59:D59"/>
    <mergeCell ref="A55:D55"/>
  </mergeCells>
  <pageMargins left="0.70866141732283472" right="0.70866141732283472" top="0.78740157480314965" bottom="0.78740157480314965" header="0.31496062992125984" footer="0.31496062992125984"/>
  <pageSetup scale="85" orientation="portrait" r:id="rId1"/>
  <drawing r:id="rId2"/>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000-000000000000}">
  <sheetPr codeName="Hoja8">
    <tabColor rgb="FF00B050"/>
  </sheetPr>
  <dimension ref="A1:O73"/>
  <sheetViews>
    <sheetView topLeftCell="A55" zoomScaleNormal="100" workbookViewId="0">
      <selection activeCell="G53" sqref="G53"/>
    </sheetView>
  </sheetViews>
  <sheetFormatPr baseColWidth="10" defaultColWidth="11.42578125" defaultRowHeight="14.25" x14ac:dyDescent="0.25"/>
  <cols>
    <col min="1" max="1" width="14.5703125" style="592" customWidth="1"/>
    <col min="2" max="2" width="11.42578125" style="592"/>
    <col min="3" max="3" width="8.140625" style="592" customWidth="1"/>
    <col min="4" max="4" width="8.5703125" style="592" customWidth="1"/>
    <col min="5" max="5" width="12.28515625" style="592" customWidth="1"/>
    <col min="6" max="6" width="11.7109375" style="592" customWidth="1"/>
    <col min="7" max="8" width="11" style="592" bestFit="1" customWidth="1"/>
    <col min="9" max="9" width="12.85546875" style="592" bestFit="1" customWidth="1"/>
    <col min="10" max="10" width="12" style="592" customWidth="1"/>
    <col min="11" max="13" width="11.42578125" style="592"/>
    <col min="14" max="15" width="0" style="592" hidden="1" customWidth="1"/>
    <col min="16" max="16384" width="11.42578125" style="592"/>
  </cols>
  <sheetData>
    <row r="1" spans="1:10" ht="47.25" customHeight="1" x14ac:dyDescent="0.25">
      <c r="A1" s="1680" t="s">
        <v>244</v>
      </c>
      <c r="B1" s="1681"/>
      <c r="C1" s="1681"/>
      <c r="D1" s="1681"/>
      <c r="E1" s="1681"/>
      <c r="F1" s="1681"/>
      <c r="G1" s="1681"/>
      <c r="H1" s="1681"/>
      <c r="I1" s="1681"/>
      <c r="J1" s="1681"/>
    </row>
    <row r="2" spans="1:10" ht="15" customHeight="1" x14ac:dyDescent="0.25">
      <c r="A2" s="1682" t="s">
        <v>245</v>
      </c>
      <c r="B2" s="1682"/>
      <c r="C2" s="1682"/>
      <c r="D2" s="1682"/>
      <c r="E2" s="1682"/>
      <c r="F2" s="1682"/>
      <c r="G2" s="1682"/>
      <c r="H2" s="1682"/>
      <c r="I2" s="1682"/>
      <c r="J2" s="1682"/>
    </row>
    <row r="4" spans="1:10" s="593" customFormat="1" ht="9.9499999999999993" customHeight="1" x14ac:dyDescent="0.25">
      <c r="A4" s="1683" t="s">
        <v>246</v>
      </c>
      <c r="B4" s="1683"/>
      <c r="C4" s="1683"/>
      <c r="D4" s="1683"/>
      <c r="E4" s="1683"/>
      <c r="F4" s="1683"/>
      <c r="G4" s="1683"/>
      <c r="H4" s="1683"/>
      <c r="I4" s="1683"/>
      <c r="J4" s="1683"/>
    </row>
    <row r="5" spans="1:10" s="593" customFormat="1" ht="9.9499999999999993" customHeight="1" x14ac:dyDescent="0.25">
      <c r="B5" s="594"/>
      <c r="C5" s="594"/>
      <c r="D5" s="594"/>
      <c r="E5" s="594"/>
      <c r="F5" s="594"/>
      <c r="G5" s="594"/>
    </row>
    <row r="6" spans="1:10" x14ac:dyDescent="0.25">
      <c r="A6" s="1571" t="s">
        <v>247</v>
      </c>
      <c r="B6" s="1573"/>
      <c r="C6" s="672">
        <v>4</v>
      </c>
      <c r="D6" s="673"/>
      <c r="E6" s="673"/>
      <c r="F6" s="673"/>
      <c r="G6" s="673"/>
      <c r="H6" s="688"/>
      <c r="I6" s="53" t="s">
        <v>248</v>
      </c>
      <c r="J6" s="599" t="str">
        <f>+VLOOKUP(C6,'ANEXO PLIEGO_1'!$A$7:$C$133,3,FALSE)</f>
        <v>UN</v>
      </c>
    </row>
    <row r="7" spans="1:10" ht="63.75" customHeight="1" x14ac:dyDescent="0.25">
      <c r="A7" s="1637" t="s">
        <v>249</v>
      </c>
      <c r="B7" s="1639"/>
      <c r="C7" s="1684" t="str">
        <f>+IFERROR(VLOOKUP(C6,'ANEXO PLIEGO_1'!A7:B103,2,FALSE),0)</f>
        <v>Fabricación, suministro e instalación de señal preventiva, reglamentaría ó informativa de 60 cm, lámina galvanizada C-16 E=1,5mm y material reflectivo Tipo XI, película antigraffiti, poste de tubo galvanizado de sección circular con diámetro interior de 2" y e=2 mm con brazo variable desde 70cm hasta 120 cm, cumpliendo normatividad vigente. (Incluye la cimentación del soporte para la señal).</v>
      </c>
      <c r="D7" s="1685"/>
      <c r="E7" s="1685"/>
      <c r="F7" s="1685"/>
      <c r="G7" s="1685"/>
      <c r="H7" s="1685"/>
      <c r="I7" s="1685"/>
      <c r="J7" s="1686"/>
    </row>
    <row r="9" spans="1:10" s="390" customFormat="1" ht="12.75" x14ac:dyDescent="0.25">
      <c r="A9" s="1673" t="s">
        <v>250</v>
      </c>
      <c r="B9" s="1673"/>
      <c r="C9" s="1673"/>
      <c r="D9" s="1673"/>
      <c r="E9" s="1673"/>
      <c r="F9" s="1673"/>
      <c r="G9" s="1673"/>
      <c r="H9" s="1673"/>
    </row>
    <row r="10" spans="1:10" s="593" customFormat="1" ht="13.9" customHeight="1" x14ac:dyDescent="0.25">
      <c r="A10" s="1674" t="s">
        <v>251</v>
      </c>
      <c r="B10" s="1675"/>
      <c r="C10" s="1675"/>
      <c r="D10" s="1676"/>
      <c r="E10" s="600" t="s">
        <v>252</v>
      </c>
      <c r="F10" s="600" t="s">
        <v>253</v>
      </c>
      <c r="G10" s="600" t="s">
        <v>254</v>
      </c>
      <c r="H10" s="600" t="s">
        <v>255</v>
      </c>
      <c r="I10" s="600" t="s">
        <v>256</v>
      </c>
      <c r="J10" s="600" t="s">
        <v>257</v>
      </c>
    </row>
    <row r="11" spans="1:10" s="593" customFormat="1" ht="13.9" customHeight="1" x14ac:dyDescent="0.25">
      <c r="A11" s="1571" t="str">
        <f>+'EQUIPOS '!B45</f>
        <v>TRONZADORA</v>
      </c>
      <c r="B11" s="1572"/>
      <c r="C11" s="1572"/>
      <c r="D11" s="1573"/>
      <c r="E11" s="53" t="s">
        <v>2898</v>
      </c>
      <c r="F11" s="601" t="str">
        <f>IFERROR(VLOOKUP(A11,'[10]EQUIPOS TRANSPOR SALARIO'!$A$3:$G$42,2,FALSE),"")</f>
        <v/>
      </c>
      <c r="G11" s="602">
        <f>+IFERROR(VLOOKUP(A11,'EQUIPOS '!$B$3:$M$56,12,FALSE),0)</f>
        <v>3779.5</v>
      </c>
      <c r="H11" s="601">
        <v>4</v>
      </c>
      <c r="I11" s="55">
        <f t="shared" ref="I11:I20" si="0">IFERROR((G11/H11),0)</f>
        <v>944.875</v>
      </c>
      <c r="J11" s="55">
        <f>ROUND(I11,0)</f>
        <v>945</v>
      </c>
    </row>
    <row r="12" spans="1:10" s="593" customFormat="1" ht="13.9" customHeight="1" x14ac:dyDescent="0.25">
      <c r="A12" s="1571" t="str">
        <f>+'EQUIPOS '!B7</f>
        <v xml:space="preserve">CIZALLA DE CORTE VERTICAL </v>
      </c>
      <c r="B12" s="1572"/>
      <c r="C12" s="1572"/>
      <c r="D12" s="1573"/>
      <c r="E12" s="53" t="s">
        <v>2898</v>
      </c>
      <c r="F12" s="601" t="str">
        <f>IFERROR(VLOOKUP(A12,'[10]EQUIPOS TRANSPOR SALARIO'!$A$3:$G$42,2,FALSE),"")</f>
        <v/>
      </c>
      <c r="G12" s="602">
        <f>+IFERROR(VLOOKUP(A12,'EQUIPOS '!$B$3:$M$56,12,FALSE),0)</f>
        <v>5174.01</v>
      </c>
      <c r="H12" s="601">
        <f>+H11</f>
        <v>4</v>
      </c>
      <c r="I12" s="55">
        <f t="shared" si="0"/>
        <v>1293.5025000000001</v>
      </c>
      <c r="J12" s="55">
        <f t="shared" ref="J12:J21" si="1">ROUND(I12,0)</f>
        <v>1294</v>
      </c>
    </row>
    <row r="13" spans="1:10" s="593" customFormat="1" ht="13.9" customHeight="1" x14ac:dyDescent="0.25">
      <c r="A13" s="1571" t="str">
        <f>+'EQUIPOS '!B24</f>
        <v>EQUIPO PINTURA ELECTROSTÁTICA</v>
      </c>
      <c r="B13" s="1572"/>
      <c r="C13" s="1572"/>
      <c r="D13" s="1573"/>
      <c r="E13" s="53" t="s">
        <v>2898</v>
      </c>
      <c r="F13" s="601" t="str">
        <f>IFERROR(VLOOKUP(A13,'[10]EQUIPOS TRANSPOR SALARIO'!$A$3:$G$42,2,FALSE),"")</f>
        <v>Electrostática</v>
      </c>
      <c r="G13" s="602">
        <f>+IFERROR(VLOOKUP(A13,'EQUIPOS '!$B$3:$M$56,12,FALSE),0)</f>
        <v>4047.59</v>
      </c>
      <c r="H13" s="601">
        <f t="shared" ref="H13:H20" si="2">+H12</f>
        <v>4</v>
      </c>
      <c r="I13" s="55">
        <f t="shared" si="0"/>
        <v>1011.8975</v>
      </c>
      <c r="J13" s="55">
        <f t="shared" si="1"/>
        <v>1012</v>
      </c>
    </row>
    <row r="14" spans="1:10" s="593" customFormat="1" ht="13.9" customHeight="1" x14ac:dyDescent="0.25">
      <c r="A14" s="1571" t="str">
        <f>+'EQUIPOS '!B43</f>
        <v>TALADRO DE ARBOL</v>
      </c>
      <c r="B14" s="1572"/>
      <c r="C14" s="1572"/>
      <c r="D14" s="1573"/>
      <c r="E14" s="53" t="s">
        <v>2898</v>
      </c>
      <c r="F14" s="601" t="str">
        <f>IFERROR(VLOOKUP(A14,'[10]EQUIPOS TRANSPOR SALARIO'!$A$3:$G$42,2,FALSE),"")</f>
        <v/>
      </c>
      <c r="G14" s="602">
        <f>+IFERROR(VLOOKUP(A14,'EQUIPOS '!$B$3:$M$56,12,FALSE),0)</f>
        <v>4898</v>
      </c>
      <c r="H14" s="601">
        <f t="shared" si="2"/>
        <v>4</v>
      </c>
      <c r="I14" s="55">
        <f t="shared" si="0"/>
        <v>1224.5</v>
      </c>
      <c r="J14" s="55">
        <f t="shared" si="1"/>
        <v>1225</v>
      </c>
    </row>
    <row r="15" spans="1:10" s="593" customFormat="1" ht="13.9" customHeight="1" x14ac:dyDescent="0.25">
      <c r="A15" s="1571" t="str">
        <f>+'EQUIPOS '!B27</f>
        <v xml:space="preserve">EQUIPO SOLDADURA ELECTRICA </v>
      </c>
      <c r="B15" s="1572"/>
      <c r="C15" s="1572"/>
      <c r="D15" s="1573"/>
      <c r="E15" s="53" t="s">
        <v>2898</v>
      </c>
      <c r="F15" s="601" t="str">
        <f>IFERROR(VLOOKUP(A15,'[10]EQUIPOS TRANSPOR SALARIO'!$A$3:$G$42,2,FALSE),"")</f>
        <v/>
      </c>
      <c r="G15" s="602">
        <f>+IFERROR(VLOOKUP(A15,'EQUIPOS '!$B$3:$M$56,12,FALSE),0)</f>
        <v>4862.5</v>
      </c>
      <c r="H15" s="601">
        <f t="shared" si="2"/>
        <v>4</v>
      </c>
      <c r="I15" s="55">
        <f t="shared" si="0"/>
        <v>1215.625</v>
      </c>
      <c r="J15" s="55">
        <f t="shared" si="1"/>
        <v>1216</v>
      </c>
    </row>
    <row r="16" spans="1:10" s="593" customFormat="1" ht="13.9" customHeight="1" x14ac:dyDescent="0.25">
      <c r="A16" s="1571" t="str">
        <f>+'EQUIPOS '!B25</f>
        <v>EQUIPO  COLAMINADO</v>
      </c>
      <c r="B16" s="1572"/>
      <c r="C16" s="1572"/>
      <c r="D16" s="1573"/>
      <c r="E16" s="53" t="s">
        <v>2898</v>
      </c>
      <c r="F16" s="601" t="str">
        <f>IFERROR(VLOOKUP(A16,'[10]EQUIPOS TRANSPOR SALARIO'!$A$3:$G$42,2,FALSE),"")</f>
        <v/>
      </c>
      <c r="G16" s="602">
        <f>+IFERROR(VLOOKUP(A16,'EQUIPOS '!$B$3:$M$56,12,FALSE),0)</f>
        <v>4701.8100000000004</v>
      </c>
      <c r="H16" s="601">
        <f t="shared" si="2"/>
        <v>4</v>
      </c>
      <c r="I16" s="55">
        <f t="shared" si="0"/>
        <v>1175.4525000000001</v>
      </c>
      <c r="J16" s="55">
        <f t="shared" si="1"/>
        <v>1175</v>
      </c>
    </row>
    <row r="17" spans="1:15" s="593" customFormat="1" ht="13.9" customHeight="1" x14ac:dyDescent="0.25">
      <c r="A17" s="1571" t="str">
        <f>+'EQUIPOS '!B11</f>
        <v xml:space="preserve">DOBLADORA DE TUBO </v>
      </c>
      <c r="B17" s="1572"/>
      <c r="C17" s="1572"/>
      <c r="D17" s="1573"/>
      <c r="E17" s="53" t="s">
        <v>2898</v>
      </c>
      <c r="F17" s="601" t="str">
        <f>IFERROR(VLOOKUP(A17,'[10]EQUIPOS TRANSPOR SALARIO'!$A$3:$G$42,2,FALSE),"")</f>
        <v/>
      </c>
      <c r="G17" s="602">
        <f>+IFERROR(VLOOKUP(A17,'EQUIPOS '!$B$3:$M$56,12,FALSE),0)</f>
        <v>1832.42</v>
      </c>
      <c r="H17" s="601">
        <f t="shared" si="2"/>
        <v>4</v>
      </c>
      <c r="I17" s="55">
        <f t="shared" si="0"/>
        <v>458.10500000000002</v>
      </c>
      <c r="J17" s="55">
        <f t="shared" si="1"/>
        <v>458</v>
      </c>
      <c r="M17" s="390"/>
      <c r="N17" s="390"/>
      <c r="O17" s="390"/>
    </row>
    <row r="18" spans="1:15" s="593" customFormat="1" ht="13.9" customHeight="1" x14ac:dyDescent="0.25">
      <c r="A18" s="1571" t="str">
        <f>+'EQUIPOS '!B9</f>
        <v>COMPRESOR</v>
      </c>
      <c r="B18" s="1572"/>
      <c r="C18" s="1572"/>
      <c r="D18" s="1573"/>
      <c r="E18" s="53" t="s">
        <v>2898</v>
      </c>
      <c r="F18" s="601" t="str">
        <f>IFERROR(VLOOKUP(A18,'[10]EQUIPOS TRANSPOR SALARIO'!$A$3:$G$42,2,FALSE),"")</f>
        <v>Eléctrico</v>
      </c>
      <c r="G18" s="602">
        <f>+IFERROR(VLOOKUP(A18,'EQUIPOS '!$B$3:$M$56,12,FALSE),0)</f>
        <v>7999.94</v>
      </c>
      <c r="H18" s="601">
        <f t="shared" si="2"/>
        <v>4</v>
      </c>
      <c r="I18" s="55">
        <f t="shared" si="0"/>
        <v>1999.9849999999999</v>
      </c>
      <c r="J18" s="55">
        <f t="shared" si="1"/>
        <v>2000</v>
      </c>
      <c r="M18" s="592"/>
      <c r="N18" s="592"/>
      <c r="O18" s="592"/>
    </row>
    <row r="19" spans="1:15" s="593" customFormat="1" ht="13.9" customHeight="1" x14ac:dyDescent="0.25">
      <c r="A19" s="1571" t="str">
        <f>+'EQUIPOS '!B51</f>
        <v xml:space="preserve">IMPRESORA DIGITAL PARA SEÑALES DE TRÁNSITO </v>
      </c>
      <c r="B19" s="1572"/>
      <c r="C19" s="1572"/>
      <c r="D19" s="1573"/>
      <c r="E19" s="53" t="s">
        <v>2898</v>
      </c>
      <c r="F19" s="601"/>
      <c r="G19" s="602">
        <f>+IFERROR(VLOOKUP(A19,'EQUIPOS '!$B$3:$M$56,12,FALSE),0)</f>
        <v>64227.08</v>
      </c>
      <c r="H19" s="601">
        <f t="shared" si="2"/>
        <v>4</v>
      </c>
      <c r="I19" s="55">
        <f t="shared" si="0"/>
        <v>16056.77</v>
      </c>
      <c r="J19" s="55">
        <f t="shared" si="1"/>
        <v>16057</v>
      </c>
      <c r="M19" s="390"/>
      <c r="N19" s="390"/>
      <c r="O19" s="390"/>
    </row>
    <row r="20" spans="1:15" s="593" customFormat="1" ht="13.9" customHeight="1" x14ac:dyDescent="0.25">
      <c r="A20" s="1721" t="str">
        <f>+'EQUIPOS '!B39</f>
        <v xml:space="preserve">PULIDORA </v>
      </c>
      <c r="B20" s="1722"/>
      <c r="C20" s="1722"/>
      <c r="D20" s="1723"/>
      <c r="E20" s="53" t="s">
        <v>2898</v>
      </c>
      <c r="F20" s="601"/>
      <c r="G20" s="602">
        <f>+IFERROR(VLOOKUP(A20,'EQUIPOS '!$B$3:$M$56,12,FALSE),0)</f>
        <v>2821</v>
      </c>
      <c r="H20" s="601">
        <f t="shared" si="2"/>
        <v>4</v>
      </c>
      <c r="I20" s="55">
        <f t="shared" si="0"/>
        <v>705.25</v>
      </c>
      <c r="J20" s="55">
        <f t="shared" si="1"/>
        <v>705</v>
      </c>
      <c r="M20" s="689"/>
      <c r="N20" s="689"/>
      <c r="O20" s="689"/>
    </row>
    <row r="21" spans="1:15" s="593" customFormat="1" ht="13.9" customHeight="1" x14ac:dyDescent="0.25">
      <c r="A21" s="1721" t="s">
        <v>330</v>
      </c>
      <c r="B21" s="1722"/>
      <c r="C21" s="1722"/>
      <c r="D21" s="1723"/>
      <c r="E21" s="53" t="s">
        <v>2898</v>
      </c>
      <c r="F21" s="601"/>
      <c r="G21" s="602"/>
      <c r="H21" s="655">
        <v>0.01</v>
      </c>
      <c r="I21" s="55">
        <f>+H21*J70</f>
        <v>215.53</v>
      </c>
      <c r="J21" s="55">
        <f t="shared" si="1"/>
        <v>216</v>
      </c>
      <c r="M21" s="689"/>
      <c r="N21" s="689"/>
      <c r="O21" s="689"/>
    </row>
    <row r="22" spans="1:15" s="593" customFormat="1" ht="13.9" customHeight="1" x14ac:dyDescent="0.25">
      <c r="A22" s="1721"/>
      <c r="B22" s="1722"/>
      <c r="C22" s="1722"/>
      <c r="D22" s="1723"/>
      <c r="E22" s="53"/>
      <c r="F22" s="601"/>
      <c r="G22" s="602"/>
      <c r="H22" s="601"/>
      <c r="I22" s="55"/>
      <c r="J22" s="55"/>
      <c r="M22" s="689"/>
      <c r="N22" s="689"/>
      <c r="O22" s="689"/>
    </row>
    <row r="23" spans="1:15" s="593" customFormat="1" ht="13.9" customHeight="1" x14ac:dyDescent="0.25">
      <c r="A23" s="1721"/>
      <c r="B23" s="1722"/>
      <c r="C23" s="1722"/>
      <c r="D23" s="1723"/>
      <c r="E23" s="53"/>
      <c r="F23" s="601"/>
      <c r="G23" s="602"/>
      <c r="H23" s="601"/>
      <c r="I23" s="55"/>
      <c r="J23" s="55"/>
      <c r="M23" s="689"/>
      <c r="N23" s="689"/>
      <c r="O23" s="689"/>
    </row>
    <row r="24" spans="1:15" s="593" customFormat="1" ht="13.9" customHeight="1" x14ac:dyDescent="0.25">
      <c r="A24" s="1721"/>
      <c r="B24" s="1722"/>
      <c r="C24" s="1722"/>
      <c r="D24" s="1723"/>
      <c r="E24" s="53"/>
      <c r="F24" s="601"/>
      <c r="G24" s="602"/>
      <c r="H24" s="601"/>
      <c r="I24" s="55"/>
      <c r="J24" s="55"/>
    </row>
    <row r="25" spans="1:15" s="593" customFormat="1" ht="13.9" customHeight="1" x14ac:dyDescent="0.25">
      <c r="A25" s="1571"/>
      <c r="B25" s="1572"/>
      <c r="C25" s="1572"/>
      <c r="D25" s="1573"/>
      <c r="E25" s="53"/>
      <c r="F25" s="601" t="str">
        <f>IFERROR(VLOOKUP(A25,'[10]EQUIPOS TRANSPOR SALARIO'!$A$3:$G$42,2,FALSE),"")</f>
        <v/>
      </c>
      <c r="G25" s="602" t="str">
        <f>IFERROR(VLOOKUP(A25,'[10]EQUIPOS TRANSPOR SALARIO'!$A$3:$G$42,6,FALSE),"")</f>
        <v/>
      </c>
      <c r="H25" s="601"/>
      <c r="I25" s="55"/>
      <c r="J25" s="55"/>
    </row>
    <row r="26" spans="1:15" s="593" customFormat="1" ht="13.9" customHeight="1" x14ac:dyDescent="0.25">
      <c r="I26" s="601" t="s">
        <v>257</v>
      </c>
      <c r="J26" s="605">
        <f>+SUM(J11:J25)</f>
        <v>26303</v>
      </c>
    </row>
    <row r="27" spans="1:15" s="593" customFormat="1" ht="13.9" customHeight="1" x14ac:dyDescent="0.25">
      <c r="A27" s="1673" t="s">
        <v>263</v>
      </c>
      <c r="B27" s="1673"/>
      <c r="C27" s="1673"/>
      <c r="D27" s="1673"/>
      <c r="E27" s="1673"/>
      <c r="F27" s="1673"/>
      <c r="G27" s="1673"/>
      <c r="H27" s="1673"/>
      <c r="I27" s="390"/>
    </row>
    <row r="28" spans="1:15" ht="13.9" customHeight="1" x14ac:dyDescent="0.25">
      <c r="A28" s="1677" t="s">
        <v>251</v>
      </c>
      <c r="B28" s="1678"/>
      <c r="C28" s="1678"/>
      <c r="D28" s="1678"/>
      <c r="E28" s="1678"/>
      <c r="F28" s="1679"/>
      <c r="G28" s="600" t="s">
        <v>252</v>
      </c>
      <c r="H28" s="600" t="s">
        <v>264</v>
      </c>
      <c r="I28" s="600" t="s">
        <v>256</v>
      </c>
      <c r="J28" s="600" t="s">
        <v>257</v>
      </c>
      <c r="L28" s="593"/>
      <c r="M28" s="593"/>
      <c r="N28" s="593"/>
      <c r="O28" s="593"/>
    </row>
    <row r="29" spans="1:15" ht="13.9" customHeight="1" x14ac:dyDescent="0.25">
      <c r="A29" s="1571" t="str">
        <f>+'INSUMOS '!B50</f>
        <v>LÁMINA GALVANIZADA C 16 E=1,50 mm</v>
      </c>
      <c r="B29" s="1572"/>
      <c r="C29" s="1572"/>
      <c r="D29" s="1572"/>
      <c r="E29" s="1572"/>
      <c r="F29" s="1573"/>
      <c r="G29" s="53" t="s">
        <v>12</v>
      </c>
      <c r="H29" s="54">
        <v>0.37209999999999999</v>
      </c>
      <c r="I29" s="33">
        <f>+IFERROR(VLOOKUP(A29,'INSUMOS '!$B$2:$AP$167,'INSUMOS '!$AO$2+1,FALSE),0)</f>
        <v>85500.55</v>
      </c>
      <c r="J29" s="55">
        <f t="shared" ref="J29:J47" si="3">ROUND(I29*H29,0)</f>
        <v>31815</v>
      </c>
      <c r="L29" s="593"/>
      <c r="M29" s="593"/>
      <c r="N29" s="1405">
        <f>H29*0.0015*7850</f>
        <v>4.3814774999999999</v>
      </c>
      <c r="O29" s="1406" t="s">
        <v>106</v>
      </c>
    </row>
    <row r="30" spans="1:15" ht="13.9" customHeight="1" x14ac:dyDescent="0.25">
      <c r="A30" s="1571" t="str">
        <f>+'INSUMOS '!B63</f>
        <v xml:space="preserve">PAPEL REFLECTIVO TIPO XI </v>
      </c>
      <c r="B30" s="1572"/>
      <c r="C30" s="1572"/>
      <c r="D30" s="1572"/>
      <c r="E30" s="1572"/>
      <c r="F30" s="1573"/>
      <c r="G30" s="53" t="s">
        <v>12</v>
      </c>
      <c r="H30" s="54">
        <v>0.38450000000000001</v>
      </c>
      <c r="I30" s="33">
        <f>+IFERROR(VLOOKUP(A30,'INSUMOS '!$B$2:$AP$167,'INSUMOS '!$AO$2+1,FALSE),0)</f>
        <v>153328.9296</v>
      </c>
      <c r="J30" s="55">
        <f t="shared" si="3"/>
        <v>58955</v>
      </c>
      <c r="K30" s="656"/>
      <c r="L30" s="593"/>
      <c r="M30" s="593"/>
      <c r="N30" s="1405">
        <f>H30*0.2/0.36</f>
        <v>0.21361111111111114</v>
      </c>
      <c r="O30" s="1406" t="s">
        <v>90</v>
      </c>
    </row>
    <row r="31" spans="1:15" ht="13.9" customHeight="1" x14ac:dyDescent="0.25">
      <c r="A31" s="1571" t="str">
        <f>+'INSUMOS '!B105</f>
        <v>TUBO GALVANIZADO DE 2" X 2,0 mm ESPESOR DE PARED</v>
      </c>
      <c r="B31" s="1572"/>
      <c r="C31" s="1572"/>
      <c r="D31" s="1572"/>
      <c r="E31" s="1572"/>
      <c r="F31" s="1573"/>
      <c r="G31" s="53" t="s">
        <v>13</v>
      </c>
      <c r="H31" s="54">
        <f>3.3+0.6+0.2</f>
        <v>4.0999999999999996</v>
      </c>
      <c r="I31" s="1397">
        <f>+IFERROR(VLOOKUP(A31,'INSUMOS '!$B$2:$AP$167,'INSUMOS '!$AO$2+1,FALSE),0)</f>
        <v>16939</v>
      </c>
      <c r="J31" s="1398">
        <f t="shared" si="3"/>
        <v>69450</v>
      </c>
      <c r="L31" s="593"/>
      <c r="M31" s="593"/>
      <c r="N31" s="1405">
        <f>(((2*0.0254+0.004)^2*PI()/4)-(2*0.0254)^2*PI()/4)*7850*H31</f>
        <v>10.67744404909117</v>
      </c>
      <c r="O31" s="1406" t="s">
        <v>7315</v>
      </c>
    </row>
    <row r="32" spans="1:15" ht="13.9" customHeight="1" x14ac:dyDescent="0.25">
      <c r="A32" s="1739" t="str">
        <f>+'INSUMOS '!B79</f>
        <v>PLATINA  1/4" x  1" CON ESPESOR DE 6,35 MM</v>
      </c>
      <c r="B32" s="1740"/>
      <c r="C32" s="1740"/>
      <c r="D32" s="1740"/>
      <c r="E32" s="1740"/>
      <c r="F32" s="1741"/>
      <c r="G32" s="53" t="s">
        <v>3488</v>
      </c>
      <c r="H32" s="54">
        <f>2*0.2*0.2+4*(0.05*0.1)/2</f>
        <v>9.0000000000000024E-2</v>
      </c>
      <c r="I32" s="33">
        <f>+IFERROR(VLOOKUP(A32,'INSUMOS '!$B$2:$AP$167,'INSUMOS '!$AO$2+1,FALSE),0)</f>
        <v>47400</v>
      </c>
      <c r="J32" s="55">
        <f t="shared" si="3"/>
        <v>4266</v>
      </c>
      <c r="L32" s="593"/>
      <c r="M32" s="593"/>
      <c r="N32" s="1405">
        <f>H32*0.00635*0.0254/4*7850</f>
        <v>2.8487846250000008E-2</v>
      </c>
      <c r="O32" s="1406" t="s">
        <v>332</v>
      </c>
    </row>
    <row r="33" spans="1:15" ht="13.9" customHeight="1" x14ac:dyDescent="0.25">
      <c r="A33" s="1739" t="str">
        <f>+'INSUMOS '!B102</f>
        <v>TORNILLOS 5/16 ZINCADO  (INCLUYE TUERCA DE SEGURIDAD Y ARANDELA)</v>
      </c>
      <c r="B33" s="1740"/>
      <c r="C33" s="1740"/>
      <c r="D33" s="1740"/>
      <c r="E33" s="1740"/>
      <c r="F33" s="1741"/>
      <c r="G33" s="53" t="s">
        <v>266</v>
      </c>
      <c r="H33" s="54">
        <v>4</v>
      </c>
      <c r="I33" s="33">
        <f>+IFERROR(VLOOKUP(A33,'INSUMOS '!$B$2:$AP$167,'INSUMOS '!$AO$2+1,FALSE),0)</f>
        <v>1747.5</v>
      </c>
      <c r="J33" s="55">
        <f t="shared" si="3"/>
        <v>6990</v>
      </c>
      <c r="L33" s="593"/>
      <c r="M33" s="593"/>
      <c r="N33" s="1405">
        <f>H33*0.3/4</f>
        <v>0.3</v>
      </c>
      <c r="O33" s="1406" t="s">
        <v>42</v>
      </c>
    </row>
    <row r="34" spans="1:15" ht="13.9" customHeight="1" x14ac:dyDescent="0.25">
      <c r="A34" s="1571" t="str">
        <f>+'INSUMOS '!B88</f>
        <v>REMACHES CON ARANDELAS DE 4*10 MM</v>
      </c>
      <c r="B34" s="1572"/>
      <c r="C34" s="1572"/>
      <c r="D34" s="1572"/>
      <c r="E34" s="1572"/>
      <c r="F34" s="1573"/>
      <c r="G34" s="53" t="s">
        <v>266</v>
      </c>
      <c r="H34" s="54">
        <v>4</v>
      </c>
      <c r="I34" s="33">
        <f>+IFERROR(VLOOKUP(A34,'INSUMOS '!$B$2:$AP$167,'INSUMOS '!$AO$2+1,FALSE),0)</f>
        <v>170</v>
      </c>
      <c r="J34" s="55">
        <f t="shared" si="3"/>
        <v>680</v>
      </c>
      <c r="L34" s="593"/>
      <c r="M34" s="593"/>
      <c r="N34" s="1405">
        <f>H34/4*0.1</f>
        <v>0.1</v>
      </c>
      <c r="O34" s="1406" t="s">
        <v>43</v>
      </c>
    </row>
    <row r="35" spans="1:15" ht="13.9" customHeight="1" x14ac:dyDescent="0.25">
      <c r="A35" s="1571" t="str">
        <f>+'INSUMOS '!B93</f>
        <v>SOLDADURA ELECTRICA  E 6013 O SIMILAR</v>
      </c>
      <c r="B35" s="1572"/>
      <c r="C35" s="1572"/>
      <c r="D35" s="1572"/>
      <c r="E35" s="1572"/>
      <c r="F35" s="1573"/>
      <c r="G35" s="53" t="s">
        <v>6</v>
      </c>
      <c r="H35" s="54">
        <v>1.25</v>
      </c>
      <c r="I35" s="33">
        <f>+IFERROR(VLOOKUP(A35,'INSUMOS '!$B$2:$AP$167,'INSUMOS '!$AO$2+1,FALSE),0)</f>
        <v>19163.666666666668</v>
      </c>
      <c r="J35" s="55">
        <f t="shared" si="3"/>
        <v>23955</v>
      </c>
      <c r="L35" s="593"/>
      <c r="M35" s="593"/>
      <c r="N35" s="1405">
        <f>H35</f>
        <v>1.25</v>
      </c>
      <c r="O35" s="1406" t="s">
        <v>87</v>
      </c>
    </row>
    <row r="36" spans="1:15" ht="13.9" customHeight="1" x14ac:dyDescent="0.25">
      <c r="A36" s="1571" t="str">
        <f>+'INSUMOS '!B73</f>
        <v>PINTURA ELECTROSTÁTICA M2</v>
      </c>
      <c r="B36" s="1572"/>
      <c r="C36" s="1572"/>
      <c r="D36" s="1572"/>
      <c r="E36" s="1572"/>
      <c r="F36" s="1573"/>
      <c r="G36" s="53" t="s">
        <v>6</v>
      </c>
      <c r="H36" s="54">
        <f>((0.0254*2+0.004)*PI()*H31+H29+3*0.0588^2*PI()/4)/3</f>
        <v>0.36203314616224175</v>
      </c>
      <c r="I36" s="33">
        <f>+IFERROR(VLOOKUP(A36,'INSUMOS '!$B$2:$AP$167,'INSUMOS '!$AO$2+1,FALSE),0)</f>
        <v>26664.5</v>
      </c>
      <c r="J36" s="55">
        <f t="shared" si="3"/>
        <v>9653</v>
      </c>
      <c r="L36" s="593"/>
      <c r="M36" s="593"/>
      <c r="N36" s="1405">
        <f>H36</f>
        <v>0.36203314616224175</v>
      </c>
      <c r="O36" s="1406" t="s">
        <v>334</v>
      </c>
    </row>
    <row r="37" spans="1:15" ht="13.9" customHeight="1" x14ac:dyDescent="0.25">
      <c r="A37" s="1571" t="str">
        <f>+'INSUMOS '!B67</f>
        <v xml:space="preserve">PELÍCULA ANTIGRAFITTI </v>
      </c>
      <c r="B37" s="1572"/>
      <c r="C37" s="1572"/>
      <c r="D37" s="1572"/>
      <c r="E37" s="1572"/>
      <c r="F37" s="1573"/>
      <c r="G37" s="53" t="s">
        <v>12</v>
      </c>
      <c r="H37" s="54">
        <v>0.37</v>
      </c>
      <c r="I37" s="33">
        <f>+IFERROR(VLOOKUP(A37,'INSUMOS '!$B$2:$AP$167,'INSUMOS '!$AO$2+1,FALSE),0)</f>
        <v>65174.538799999995</v>
      </c>
      <c r="J37" s="55">
        <f t="shared" si="3"/>
        <v>24115</v>
      </c>
      <c r="L37" s="593"/>
      <c r="M37" s="593"/>
      <c r="N37" s="1405">
        <f>H37/0.36*0.3</f>
        <v>0.30833333333333335</v>
      </c>
      <c r="O37" s="1406" t="s">
        <v>89</v>
      </c>
    </row>
    <row r="38" spans="1:15" x14ac:dyDescent="0.25">
      <c r="A38" s="1571" t="str">
        <f>+'INSUMOS '!B100</f>
        <v>TINTA TRASLUCIDA PARA CINTA REFLECTIVA</v>
      </c>
      <c r="B38" s="1572"/>
      <c r="C38" s="1572"/>
      <c r="D38" s="1572"/>
      <c r="E38" s="1572"/>
      <c r="F38" s="1573"/>
      <c r="G38" s="53" t="s">
        <v>157</v>
      </c>
      <c r="H38" s="54">
        <f>H30/3.44*0.22</f>
        <v>2.4590116279069769E-2</v>
      </c>
      <c r="I38" s="33">
        <f>+IFERROR(VLOOKUP(A38,'INSUMOS '!$B$2:$AP$167,'INSUMOS '!$AO$2+1,FALSE),0)</f>
        <v>440873.77039999992</v>
      </c>
      <c r="J38" s="55">
        <f t="shared" si="3"/>
        <v>10841</v>
      </c>
      <c r="L38" s="593"/>
      <c r="M38" s="593"/>
      <c r="N38" s="1405">
        <f>H38*0.454</f>
        <v>1.1163912790697676E-2</v>
      </c>
      <c r="O38" s="1406" t="s">
        <v>45</v>
      </c>
    </row>
    <row r="39" spans="1:15" x14ac:dyDescent="0.25">
      <c r="A39" s="1571" t="str">
        <f>+'INSUMOS '!B94</f>
        <v xml:space="preserve">STEAKER 15 X 15 CM EN PAPEL REFLECTIVO TIPO IV O SUPERIOR </v>
      </c>
      <c r="B39" s="1572"/>
      <c r="C39" s="1572"/>
      <c r="D39" s="1572"/>
      <c r="E39" s="1572"/>
      <c r="F39" s="1573"/>
      <c r="G39" s="53" t="s">
        <v>266</v>
      </c>
      <c r="H39" s="54">
        <v>1</v>
      </c>
      <c r="I39" s="33">
        <f>+IFERROR(VLOOKUP(A39,'INSUMOS '!$B$2:$AP$167,'INSUMOS '!$AO$2+1,FALSE),0)</f>
        <v>2500</v>
      </c>
      <c r="J39" s="55">
        <f t="shared" si="3"/>
        <v>2500</v>
      </c>
      <c r="L39" s="593"/>
      <c r="M39" s="593"/>
      <c r="N39" s="1405">
        <f>H39*0.05</f>
        <v>0.05</v>
      </c>
      <c r="O39" s="1406" t="s">
        <v>92</v>
      </c>
    </row>
    <row r="40" spans="1:15" ht="13.9" customHeight="1" x14ac:dyDescent="0.25">
      <c r="A40" s="1571" t="str">
        <f>+'INSUMOS '!B50</f>
        <v>LÁMINA GALVANIZADA C 16 E=1,50 mm</v>
      </c>
      <c r="B40" s="1572"/>
      <c r="C40" s="1572"/>
      <c r="D40" s="1572"/>
      <c r="E40" s="1572"/>
      <c r="F40" s="1573"/>
      <c r="G40" s="53" t="s">
        <v>12</v>
      </c>
      <c r="H40" s="606">
        <f>0.05*0.05*4</f>
        <v>1.0000000000000002E-2</v>
      </c>
      <c r="I40" s="33">
        <f>+IFERROR(VLOOKUP(A40,'INSUMOS '!$B$2:$AP$167,'INSUMOS '!$AO$2+1,FALSE),0)</f>
        <v>85500.55</v>
      </c>
      <c r="J40" s="55">
        <f t="shared" si="3"/>
        <v>855</v>
      </c>
      <c r="L40" s="593"/>
      <c r="M40" s="593"/>
      <c r="N40" s="1405">
        <f>H40*0.0015*7850</f>
        <v>0.11775000000000004</v>
      </c>
      <c r="O40" s="1406" t="s">
        <v>106</v>
      </c>
    </row>
    <row r="41" spans="1:15" ht="13.9" customHeight="1" x14ac:dyDescent="0.25">
      <c r="A41" s="1687" t="str">
        <f>+'INSUMOS '!B28</f>
        <v>CONCRETO  HIDRAULICO 2500 PSI 17 MPA (175 KG/CM2)</v>
      </c>
      <c r="B41" s="1572"/>
      <c r="C41" s="1572"/>
      <c r="D41" s="1572"/>
      <c r="E41" s="1572"/>
      <c r="F41" s="1573"/>
      <c r="G41" s="53" t="s">
        <v>3</v>
      </c>
      <c r="H41" s="54">
        <f>0.55*PI()*(0.25*0.25)/4</f>
        <v>2.6998061866787288E-2</v>
      </c>
      <c r="I41" s="33">
        <f>+IFERROR(VLOOKUP(A41,'INSUMOS '!$B$2:$AP$167,'INSUMOS '!$AO$2+1,FALSE),0)</f>
        <v>486142</v>
      </c>
      <c r="J41" s="55">
        <f t="shared" si="3"/>
        <v>13125</v>
      </c>
      <c r="L41" s="593"/>
      <c r="M41" s="593"/>
      <c r="N41" s="1405">
        <f>H41*2400</f>
        <v>64.795348480289491</v>
      </c>
      <c r="O41" s="1406" t="s">
        <v>98</v>
      </c>
    </row>
    <row r="42" spans="1:15" ht="13.9" customHeight="1" x14ac:dyDescent="0.25">
      <c r="A42" s="1571" t="str">
        <f>+'INSUMOS '!B3</f>
        <v>ACERO DE REFUERZO   FY 36000 PSI</v>
      </c>
      <c r="B42" s="1572"/>
      <c r="C42" s="1572"/>
      <c r="D42" s="1572"/>
      <c r="E42" s="1572"/>
      <c r="F42" s="1573"/>
      <c r="G42" s="53" t="s">
        <v>6</v>
      </c>
      <c r="H42" s="54">
        <f>+PI()*0.2*4*0.25</f>
        <v>0.62831853071795862</v>
      </c>
      <c r="I42" s="33">
        <f>+IFERROR(VLOOKUP(A42,'INSUMOS '!$B$2:$AP$167,'INSUMOS '!$AO$2+1,FALSE),0)</f>
        <v>7857</v>
      </c>
      <c r="J42" s="55">
        <f t="shared" si="3"/>
        <v>4937</v>
      </c>
      <c r="L42" s="593"/>
      <c r="M42" s="593"/>
      <c r="N42" s="1405">
        <f>H42</f>
        <v>0.62831853071795862</v>
      </c>
      <c r="O42" s="1406" t="str">
        <f>A42</f>
        <v>ACERO DE REFUERZO   FY 36000 PSI</v>
      </c>
    </row>
    <row r="43" spans="1:15" ht="13.9" customHeight="1" x14ac:dyDescent="0.25">
      <c r="A43" s="1571" t="str">
        <f>+'INSUMOS '!B4</f>
        <v>ACERO DE REFUERZO FY 60000 PSI</v>
      </c>
      <c r="B43" s="1572"/>
      <c r="C43" s="1572"/>
      <c r="D43" s="1572"/>
      <c r="E43" s="1572"/>
      <c r="F43" s="1573"/>
      <c r="G43" s="53" t="s">
        <v>6</v>
      </c>
      <c r="H43" s="54">
        <f>0.4*4*0.99</f>
        <v>1.5840000000000001</v>
      </c>
      <c r="I43" s="33">
        <f>+IFERROR(VLOOKUP(A43,'INSUMOS '!$B$2:$AP$167,'INSUMOS '!$AO$2+1,FALSE),0)</f>
        <v>6392</v>
      </c>
      <c r="J43" s="55">
        <f t="shared" si="3"/>
        <v>10125</v>
      </c>
      <c r="L43" s="593"/>
      <c r="M43" s="593"/>
      <c r="N43" s="1405">
        <f>H43</f>
        <v>1.5840000000000001</v>
      </c>
      <c r="O43" s="1406" t="str">
        <f>A43</f>
        <v>ACERO DE REFUERZO FY 60000 PSI</v>
      </c>
    </row>
    <row r="44" spans="1:15" ht="13.9" customHeight="1" x14ac:dyDescent="0.25">
      <c r="A44" s="624" t="str">
        <f>+'INSUMOS '!B6</f>
        <v>ALAMBRE NEGRO CL-18</v>
      </c>
      <c r="B44" s="625"/>
      <c r="C44" s="625"/>
      <c r="D44" s="625"/>
      <c r="E44" s="625"/>
      <c r="F44" s="626"/>
      <c r="G44" s="53" t="s">
        <v>6</v>
      </c>
      <c r="H44" s="54">
        <v>0.25</v>
      </c>
      <c r="I44" s="33">
        <f>+IFERROR(VLOOKUP(A44,'INSUMOS '!$B$2:$AP$167,'INSUMOS '!$AO$2+1,FALSE),0)</f>
        <v>7704.5</v>
      </c>
      <c r="J44" s="55">
        <f t="shared" si="3"/>
        <v>1926</v>
      </c>
      <c r="L44" s="593"/>
      <c r="M44" s="593"/>
      <c r="N44" s="1405">
        <f>H44</f>
        <v>0.25</v>
      </c>
      <c r="O44" s="1406" t="str">
        <f>A44</f>
        <v>ALAMBRE NEGRO CL-18</v>
      </c>
    </row>
    <row r="45" spans="1:15" ht="13.9" customHeight="1" x14ac:dyDescent="0.25">
      <c r="A45" s="1739" t="str">
        <f>+'INSUMOS '!B103</f>
        <v>TORNILLOS HEXAGONAL ZINCADO DE 1/2" X 2" (INCLUYE TUERCA DE SEGURIDAD Y ARANDELA)GALVANIZADO</v>
      </c>
      <c r="B45" s="1740"/>
      <c r="C45" s="1740"/>
      <c r="D45" s="1740" t="s">
        <v>14</v>
      </c>
      <c r="E45" s="1740"/>
      <c r="F45" s="1741"/>
      <c r="G45" s="53" t="s">
        <v>266</v>
      </c>
      <c r="H45" s="54">
        <v>4</v>
      </c>
      <c r="I45" s="33">
        <f>+IFERROR(VLOOKUP(A45,'INSUMOS '!$B$2:$AP$167,'INSUMOS '!$AO$2+1,FALSE),0)</f>
        <v>3700</v>
      </c>
      <c r="J45" s="55">
        <f t="shared" si="3"/>
        <v>14800</v>
      </c>
      <c r="L45" s="593"/>
      <c r="M45" s="593"/>
      <c r="N45" s="1405">
        <f>H45*0.3/4</f>
        <v>0.3</v>
      </c>
      <c r="O45" s="1406" t="s">
        <v>42</v>
      </c>
    </row>
    <row r="46" spans="1:15" ht="13.9" customHeight="1" x14ac:dyDescent="0.25">
      <c r="A46" s="1571" t="str">
        <f>+'INSUMOS '!B21</f>
        <v>BROCA PARA METAL 1/2"</v>
      </c>
      <c r="B46" s="1572"/>
      <c r="C46" s="1572"/>
      <c r="D46" s="1572"/>
      <c r="E46" s="1572"/>
      <c r="F46" s="1573"/>
      <c r="G46" s="53"/>
      <c r="H46" s="54">
        <v>0.01</v>
      </c>
      <c r="I46" s="33">
        <f>+IFERROR(VLOOKUP(A46,'INSUMOS '!$B$2:$AP$167,'INSUMOS '!$AO$2+1,FALSE),0)</f>
        <v>31741.5</v>
      </c>
      <c r="J46" s="55">
        <f t="shared" si="3"/>
        <v>317</v>
      </c>
      <c r="L46" s="593"/>
      <c r="M46" s="593"/>
      <c r="N46" s="1405">
        <f>H46*0.106</f>
        <v>1.06E-3</v>
      </c>
      <c r="O46" s="1406" t="s">
        <v>26</v>
      </c>
    </row>
    <row r="47" spans="1:15" ht="13.9" customHeight="1" x14ac:dyDescent="0.25">
      <c r="A47" s="1571" t="s">
        <v>2901</v>
      </c>
      <c r="B47" s="1572"/>
      <c r="C47" s="1572"/>
      <c r="D47" s="1572"/>
      <c r="E47" s="1572"/>
      <c r="F47" s="1573"/>
      <c r="G47" s="53"/>
      <c r="H47" s="603">
        <v>0.05</v>
      </c>
      <c r="I47" s="55">
        <f>+SUM(J29:J46)</f>
        <v>289305</v>
      </c>
      <c r="J47" s="55">
        <f t="shared" si="3"/>
        <v>14465</v>
      </c>
      <c r="L47" s="593"/>
      <c r="M47" s="593"/>
      <c r="N47" s="1374"/>
      <c r="O47" s="593"/>
    </row>
    <row r="48" spans="1:15" ht="13.9" customHeight="1" x14ac:dyDescent="0.25">
      <c r="A48" s="593"/>
      <c r="B48" s="593"/>
      <c r="C48" s="593"/>
      <c r="D48" s="593"/>
      <c r="E48" s="593"/>
      <c r="G48" s="593"/>
      <c r="H48" s="593"/>
      <c r="I48" s="601" t="s">
        <v>257</v>
      </c>
      <c r="J48" s="605">
        <f>+SUM(J29:J47)</f>
        <v>303770</v>
      </c>
      <c r="N48" s="1374">
        <f>SUM(N29:N46)</f>
        <v>85.359027909746004</v>
      </c>
      <c r="O48" s="593"/>
    </row>
    <row r="49" spans="1:10" ht="13.9" customHeight="1" x14ac:dyDescent="0.25"/>
    <row r="50" spans="1:10" ht="13.9" customHeight="1" x14ac:dyDescent="0.25">
      <c r="A50" s="1673" t="s">
        <v>267</v>
      </c>
      <c r="B50" s="1673"/>
      <c r="C50" s="1673"/>
      <c r="D50" s="1673"/>
      <c r="E50" s="1673"/>
      <c r="F50" s="1673"/>
      <c r="G50" s="1673"/>
      <c r="H50" s="1673"/>
      <c r="I50" s="390"/>
    </row>
    <row r="51" spans="1:10" ht="13.9" customHeight="1" x14ac:dyDescent="0.25">
      <c r="A51" s="1674" t="s">
        <v>268</v>
      </c>
      <c r="B51" s="1675"/>
      <c r="C51" s="1675"/>
      <c r="D51" s="1675"/>
      <c r="E51" s="1675"/>
      <c r="F51" s="1676"/>
      <c r="G51" s="607" t="s">
        <v>255</v>
      </c>
      <c r="H51" s="600" t="s">
        <v>269</v>
      </c>
      <c r="I51" s="600" t="s">
        <v>256</v>
      </c>
      <c r="J51" s="600" t="s">
        <v>257</v>
      </c>
    </row>
    <row r="52" spans="1:10" ht="13.9" customHeight="1" x14ac:dyDescent="0.25">
      <c r="A52" s="1571" t="str">
        <f>+'EQUIPOS '!B6</f>
        <v>CAMION INCLUYE CONDUCTOR</v>
      </c>
      <c r="B52" s="1572"/>
      <c r="C52" s="1572"/>
      <c r="D52" s="1572"/>
      <c r="E52" s="1572"/>
      <c r="F52" s="1573"/>
      <c r="G52" s="1395">
        <f>(N48/1000)/12</f>
        <v>7.1132523258121668E-3</v>
      </c>
      <c r="H52" s="602">
        <f>+IFERROR(VLOOKUP(A52,'EQUIPOS '!$B$3:$M$56,12,FALSE),0)</f>
        <v>611492.5</v>
      </c>
      <c r="I52" s="55">
        <f>IFERROR(H52*G52,0)</f>
        <v>4349.7004478416966</v>
      </c>
      <c r="J52" s="55">
        <f>ROUND(I52,0)</f>
        <v>4350</v>
      </c>
    </row>
    <row r="53" spans="1:10" ht="13.9" customHeight="1" x14ac:dyDescent="0.25">
      <c r="A53" s="1571"/>
      <c r="B53" s="1572"/>
      <c r="C53" s="1572"/>
      <c r="D53" s="1572"/>
      <c r="E53" s="1572"/>
      <c r="F53" s="1573"/>
      <c r="G53" s="53"/>
      <c r="H53" s="55"/>
      <c r="I53" s="55"/>
      <c r="J53" s="55"/>
    </row>
    <row r="54" spans="1:10" ht="13.9" customHeight="1" x14ac:dyDescent="0.25">
      <c r="A54" s="1571"/>
      <c r="B54" s="1572"/>
      <c r="C54" s="1572"/>
      <c r="D54" s="1572"/>
      <c r="E54" s="1572"/>
      <c r="F54" s="1573"/>
      <c r="G54" s="53"/>
      <c r="H54" s="55"/>
      <c r="I54" s="55"/>
      <c r="J54" s="55"/>
    </row>
    <row r="55" spans="1:10" ht="13.9" customHeight="1" x14ac:dyDescent="0.25">
      <c r="G55" s="608"/>
      <c r="H55" s="608"/>
      <c r="I55" s="601" t="s">
        <v>257</v>
      </c>
      <c r="J55" s="55">
        <f>+SUM(J52:J54)</f>
        <v>4350</v>
      </c>
    </row>
    <row r="56" spans="1:10" ht="13.9" customHeight="1" x14ac:dyDescent="0.25"/>
    <row r="57" spans="1:10" ht="13.9" customHeight="1" x14ac:dyDescent="0.25">
      <c r="A57" s="1673" t="s">
        <v>270</v>
      </c>
      <c r="B57" s="1673"/>
      <c r="C57" s="1673"/>
      <c r="D57" s="1673"/>
      <c r="E57" s="1673"/>
      <c r="F57" s="1673"/>
      <c r="G57" s="1673"/>
      <c r="H57" s="1673"/>
      <c r="I57" s="390"/>
    </row>
    <row r="58" spans="1:10" s="608" customFormat="1" ht="13.9" customHeight="1" x14ac:dyDescent="0.25">
      <c r="A58" s="1674" t="s">
        <v>271</v>
      </c>
      <c r="B58" s="1675"/>
      <c r="C58" s="1675"/>
      <c r="D58" s="1676"/>
      <c r="E58" s="600" t="s">
        <v>272</v>
      </c>
      <c r="F58" s="600" t="s">
        <v>264</v>
      </c>
      <c r="G58" s="600" t="s">
        <v>273</v>
      </c>
      <c r="H58" s="600" t="s">
        <v>255</v>
      </c>
      <c r="I58" s="600" t="s">
        <v>256</v>
      </c>
      <c r="J58" s="600" t="s">
        <v>257</v>
      </c>
    </row>
    <row r="59" spans="1:10" s="608" customFormat="1" ht="13.9" customHeight="1" x14ac:dyDescent="0.25">
      <c r="A59" s="1571" t="str">
        <f>+PERSONAL!B40</f>
        <v xml:space="preserve">SOLDADOR </v>
      </c>
      <c r="B59" s="1572"/>
      <c r="C59" s="1572"/>
      <c r="D59" s="1573"/>
      <c r="E59" s="609">
        <f>+IFERROR(VLOOKUP(A59,PERSONAL!$B$3:$E$55,4,FALSE),0)</f>
        <v>110344</v>
      </c>
      <c r="F59" s="601">
        <v>1</v>
      </c>
      <c r="G59" s="609">
        <f t="shared" ref="G59:G62" si="4">+E59*F59</f>
        <v>110344</v>
      </c>
      <c r="H59" s="54">
        <f>+H11*8</f>
        <v>32</v>
      </c>
      <c r="I59" s="55">
        <f t="shared" ref="I59:I62" si="5">IFERROR(ROUND(G59/H59,0),0)</f>
        <v>3448</v>
      </c>
      <c r="J59" s="55">
        <f t="shared" ref="J59:J62" si="6">+I59</f>
        <v>3448</v>
      </c>
    </row>
    <row r="60" spans="1:10" s="608" customFormat="1" ht="13.9" customHeight="1" x14ac:dyDescent="0.25">
      <c r="A60" s="1571" t="str">
        <f>+PERSONAL!B27</f>
        <v xml:space="preserve">PINTOR </v>
      </c>
      <c r="B60" s="1572"/>
      <c r="C60" s="1572"/>
      <c r="D60" s="1573"/>
      <c r="E60" s="609">
        <f>+IFERROR(VLOOKUP(A60,PERSONAL!$B$3:$E$55,4,FALSE),0)</f>
        <v>100054</v>
      </c>
      <c r="F60" s="601">
        <v>1</v>
      </c>
      <c r="G60" s="609">
        <f t="shared" si="4"/>
        <v>100054</v>
      </c>
      <c r="H60" s="54">
        <f>+H17*8</f>
        <v>32</v>
      </c>
      <c r="I60" s="55">
        <f t="shared" si="5"/>
        <v>3127</v>
      </c>
      <c r="J60" s="55">
        <f t="shared" si="6"/>
        <v>3127</v>
      </c>
    </row>
    <row r="61" spans="1:10" s="608" customFormat="1" ht="13.9" customHeight="1" x14ac:dyDescent="0.25">
      <c r="A61" s="1571" t="str">
        <f>+PERSONAL!B5</f>
        <v xml:space="preserve">AYUDANTE </v>
      </c>
      <c r="B61" s="1572"/>
      <c r="C61" s="1572"/>
      <c r="D61" s="1573"/>
      <c r="E61" s="609">
        <f>+IFERROR(VLOOKUP(A61,PERSONAL!$B$3:$E$55,4,FALSE),0)</f>
        <v>72476</v>
      </c>
      <c r="F61" s="601">
        <v>4</v>
      </c>
      <c r="G61" s="609">
        <f t="shared" si="4"/>
        <v>289904</v>
      </c>
      <c r="H61" s="54">
        <f>+H12*8</f>
        <v>32</v>
      </c>
      <c r="I61" s="55">
        <f t="shared" si="5"/>
        <v>9060</v>
      </c>
      <c r="J61" s="55">
        <f t="shared" si="6"/>
        <v>9060</v>
      </c>
    </row>
    <row r="62" spans="1:10" s="608" customFormat="1" ht="13.9" customHeight="1" x14ac:dyDescent="0.25">
      <c r="A62" s="1571" t="str">
        <f>+PERSONAL!B7</f>
        <v>COLAMINADOR</v>
      </c>
      <c r="B62" s="1572"/>
      <c r="C62" s="1572"/>
      <c r="D62" s="1573"/>
      <c r="E62" s="609">
        <f>+IFERROR(VLOOKUP(A62,PERSONAL!$B$3:$E$55,4,FALSE),0)</f>
        <v>91275</v>
      </c>
      <c r="F62" s="601">
        <v>1</v>
      </c>
      <c r="G62" s="609">
        <f t="shared" si="4"/>
        <v>91275</v>
      </c>
      <c r="H62" s="54">
        <f>+H15*8</f>
        <v>32</v>
      </c>
      <c r="I62" s="55">
        <f t="shared" si="5"/>
        <v>2852</v>
      </c>
      <c r="J62" s="55">
        <f t="shared" si="6"/>
        <v>2852</v>
      </c>
    </row>
    <row r="63" spans="1:10" s="608" customFormat="1" ht="13.9" customHeight="1" x14ac:dyDescent="0.25">
      <c r="A63" s="1571" t="str">
        <f>+PERSONAL!B4</f>
        <v>AUXILIAR DE TRÁFICO NOCTURNO</v>
      </c>
      <c r="B63" s="1572"/>
      <c r="C63" s="1572"/>
      <c r="D63" s="1573"/>
      <c r="E63" s="609">
        <f>+IFERROR(VLOOKUP(A63,PERSONAL!$B$3:$E$55,4,FALSE),0)</f>
        <v>98122</v>
      </c>
      <c r="F63" s="601">
        <v>1</v>
      </c>
      <c r="G63" s="609">
        <f>+E63*F63</f>
        <v>98122</v>
      </c>
      <c r="H63" s="54">
        <f>+H16*8</f>
        <v>32</v>
      </c>
      <c r="I63" s="55">
        <f>IFERROR(ROUND(G63/H63,0),0)</f>
        <v>3066</v>
      </c>
      <c r="J63" s="55">
        <f>+I63</f>
        <v>3066</v>
      </c>
    </row>
    <row r="64" spans="1:10" s="608" customFormat="1" ht="13.9" customHeight="1" x14ac:dyDescent="0.25">
      <c r="A64" s="1758"/>
      <c r="B64" s="1759"/>
      <c r="C64" s="1759"/>
      <c r="D64" s="1760"/>
      <c r="E64" s="609"/>
      <c r="F64" s="601"/>
      <c r="G64" s="609"/>
      <c r="H64" s="54"/>
      <c r="I64" s="55"/>
      <c r="J64" s="55"/>
    </row>
    <row r="65" spans="1:10" s="608" customFormat="1" ht="13.9" customHeight="1" x14ac:dyDescent="0.25">
      <c r="A65" s="1758"/>
      <c r="B65" s="1759"/>
      <c r="C65" s="1759"/>
      <c r="D65" s="1760"/>
      <c r="E65" s="609"/>
      <c r="F65" s="601"/>
      <c r="G65" s="609"/>
      <c r="H65" s="54"/>
      <c r="I65" s="55"/>
      <c r="J65" s="55"/>
    </row>
    <row r="66" spans="1:10" s="608" customFormat="1" ht="13.9" customHeight="1" x14ac:dyDescent="0.25">
      <c r="A66" s="624"/>
      <c r="B66" s="625"/>
      <c r="C66" s="625"/>
      <c r="D66" s="626"/>
      <c r="E66" s="609"/>
      <c r="F66" s="601"/>
      <c r="G66" s="609"/>
      <c r="H66" s="54"/>
      <c r="I66" s="55"/>
      <c r="J66" s="55"/>
    </row>
    <row r="67" spans="1:10" s="608" customFormat="1" ht="13.9" customHeight="1" x14ac:dyDescent="0.25">
      <c r="A67" s="1571"/>
      <c r="B67" s="1572"/>
      <c r="C67" s="1572"/>
      <c r="D67" s="1573"/>
      <c r="E67" s="609"/>
      <c r="F67" s="601"/>
      <c r="G67" s="609"/>
      <c r="H67" s="54"/>
      <c r="I67" s="55"/>
      <c r="J67" s="55"/>
    </row>
    <row r="68" spans="1:10" s="608" customFormat="1" ht="13.9" customHeight="1" x14ac:dyDescent="0.25">
      <c r="A68" s="1571"/>
      <c r="B68" s="1572"/>
      <c r="C68" s="1572"/>
      <c r="D68" s="1573"/>
      <c r="E68" s="609"/>
      <c r="F68" s="601"/>
      <c r="G68" s="609"/>
      <c r="H68" s="54"/>
      <c r="I68" s="55"/>
      <c r="J68" s="55"/>
    </row>
    <row r="69" spans="1:10" s="608" customFormat="1" ht="13.9" customHeight="1" x14ac:dyDescent="0.25">
      <c r="A69" s="1571"/>
      <c r="B69" s="1572"/>
      <c r="C69" s="1572"/>
      <c r="D69" s="1573"/>
      <c r="E69" s="609"/>
      <c r="F69" s="601"/>
      <c r="G69" s="609"/>
      <c r="H69" s="54"/>
      <c r="I69" s="55"/>
      <c r="J69" s="55"/>
    </row>
    <row r="70" spans="1:10" ht="13.9" customHeight="1" x14ac:dyDescent="0.25">
      <c r="A70" s="593"/>
      <c r="B70" s="593"/>
      <c r="C70" s="593"/>
      <c r="E70" s="593"/>
      <c r="F70" s="593"/>
      <c r="G70" s="593"/>
      <c r="H70" s="593"/>
      <c r="I70" s="601" t="s">
        <v>257</v>
      </c>
      <c r="J70" s="605">
        <f>+SUM(J59:J69)</f>
        <v>21553</v>
      </c>
    </row>
    <row r="71" spans="1:10" ht="13.9" customHeight="1" x14ac:dyDescent="0.25"/>
    <row r="72" spans="1:10" ht="13.9" customHeight="1" x14ac:dyDescent="0.25">
      <c r="E72" s="610" t="s">
        <v>276</v>
      </c>
      <c r="I72" s="611">
        <f>+J70+J55+J48+J26</f>
        <v>355976</v>
      </c>
      <c r="J72" s="612"/>
    </row>
    <row r="73" spans="1:10" ht="13.9" customHeight="1" x14ac:dyDescent="0.25"/>
  </sheetData>
  <mergeCells count="60">
    <mergeCell ref="A20:D20"/>
    <mergeCell ref="A37:F37"/>
    <mergeCell ref="A42:F42"/>
    <mergeCell ref="A62:D62"/>
    <mergeCell ref="A1:J1"/>
    <mergeCell ref="A2:J2"/>
    <mergeCell ref="A4:J4"/>
    <mergeCell ref="A6:B6"/>
    <mergeCell ref="A7:B7"/>
    <mergeCell ref="C7:J7"/>
    <mergeCell ref="A25:D25"/>
    <mergeCell ref="A9:H9"/>
    <mergeCell ref="A10:D10"/>
    <mergeCell ref="A11:D11"/>
    <mergeCell ref="A12:D12"/>
    <mergeCell ref="A13:D13"/>
    <mergeCell ref="A19:D19"/>
    <mergeCell ref="A14:D14"/>
    <mergeCell ref="A15:D15"/>
    <mergeCell ref="A16:D16"/>
    <mergeCell ref="A17:D17"/>
    <mergeCell ref="A18:D18"/>
    <mergeCell ref="A59:D59"/>
    <mergeCell ref="A40:F40"/>
    <mergeCell ref="A41:F41"/>
    <mergeCell ref="A45:F45"/>
    <mergeCell ref="A47:F47"/>
    <mergeCell ref="A50:H50"/>
    <mergeCell ref="A51:F51"/>
    <mergeCell ref="A52:F52"/>
    <mergeCell ref="A53:F53"/>
    <mergeCell ref="A54:F54"/>
    <mergeCell ref="A57:H57"/>
    <mergeCell ref="A58:D58"/>
    <mergeCell ref="A46:F46"/>
    <mergeCell ref="A43:F43"/>
    <mergeCell ref="A60:D60"/>
    <mergeCell ref="A61:D61"/>
    <mergeCell ref="A67:D67"/>
    <mergeCell ref="A68:D68"/>
    <mergeCell ref="A69:D69"/>
    <mergeCell ref="A63:D63"/>
    <mergeCell ref="A64:D64"/>
    <mergeCell ref="A65:D65"/>
    <mergeCell ref="A24:D24"/>
    <mergeCell ref="A21:D21"/>
    <mergeCell ref="A22:D22"/>
    <mergeCell ref="A23:D23"/>
    <mergeCell ref="A39:F39"/>
    <mergeCell ref="A38:F38"/>
    <mergeCell ref="A27:H27"/>
    <mergeCell ref="A28:F28"/>
    <mergeCell ref="A34:F34"/>
    <mergeCell ref="A35:F35"/>
    <mergeCell ref="A36:F36"/>
    <mergeCell ref="A29:F29"/>
    <mergeCell ref="A30:F30"/>
    <mergeCell ref="A31:F31"/>
    <mergeCell ref="A32:F32"/>
    <mergeCell ref="A33:F33"/>
  </mergeCells>
  <pageMargins left="0.70866141732283472" right="0.70866141732283472" top="0.78740157480314965" bottom="0.78740157480314965" header="0.31496062992125984" footer="0.31496062992125984"/>
  <pageSetup scale="73" orientation="portrait" r:id="rId1"/>
  <rowBreaks count="1" manualBreakCount="1">
    <brk id="74" max="9" man="1"/>
  </rowBreaks>
  <drawing r:id="rId2"/>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100-000000000000}">
  <sheetPr codeName="Hoja7">
    <tabColor rgb="FF00B050"/>
  </sheetPr>
  <dimension ref="A1:M58"/>
  <sheetViews>
    <sheetView topLeftCell="A26" workbookViewId="0">
      <selection activeCell="G39" sqref="G39"/>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1" width="6.5703125" style="19" customWidth="1"/>
    <col min="12" max="12" width="11.42578125" style="19"/>
    <col min="13" max="13" width="0" style="19" hidden="1" customWidth="1"/>
    <col min="14"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3</v>
      </c>
      <c r="D6" s="23"/>
      <c r="E6" s="23"/>
      <c r="F6" s="23"/>
      <c r="G6" s="23"/>
      <c r="H6" s="24"/>
      <c r="I6" s="25" t="s">
        <v>248</v>
      </c>
      <c r="J6" s="26" t="str">
        <f>+VLOOKUP(C6,'ANEXO PLIEGO_1'!$A$4:$C$128,3,FALSE)</f>
        <v>UN</v>
      </c>
    </row>
    <row r="7" spans="1:10" ht="35.1" customHeight="1" x14ac:dyDescent="0.25">
      <c r="A7" s="1568" t="s">
        <v>249</v>
      </c>
      <c r="B7" s="1570"/>
      <c r="C7" s="1578" t="str">
        <f>+VLOOKUP(C6,'ANEXO PLIEGO_1'!$A$4:$B$128,2,FALSE)</f>
        <v>Fabricación y suministro de pedestal doble en tubo galvanizado de sección circular con diametro interior de  2" y e=2mm para señales tipo dúplex SR/SP - SR/SR - SR/Plaqueta - SP/SP - SP/Plaqueta (para tableros iguales a 60 cm)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+'2'!A11:D11</f>
        <v>TRONZADORA</v>
      </c>
      <c r="B11" s="1559"/>
      <c r="C11" s="1559"/>
      <c r="D11" s="1560"/>
      <c r="E11" s="29" t="s">
        <v>2898</v>
      </c>
      <c r="F11" s="30">
        <f>IFERROR(VLOOKUP(A11,'[10]EQUIPOS TRANSPOR SALARIO'!$A$3:$G$42,2,FALSE),0)</f>
        <v>0</v>
      </c>
      <c r="G11" s="31">
        <f>+IFERROR(VLOOKUP(A11,'EQUIPOS '!$B$3:$M$56,12,FALSE),0)</f>
        <v>3779.5</v>
      </c>
      <c r="H11" s="660">
        <v>15</v>
      </c>
      <c r="I11" s="33">
        <f>IFERROR((G11/H11),0)</f>
        <v>251.96666666666667</v>
      </c>
      <c r="J11" s="33">
        <f>ROUND(I11,0)</f>
        <v>252</v>
      </c>
    </row>
    <row r="12" spans="1:10" s="20" customFormat="1" ht="13.9" customHeight="1" x14ac:dyDescent="0.25">
      <c r="A12" s="1558" t="str">
        <f>+'2'!A12:D12</f>
        <v>COMPRESOR</v>
      </c>
      <c r="B12" s="1559"/>
      <c r="C12" s="1559"/>
      <c r="D12" s="1560"/>
      <c r="E12" s="29" t="s">
        <v>2898</v>
      </c>
      <c r="F12" s="30" t="str">
        <f>IFERROR(VLOOKUP(A12,'[10]EQUIPOS TRANSPOR SALARIO'!$A$3:$G$42,2,FALSE),0)</f>
        <v>Eléctrico</v>
      </c>
      <c r="G12" s="31">
        <f>+IFERROR(VLOOKUP(A12,'EQUIPOS '!$B$3:$M$56,12,FALSE),0)</f>
        <v>7999.94</v>
      </c>
      <c r="H12" s="660">
        <f>+H11</f>
        <v>15</v>
      </c>
      <c r="I12" s="33">
        <f t="shared" ref="I12:I18" si="0">IFERROR((G12/H12),0)</f>
        <v>533.32933333333335</v>
      </c>
      <c r="J12" s="33">
        <f t="shared" ref="J12:J18" si="1">ROUND(I12,0)</f>
        <v>533</v>
      </c>
    </row>
    <row r="13" spans="1:10" s="20" customFormat="1" ht="13.9" customHeight="1" x14ac:dyDescent="0.25">
      <c r="A13" s="1558"/>
      <c r="B13" s="1559"/>
      <c r="C13" s="1559"/>
      <c r="D13" s="1560"/>
      <c r="E13" s="29" t="s">
        <v>2898</v>
      </c>
      <c r="F13" s="30">
        <f>IFERROR(VLOOKUP(A13,'[10]EQUIPOS TRANSPOR SALARIO'!$A$3:$G$42,2,FALSE),0)</f>
        <v>0</v>
      </c>
      <c r="G13" s="31">
        <f>+IFERROR(VLOOKUP(A13,'EQUIPOS '!$B$3:$M$56,12,FALSE),0)</f>
        <v>0</v>
      </c>
      <c r="H13" s="660">
        <f>+H12</f>
        <v>15</v>
      </c>
      <c r="I13" s="33">
        <f t="shared" si="0"/>
        <v>0</v>
      </c>
      <c r="J13" s="33">
        <f t="shared" si="1"/>
        <v>0</v>
      </c>
    </row>
    <row r="14" spans="1:10" s="20" customFormat="1" ht="13.9" customHeight="1" x14ac:dyDescent="0.25">
      <c r="A14" s="1558" t="str">
        <f>+'2'!A14:D14</f>
        <v>EQUIPO PINTURA ELECTROSTÁTICA</v>
      </c>
      <c r="B14" s="1559"/>
      <c r="C14" s="1559"/>
      <c r="D14" s="1560"/>
      <c r="E14" s="29" t="s">
        <v>2898</v>
      </c>
      <c r="F14" s="30" t="str">
        <f>IFERROR(VLOOKUP(A14,'[10]EQUIPOS TRANSPOR SALARIO'!$A$3:$G$42,2,FALSE),0)</f>
        <v>Electrostática</v>
      </c>
      <c r="G14" s="31">
        <f>+IFERROR(VLOOKUP(A14,'EQUIPOS '!$B$3:$M$56,12,FALSE),0)</f>
        <v>4047.59</v>
      </c>
      <c r="H14" s="660">
        <f>+H13</f>
        <v>15</v>
      </c>
      <c r="I14" s="33">
        <f t="shared" si="0"/>
        <v>269.83933333333334</v>
      </c>
      <c r="J14" s="33">
        <f t="shared" si="1"/>
        <v>270</v>
      </c>
    </row>
    <row r="15" spans="1:10" s="20" customFormat="1" ht="13.9" customHeight="1" x14ac:dyDescent="0.25">
      <c r="A15" s="1558" t="str">
        <f>+'2'!A15:D15</f>
        <v xml:space="preserve">EQUIPO SOLDADURA ELECTRICA </v>
      </c>
      <c r="B15" s="1559"/>
      <c r="C15" s="1559"/>
      <c r="D15" s="1560"/>
      <c r="E15" s="29" t="s">
        <v>2898</v>
      </c>
      <c r="F15" s="30">
        <f>IFERROR(VLOOKUP(A15,'[10]EQUIPOS TRANSPOR SALARIO'!$A$3:$G$42,2,FALSE),0)</f>
        <v>0</v>
      </c>
      <c r="G15" s="31">
        <f>+IFERROR(VLOOKUP(A15,'EQUIPOS '!$B$3:$M$56,12,FALSE),0)</f>
        <v>4862.5</v>
      </c>
      <c r="H15" s="660">
        <f>+H14</f>
        <v>15</v>
      </c>
      <c r="I15" s="33">
        <f t="shared" si="0"/>
        <v>324.16666666666669</v>
      </c>
      <c r="J15" s="33">
        <f t="shared" si="1"/>
        <v>324</v>
      </c>
    </row>
    <row r="16" spans="1:10" s="20" customFormat="1" ht="13.9" customHeight="1" x14ac:dyDescent="0.25">
      <c r="A16" s="1558" t="str">
        <f>+'2'!A16:D16</f>
        <v>HERRAMIENTA MENOR</v>
      </c>
      <c r="B16" s="1559"/>
      <c r="C16" s="1559"/>
      <c r="D16" s="1560"/>
      <c r="E16" s="29" t="s">
        <v>259</v>
      </c>
      <c r="F16" s="30" t="str">
        <f>IFERROR(VLOOKUP(A16,'[10]EQUIPOS TRANSPOR SALARIO'!$A$3:$G$42,2,FALSE),0)</f>
        <v>Global</v>
      </c>
      <c r="G16" s="31">
        <f>+IFERROR(VLOOKUP(A16,'EQUIPOS '!$B$3:$M$56,12,FALSE),0)</f>
        <v>0</v>
      </c>
      <c r="H16" s="603">
        <v>0.01</v>
      </c>
      <c r="I16" s="33">
        <f>+J53*H16</f>
        <v>29.62</v>
      </c>
      <c r="J16" s="33">
        <f t="shared" si="1"/>
        <v>30</v>
      </c>
    </row>
    <row r="17" spans="1:10" s="20" customFormat="1" ht="13.9" customHeight="1" x14ac:dyDescent="0.25">
      <c r="A17" s="1558" t="str">
        <f>+'2'!A17:D17</f>
        <v>TALADRO DE ARBOL</v>
      </c>
      <c r="B17" s="1559"/>
      <c r="C17" s="1559"/>
      <c r="D17" s="1560"/>
      <c r="E17" s="29" t="s">
        <v>2898</v>
      </c>
      <c r="F17" s="30"/>
      <c r="G17" s="31">
        <f>+IFERROR(VLOOKUP(A17,'EQUIPOS '!$B$3:$M$56,12,FALSE),0)</f>
        <v>4898</v>
      </c>
      <c r="H17" s="660">
        <f>+H12</f>
        <v>15</v>
      </c>
      <c r="I17" s="33">
        <f t="shared" si="0"/>
        <v>326.53333333333336</v>
      </c>
      <c r="J17" s="33">
        <f t="shared" si="1"/>
        <v>327</v>
      </c>
    </row>
    <row r="18" spans="1:10" s="20" customFormat="1" ht="13.9" customHeight="1" x14ac:dyDescent="0.25">
      <c r="A18" s="1558" t="str">
        <f>+'2'!A18:D18</f>
        <v xml:space="preserve">PULIDORA </v>
      </c>
      <c r="B18" s="1559"/>
      <c r="C18" s="1559"/>
      <c r="D18" s="1560"/>
      <c r="E18" s="29" t="s">
        <v>2898</v>
      </c>
      <c r="F18" s="30"/>
      <c r="G18" s="31">
        <f>+IFERROR(VLOOKUP(A18,'EQUIPOS '!$B$3:$M$56,12,FALSE),0)</f>
        <v>2821</v>
      </c>
      <c r="H18" s="32">
        <f>+H13</f>
        <v>15</v>
      </c>
      <c r="I18" s="33">
        <f t="shared" si="0"/>
        <v>188.06666666666666</v>
      </c>
      <c r="J18" s="33">
        <f t="shared" si="1"/>
        <v>188</v>
      </c>
    </row>
    <row r="19" spans="1:10" s="20" customFormat="1" ht="13.9" customHeight="1" x14ac:dyDescent="0.25">
      <c r="A19" s="1558"/>
      <c r="B19" s="1559"/>
      <c r="C19" s="1559"/>
      <c r="D19" s="1560"/>
      <c r="E19" s="29"/>
      <c r="F19" s="30"/>
      <c r="G19" s="31"/>
      <c r="H19" s="32"/>
      <c r="I19" s="33"/>
      <c r="J19" s="33"/>
    </row>
    <row r="20" spans="1:10" s="20" customFormat="1" ht="13.9" customHeight="1" x14ac:dyDescent="0.25">
      <c r="I20" s="30" t="s">
        <v>257</v>
      </c>
      <c r="J20" s="34">
        <f>+SUM(J11:J19)</f>
        <v>1924</v>
      </c>
    </row>
    <row r="21" spans="1:10" s="20" customFormat="1" ht="13.9" customHeight="1" x14ac:dyDescent="0.25"/>
    <row r="22" spans="1:10" s="20" customFormat="1" ht="13.9" customHeight="1" x14ac:dyDescent="0.25">
      <c r="A22" s="1561" t="s">
        <v>263</v>
      </c>
      <c r="B22" s="1561"/>
      <c r="C22" s="1561"/>
      <c r="D22" s="1561"/>
      <c r="E22" s="1561"/>
      <c r="F22" s="1561"/>
      <c r="G22" s="1561"/>
      <c r="H22" s="1561"/>
      <c r="I22" s="27"/>
    </row>
    <row r="23" spans="1:10" ht="13.9" customHeight="1" x14ac:dyDescent="0.25">
      <c r="A23" s="1565" t="s">
        <v>251</v>
      </c>
      <c r="B23" s="1566"/>
      <c r="C23" s="1566"/>
      <c r="D23" s="1566"/>
      <c r="E23" s="1566"/>
      <c r="F23" s="1567"/>
      <c r="G23" s="28" t="s">
        <v>252</v>
      </c>
      <c r="H23" s="28" t="s">
        <v>264</v>
      </c>
      <c r="I23" s="28" t="s">
        <v>256</v>
      </c>
      <c r="J23" s="28" t="s">
        <v>257</v>
      </c>
    </row>
    <row r="24" spans="1:10" ht="13.9" customHeight="1" x14ac:dyDescent="0.25">
      <c r="A24" s="1694" t="str">
        <f>+'2'!A23:F23</f>
        <v>TUBO GALVANIZADO DE 2" X 2,0 mm ESPESOR DE PARED</v>
      </c>
      <c r="B24" s="1695"/>
      <c r="C24" s="1695"/>
      <c r="D24" s="1695"/>
      <c r="E24" s="1695"/>
      <c r="F24" s="1696"/>
      <c r="G24" s="29" t="s">
        <v>13</v>
      </c>
      <c r="H24" s="1390">
        <f>5.03+0.6</f>
        <v>5.63</v>
      </c>
      <c r="I24" s="33">
        <f>+IFERROR(VLOOKUP(A24,'INSUMOS '!$B$2:$AP$167,'INSUMOS '!$AO$2+1,FALSE),0)</f>
        <v>16939</v>
      </c>
      <c r="J24" s="33">
        <f>ROUND(I24*H24,0)</f>
        <v>95367</v>
      </c>
    </row>
    <row r="25" spans="1:10" ht="13.9" customHeight="1" x14ac:dyDescent="0.25">
      <c r="A25" s="1694" t="str">
        <f>+'2'!A24:F24</f>
        <v>ÁNGULO METÁLICO DE 2"X2"X1/8" L=6M</v>
      </c>
      <c r="B25" s="1695"/>
      <c r="C25" s="1695"/>
      <c r="D25" s="1695"/>
      <c r="E25" s="1695"/>
      <c r="F25" s="1696"/>
      <c r="G25" s="29" t="s">
        <v>13</v>
      </c>
      <c r="H25" s="1390">
        <f>0.15</f>
        <v>0.15</v>
      </c>
      <c r="I25" s="33">
        <f>+IFERROR(VLOOKUP(A25,'INSUMOS '!$B$2:$AP$167,'INSUMOS '!$AO$2+1,FALSE),0)</f>
        <v>16804.093333333331</v>
      </c>
      <c r="J25" s="33">
        <f t="shared" ref="J25:J29" si="2">ROUND(I25*H25,0)</f>
        <v>2521</v>
      </c>
    </row>
    <row r="26" spans="1:10" ht="13.9" customHeight="1" x14ac:dyDescent="0.25">
      <c r="A26" s="1694" t="str">
        <f>+'2'!A25:F25</f>
        <v>SOLDADURA ELECTRICA  E 6013 O SIMILAR</v>
      </c>
      <c r="B26" s="1695"/>
      <c r="C26" s="1695"/>
      <c r="D26" s="1695"/>
      <c r="E26" s="1695"/>
      <c r="F26" s="1696"/>
      <c r="G26" s="29" t="s">
        <v>6</v>
      </c>
      <c r="H26" s="1390">
        <f>0.3*0.8</f>
        <v>0.24</v>
      </c>
      <c r="I26" s="33">
        <f>+IFERROR(VLOOKUP(A26,'INSUMOS '!$B$2:$AP$167,'INSUMOS '!$AO$2+1,FALSE),0)</f>
        <v>19163.666666666668</v>
      </c>
      <c r="J26" s="33">
        <f t="shared" si="2"/>
        <v>4599</v>
      </c>
    </row>
    <row r="27" spans="1:10" ht="13.9" customHeight="1" x14ac:dyDescent="0.25">
      <c r="A27" s="1694" t="str">
        <f>+'2'!A26:F26</f>
        <v>PINTURA ELECTROSTÁTICA M2</v>
      </c>
      <c r="B27" s="1695"/>
      <c r="C27" s="1695"/>
      <c r="D27" s="1695"/>
      <c r="E27" s="1695"/>
      <c r="F27" s="1696"/>
      <c r="G27" s="29" t="s">
        <v>6</v>
      </c>
      <c r="H27" s="1392">
        <f>+ROUND((PI()*H24*(2*(0.0254+0.002))+H25*8*0.0254+H30*2)/3,2)</f>
        <v>0.34</v>
      </c>
      <c r="I27" s="33">
        <f>+IFERROR(VLOOKUP(A27,'INSUMOS '!$B$2:$AP$167,'INSUMOS '!$AO$2+1,FALSE),0)</f>
        <v>26664.5</v>
      </c>
      <c r="J27" s="33">
        <f t="shared" si="2"/>
        <v>9066</v>
      </c>
    </row>
    <row r="28" spans="1:10" ht="13.9" customHeight="1" x14ac:dyDescent="0.25">
      <c r="A28" s="1694" t="str">
        <f>+'2'!A27:F27</f>
        <v>TORNILLOS HEXAGONAL ZINCADO DE 1/2" X 2" (INCLUYE TUERCA DE SEGURIDAD Y ARANDELA)GALVANIZADO</v>
      </c>
      <c r="B28" s="1695"/>
      <c r="C28" s="1695"/>
      <c r="D28" s="1695"/>
      <c r="E28" s="1695"/>
      <c r="F28" s="1696"/>
      <c r="G28" s="29" t="s">
        <v>266</v>
      </c>
      <c r="H28" s="1390">
        <v>8</v>
      </c>
      <c r="I28" s="33">
        <f>+IFERROR(VLOOKUP(A28,'INSUMOS '!$B$2:$AP$167,'INSUMOS '!$AO$2+1,FALSE),0)</f>
        <v>3700</v>
      </c>
      <c r="J28" s="33">
        <f>ROUND(I28*H28,0)</f>
        <v>29600</v>
      </c>
    </row>
    <row r="29" spans="1:10" ht="13.9" customHeight="1" x14ac:dyDescent="0.25">
      <c r="A29" s="1694" t="str">
        <f>+'2'!A28:F28</f>
        <v>REMACHES CON ARANDELAS DE 4*10 MM</v>
      </c>
      <c r="B29" s="1695"/>
      <c r="C29" s="1695"/>
      <c r="D29" s="1695"/>
      <c r="E29" s="1695"/>
      <c r="F29" s="1696"/>
      <c r="G29" s="29" t="s">
        <v>266</v>
      </c>
      <c r="H29" s="1390">
        <v>4</v>
      </c>
      <c r="I29" s="33">
        <f>+IFERROR(VLOOKUP(A29,'INSUMOS '!$B$2:$AP$167,'INSUMOS '!$AO$2+1,FALSE),0)</f>
        <v>170</v>
      </c>
      <c r="J29" s="33">
        <f t="shared" si="2"/>
        <v>680</v>
      </c>
    </row>
    <row r="30" spans="1:10" ht="13.9" customHeight="1" x14ac:dyDescent="0.25">
      <c r="A30" s="1694" t="str">
        <f>+'2'!A29:F29</f>
        <v>LÁMINA GALVANIZADA C 16 E=1,50 mm</v>
      </c>
      <c r="B30" s="1695"/>
      <c r="C30" s="1695"/>
      <c r="D30" s="1695"/>
      <c r="E30" s="1695"/>
      <c r="F30" s="1696"/>
      <c r="G30" s="53" t="s">
        <v>12</v>
      </c>
      <c r="H30" s="1394">
        <f>0.0588^2*PI()/4*5</f>
        <v>1.357733513028437E-2</v>
      </c>
      <c r="I30" s="33">
        <f>+IFERROR(VLOOKUP(A30,'INSUMOS '!$B$2:$AP$167,'INSUMOS '!$AO$2+1,FALSE),0)</f>
        <v>85500.55</v>
      </c>
      <c r="J30" s="55">
        <f>ROUND(I30*H30,0)</f>
        <v>1161</v>
      </c>
    </row>
    <row r="31" spans="1:10" ht="13.9" customHeight="1" x14ac:dyDescent="0.25">
      <c r="A31" s="1558" t="s">
        <v>333</v>
      </c>
      <c r="B31" s="1559"/>
      <c r="C31" s="1559"/>
      <c r="D31" s="1559"/>
      <c r="E31" s="1559"/>
      <c r="F31" s="1560"/>
      <c r="G31" s="29"/>
      <c r="H31" s="1390"/>
      <c r="I31" s="74">
        <v>0.05</v>
      </c>
      <c r="J31" s="33">
        <f>+ROUND(SUM(J24:J30)*I31,0)</f>
        <v>7150</v>
      </c>
    </row>
    <row r="32" spans="1:10" ht="13.9" customHeight="1" x14ac:dyDescent="0.25">
      <c r="A32" s="1558"/>
      <c r="B32" s="1559"/>
      <c r="C32" s="1559"/>
      <c r="D32" s="1559"/>
      <c r="E32" s="1559"/>
      <c r="F32" s="1560"/>
      <c r="G32" s="29"/>
      <c r="I32" s="74"/>
      <c r="J32" s="33"/>
    </row>
    <row r="33" spans="1:13" ht="13.9" customHeight="1" x14ac:dyDescent="0.25">
      <c r="A33" s="1558"/>
      <c r="B33" s="1559"/>
      <c r="C33" s="1559"/>
      <c r="D33" s="1559"/>
      <c r="E33" s="1559"/>
      <c r="F33" s="1560"/>
      <c r="G33" s="29"/>
      <c r="H33" s="35"/>
      <c r="I33" s="33"/>
      <c r="J33" s="33"/>
    </row>
    <row r="34" spans="1:13" ht="13.9" customHeight="1" x14ac:dyDescent="0.25">
      <c r="A34" s="1558"/>
      <c r="B34" s="1559"/>
      <c r="C34" s="1559"/>
      <c r="D34" s="1559"/>
      <c r="E34" s="1559"/>
      <c r="F34" s="1560"/>
      <c r="G34" s="29"/>
      <c r="H34" s="35"/>
      <c r="I34" s="33"/>
      <c r="J34" s="33"/>
    </row>
    <row r="35" spans="1:13" ht="13.9" customHeight="1" x14ac:dyDescent="0.25">
      <c r="A35" s="20"/>
      <c r="B35" s="20"/>
      <c r="C35" s="20"/>
      <c r="D35" s="20"/>
      <c r="E35" s="20"/>
      <c r="G35" s="20"/>
      <c r="H35" s="20"/>
      <c r="I35" s="30" t="s">
        <v>257</v>
      </c>
      <c r="J35" s="34">
        <f>+SUM(J24:J34)</f>
        <v>150144</v>
      </c>
    </row>
    <row r="36" spans="1:13" ht="13.9" customHeight="1" x14ac:dyDescent="0.25"/>
    <row r="37" spans="1:13" ht="13.9" customHeight="1" x14ac:dyDescent="0.25">
      <c r="A37" s="1561" t="s">
        <v>267</v>
      </c>
      <c r="B37" s="1561"/>
      <c r="C37" s="1561"/>
      <c r="D37" s="1561"/>
      <c r="E37" s="1561"/>
      <c r="F37" s="1561"/>
      <c r="G37" s="1561"/>
      <c r="H37" s="1561"/>
      <c r="I37" s="27"/>
    </row>
    <row r="38" spans="1:13" ht="13.9" customHeight="1" x14ac:dyDescent="0.25">
      <c r="A38" s="1562" t="s">
        <v>268</v>
      </c>
      <c r="B38" s="1563"/>
      <c r="C38" s="1563"/>
      <c r="D38" s="1563"/>
      <c r="E38" s="1563"/>
      <c r="F38" s="1564"/>
      <c r="G38" s="38" t="s">
        <v>255</v>
      </c>
      <c r="H38" s="28" t="s">
        <v>269</v>
      </c>
      <c r="I38" s="28" t="s">
        <v>256</v>
      </c>
      <c r="J38" s="28" t="s">
        <v>257</v>
      </c>
    </row>
    <row r="39" spans="1:13" ht="13.9" customHeight="1" x14ac:dyDescent="0.25">
      <c r="A39" s="1558" t="str">
        <f>+'EQUIPOS '!B6</f>
        <v>CAMION INCLUYE CONDUCTOR</v>
      </c>
      <c r="B39" s="1559"/>
      <c r="C39" s="1559"/>
      <c r="D39" s="1559"/>
      <c r="E39" s="1559"/>
      <c r="F39" s="1560"/>
      <c r="G39" s="1489">
        <f>(+M39/1000)/12</f>
        <v>2.2779333333333334E-3</v>
      </c>
      <c r="H39" s="602">
        <f>+IFERROR(VLOOKUP(A39,'EQUIPOS '!B4:N97,12,FALSE),0)</f>
        <v>611492.5</v>
      </c>
      <c r="I39" s="33">
        <f>IFERROR(H39*G39,0)</f>
        <v>1392.9391488333333</v>
      </c>
      <c r="J39" s="33">
        <f>ROUND(I39,0)</f>
        <v>1393</v>
      </c>
      <c r="M39" s="19">
        <f>+H24*'1'!O24+'1'!O25*'3'!H25</f>
        <v>27.3352</v>
      </c>
    </row>
    <row r="40" spans="1:13" ht="13.9" customHeight="1" x14ac:dyDescent="0.25">
      <c r="A40" s="1558"/>
      <c r="B40" s="1559"/>
      <c r="C40" s="1559"/>
      <c r="D40" s="1559"/>
      <c r="E40" s="1559"/>
      <c r="F40" s="1560"/>
      <c r="G40" s="29"/>
      <c r="H40" s="33"/>
      <c r="I40" s="33"/>
      <c r="J40" s="33"/>
    </row>
    <row r="41" spans="1:13" ht="13.9" customHeight="1" x14ac:dyDescent="0.25">
      <c r="A41" s="1558"/>
      <c r="B41" s="1559"/>
      <c r="C41" s="1559"/>
      <c r="D41" s="1559"/>
      <c r="E41" s="1559"/>
      <c r="F41" s="1560"/>
      <c r="G41" s="29"/>
      <c r="H41" s="33"/>
      <c r="I41" s="33"/>
      <c r="J41" s="33"/>
    </row>
    <row r="42" spans="1:13" ht="13.9" customHeight="1" x14ac:dyDescent="0.25">
      <c r="G42" s="39"/>
      <c r="H42" s="39"/>
      <c r="I42" s="30" t="s">
        <v>257</v>
      </c>
      <c r="J42" s="33">
        <f>+SUM(J39:J41)</f>
        <v>1393</v>
      </c>
    </row>
    <row r="43" spans="1:13" ht="13.9" customHeight="1" x14ac:dyDescent="0.25"/>
    <row r="44" spans="1:13" ht="13.9" customHeight="1" x14ac:dyDescent="0.25">
      <c r="A44" s="1561" t="s">
        <v>270</v>
      </c>
      <c r="B44" s="1561"/>
      <c r="C44" s="1561"/>
      <c r="D44" s="1561"/>
      <c r="E44" s="1561"/>
      <c r="F44" s="1561"/>
      <c r="G44" s="1561"/>
      <c r="H44" s="1561"/>
      <c r="I44" s="27"/>
    </row>
    <row r="45" spans="1:13" s="39" customFormat="1" ht="13.9" customHeight="1" x14ac:dyDescent="0.25">
      <c r="A45" s="1562" t="s">
        <v>271</v>
      </c>
      <c r="B45" s="1563"/>
      <c r="C45" s="1563"/>
      <c r="D45" s="1564"/>
      <c r="E45" s="28" t="s">
        <v>272</v>
      </c>
      <c r="F45" s="28" t="s">
        <v>264</v>
      </c>
      <c r="G45" s="28" t="s">
        <v>273</v>
      </c>
      <c r="H45" s="28" t="s">
        <v>255</v>
      </c>
      <c r="I45" s="28" t="s">
        <v>256</v>
      </c>
      <c r="J45" s="28" t="s">
        <v>257</v>
      </c>
    </row>
    <row r="46" spans="1:13" s="39" customFormat="1" ht="13.9" customHeight="1" x14ac:dyDescent="0.25">
      <c r="A46" s="1558" t="str">
        <f>+'2'!A44:D44</f>
        <v xml:space="preserve">SOLDADOR </v>
      </c>
      <c r="B46" s="1559"/>
      <c r="C46" s="1559"/>
      <c r="D46" s="1560"/>
      <c r="E46" s="40">
        <f>+IFERROR(VLOOKUP(A46,PERSONAL!$B$3:$E$56,4,FALSE),0)</f>
        <v>110344</v>
      </c>
      <c r="F46" s="30">
        <v>1</v>
      </c>
      <c r="G46" s="40">
        <f t="shared" ref="G46:G48" si="3">+E46*F46</f>
        <v>110344</v>
      </c>
      <c r="H46" s="35">
        <f>+H11*8</f>
        <v>120</v>
      </c>
      <c r="I46" s="33">
        <f>IFERROR(ROUND(G46/H46,0),0)</f>
        <v>920</v>
      </c>
      <c r="J46" s="33">
        <f>+I46</f>
        <v>920</v>
      </c>
    </row>
    <row r="47" spans="1:13" s="39" customFormat="1" ht="13.9" customHeight="1" x14ac:dyDescent="0.25">
      <c r="A47" s="1558" t="str">
        <f>+'2'!A45:D45</f>
        <v xml:space="preserve">PINTOR </v>
      </c>
      <c r="B47" s="1559"/>
      <c r="C47" s="1559"/>
      <c r="D47" s="1560"/>
      <c r="E47" s="40">
        <f>+IFERROR(VLOOKUP(A47,PERSONAL!$B$3:$E$56,4,FALSE),0)</f>
        <v>100054</v>
      </c>
      <c r="F47" s="30">
        <v>1</v>
      </c>
      <c r="G47" s="40">
        <f t="shared" si="3"/>
        <v>100054</v>
      </c>
      <c r="H47" s="35">
        <f>+H46</f>
        <v>120</v>
      </c>
      <c r="I47" s="33">
        <f t="shared" ref="I47:I48" si="4">IFERROR(ROUND(G47/H47,0),0)</f>
        <v>834</v>
      </c>
      <c r="J47" s="33">
        <f t="shared" ref="J47:J48" si="5">+I47</f>
        <v>834</v>
      </c>
    </row>
    <row r="48" spans="1:13" s="39" customFormat="1" ht="13.9" customHeight="1" x14ac:dyDescent="0.25">
      <c r="A48" s="1558" t="str">
        <f>+'2'!A46:D46</f>
        <v xml:space="preserve">AYUDANTE </v>
      </c>
      <c r="B48" s="1559"/>
      <c r="C48" s="1559"/>
      <c r="D48" s="1560"/>
      <c r="E48" s="40">
        <f>+IFERROR(VLOOKUP(A48,PERSONAL!$B$3:$E$56,4,FALSE),0)</f>
        <v>72476</v>
      </c>
      <c r="F48" s="30">
        <v>2</v>
      </c>
      <c r="G48" s="40">
        <f t="shared" si="3"/>
        <v>144952</v>
      </c>
      <c r="H48" s="35">
        <f>+H47</f>
        <v>120</v>
      </c>
      <c r="I48" s="33">
        <f t="shared" si="4"/>
        <v>1208</v>
      </c>
      <c r="J48" s="33">
        <f t="shared" si="5"/>
        <v>1208</v>
      </c>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1558"/>
      <c r="B50" s="1559"/>
      <c r="C50" s="1559"/>
      <c r="D50" s="1560"/>
      <c r="E50" s="40"/>
      <c r="F50" s="30"/>
      <c r="G50" s="40"/>
      <c r="H50" s="35"/>
      <c r="I50" s="33"/>
      <c r="J50" s="33"/>
    </row>
    <row r="51" spans="1:10" s="39" customFormat="1" ht="13.9" customHeight="1" x14ac:dyDescent="0.25">
      <c r="A51" s="1558"/>
      <c r="B51" s="1559"/>
      <c r="C51" s="1559"/>
      <c r="D51" s="1560"/>
      <c r="E51" s="40"/>
      <c r="F51" s="30"/>
      <c r="G51" s="40"/>
      <c r="H51" s="35"/>
      <c r="I51" s="33"/>
      <c r="J51" s="33"/>
    </row>
    <row r="52" spans="1:10" s="39" customFormat="1" ht="13.9" customHeight="1" x14ac:dyDescent="0.25">
      <c r="A52" s="1558"/>
      <c r="B52" s="1559"/>
      <c r="C52" s="1559"/>
      <c r="D52" s="1560"/>
      <c r="E52" s="40"/>
      <c r="F52" s="30"/>
      <c r="G52" s="40"/>
      <c r="H52" s="35"/>
      <c r="I52" s="33"/>
      <c r="J52" s="33"/>
    </row>
    <row r="53" spans="1:10" ht="13.9" customHeight="1" x14ac:dyDescent="0.25">
      <c r="A53" s="20"/>
      <c r="B53" s="20"/>
      <c r="C53" s="20"/>
      <c r="E53" s="20"/>
      <c r="F53" s="20"/>
      <c r="G53" s="20"/>
      <c r="H53" s="20"/>
      <c r="I53" s="30" t="s">
        <v>257</v>
      </c>
      <c r="J53" s="34">
        <f>+SUM(J46:J52)</f>
        <v>2962</v>
      </c>
    </row>
    <row r="54" spans="1:10" ht="13.9" customHeight="1" x14ac:dyDescent="0.25"/>
    <row r="55" spans="1:10" ht="13.9" customHeight="1" x14ac:dyDescent="0.25">
      <c r="E55" s="41" t="s">
        <v>276</v>
      </c>
      <c r="I55" s="42">
        <f>+J53+J42+J35+J20</f>
        <v>156423</v>
      </c>
      <c r="J55" s="43"/>
    </row>
    <row r="56" spans="1:10" ht="13.9" customHeight="1" x14ac:dyDescent="0.25"/>
    <row r="57" spans="1:10" ht="14.1" customHeight="1" x14ac:dyDescent="0.25"/>
    <row r="58" spans="1:10" ht="14.1" customHeight="1" x14ac:dyDescent="0.25"/>
  </sheetData>
  <mergeCells count="44">
    <mergeCell ref="A14:D14"/>
    <mergeCell ref="A1:J1"/>
    <mergeCell ref="A2:J2"/>
    <mergeCell ref="A4:J4"/>
    <mergeCell ref="A6:B6"/>
    <mergeCell ref="A7:B7"/>
    <mergeCell ref="C7:J7"/>
    <mergeCell ref="A9:H9"/>
    <mergeCell ref="A10:D10"/>
    <mergeCell ref="A11:D11"/>
    <mergeCell ref="A12:D12"/>
    <mergeCell ref="A13:D13"/>
    <mergeCell ref="A31:F31"/>
    <mergeCell ref="A15:D15"/>
    <mergeCell ref="A16:D16"/>
    <mergeCell ref="A19:D19"/>
    <mergeCell ref="A22:H22"/>
    <mergeCell ref="A23:F23"/>
    <mergeCell ref="A24:F24"/>
    <mergeCell ref="A25:F25"/>
    <mergeCell ref="A26:F26"/>
    <mergeCell ref="A27:F27"/>
    <mergeCell ref="A28:F28"/>
    <mergeCell ref="A29:F29"/>
    <mergeCell ref="A17:D17"/>
    <mergeCell ref="A18:D18"/>
    <mergeCell ref="A30:F30"/>
    <mergeCell ref="A47:D47"/>
    <mergeCell ref="A32:F32"/>
    <mergeCell ref="A33:F33"/>
    <mergeCell ref="A34:F34"/>
    <mergeCell ref="A37:H37"/>
    <mergeCell ref="A38:F38"/>
    <mergeCell ref="A39:F39"/>
    <mergeCell ref="A40:F40"/>
    <mergeCell ref="A41:F41"/>
    <mergeCell ref="A44:H44"/>
    <mergeCell ref="A45:D45"/>
    <mergeCell ref="A46:D46"/>
    <mergeCell ref="A48:D48"/>
    <mergeCell ref="A49:D49"/>
    <mergeCell ref="A50:D50"/>
    <mergeCell ref="A51:D51"/>
    <mergeCell ref="A52:D52"/>
  </mergeCells>
  <pageMargins left="0.70866141732283472" right="0.70866141732283472" top="0.78740157480314965" bottom="0.78740157480314965" header="0.31496062992125984" footer="0.31496062992125984"/>
  <pageSetup scale="85" orientation="portrait" r:id="rId1"/>
  <ignoredErrors>
    <ignoredError sqref="I16" formula="1"/>
  </ignoredErrors>
  <drawing r:id="rId2"/>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200-000000000000}">
  <sheetPr codeName="Hoja6">
    <tabColor rgb="FF00B050"/>
  </sheetPr>
  <dimension ref="A1:M56"/>
  <sheetViews>
    <sheetView topLeftCell="A32"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7" width="11.7109375" style="19" customWidth="1"/>
    <col min="8" max="8" width="11" style="19" bestFit="1" customWidth="1"/>
    <col min="9" max="9" width="14.42578125" style="19" bestFit="1" customWidth="1"/>
    <col min="10" max="10" width="12" style="19" customWidth="1"/>
    <col min="11" max="12" width="11.42578125" style="19"/>
    <col min="13" max="13" width="0" style="19" hidden="1" customWidth="1"/>
    <col min="14" max="16384" width="11.42578125" style="19"/>
  </cols>
  <sheetData>
    <row r="1" spans="1:10" ht="32.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2</v>
      </c>
      <c r="D6" s="23"/>
      <c r="E6" s="23"/>
      <c r="F6" s="23"/>
      <c r="G6" s="23"/>
      <c r="H6" s="24"/>
      <c r="I6" s="25" t="s">
        <v>248</v>
      </c>
      <c r="J6" s="26" t="str">
        <f>+VLOOKUP(C6,'ANEXO PLIEGO_1'!$A$4:$C$128,3,FALSE)</f>
        <v>UN</v>
      </c>
    </row>
    <row r="7" spans="1:10" ht="35.1" customHeight="1" x14ac:dyDescent="0.25">
      <c r="A7" s="1568" t="s">
        <v>249</v>
      </c>
      <c r="B7" s="1570"/>
      <c r="C7" s="1578" t="str">
        <f>+VLOOKUP(C6,'ANEXO PLIEGO_1'!$A$4:$B$128,2,FALSE)</f>
        <v>Fabricación y suministro de pedestal sencillo en tubo galvanizado de sección circular con diametro interior de  2" y e=2mm para señales SP-SR-SI (para tableros iguales a 60 cm) cumpliendo normatividad vigente.</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'!B45</f>
        <v>TRONZADORA</v>
      </c>
      <c r="B11" s="1559"/>
      <c r="C11" s="1559"/>
      <c r="D11" s="1560"/>
      <c r="E11" s="29" t="s">
        <v>2898</v>
      </c>
      <c r="F11" s="30">
        <f>IFERROR(VLOOKUP(A11,'[10]EQUIPOS TRANSPOR SALARIO'!$A$3:$G$42,2,FALSE),0)</f>
        <v>0</v>
      </c>
      <c r="G11" s="602">
        <f>+IFERROR(VLOOKUP(A11,'EQUIPOS '!$B$3:$M$56,12,FALSE),0)</f>
        <v>3779.5</v>
      </c>
      <c r="H11" s="660">
        <v>5</v>
      </c>
      <c r="I11" s="33">
        <f>IFERROR((G11/H11),0)</f>
        <v>755.9</v>
      </c>
      <c r="J11" s="33">
        <f>ROUND(I11,0)</f>
        <v>756</v>
      </c>
    </row>
    <row r="12" spans="1:10" s="20" customFormat="1" ht="13.9" customHeight="1" x14ac:dyDescent="0.25">
      <c r="A12" s="1558" t="str">
        <f>+'EQUIPOS '!B9</f>
        <v>COMPRESOR</v>
      </c>
      <c r="B12" s="1559"/>
      <c r="C12" s="1559"/>
      <c r="D12" s="1560"/>
      <c r="E12" s="29" t="s">
        <v>2898</v>
      </c>
      <c r="F12" s="30" t="str">
        <f>IFERROR(VLOOKUP(A12,'[10]EQUIPOS TRANSPOR SALARIO'!$A$3:$G$42,2,FALSE),0)</f>
        <v>Eléctrico</v>
      </c>
      <c r="G12" s="602">
        <f>+IFERROR(VLOOKUP(A12,'EQUIPOS '!$B$3:$M$56,12,FALSE),0)</f>
        <v>7999.94</v>
      </c>
      <c r="H12" s="660">
        <f>+H11</f>
        <v>5</v>
      </c>
      <c r="I12" s="33">
        <f t="shared" ref="I12:I18" si="0">IFERROR((G12/H12),0)</f>
        <v>1599.9879999999998</v>
      </c>
      <c r="J12" s="33">
        <f t="shared" ref="J12:J18" si="1">ROUND(I12,0)</f>
        <v>1600</v>
      </c>
    </row>
    <row r="13" spans="1:10" s="20" customFormat="1" ht="13.9" customHeight="1" x14ac:dyDescent="0.25">
      <c r="A13" s="1558"/>
      <c r="B13" s="1559"/>
      <c r="C13" s="1559"/>
      <c r="D13" s="1560"/>
      <c r="E13" s="29" t="s">
        <v>2898</v>
      </c>
      <c r="F13" s="30">
        <f>IFERROR(VLOOKUP(A13,'[10]EQUIPOS TRANSPOR SALARIO'!$A$3:$G$42,2,FALSE),0)</f>
        <v>0</v>
      </c>
      <c r="G13" s="602">
        <f>+IFERROR(VLOOKUP(A13,'EQUIPOS '!$B$3:$M$56,12,FALSE),0)</f>
        <v>0</v>
      </c>
      <c r="H13" s="660">
        <f>+H12</f>
        <v>5</v>
      </c>
      <c r="I13" s="33">
        <f t="shared" si="0"/>
        <v>0</v>
      </c>
      <c r="J13" s="33">
        <f t="shared" si="1"/>
        <v>0</v>
      </c>
    </row>
    <row r="14" spans="1:10" s="20" customFormat="1" ht="13.9" customHeight="1" x14ac:dyDescent="0.25">
      <c r="A14" s="1558" t="str">
        <f>+'EQUIPOS '!B24</f>
        <v>EQUIPO PINTURA ELECTROSTÁTICA</v>
      </c>
      <c r="B14" s="1559"/>
      <c r="C14" s="1559"/>
      <c r="D14" s="1560"/>
      <c r="E14" s="29" t="s">
        <v>2898</v>
      </c>
      <c r="F14" s="30" t="str">
        <f>IFERROR(VLOOKUP(A14,'[10]EQUIPOS TRANSPOR SALARIO'!$A$3:$G$42,2,FALSE),0)</f>
        <v>Electrostática</v>
      </c>
      <c r="G14" s="602">
        <f>+IFERROR(VLOOKUP(A14,'EQUIPOS '!$B$3:$M$56,12,FALSE),0)</f>
        <v>4047.59</v>
      </c>
      <c r="H14" s="660">
        <f>+H13</f>
        <v>5</v>
      </c>
      <c r="I14" s="33">
        <f t="shared" si="0"/>
        <v>809.51800000000003</v>
      </c>
      <c r="J14" s="33">
        <f t="shared" si="1"/>
        <v>810</v>
      </c>
    </row>
    <row r="15" spans="1:10" s="20" customFormat="1" ht="13.9" customHeight="1" x14ac:dyDescent="0.25">
      <c r="A15" s="1558" t="str">
        <f>+'EQUIPOS '!B27</f>
        <v xml:space="preserve">EQUIPO SOLDADURA ELECTRICA </v>
      </c>
      <c r="B15" s="1559"/>
      <c r="C15" s="1559"/>
      <c r="D15" s="1560"/>
      <c r="E15" s="29" t="s">
        <v>2898</v>
      </c>
      <c r="F15" s="30">
        <f>IFERROR(VLOOKUP(A15,'[10]EQUIPOS TRANSPOR SALARIO'!$A$3:$G$42,2,FALSE),0)</f>
        <v>0</v>
      </c>
      <c r="G15" s="602">
        <f>+IFERROR(VLOOKUP(A15,'EQUIPOS '!$B$3:$M$56,12,FALSE),0)</f>
        <v>4862.5</v>
      </c>
      <c r="H15" s="660">
        <f>+H14</f>
        <v>5</v>
      </c>
      <c r="I15" s="33">
        <f t="shared" si="0"/>
        <v>972.5</v>
      </c>
      <c r="J15" s="33">
        <f t="shared" si="1"/>
        <v>973</v>
      </c>
    </row>
    <row r="16" spans="1:10" s="20" customFormat="1" ht="13.9" customHeight="1" x14ac:dyDescent="0.25">
      <c r="A16" s="1558" t="str">
        <f>+'EQUIPOS '!B33</f>
        <v>HERRAMIENTA MENOR</v>
      </c>
      <c r="B16" s="1559"/>
      <c r="C16" s="1559"/>
      <c r="D16" s="1560"/>
      <c r="E16" s="29" t="s">
        <v>177</v>
      </c>
      <c r="F16" s="30" t="str">
        <f>IFERROR(VLOOKUP(A16,'[10]EQUIPOS TRANSPOR SALARIO'!$A$3:$G$42,2,FALSE),0)</f>
        <v>Global</v>
      </c>
      <c r="G16" s="602">
        <f>+IFERROR(VLOOKUP(A16,'EQUIPOS '!$B$3:$M$56,12,FALSE),0)</f>
        <v>0</v>
      </c>
      <c r="H16" s="603">
        <v>0.01</v>
      </c>
      <c r="I16" s="33">
        <f>+J51*H16</f>
        <v>88.84</v>
      </c>
      <c r="J16" s="33">
        <f t="shared" si="1"/>
        <v>89</v>
      </c>
    </row>
    <row r="17" spans="1:13" s="20" customFormat="1" ht="13.9" customHeight="1" x14ac:dyDescent="0.25">
      <c r="A17" s="1558" t="str">
        <f>+'EQUIPOS '!B43</f>
        <v>TALADRO DE ARBOL</v>
      </c>
      <c r="B17" s="1559"/>
      <c r="C17" s="1559"/>
      <c r="D17" s="1560"/>
      <c r="E17" s="29" t="s">
        <v>2898</v>
      </c>
      <c r="F17" s="30">
        <f>IFERROR(VLOOKUP(A17,'[10]EQUIPOS TRANSPOR SALARIO'!$A$3:$G$42,2,FALSE),0)</f>
        <v>0</v>
      </c>
      <c r="G17" s="602">
        <f>+IFERROR(VLOOKUP(A17,'EQUIPOS '!$B$3:$M$56,12,FALSE),0)</f>
        <v>4898</v>
      </c>
      <c r="H17" s="660">
        <f>+H15</f>
        <v>5</v>
      </c>
      <c r="I17" s="33">
        <f t="shared" si="0"/>
        <v>979.6</v>
      </c>
      <c r="J17" s="33">
        <f>ROUND(I17,0)</f>
        <v>980</v>
      </c>
    </row>
    <row r="18" spans="1:13" s="20" customFormat="1" ht="13.9" customHeight="1" x14ac:dyDescent="0.25">
      <c r="A18" s="1558" t="str">
        <f>+'EQUIPOS '!B39</f>
        <v xml:space="preserve">PULIDORA </v>
      </c>
      <c r="B18" s="1559"/>
      <c r="C18" s="1559"/>
      <c r="D18" s="1560"/>
      <c r="E18" s="29" t="s">
        <v>2898</v>
      </c>
      <c r="F18" s="30">
        <f>IFERROR(VLOOKUP(A18,'[10]EQUIPOS TRANSPOR SALARIO'!$A$3:$G$42,2,FALSE),0)</f>
        <v>0</v>
      </c>
      <c r="G18" s="602">
        <f>+IFERROR(VLOOKUP(A18,'EQUIPOS '!$B$3:$M$56,12,FALSE),0)</f>
        <v>2821</v>
      </c>
      <c r="H18" s="660">
        <f>+H17</f>
        <v>5</v>
      </c>
      <c r="I18" s="33">
        <f t="shared" si="0"/>
        <v>564.20000000000005</v>
      </c>
      <c r="J18" s="33">
        <f t="shared" si="1"/>
        <v>564</v>
      </c>
    </row>
    <row r="19" spans="1:13" s="20" customFormat="1" ht="13.9" customHeight="1" x14ac:dyDescent="0.25">
      <c r="I19" s="30" t="s">
        <v>257</v>
      </c>
      <c r="J19" s="34">
        <f>+SUM(J11:J18)</f>
        <v>5772</v>
      </c>
    </row>
    <row r="20" spans="1:13" s="20" customFormat="1" ht="13.9" customHeight="1" x14ac:dyDescent="0.25"/>
    <row r="21" spans="1:13" s="20" customFormat="1" ht="13.9" customHeight="1" x14ac:dyDescent="0.25">
      <c r="A21" s="1561" t="s">
        <v>263</v>
      </c>
      <c r="B21" s="1561"/>
      <c r="C21" s="1561"/>
      <c r="D21" s="1561"/>
      <c r="E21" s="1561"/>
      <c r="F21" s="1561"/>
      <c r="G21" s="1561"/>
      <c r="H21" s="1561"/>
      <c r="I21" s="27"/>
    </row>
    <row r="22" spans="1:13" ht="13.9" customHeight="1" x14ac:dyDescent="0.25">
      <c r="A22" s="1565" t="s">
        <v>251</v>
      </c>
      <c r="B22" s="1566"/>
      <c r="C22" s="1566"/>
      <c r="D22" s="1566"/>
      <c r="E22" s="1566"/>
      <c r="F22" s="1567"/>
      <c r="G22" s="28" t="s">
        <v>252</v>
      </c>
      <c r="H22" s="28" t="s">
        <v>264</v>
      </c>
      <c r="I22" s="28" t="s">
        <v>256</v>
      </c>
      <c r="J22" s="28" t="s">
        <v>257</v>
      </c>
    </row>
    <row r="23" spans="1:13" ht="13.9" customHeight="1" x14ac:dyDescent="0.25">
      <c r="A23" s="1558" t="str">
        <f>'INSUMOS '!B105</f>
        <v>TUBO GALVANIZADO DE 2" X 2,0 mm ESPESOR DE PARED</v>
      </c>
      <c r="B23" s="1559"/>
      <c r="C23" s="1559"/>
      <c r="D23" s="1559"/>
      <c r="E23" s="1559"/>
      <c r="F23" s="1560"/>
      <c r="G23" s="29" t="s">
        <v>13</v>
      </c>
      <c r="H23" s="35">
        <f>3.4+0.6</f>
        <v>4</v>
      </c>
      <c r="I23" s="33">
        <f>+IFERROR(VLOOKUP(A23,'INSUMOS '!$B$2:$AP$167,'INSUMOS '!$AO$2+1,FALSE),0)</f>
        <v>16939</v>
      </c>
      <c r="J23" s="33">
        <f>ROUND(I23*H23,0)</f>
        <v>67756</v>
      </c>
    </row>
    <row r="24" spans="1:13" ht="13.9" customHeight="1" x14ac:dyDescent="0.25">
      <c r="A24" s="1558" t="str">
        <f>+'INSUMOS '!B8</f>
        <v>ÁNGULO METÁLICO DE 2"X2"X1/8" L=6M</v>
      </c>
      <c r="B24" s="1559"/>
      <c r="C24" s="1559"/>
      <c r="D24" s="1559"/>
      <c r="E24" s="1559"/>
      <c r="F24" s="1560"/>
      <c r="G24" s="29" t="s">
        <v>13</v>
      </c>
      <c r="H24" s="35">
        <v>0.15</v>
      </c>
      <c r="I24" s="33">
        <f>+IFERROR(VLOOKUP(A24,'INSUMOS '!$B$2:$AP$167,'INSUMOS '!$AO$2+1,FALSE),0)</f>
        <v>16804.093333333331</v>
      </c>
      <c r="J24" s="33">
        <f t="shared" ref="J24:J28" si="2">ROUND(I24*H24,0)</f>
        <v>2521</v>
      </c>
    </row>
    <row r="25" spans="1:13" ht="13.9" customHeight="1" x14ac:dyDescent="0.25">
      <c r="A25" s="1558" t="str">
        <f>+'INSUMOS '!B93</f>
        <v>SOLDADURA ELECTRICA  E 6013 O SIMILAR</v>
      </c>
      <c r="B25" s="1559"/>
      <c r="C25" s="1559"/>
      <c r="D25" s="1559"/>
      <c r="E25" s="1559"/>
      <c r="F25" s="1560"/>
      <c r="G25" s="29" t="s">
        <v>6</v>
      </c>
      <c r="H25" s="35">
        <f>0.8*0.2</f>
        <v>0.16000000000000003</v>
      </c>
      <c r="I25" s="33">
        <f>+IFERROR(VLOOKUP(A25,'INSUMOS '!$B$2:$AP$167,'INSUMOS '!$AO$2+1,FALSE),0)</f>
        <v>19163.666666666668</v>
      </c>
      <c r="J25" s="33">
        <f t="shared" si="2"/>
        <v>3066</v>
      </c>
    </row>
    <row r="26" spans="1:13" ht="13.9" customHeight="1" x14ac:dyDescent="0.25">
      <c r="A26" s="1558" t="str">
        <f>+'INSUMOS '!B73</f>
        <v>PINTURA ELECTROSTÁTICA M2</v>
      </c>
      <c r="B26" s="1559"/>
      <c r="C26" s="1559"/>
      <c r="D26" s="1559"/>
      <c r="E26" s="1559"/>
      <c r="F26" s="1560"/>
      <c r="G26" s="29" t="s">
        <v>6</v>
      </c>
      <c r="H26" s="37">
        <f>((0.0254*2+0.004)*PI()*H23+8*0.0254*H24+3*0.0588^2*PI()/4)/3</f>
        <v>0.24242117024835108</v>
      </c>
      <c r="I26" s="33">
        <f>+IFERROR(VLOOKUP(A26,'INSUMOS '!$B$2:$AP$167,'INSUMOS '!$AO$2+1,FALSE),0)</f>
        <v>26664.5</v>
      </c>
      <c r="J26" s="33">
        <f t="shared" si="2"/>
        <v>6464</v>
      </c>
    </row>
    <row r="27" spans="1:13" ht="13.9" customHeight="1" x14ac:dyDescent="0.25">
      <c r="A27" s="1558" t="str">
        <f>+'INSUMOS '!B103</f>
        <v>TORNILLOS HEXAGONAL ZINCADO DE 1/2" X 2" (INCLUYE TUERCA DE SEGURIDAD Y ARANDELA)GALVANIZADO</v>
      </c>
      <c r="B27" s="1559"/>
      <c r="C27" s="1559"/>
      <c r="D27" s="1559"/>
      <c r="E27" s="1559"/>
      <c r="F27" s="1560"/>
      <c r="G27" s="29" t="s">
        <v>10</v>
      </c>
      <c r="H27" s="35">
        <v>4</v>
      </c>
      <c r="I27" s="33">
        <f>+IFERROR(VLOOKUP(A27,'INSUMOS '!$B$2:$AP$167,'INSUMOS '!$AO$2+1,FALSE),0)</f>
        <v>3700</v>
      </c>
      <c r="J27" s="33">
        <f>ROUND(I27*H27,0)</f>
        <v>14800</v>
      </c>
    </row>
    <row r="28" spans="1:13" ht="13.9" customHeight="1" x14ac:dyDescent="0.25">
      <c r="A28" s="1558" t="str">
        <f>+'INSUMOS '!B88</f>
        <v>REMACHES CON ARANDELAS DE 4*10 MM</v>
      </c>
      <c r="B28" s="1559"/>
      <c r="C28" s="1559"/>
      <c r="D28" s="1559"/>
      <c r="E28" s="1559"/>
      <c r="F28" s="1560"/>
      <c r="G28" s="29" t="s">
        <v>10</v>
      </c>
      <c r="H28" s="35">
        <v>4</v>
      </c>
      <c r="I28" s="33">
        <f>+IFERROR(VLOOKUP(A28,'INSUMOS '!$B$2:$AP$167,'INSUMOS '!$AO$2+1,FALSE),0)</f>
        <v>170</v>
      </c>
      <c r="J28" s="33">
        <f t="shared" si="2"/>
        <v>680</v>
      </c>
    </row>
    <row r="29" spans="1:13" ht="13.9" customHeight="1" x14ac:dyDescent="0.25">
      <c r="A29" s="1558" t="str">
        <f>+'INSUMOS '!B50</f>
        <v>LÁMINA GALVANIZADA C 16 E=1,50 mm</v>
      </c>
      <c r="B29" s="1559"/>
      <c r="C29" s="1559"/>
      <c r="D29" s="1559"/>
      <c r="E29" s="1559"/>
      <c r="F29" s="1560"/>
      <c r="G29" s="53" t="s">
        <v>265</v>
      </c>
      <c r="H29" s="1408">
        <f>0.0588^2*PI()/4*3</f>
        <v>8.1464010781706203E-3</v>
      </c>
      <c r="I29" s="33">
        <f>+IFERROR(VLOOKUP(A29,'INSUMOS '!$B$2:$AP$167,'INSUMOS '!$AO$2+1,FALSE),0)</f>
        <v>85500.55</v>
      </c>
      <c r="J29" s="55">
        <f>ROUND(I29*H29,0)</f>
        <v>697</v>
      </c>
    </row>
    <row r="30" spans="1:13" ht="13.9" customHeight="1" x14ac:dyDescent="0.25">
      <c r="A30" s="1558" t="s">
        <v>333</v>
      </c>
      <c r="B30" s="1559"/>
      <c r="C30" s="1559"/>
      <c r="D30" s="1559"/>
      <c r="E30" s="1559"/>
      <c r="F30" s="1560"/>
      <c r="G30" s="29"/>
      <c r="I30" s="74">
        <v>0.05</v>
      </c>
      <c r="J30" s="33">
        <f>+ROUND(SUM(J24:J29)*I30,0)</f>
        <v>1411</v>
      </c>
      <c r="M30" s="19" t="s">
        <v>2906</v>
      </c>
    </row>
    <row r="31" spans="1:13" ht="13.9" customHeight="1" x14ac:dyDescent="0.25">
      <c r="A31" s="1558"/>
      <c r="B31" s="1559"/>
      <c r="C31" s="1559"/>
      <c r="D31" s="1559"/>
      <c r="E31" s="1559"/>
      <c r="F31" s="1560"/>
      <c r="G31" s="29"/>
      <c r="H31" s="35"/>
      <c r="I31" s="33"/>
      <c r="J31" s="33"/>
      <c r="M31" s="19">
        <f>+H23*'1'!O24+'1'!O25*'2'!H24</f>
        <v>19.5275</v>
      </c>
    </row>
    <row r="32" spans="1:13" ht="13.9" customHeight="1" x14ac:dyDescent="0.25">
      <c r="A32" s="1558"/>
      <c r="B32" s="1559"/>
      <c r="C32" s="1559"/>
      <c r="D32" s="1559"/>
      <c r="E32" s="1559"/>
      <c r="F32" s="1560"/>
      <c r="G32" s="29"/>
      <c r="H32" s="35"/>
      <c r="I32" s="33"/>
      <c r="J32" s="33"/>
    </row>
    <row r="33" spans="1:10" ht="13.9" customHeight="1" x14ac:dyDescent="0.25">
      <c r="A33" s="20"/>
      <c r="B33" s="20"/>
      <c r="C33" s="20"/>
      <c r="D33" s="20"/>
      <c r="E33" s="20"/>
      <c r="G33" s="20"/>
      <c r="H33" s="20"/>
      <c r="I33" s="30" t="s">
        <v>257</v>
      </c>
      <c r="J33" s="34">
        <f>+SUM(J23:J32)</f>
        <v>97395</v>
      </c>
    </row>
    <row r="34" spans="1:10" ht="13.9" customHeight="1" x14ac:dyDescent="0.25"/>
    <row r="35" spans="1:10" ht="13.9" customHeight="1" x14ac:dyDescent="0.25">
      <c r="A35" s="1561" t="s">
        <v>267</v>
      </c>
      <c r="B35" s="1561"/>
      <c r="C35" s="1561"/>
      <c r="D35" s="1561"/>
      <c r="E35" s="1561"/>
      <c r="F35" s="1561"/>
      <c r="G35" s="1561"/>
      <c r="H35" s="1561"/>
      <c r="I35" s="27"/>
    </row>
    <row r="36" spans="1:10" ht="13.9" customHeight="1" x14ac:dyDescent="0.25">
      <c r="A36" s="1562" t="s">
        <v>268</v>
      </c>
      <c r="B36" s="1563"/>
      <c r="C36" s="1563"/>
      <c r="D36" s="1563"/>
      <c r="E36" s="1563"/>
      <c r="F36" s="1564"/>
      <c r="G36" s="38" t="s">
        <v>255</v>
      </c>
      <c r="H36" s="28" t="s">
        <v>269</v>
      </c>
      <c r="I36" s="28" t="s">
        <v>256</v>
      </c>
      <c r="J36" s="28" t="s">
        <v>257</v>
      </c>
    </row>
    <row r="37" spans="1:10" ht="13.9" customHeight="1" x14ac:dyDescent="0.25">
      <c r="A37" s="1558" t="str">
        <f>+'EQUIPOS '!B6</f>
        <v>CAMION INCLUYE CONDUCTOR</v>
      </c>
      <c r="B37" s="1559"/>
      <c r="C37" s="1559"/>
      <c r="D37" s="1559"/>
      <c r="E37" s="1559"/>
      <c r="F37" s="1560"/>
      <c r="G37" s="1481">
        <f>(+M31/1000)/12</f>
        <v>1.6272916666666666E-3</v>
      </c>
      <c r="H37" s="31">
        <f>+IFERROR(VLOOKUP(A37,'EQUIPOS '!$B$3:$M$88,12,FALSE),0)</f>
        <v>611492.5</v>
      </c>
      <c r="I37" s="33">
        <f>IFERROR(H37*G37,0)</f>
        <v>995.07664947916669</v>
      </c>
      <c r="J37" s="33">
        <f>ROUND(I37,0)</f>
        <v>995</v>
      </c>
    </row>
    <row r="38" spans="1:10" ht="13.9" customHeight="1" x14ac:dyDescent="0.25">
      <c r="A38" s="1558"/>
      <c r="B38" s="1559"/>
      <c r="C38" s="1559"/>
      <c r="D38" s="1559"/>
      <c r="E38" s="1559"/>
      <c r="F38" s="1560"/>
      <c r="G38" s="29"/>
      <c r="H38" s="76"/>
      <c r="I38" s="33"/>
      <c r="J38" s="33"/>
    </row>
    <row r="39" spans="1:10" ht="13.9" customHeight="1" x14ac:dyDescent="0.25">
      <c r="A39" s="1558"/>
      <c r="B39" s="1559"/>
      <c r="C39" s="1559"/>
      <c r="D39" s="1559"/>
      <c r="E39" s="1559"/>
      <c r="F39" s="1560"/>
      <c r="G39" s="29"/>
      <c r="H39" s="77"/>
      <c r="I39" s="33"/>
      <c r="J39" s="33"/>
    </row>
    <row r="40" spans="1:10" ht="13.9" customHeight="1" x14ac:dyDescent="0.25">
      <c r="G40" s="39"/>
      <c r="H40" s="39"/>
      <c r="I40" s="30" t="s">
        <v>257</v>
      </c>
      <c r="J40" s="33">
        <f>+SUM(J37:J39)</f>
        <v>995</v>
      </c>
    </row>
    <row r="41" spans="1:10" ht="13.9" customHeight="1" x14ac:dyDescent="0.25"/>
    <row r="42" spans="1:10" ht="13.9" customHeight="1" x14ac:dyDescent="0.25">
      <c r="A42" s="1561" t="s">
        <v>270</v>
      </c>
      <c r="B42" s="1561"/>
      <c r="C42" s="1561"/>
      <c r="D42" s="1561"/>
      <c r="E42" s="1561"/>
      <c r="F42" s="1561"/>
      <c r="G42" s="1561"/>
      <c r="H42" s="1561"/>
      <c r="I42" s="27"/>
    </row>
    <row r="43" spans="1:10" s="39" customFormat="1" ht="13.9" customHeight="1" x14ac:dyDescent="0.25">
      <c r="A43" s="1562" t="s">
        <v>271</v>
      </c>
      <c r="B43" s="1563"/>
      <c r="C43" s="1563"/>
      <c r="D43" s="1564"/>
      <c r="E43" s="28" t="s">
        <v>272</v>
      </c>
      <c r="F43" s="28" t="s">
        <v>264</v>
      </c>
      <c r="G43" s="28" t="s">
        <v>273</v>
      </c>
      <c r="H43" s="28" t="s">
        <v>255</v>
      </c>
      <c r="I43" s="28" t="s">
        <v>256</v>
      </c>
      <c r="J43" s="28" t="s">
        <v>257</v>
      </c>
    </row>
    <row r="44" spans="1:10" s="39" customFormat="1" ht="13.9" customHeight="1" x14ac:dyDescent="0.25">
      <c r="A44" s="1558" t="str">
        <f>+PERSONAL!B40</f>
        <v xml:space="preserve">SOLDADOR </v>
      </c>
      <c r="B44" s="1559"/>
      <c r="C44" s="1559"/>
      <c r="D44" s="1560"/>
      <c r="E44" s="40">
        <f>+IFERROR(VLOOKUP(A44,PERSONAL!$B$3:$E$56,4,FALSE),0)</f>
        <v>110344</v>
      </c>
      <c r="F44" s="30">
        <v>1</v>
      </c>
      <c r="G44" s="40">
        <f>+E44*F44</f>
        <v>110344</v>
      </c>
      <c r="H44" s="54">
        <f>+H11*8</f>
        <v>40</v>
      </c>
      <c r="I44" s="33">
        <f>IFERROR(ROUND(G44/H44,0),0)</f>
        <v>2759</v>
      </c>
      <c r="J44" s="33">
        <f>+I44</f>
        <v>2759</v>
      </c>
    </row>
    <row r="45" spans="1:10" s="39" customFormat="1" ht="13.9" customHeight="1" x14ac:dyDescent="0.25">
      <c r="A45" s="1558" t="str">
        <f>+PERSONAL!B27</f>
        <v xml:space="preserve">PINTOR </v>
      </c>
      <c r="B45" s="1559"/>
      <c r="C45" s="1559"/>
      <c r="D45" s="1560"/>
      <c r="E45" s="40">
        <f>+IFERROR(VLOOKUP(A45,PERSONAL!$B$3:$E$56,4,FALSE),0)</f>
        <v>100054</v>
      </c>
      <c r="F45" s="30">
        <v>1</v>
      </c>
      <c r="G45" s="40">
        <f t="shared" ref="G45:G46" si="3">+E45*F45</f>
        <v>100054</v>
      </c>
      <c r="H45" s="54">
        <f>+H44</f>
        <v>40</v>
      </c>
      <c r="I45" s="33">
        <f t="shared" ref="I45:I46" si="4">IFERROR(ROUND(G45/H45,0),0)</f>
        <v>2501</v>
      </c>
      <c r="J45" s="33">
        <f t="shared" ref="J45:J46" si="5">+I45</f>
        <v>2501</v>
      </c>
    </row>
    <row r="46" spans="1:10" s="39" customFormat="1" ht="13.9" customHeight="1" x14ac:dyDescent="0.25">
      <c r="A46" s="1558" t="str">
        <f>+PERSONAL!B5</f>
        <v xml:space="preserve">AYUDANTE </v>
      </c>
      <c r="B46" s="1559"/>
      <c r="C46" s="1559"/>
      <c r="D46" s="1560"/>
      <c r="E46" s="40">
        <f>+IFERROR(VLOOKUP(A46,PERSONAL!$B$3:$E$56,4,FALSE),0)</f>
        <v>72476</v>
      </c>
      <c r="F46" s="30">
        <v>2</v>
      </c>
      <c r="G46" s="40">
        <f t="shared" si="3"/>
        <v>144952</v>
      </c>
      <c r="H46" s="54">
        <f>+H45</f>
        <v>40</v>
      </c>
      <c r="I46" s="33">
        <f t="shared" si="4"/>
        <v>3624</v>
      </c>
      <c r="J46" s="33">
        <f t="shared" si="5"/>
        <v>3624</v>
      </c>
    </row>
    <row r="47" spans="1:10" s="39" customFormat="1" ht="13.9" customHeight="1" x14ac:dyDescent="0.25">
      <c r="A47" s="1558"/>
      <c r="B47" s="1559"/>
      <c r="C47" s="1559"/>
      <c r="D47" s="1560"/>
      <c r="E47" s="40"/>
      <c r="F47" s="30"/>
      <c r="G47" s="40"/>
      <c r="H47" s="35"/>
      <c r="I47" s="33"/>
      <c r="J47" s="33"/>
    </row>
    <row r="48" spans="1:10" s="39" customFormat="1" ht="13.9" customHeight="1" x14ac:dyDescent="0.25">
      <c r="A48" s="1558"/>
      <c r="B48" s="1559"/>
      <c r="C48" s="1559"/>
      <c r="D48" s="1560"/>
      <c r="E48" s="40"/>
      <c r="F48" s="30"/>
      <c r="G48" s="40"/>
      <c r="H48" s="35"/>
      <c r="I48" s="33"/>
      <c r="J48" s="33"/>
    </row>
    <row r="49" spans="1:10" s="39" customFormat="1" ht="13.9" customHeight="1" x14ac:dyDescent="0.25">
      <c r="A49" s="1558"/>
      <c r="B49" s="1559"/>
      <c r="C49" s="1559"/>
      <c r="D49" s="1560"/>
      <c r="E49" s="40"/>
      <c r="F49" s="30"/>
      <c r="G49" s="40"/>
      <c r="H49" s="35"/>
      <c r="I49" s="33"/>
      <c r="J49" s="33"/>
    </row>
    <row r="50" spans="1:10" s="39" customFormat="1" ht="13.9" customHeight="1" x14ac:dyDescent="0.25">
      <c r="A50" s="1558"/>
      <c r="B50" s="1559"/>
      <c r="C50" s="1559"/>
      <c r="D50" s="1560"/>
      <c r="E50" s="40"/>
      <c r="F50" s="30"/>
      <c r="G50" s="40"/>
      <c r="H50" s="35"/>
      <c r="I50" s="33"/>
      <c r="J50" s="33"/>
    </row>
    <row r="51" spans="1:10" ht="13.9" customHeight="1" x14ac:dyDescent="0.25">
      <c r="A51" s="20"/>
      <c r="B51" s="20"/>
      <c r="C51" s="20"/>
      <c r="E51" s="20"/>
      <c r="F51" s="20"/>
      <c r="G51" s="20"/>
      <c r="H51" s="20"/>
      <c r="I51" s="30" t="s">
        <v>257</v>
      </c>
      <c r="J51" s="34">
        <f>+SUM(J44:J50)</f>
        <v>8884</v>
      </c>
    </row>
    <row r="52" spans="1:10" ht="13.9" customHeight="1" x14ac:dyDescent="0.25"/>
    <row r="53" spans="1:10" ht="13.9" customHeight="1" x14ac:dyDescent="0.25">
      <c r="E53" s="41" t="s">
        <v>276</v>
      </c>
      <c r="I53" s="42">
        <f>+J51+J40+J33+J19</f>
        <v>113046</v>
      </c>
      <c r="J53" s="43"/>
    </row>
    <row r="54" spans="1:10" ht="13.9" customHeight="1" x14ac:dyDescent="0.25"/>
    <row r="55" spans="1:10" ht="14.1" customHeight="1" x14ac:dyDescent="0.25"/>
    <row r="56" spans="1:10" ht="14.1" customHeight="1" x14ac:dyDescent="0.25">
      <c r="I56" s="44"/>
    </row>
  </sheetData>
  <mergeCells count="42">
    <mergeCell ref="A14:D14"/>
    <mergeCell ref="A1:J1"/>
    <mergeCell ref="A2:J2"/>
    <mergeCell ref="A4:J4"/>
    <mergeCell ref="A6:B6"/>
    <mergeCell ref="A7:B7"/>
    <mergeCell ref="C7:J7"/>
    <mergeCell ref="A9:H9"/>
    <mergeCell ref="A10:D10"/>
    <mergeCell ref="A11:D11"/>
    <mergeCell ref="A12:D12"/>
    <mergeCell ref="A13:D13"/>
    <mergeCell ref="A29:F29"/>
    <mergeCell ref="A15:D15"/>
    <mergeCell ref="A16:D16"/>
    <mergeCell ref="A18:D18"/>
    <mergeCell ref="A21:H21"/>
    <mergeCell ref="A22:F22"/>
    <mergeCell ref="A23:F23"/>
    <mergeCell ref="A24:F24"/>
    <mergeCell ref="A25:F25"/>
    <mergeCell ref="A26:F26"/>
    <mergeCell ref="A27:F27"/>
    <mergeCell ref="A28:F28"/>
    <mergeCell ref="A17:D17"/>
    <mergeCell ref="A45:D45"/>
    <mergeCell ref="A30:F30"/>
    <mergeCell ref="A31:F31"/>
    <mergeCell ref="A32:F32"/>
    <mergeCell ref="A35:H35"/>
    <mergeCell ref="A36:F36"/>
    <mergeCell ref="A37:F37"/>
    <mergeCell ref="A38:F38"/>
    <mergeCell ref="A39:F39"/>
    <mergeCell ref="A42:H42"/>
    <mergeCell ref="A43:D43"/>
    <mergeCell ref="A44:D44"/>
    <mergeCell ref="A46:D46"/>
    <mergeCell ref="A47:D47"/>
    <mergeCell ref="A48:D48"/>
    <mergeCell ref="A49:D49"/>
    <mergeCell ref="A50:D50"/>
  </mergeCells>
  <pageMargins left="0.70866141732283472" right="0.70866141732283472" top="0.78740157480314965" bottom="0.78740157480314965" header="0.31496062992125984" footer="0.31496062992125984"/>
  <pageSetup scale="85" orientation="portrait" r:id="rId1"/>
  <ignoredErrors>
    <ignoredError sqref="I16" formula="1"/>
  </ignoredErrors>
  <drawing r:id="rId2"/>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300-000000000000}">
  <sheetPr codeName="Hoja5">
    <tabColor rgb="FF00B050"/>
  </sheetPr>
  <dimension ref="A1:O59"/>
  <sheetViews>
    <sheetView topLeftCell="A46" zoomScaleNormal="100" workbookViewId="0">
      <selection activeCell="Q43" sqref="Q43"/>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7" width="14.140625" style="19" bestFit="1" customWidth="1"/>
    <col min="8" max="8" width="11" style="19" bestFit="1" customWidth="1"/>
    <col min="9" max="9" width="15.42578125" style="19" bestFit="1" customWidth="1"/>
    <col min="10" max="10" width="12" style="19" customWidth="1"/>
    <col min="11" max="11" width="11.42578125" style="19"/>
    <col min="12" max="12" width="16.5703125" style="19" customWidth="1"/>
    <col min="13" max="13" width="41" style="19" hidden="1" customWidth="1"/>
    <col min="14" max="15" width="0" style="19" hidden="1" customWidth="1"/>
    <col min="16" max="16384" width="11.42578125" style="19"/>
  </cols>
  <sheetData>
    <row r="1" spans="1:10" ht="39"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22">
        <v>1</v>
      </c>
      <c r="D6" s="23"/>
      <c r="E6" s="23"/>
      <c r="F6" s="23"/>
      <c r="G6" s="23"/>
      <c r="H6" s="24"/>
      <c r="I6" s="25" t="s">
        <v>248</v>
      </c>
      <c r="J6" s="1387" t="str">
        <f>+VLOOKUP(C6,'ANEXO PLIEGO_1'!$A$4:$C$128,3,FALSE)</f>
        <v>M2</v>
      </c>
    </row>
    <row r="7" spans="1:10" ht="35.1" customHeight="1" x14ac:dyDescent="0.25">
      <c r="A7" s="1568" t="s">
        <v>249</v>
      </c>
      <c r="B7" s="1570"/>
      <c r="C7" s="1578" t="str">
        <f>+VLOOKUP(C6,'ANEXO PLIEGO_1'!$A$4:$B$128,2,FALSE)</f>
        <v>Fabricación y suministro de tableros en lámina galvanizada C-16 E=1,5 mm, material reflectivo Tipo XI , película antigraffiti, para señales SP-SR-SI cumpliendo normatividad vigente. (Incluye elementos de fijación)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tr">
        <f>+'EQUIPOS '!B7</f>
        <v xml:space="preserve">CIZALLA DE CORTE VERTICAL </v>
      </c>
      <c r="B11" s="1559"/>
      <c r="C11" s="1559"/>
      <c r="D11" s="1560"/>
      <c r="E11" s="29" t="s">
        <v>2898</v>
      </c>
      <c r="F11" s="30">
        <f>IFERROR(VLOOKUP(A11,'[10]EQUIPOS TRANSPOR SALARIO'!$A$3:$G$42,2,FALSE),0)</f>
        <v>0</v>
      </c>
      <c r="G11" s="602">
        <f>+IFERROR(VLOOKUP(A11,'EQUIPOS '!$B$3:$M$56,12,FALSE),0)</f>
        <v>5174.01</v>
      </c>
      <c r="H11" s="660">
        <v>50</v>
      </c>
      <c r="I11" s="33">
        <f t="shared" ref="I11:I17" si="0">IFERROR((G11/H11),0)</f>
        <v>103.48020000000001</v>
      </c>
      <c r="J11" s="33">
        <f t="shared" ref="J11:J16" si="1">ROUND(I11,0)</f>
        <v>103</v>
      </c>
    </row>
    <row r="12" spans="1:10" s="20" customFormat="1" ht="13.9" customHeight="1" x14ac:dyDescent="0.25">
      <c r="A12" s="1558" t="str">
        <f>+'EQUIPOS '!B9</f>
        <v>COMPRESOR</v>
      </c>
      <c r="B12" s="1559"/>
      <c r="C12" s="1559"/>
      <c r="D12" s="1560"/>
      <c r="E12" s="29" t="s">
        <v>2898</v>
      </c>
      <c r="F12" s="30" t="str">
        <f>IFERROR(VLOOKUP(A12,'[10]EQUIPOS TRANSPOR SALARIO'!$A$3:$G$42,2,FALSE),0)</f>
        <v>Eléctrico</v>
      </c>
      <c r="G12" s="602">
        <f>+IFERROR(VLOOKUP(A12,'EQUIPOS '!$B$3:$M$56,12,FALSE),0)</f>
        <v>7999.94</v>
      </c>
      <c r="H12" s="660">
        <f t="shared" ref="H12:H17" si="2">+$H$11</f>
        <v>50</v>
      </c>
      <c r="I12" s="33">
        <f t="shared" si="0"/>
        <v>159.99879999999999</v>
      </c>
      <c r="J12" s="33">
        <f t="shared" si="1"/>
        <v>160</v>
      </c>
    </row>
    <row r="13" spans="1:10" s="20" customFormat="1" ht="13.9" customHeight="1" x14ac:dyDescent="0.25">
      <c r="A13" s="1558" t="str">
        <f>+'EQUIPOS '!B25</f>
        <v>EQUIPO  COLAMINADO</v>
      </c>
      <c r="B13" s="1559"/>
      <c r="C13" s="1559"/>
      <c r="D13" s="1560"/>
      <c r="E13" s="29" t="s">
        <v>2898</v>
      </c>
      <c r="F13" s="30">
        <f>IFERROR(VLOOKUP(A13,'[10]EQUIPOS TRANSPOR SALARIO'!$A$3:$G$42,2,FALSE),0)</f>
        <v>0</v>
      </c>
      <c r="G13" s="602">
        <f>+IFERROR(VLOOKUP(A13,'EQUIPOS '!$B$3:$M$56,12,FALSE),0)</f>
        <v>4701.8100000000004</v>
      </c>
      <c r="H13" s="660">
        <f t="shared" si="2"/>
        <v>50</v>
      </c>
      <c r="I13" s="33">
        <f t="shared" si="0"/>
        <v>94.036200000000008</v>
      </c>
      <c r="J13" s="33">
        <f t="shared" si="1"/>
        <v>94</v>
      </c>
    </row>
    <row r="14" spans="1:10" s="20" customFormat="1" ht="13.9" customHeight="1" x14ac:dyDescent="0.25">
      <c r="A14" s="1558" t="str">
        <f>+'EQUIPOS '!B24</f>
        <v>EQUIPO PINTURA ELECTROSTÁTICA</v>
      </c>
      <c r="B14" s="1559"/>
      <c r="C14" s="1559"/>
      <c r="D14" s="1560"/>
      <c r="E14" s="29" t="s">
        <v>2898</v>
      </c>
      <c r="F14" s="30" t="str">
        <f>IFERROR(VLOOKUP(A14,'[10]EQUIPOS TRANSPOR SALARIO'!$A$3:$G$42,2,FALSE),0)</f>
        <v>Electrostática</v>
      </c>
      <c r="G14" s="602">
        <f>+IFERROR(VLOOKUP(A14,'EQUIPOS '!$B$3:$M$56,12,FALSE),0)</f>
        <v>4047.59</v>
      </c>
      <c r="H14" s="660">
        <f t="shared" si="2"/>
        <v>50</v>
      </c>
      <c r="I14" s="33">
        <f t="shared" si="0"/>
        <v>80.951800000000006</v>
      </c>
      <c r="J14" s="33">
        <f t="shared" si="1"/>
        <v>81</v>
      </c>
    </row>
    <row r="15" spans="1:10" s="20" customFormat="1" ht="13.9" customHeight="1" x14ac:dyDescent="0.25">
      <c r="A15" s="1558"/>
      <c r="B15" s="1559"/>
      <c r="C15" s="1559"/>
      <c r="D15" s="1560"/>
      <c r="E15" s="29" t="s">
        <v>2898</v>
      </c>
      <c r="F15" s="30">
        <f>IFERROR(VLOOKUP(A15,'[10]EQUIPOS TRANSPOR SALARIO'!$A$3:$G$42,2,FALSE),0)</f>
        <v>0</v>
      </c>
      <c r="G15" s="602">
        <f>+IFERROR(VLOOKUP(A15,'EQUIPOS '!$B$3:$M$56,12,FALSE),0)</f>
        <v>0</v>
      </c>
      <c r="H15" s="660">
        <f t="shared" si="2"/>
        <v>50</v>
      </c>
      <c r="I15" s="33">
        <f t="shared" si="0"/>
        <v>0</v>
      </c>
      <c r="J15" s="33">
        <f t="shared" si="1"/>
        <v>0</v>
      </c>
    </row>
    <row r="16" spans="1:10" s="20" customFormat="1" ht="24" customHeight="1" x14ac:dyDescent="0.25">
      <c r="A16" s="1568" t="str">
        <f>+'EQUIPOS '!B51</f>
        <v xml:space="preserve">IMPRESORA DIGITAL PARA SEÑALES DE TRÁNSITO </v>
      </c>
      <c r="B16" s="1569"/>
      <c r="C16" s="1569"/>
      <c r="D16" s="1570"/>
      <c r="E16" s="29" t="s">
        <v>2898</v>
      </c>
      <c r="F16" s="30">
        <f>IFERROR(VLOOKUP(A16,'[10]EQUIPOS TRANSPOR SALARIO'!$A$3:$G$42,2,FALSE),0)</f>
        <v>0</v>
      </c>
      <c r="G16" s="602">
        <f>+IFERROR(VLOOKUP(A16,'EQUIPOS '!$B$3:$M$56,12,FALSE),0)</f>
        <v>64227.08</v>
      </c>
      <c r="H16" s="660">
        <f t="shared" si="2"/>
        <v>50</v>
      </c>
      <c r="I16" s="33">
        <f t="shared" si="0"/>
        <v>1284.5416</v>
      </c>
      <c r="J16" s="33">
        <f t="shared" si="1"/>
        <v>1285</v>
      </c>
    </row>
    <row r="17" spans="1:15" s="20" customFormat="1" ht="13.9" customHeight="1" x14ac:dyDescent="0.25">
      <c r="A17" s="1558" t="str">
        <f>+'EQUIPOS '!B39</f>
        <v xml:space="preserve">PULIDORA </v>
      </c>
      <c r="B17" s="1559"/>
      <c r="C17" s="1559"/>
      <c r="D17" s="1560"/>
      <c r="E17" s="29" t="s">
        <v>2898</v>
      </c>
      <c r="F17" s="30">
        <f>IFERROR(VLOOKUP(A17,'[10]EQUIPOS TRANSPOR SALARIO'!$A$3:$G$42,2,FALSE),0)</f>
        <v>0</v>
      </c>
      <c r="G17" s="602">
        <f>+IFERROR(VLOOKUP(A17,'EQUIPOS '!$B$3:$M$56,12,FALSE),0)</f>
        <v>2821</v>
      </c>
      <c r="H17" s="660">
        <f t="shared" si="2"/>
        <v>50</v>
      </c>
      <c r="I17" s="33">
        <f t="shared" si="0"/>
        <v>56.42</v>
      </c>
      <c r="J17" s="33">
        <f>ROUND(I17,0)</f>
        <v>56</v>
      </c>
    </row>
    <row r="18" spans="1:15" s="20" customFormat="1" ht="13.9" customHeight="1" x14ac:dyDescent="0.25">
      <c r="A18" s="1558" t="s">
        <v>330</v>
      </c>
      <c r="B18" s="1559"/>
      <c r="C18" s="1559"/>
      <c r="D18" s="1560"/>
      <c r="E18" s="29" t="s">
        <v>2898</v>
      </c>
      <c r="F18" s="30">
        <f>IFERROR(VLOOKUP(A18,'[10]EQUIPOS TRANSPOR SALARIO'!$A$3:$G$42,2,FALSE),0)</f>
        <v>0</v>
      </c>
      <c r="G18" s="131">
        <v>0.01</v>
      </c>
      <c r="H18" s="660"/>
      <c r="I18" s="33">
        <f>+G18*J55</f>
        <v>13.4</v>
      </c>
      <c r="J18" s="33">
        <f>ROUND(I18,0)</f>
        <v>13</v>
      </c>
    </row>
    <row r="19" spans="1:15" s="20" customFormat="1" ht="13.9" customHeight="1" x14ac:dyDescent="0.25">
      <c r="A19" s="1558" t="str">
        <f>+'EQUIPOS '!B43</f>
        <v>TALADRO DE ARBOL</v>
      </c>
      <c r="B19" s="1559"/>
      <c r="C19" s="1559"/>
      <c r="D19" s="1560"/>
      <c r="E19" s="29" t="s">
        <v>2898</v>
      </c>
      <c r="F19" s="30">
        <f>IFERROR(VLOOKUP(A19,'[10]EQUIPOS TRANSPOR SALARIO'!$A$3:$G$42,2,FALSE),0)</f>
        <v>0</v>
      </c>
      <c r="G19" s="602">
        <f>+IFERROR(VLOOKUP(A19,'EQUIPOS '!$B$3:$M$56,12,FALSE),0)</f>
        <v>4898</v>
      </c>
      <c r="H19" s="660">
        <f>+H11</f>
        <v>50</v>
      </c>
      <c r="I19" s="33">
        <f>IFERROR((G19/H19),0)</f>
        <v>97.96</v>
      </c>
      <c r="J19" s="33">
        <f>ROUND(I19,0)</f>
        <v>98</v>
      </c>
    </row>
    <row r="20" spans="1:15" s="20" customFormat="1" ht="13.9" customHeight="1" x14ac:dyDescent="0.25">
      <c r="I20" s="30" t="s">
        <v>257</v>
      </c>
      <c r="J20" s="34">
        <f>+SUM(J11:J19)</f>
        <v>1890</v>
      </c>
    </row>
    <row r="21" spans="1:15" s="20" customFormat="1" ht="13.9" customHeight="1" x14ac:dyDescent="0.25"/>
    <row r="22" spans="1:15" s="20" customFormat="1" ht="13.9" customHeight="1" x14ac:dyDescent="0.25">
      <c r="A22" s="1561" t="s">
        <v>263</v>
      </c>
      <c r="B22" s="1561"/>
      <c r="C22" s="1561"/>
      <c r="D22" s="1561"/>
      <c r="E22" s="1561"/>
      <c r="F22" s="1561"/>
      <c r="G22" s="1561"/>
      <c r="H22" s="1561"/>
      <c r="I22" s="27"/>
      <c r="M22" s="82"/>
      <c r="N22" s="82" t="s">
        <v>2903</v>
      </c>
      <c r="O22" s="82" t="s">
        <v>2904</v>
      </c>
    </row>
    <row r="23" spans="1:15" ht="13.9" customHeight="1" x14ac:dyDescent="0.25">
      <c r="A23" s="1565" t="s">
        <v>251</v>
      </c>
      <c r="B23" s="1566"/>
      <c r="C23" s="1566"/>
      <c r="D23" s="1566"/>
      <c r="E23" s="1566"/>
      <c r="F23" s="1567"/>
      <c r="G23" s="28" t="s">
        <v>252</v>
      </c>
      <c r="H23" s="28" t="s">
        <v>264</v>
      </c>
      <c r="I23" s="28" t="s">
        <v>256</v>
      </c>
      <c r="J23" s="28" t="s">
        <v>257</v>
      </c>
      <c r="M23" s="83" t="s">
        <v>2902</v>
      </c>
      <c r="N23" s="84">
        <v>11.68</v>
      </c>
      <c r="O23" s="84"/>
    </row>
    <row r="24" spans="1:15" ht="13.9" customHeight="1" x14ac:dyDescent="0.25">
      <c r="A24" s="1558" t="str">
        <f>+'INSUMOS '!B50</f>
        <v>LÁMINA GALVANIZADA C 16 E=1,50 mm</v>
      </c>
      <c r="B24" s="1559"/>
      <c r="C24" s="1559"/>
      <c r="D24" s="1559"/>
      <c r="E24" s="1559"/>
      <c r="F24" s="1560"/>
      <c r="G24" s="29" t="s">
        <v>12</v>
      </c>
      <c r="H24" s="35">
        <v>1</v>
      </c>
      <c r="I24" s="33">
        <f>+IFERROR(VLOOKUP(A24,'INSUMOS '!$B$2:$AP$167,'INSUMOS '!$AO$2+1,FALSE),0)</f>
        <v>85500.55</v>
      </c>
      <c r="J24" s="33">
        <f>ROUND(I24*H24,0)</f>
        <v>85501</v>
      </c>
      <c r="M24" s="83" t="s">
        <v>155</v>
      </c>
      <c r="N24" s="84"/>
      <c r="O24" s="84">
        <f>28.74/6</f>
        <v>4.79</v>
      </c>
    </row>
    <row r="25" spans="1:15" ht="13.9" customHeight="1" x14ac:dyDescent="0.25">
      <c r="A25" s="1558" t="str">
        <f>+'INSUMOS '!B63</f>
        <v xml:space="preserve">PAPEL REFLECTIVO TIPO XI </v>
      </c>
      <c r="B25" s="1559"/>
      <c r="C25" s="1559"/>
      <c r="D25" s="1559"/>
      <c r="E25" s="1559"/>
      <c r="F25" s="1560"/>
      <c r="G25" s="29" t="s">
        <v>12</v>
      </c>
      <c r="H25" s="35">
        <f>+H24</f>
        <v>1</v>
      </c>
      <c r="I25" s="33">
        <f>+IFERROR(VLOOKUP(A25,'INSUMOS '!$B$2:$AP$167,'INSUMOS '!$AO$2+1,FALSE),0)</f>
        <v>153328.9296</v>
      </c>
      <c r="J25" s="33">
        <f t="shared" ref="J25:J31" si="3">ROUND(I25*H25,0)</f>
        <v>153329</v>
      </c>
      <c r="K25" s="36"/>
      <c r="M25" s="83" t="s">
        <v>156</v>
      </c>
      <c r="N25" s="84"/>
      <c r="O25" s="84">
        <f>ROUND(14.71/6,2)</f>
        <v>2.4500000000000002</v>
      </c>
    </row>
    <row r="26" spans="1:15" ht="13.9" customHeight="1" x14ac:dyDescent="0.25">
      <c r="A26" s="1558" t="str">
        <f>+'INSUMOS '!B102</f>
        <v>TORNILLOS 5/16 ZINCADO  (INCLUYE TUERCA DE SEGURIDAD Y ARANDELA)</v>
      </c>
      <c r="B26" s="1559"/>
      <c r="C26" s="1559"/>
      <c r="D26" s="1559"/>
      <c r="E26" s="1559"/>
      <c r="F26" s="1560"/>
      <c r="G26" s="29" t="s">
        <v>266</v>
      </c>
      <c r="H26" s="35">
        <v>4</v>
      </c>
      <c r="I26" s="33">
        <f>+IFERROR(VLOOKUP(A26,'INSUMOS '!$B$2:$AP$167,'INSUMOS '!$AO$2+1,FALSE),0)</f>
        <v>1747.5</v>
      </c>
      <c r="J26" s="33">
        <f t="shared" si="3"/>
        <v>6990</v>
      </c>
      <c r="M26" s="83" t="s">
        <v>2905</v>
      </c>
      <c r="N26" s="84"/>
      <c r="O26" s="84">
        <v>2.77</v>
      </c>
    </row>
    <row r="27" spans="1:15" ht="13.9" customHeight="1" x14ac:dyDescent="0.25">
      <c r="A27" s="1558" t="str">
        <f>+'INSUMOS '!B88</f>
        <v>REMACHES CON ARANDELAS DE 4*10 MM</v>
      </c>
      <c r="B27" s="1559"/>
      <c r="C27" s="1559"/>
      <c r="D27" s="1559"/>
      <c r="E27" s="1559"/>
      <c r="F27" s="1560"/>
      <c r="G27" s="29" t="s">
        <v>266</v>
      </c>
      <c r="H27" s="35">
        <v>4</v>
      </c>
      <c r="I27" s="33">
        <f>+IFERROR(VLOOKUP(A27,'INSUMOS '!$B$2:$AP$167,'INSUMOS '!$AO$2+1,FALSE),0)</f>
        <v>170</v>
      </c>
      <c r="J27" s="33">
        <f>ROUND(I27*H27,0)</f>
        <v>680</v>
      </c>
      <c r="M27" s="85" t="s">
        <v>2907</v>
      </c>
      <c r="N27" s="85">
        <f>95.47/2</f>
        <v>47.734999999999999</v>
      </c>
      <c r="O27" s="85"/>
    </row>
    <row r="28" spans="1:15" ht="13.9" customHeight="1" x14ac:dyDescent="0.25">
      <c r="A28" s="1558" t="str">
        <f>+'INSUMOS '!B73</f>
        <v>PINTURA ELECTROSTÁTICA M2</v>
      </c>
      <c r="B28" s="1559"/>
      <c r="C28" s="1559"/>
      <c r="D28" s="1559"/>
      <c r="E28" s="1559"/>
      <c r="F28" s="1560"/>
      <c r="G28" s="29" t="s">
        <v>6</v>
      </c>
      <c r="H28" s="35">
        <f>H24/3</f>
        <v>0.33333333333333331</v>
      </c>
      <c r="I28" s="33">
        <f>+IFERROR(VLOOKUP(A28,'INSUMOS '!$B$2:$AP$167,'INSUMOS '!$AO$2+1,FALSE),0)</f>
        <v>26664.5</v>
      </c>
      <c r="J28" s="33">
        <f t="shared" si="3"/>
        <v>8888</v>
      </c>
    </row>
    <row r="29" spans="1:15" ht="13.9" customHeight="1" x14ac:dyDescent="0.25">
      <c r="A29" s="1558" t="str">
        <f>+'INSUMOS '!B100</f>
        <v>TINTA TRASLUCIDA PARA CINTA REFLECTIVA</v>
      </c>
      <c r="B29" s="1559"/>
      <c r="C29" s="1559"/>
      <c r="D29" s="1559"/>
      <c r="E29" s="1559"/>
      <c r="F29" s="1560"/>
      <c r="G29" s="29" t="s">
        <v>157</v>
      </c>
      <c r="H29" s="35">
        <f>H25/3.44*0.22</f>
        <v>6.3953488372093026E-2</v>
      </c>
      <c r="I29" s="33">
        <f>+IFERROR(VLOOKUP(A29,'INSUMOS '!$B$2:$AP$167,'INSUMOS '!$AO$2+1,FALSE),0)</f>
        <v>440873.77039999992</v>
      </c>
      <c r="J29" s="33">
        <f t="shared" si="3"/>
        <v>28195</v>
      </c>
    </row>
    <row r="30" spans="1:15" ht="13.9" customHeight="1" x14ac:dyDescent="0.25">
      <c r="A30" s="1558" t="str">
        <f>+'INSUMOS '!B85</f>
        <v>PROTECTOR ANTIGRAFFITI</v>
      </c>
      <c r="B30" s="1559"/>
      <c r="C30" s="1559"/>
      <c r="D30" s="1559"/>
      <c r="E30" s="1559"/>
      <c r="F30" s="1560"/>
      <c r="G30" s="29" t="s">
        <v>12</v>
      </c>
      <c r="H30" s="35">
        <v>1</v>
      </c>
      <c r="I30" s="33">
        <f>+IFERROR(VLOOKUP(A30,'INSUMOS '!$B$2:$AP$167,'INSUMOS '!$AO$2+1,FALSE),0)</f>
        <v>65174.538799999995</v>
      </c>
      <c r="J30" s="33">
        <f>ROUND(I30*H30,0)</f>
        <v>65175</v>
      </c>
    </row>
    <row r="31" spans="1:15" ht="13.9" customHeight="1" x14ac:dyDescent="0.25">
      <c r="A31" s="1558" t="str">
        <f>+'INSUMOS '!B94</f>
        <v xml:space="preserve">STEAKER 15 X 15 CM EN PAPEL REFLECTIVO TIPO IV O SUPERIOR </v>
      </c>
      <c r="B31" s="1559"/>
      <c r="C31" s="1559"/>
      <c r="D31" s="1559"/>
      <c r="E31" s="1559"/>
      <c r="F31" s="1560"/>
      <c r="G31" s="29" t="s">
        <v>266</v>
      </c>
      <c r="H31" s="35">
        <v>1</v>
      </c>
      <c r="I31" s="33">
        <f>+IFERROR(VLOOKUP(A31,'INSUMOS '!$B$2:$AP$167,'INSUMOS '!$AO$2+1,FALSE),0)</f>
        <v>2500</v>
      </c>
      <c r="J31" s="33">
        <f t="shared" si="3"/>
        <v>2500</v>
      </c>
    </row>
    <row r="32" spans="1:15" ht="13.9" customHeight="1" x14ac:dyDescent="0.25">
      <c r="A32" s="1568" t="str">
        <f>+'INSUMOS '!B21</f>
        <v>BROCA PARA METAL 1/2"</v>
      </c>
      <c r="B32" s="1569"/>
      <c r="C32" s="1569"/>
      <c r="D32" s="1569"/>
      <c r="E32" s="1569"/>
      <c r="F32" s="1570"/>
      <c r="G32" s="29" t="s">
        <v>266</v>
      </c>
      <c r="H32" s="35">
        <v>0.01</v>
      </c>
      <c r="I32" s="33">
        <f>+IFERROR(VLOOKUP(A32,'INSUMOS '!$B$2:$AP$167,'INSUMOS '!$AO$2+1,FALSE),0)</f>
        <v>31741.5</v>
      </c>
      <c r="J32" s="33">
        <f>ROUND(I32*H32,0)</f>
        <v>317</v>
      </c>
    </row>
    <row r="33" spans="1:10" ht="13.9" customHeight="1" x14ac:dyDescent="0.25">
      <c r="A33" s="1558" t="s">
        <v>333</v>
      </c>
      <c r="B33" s="1559"/>
      <c r="C33" s="1559"/>
      <c r="D33" s="1559"/>
      <c r="E33" s="1559"/>
      <c r="F33" s="1560"/>
      <c r="G33" s="29"/>
      <c r="I33" s="74"/>
      <c r="J33" s="33"/>
    </row>
    <row r="34" spans="1:10" ht="13.9" customHeight="1" x14ac:dyDescent="0.25">
      <c r="A34" s="1558"/>
      <c r="B34" s="1559"/>
      <c r="C34" s="1559"/>
      <c r="D34" s="1559"/>
      <c r="E34" s="1559"/>
      <c r="F34" s="1560"/>
      <c r="G34" s="29"/>
      <c r="H34" s="35"/>
      <c r="I34" s="33"/>
      <c r="J34" s="33"/>
    </row>
    <row r="35" spans="1:10" ht="13.9" customHeight="1" x14ac:dyDescent="0.25">
      <c r="A35" s="1558"/>
      <c r="B35" s="1559"/>
      <c r="C35" s="1559"/>
      <c r="D35" s="1559"/>
      <c r="E35" s="1559"/>
      <c r="F35" s="1560"/>
      <c r="G35" s="29"/>
      <c r="H35" s="35"/>
      <c r="I35" s="33"/>
      <c r="J35" s="33"/>
    </row>
    <row r="36" spans="1:10" ht="13.9" customHeight="1" x14ac:dyDescent="0.25">
      <c r="A36" s="20"/>
      <c r="B36" s="20"/>
      <c r="C36" s="20"/>
      <c r="D36" s="20"/>
      <c r="E36" s="20"/>
      <c r="G36" s="20"/>
      <c r="H36" s="20"/>
      <c r="I36" s="30" t="s">
        <v>257</v>
      </c>
      <c r="J36" s="34">
        <f>+IFERROR(SUM(J24:J35),0)</f>
        <v>351575</v>
      </c>
    </row>
    <row r="37" spans="1:10" ht="13.9" customHeight="1" x14ac:dyDescent="0.25"/>
    <row r="38" spans="1:10" ht="13.9" customHeight="1" x14ac:dyDescent="0.25">
      <c r="A38" s="1561" t="s">
        <v>267</v>
      </c>
      <c r="B38" s="1561"/>
      <c r="C38" s="1561"/>
      <c r="D38" s="1561"/>
      <c r="E38" s="1561"/>
      <c r="F38" s="1561"/>
      <c r="G38" s="1561"/>
      <c r="H38" s="1561"/>
      <c r="I38" s="27"/>
    </row>
    <row r="39" spans="1:10" ht="13.9" customHeight="1" x14ac:dyDescent="0.25">
      <c r="A39" s="1562" t="s">
        <v>268</v>
      </c>
      <c r="B39" s="1563"/>
      <c r="C39" s="1563"/>
      <c r="D39" s="1563"/>
      <c r="E39" s="1563"/>
      <c r="F39" s="1564"/>
      <c r="G39" s="38" t="s">
        <v>255</v>
      </c>
      <c r="H39" s="28" t="s">
        <v>269</v>
      </c>
      <c r="I39" s="28" t="s">
        <v>256</v>
      </c>
      <c r="J39" s="28" t="s">
        <v>257</v>
      </c>
    </row>
    <row r="40" spans="1:10" ht="13.9" customHeight="1" x14ac:dyDescent="0.25">
      <c r="A40" s="1558" t="str">
        <f>+'EQUIPOS '!B6</f>
        <v>CAMION INCLUYE CONDUCTOR</v>
      </c>
      <c r="B40" s="1559"/>
      <c r="C40" s="1559"/>
      <c r="D40" s="1559"/>
      <c r="E40" s="1559"/>
      <c r="F40" s="1560"/>
      <c r="G40" s="1481">
        <f>(11.68/1000)/12</f>
        <v>9.7333333333333332E-4</v>
      </c>
      <c r="H40" s="31">
        <f>+IFERROR(VLOOKUP(A40,'EQUIPOS '!$B$3:$N$55,12,FALSE),0)</f>
        <v>611492.5</v>
      </c>
      <c r="I40" s="33">
        <f>IFERROR(H40*G40,0)</f>
        <v>595.18603333333328</v>
      </c>
      <c r="J40" s="33">
        <f>ROUND(I40,0)</f>
        <v>595</v>
      </c>
    </row>
    <row r="41" spans="1:10" ht="13.9" customHeight="1" x14ac:dyDescent="0.25">
      <c r="A41" s="1558"/>
      <c r="B41" s="1559"/>
      <c r="C41" s="1559"/>
      <c r="D41" s="1559"/>
      <c r="E41" s="1559"/>
      <c r="F41" s="1560"/>
      <c r="G41" s="29"/>
      <c r="H41" s="31"/>
      <c r="I41" s="33"/>
      <c r="J41" s="33"/>
    </row>
    <row r="42" spans="1:10" ht="13.9" customHeight="1" x14ac:dyDescent="0.25">
      <c r="A42" s="1558"/>
      <c r="B42" s="1559"/>
      <c r="C42" s="1559"/>
      <c r="D42" s="1559"/>
      <c r="E42" s="1559"/>
      <c r="F42" s="1560"/>
      <c r="G42" s="29"/>
      <c r="H42" s="33"/>
      <c r="I42" s="33"/>
      <c r="J42" s="33"/>
    </row>
    <row r="43" spans="1:10" ht="13.9" customHeight="1" x14ac:dyDescent="0.25">
      <c r="G43" s="39"/>
      <c r="H43" s="39"/>
      <c r="I43" s="30" t="s">
        <v>257</v>
      </c>
      <c r="J43" s="33">
        <f>+SUM(J40:J42)</f>
        <v>595</v>
      </c>
    </row>
    <row r="44" spans="1:10" ht="13.9" customHeight="1" x14ac:dyDescent="0.25"/>
    <row r="45" spans="1:10" ht="13.9" customHeight="1" x14ac:dyDescent="0.25">
      <c r="A45" s="1561" t="s">
        <v>270</v>
      </c>
      <c r="B45" s="1561"/>
      <c r="C45" s="1561"/>
      <c r="D45" s="1561"/>
      <c r="E45" s="1561"/>
      <c r="F45" s="1561"/>
      <c r="G45" s="1561"/>
      <c r="H45" s="1561"/>
      <c r="I45" s="27"/>
    </row>
    <row r="46" spans="1:10" s="39" customFormat="1" ht="13.9" customHeight="1" x14ac:dyDescent="0.25">
      <c r="A46" s="1562" t="s">
        <v>271</v>
      </c>
      <c r="B46" s="1563"/>
      <c r="C46" s="1563"/>
      <c r="D46" s="1564"/>
      <c r="E46" s="28" t="s">
        <v>272</v>
      </c>
      <c r="F46" s="28" t="s">
        <v>264</v>
      </c>
      <c r="G46" s="28" t="s">
        <v>273</v>
      </c>
      <c r="H46" s="28" t="s">
        <v>255</v>
      </c>
      <c r="I46" s="28" t="s">
        <v>256</v>
      </c>
      <c r="J46" s="28" t="s">
        <v>257</v>
      </c>
    </row>
    <row r="47" spans="1:10" s="39" customFormat="1" ht="13.9" customHeight="1" x14ac:dyDescent="0.25">
      <c r="A47" s="1558" t="str">
        <f>+PERSONAL!B40</f>
        <v xml:space="preserve">SOLDADOR </v>
      </c>
      <c r="B47" s="1559"/>
      <c r="C47" s="1559"/>
      <c r="D47" s="1560"/>
      <c r="E47" s="40">
        <f>+IFERROR(VLOOKUP(A47,PERSONAL!$B$3:$E$56,4,FALSE),0)</f>
        <v>110344</v>
      </c>
      <c r="F47" s="30">
        <v>1</v>
      </c>
      <c r="G47" s="40">
        <f t="shared" ref="G47:G50" si="4">+E47*F47</f>
        <v>110344</v>
      </c>
      <c r="H47" s="35">
        <f>+H11*8</f>
        <v>400</v>
      </c>
      <c r="I47" s="33">
        <f>IFERROR(ROUND(G47/H47,0),0)</f>
        <v>276</v>
      </c>
      <c r="J47" s="33">
        <f>+I47</f>
        <v>276</v>
      </c>
    </row>
    <row r="48" spans="1:10" s="39" customFormat="1" ht="13.9" customHeight="1" x14ac:dyDescent="0.25">
      <c r="A48" s="1558" t="str">
        <f>+PERSONAL!B27</f>
        <v xml:space="preserve">PINTOR </v>
      </c>
      <c r="B48" s="1559"/>
      <c r="C48" s="1559"/>
      <c r="D48" s="1560"/>
      <c r="E48" s="40">
        <f>+IFERROR(VLOOKUP(A48,PERSONAL!$B$3:$E$56,4,FALSE),0)</f>
        <v>100054</v>
      </c>
      <c r="F48" s="30">
        <v>1</v>
      </c>
      <c r="G48" s="40">
        <f t="shared" si="4"/>
        <v>100054</v>
      </c>
      <c r="H48" s="35">
        <f>+H47</f>
        <v>400</v>
      </c>
      <c r="I48" s="33">
        <f t="shared" ref="I48:I50" si="5">IFERROR(ROUND(G48/H48,0),0)</f>
        <v>250</v>
      </c>
      <c r="J48" s="33">
        <f t="shared" ref="J48:J50" si="6">+I48</f>
        <v>250</v>
      </c>
    </row>
    <row r="49" spans="1:10" s="39" customFormat="1" ht="13.9" customHeight="1" x14ac:dyDescent="0.25">
      <c r="A49" s="1558" t="str">
        <f>+PERSONAL!B5</f>
        <v xml:space="preserve">AYUDANTE </v>
      </c>
      <c r="B49" s="1559"/>
      <c r="C49" s="1559"/>
      <c r="D49" s="1560"/>
      <c r="E49" s="40">
        <f>+IFERROR(VLOOKUP(A49,PERSONAL!$B$3:$E$56,4,FALSE),0)</f>
        <v>72476</v>
      </c>
      <c r="F49" s="30">
        <v>2</v>
      </c>
      <c r="G49" s="40">
        <f t="shared" si="4"/>
        <v>144952</v>
      </c>
      <c r="H49" s="35">
        <f>+H48</f>
        <v>400</v>
      </c>
      <c r="I49" s="33">
        <f t="shared" si="5"/>
        <v>362</v>
      </c>
      <c r="J49" s="33">
        <f t="shared" si="6"/>
        <v>362</v>
      </c>
    </row>
    <row r="50" spans="1:10" s="39" customFormat="1" ht="13.9" customHeight="1" x14ac:dyDescent="0.25">
      <c r="A50" s="1558" t="str">
        <f>+PERSONAL!B7</f>
        <v>COLAMINADOR</v>
      </c>
      <c r="B50" s="1559"/>
      <c r="C50" s="1559"/>
      <c r="D50" s="1560"/>
      <c r="E50" s="40">
        <f>+IFERROR(VLOOKUP(A50,PERSONAL!$B$3:$E$56,4,FALSE),0)</f>
        <v>91275</v>
      </c>
      <c r="F50" s="30">
        <v>1</v>
      </c>
      <c r="G50" s="40">
        <f t="shared" si="4"/>
        <v>91275</v>
      </c>
      <c r="H50" s="35">
        <f>+H49</f>
        <v>400</v>
      </c>
      <c r="I50" s="33">
        <f t="shared" si="5"/>
        <v>228</v>
      </c>
      <c r="J50" s="33">
        <f t="shared" si="6"/>
        <v>228</v>
      </c>
    </row>
    <row r="51" spans="1:10" s="39" customFormat="1" ht="13.9" customHeight="1" x14ac:dyDescent="0.25">
      <c r="A51" s="1558" t="str">
        <f>+PERSONAL!B3</f>
        <v>AUXILIAR DE TRÁFICO</v>
      </c>
      <c r="B51" s="1559"/>
      <c r="C51" s="1559"/>
      <c r="D51" s="1560"/>
      <c r="E51" s="40">
        <f>+IFERROR(VLOOKUP(A51,PERSONAL!$B$3:$E$56,4,FALSE),0)</f>
        <v>89632</v>
      </c>
      <c r="F51" s="30">
        <v>1</v>
      </c>
      <c r="G51" s="40">
        <f>+E51*F51</f>
        <v>89632</v>
      </c>
      <c r="H51" s="35">
        <f>+H50</f>
        <v>400</v>
      </c>
      <c r="I51" s="33">
        <f>IFERROR(ROUND(G51/H51,0),0)</f>
        <v>224</v>
      </c>
      <c r="J51" s="33">
        <f>+I51</f>
        <v>224</v>
      </c>
    </row>
    <row r="52" spans="1:10" s="39" customFormat="1" ht="13.9" customHeight="1" x14ac:dyDescent="0.25">
      <c r="A52" s="1558"/>
      <c r="B52" s="1559"/>
      <c r="C52" s="1559"/>
      <c r="D52" s="1560"/>
      <c r="E52" s="40"/>
      <c r="F52" s="30"/>
      <c r="G52" s="40"/>
      <c r="H52" s="35"/>
      <c r="I52" s="33"/>
      <c r="J52" s="33"/>
    </row>
    <row r="53" spans="1:10" s="39" customFormat="1" ht="13.9" customHeight="1" x14ac:dyDescent="0.25">
      <c r="A53" s="1558"/>
      <c r="B53" s="1559"/>
      <c r="C53" s="1559"/>
      <c r="D53" s="1560"/>
      <c r="E53" s="40"/>
      <c r="F53" s="30"/>
      <c r="G53" s="40"/>
      <c r="H53" s="35"/>
      <c r="I53" s="33"/>
      <c r="J53" s="33"/>
    </row>
    <row r="54" spans="1:10" s="39" customFormat="1" ht="13.9" customHeight="1" x14ac:dyDescent="0.25">
      <c r="A54" s="1558"/>
      <c r="B54" s="1559"/>
      <c r="C54" s="1559"/>
      <c r="D54" s="1560"/>
      <c r="E54" s="40"/>
      <c r="F54" s="30"/>
      <c r="G54" s="40"/>
      <c r="H54" s="35"/>
      <c r="I54" s="33"/>
      <c r="J54" s="33"/>
    </row>
    <row r="55" spans="1:10" ht="13.9" customHeight="1" x14ac:dyDescent="0.25">
      <c r="A55" s="20"/>
      <c r="B55" s="20"/>
      <c r="C55" s="20"/>
      <c r="E55" s="20"/>
      <c r="F55" s="20"/>
      <c r="G55" s="20"/>
      <c r="H55" s="20"/>
      <c r="I55" s="30" t="s">
        <v>257</v>
      </c>
      <c r="J55" s="34">
        <f>+SUM(J47:J54)</f>
        <v>1340</v>
      </c>
    </row>
    <row r="56" spans="1:10" ht="13.9" customHeight="1" x14ac:dyDescent="0.25"/>
    <row r="57" spans="1:10" ht="13.9" customHeight="1" x14ac:dyDescent="0.25">
      <c r="E57" s="41" t="s">
        <v>276</v>
      </c>
      <c r="I57" s="1411">
        <f>+J55+J43+J36+J20</f>
        <v>355400</v>
      </c>
      <c r="J57" s="43"/>
    </row>
    <row r="58" spans="1:10" ht="13.9" customHeight="1" x14ac:dyDescent="0.25"/>
    <row r="59" spans="1:10" ht="14.1" customHeight="1" x14ac:dyDescent="0.25"/>
  </sheetData>
  <mergeCells count="46">
    <mergeCell ref="A1:J1"/>
    <mergeCell ref="A2:J2"/>
    <mergeCell ref="A4:J4"/>
    <mergeCell ref="A6:B6"/>
    <mergeCell ref="A7:B7"/>
    <mergeCell ref="C7:J7"/>
    <mergeCell ref="A24:F24"/>
    <mergeCell ref="A9:H9"/>
    <mergeCell ref="A10:D10"/>
    <mergeCell ref="A11:D11"/>
    <mergeCell ref="A12:D12"/>
    <mergeCell ref="A13:D13"/>
    <mergeCell ref="A14:D14"/>
    <mergeCell ref="A18:D18"/>
    <mergeCell ref="A15:D15"/>
    <mergeCell ref="A19:D19"/>
    <mergeCell ref="A22:H22"/>
    <mergeCell ref="A23:F23"/>
    <mergeCell ref="A17:D17"/>
    <mergeCell ref="A16:D16"/>
    <mergeCell ref="A54:D54"/>
    <mergeCell ref="A48:D48"/>
    <mergeCell ref="A49:D49"/>
    <mergeCell ref="A40:F40"/>
    <mergeCell ref="A25:F25"/>
    <mergeCell ref="A26:F26"/>
    <mergeCell ref="A28:F28"/>
    <mergeCell ref="A29:F29"/>
    <mergeCell ref="A31:F31"/>
    <mergeCell ref="A32:F32"/>
    <mergeCell ref="A33:F33"/>
    <mergeCell ref="A34:F34"/>
    <mergeCell ref="A35:F35"/>
    <mergeCell ref="A38:H38"/>
    <mergeCell ref="A39:F39"/>
    <mergeCell ref="A47:D47"/>
    <mergeCell ref="A50:D50"/>
    <mergeCell ref="A51:D51"/>
    <mergeCell ref="A52:D52"/>
    <mergeCell ref="A53:D53"/>
    <mergeCell ref="A27:F27"/>
    <mergeCell ref="A41:F41"/>
    <mergeCell ref="A42:F42"/>
    <mergeCell ref="A45:H45"/>
    <mergeCell ref="A46:D46"/>
    <mergeCell ref="A30:F30"/>
  </mergeCells>
  <pageMargins left="0.70866141732283472" right="0.70866141732283472" top="0.78740157480314965" bottom="0.78740157480314965" header="0.31496062992125984" footer="0.31496062992125984"/>
  <pageSetup scale="85" orientation="portrait" r:id="rId1"/>
  <ignoredErrors>
    <ignoredError sqref="I18" formula="1"/>
  </ignoredErrors>
  <drawing r:id="rId2"/>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400-000000000000}">
  <sheetPr codeName="Hoja123">
    <tabColor theme="1"/>
  </sheetPr>
  <dimension ref="A1:Z59"/>
  <sheetViews>
    <sheetView topLeftCell="A31" workbookViewId="0">
      <selection activeCell="G37" sqref="G37"/>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5.7109375" style="19" customWidth="1"/>
    <col min="11" max="11" width="11.42578125" style="19"/>
    <col min="12" max="12" width="15.5703125" style="19" hidden="1" customWidth="1"/>
    <col min="13" max="13" width="16.28515625" style="19" hidden="1" customWidth="1"/>
    <col min="14" max="26" width="11.42578125" style="19" hidden="1" customWidth="1"/>
    <col min="27" max="27" width="17.140625" style="19" bestFit="1" customWidth="1"/>
    <col min="28" max="16384" width="11.42578125" style="19"/>
  </cols>
  <sheetData>
    <row r="1" spans="1:26" ht="29.25" customHeight="1" x14ac:dyDescent="0.25">
      <c r="A1" s="1574" t="s">
        <v>244</v>
      </c>
      <c r="B1" s="1575"/>
      <c r="C1" s="1575"/>
      <c r="D1" s="1575"/>
      <c r="E1" s="1575"/>
      <c r="F1" s="1575"/>
      <c r="G1" s="1575"/>
      <c r="H1" s="1575"/>
      <c r="I1" s="1575"/>
      <c r="J1" s="1575"/>
    </row>
    <row r="2" spans="1:26" ht="15" customHeight="1" x14ac:dyDescent="0.25">
      <c r="A2" s="1576" t="s">
        <v>245</v>
      </c>
      <c r="B2" s="1576"/>
      <c r="C2" s="1576"/>
      <c r="D2" s="1576"/>
      <c r="E2" s="1576"/>
      <c r="F2" s="1576"/>
      <c r="G2" s="1576"/>
      <c r="H2" s="1576"/>
      <c r="I2" s="1576"/>
      <c r="J2" s="1576"/>
    </row>
    <row r="4" spans="1:26" s="20" customFormat="1" ht="9.9499999999999993" customHeight="1" thickBot="1" x14ac:dyDescent="0.3">
      <c r="A4" s="1577" t="s">
        <v>246</v>
      </c>
      <c r="B4" s="1577"/>
      <c r="C4" s="1577"/>
      <c r="D4" s="1577"/>
      <c r="E4" s="1577"/>
      <c r="F4" s="1577"/>
      <c r="G4" s="1577"/>
      <c r="H4" s="1577"/>
      <c r="I4" s="1577"/>
      <c r="J4" s="1577"/>
    </row>
    <row r="5" spans="1:26" s="20" customFormat="1" ht="9.9499999999999993" customHeight="1" x14ac:dyDescent="0.2">
      <c r="B5" s="21"/>
      <c r="C5" s="21"/>
      <c r="D5" s="21"/>
      <c r="E5" s="21"/>
      <c r="F5" s="21"/>
      <c r="G5" s="21"/>
      <c r="S5" s="138" t="s">
        <v>3035</v>
      </c>
      <c r="T5" s="139"/>
      <c r="U5" s="140"/>
      <c r="V5" s="141"/>
      <c r="W5" s="142"/>
      <c r="X5" s="143"/>
      <c r="Y5" s="144"/>
      <c r="Z5" s="145"/>
    </row>
    <row r="6" spans="1:26" x14ac:dyDescent="0.2">
      <c r="A6" s="1558" t="s">
        <v>247</v>
      </c>
      <c r="B6" s="1560"/>
      <c r="C6" s="45"/>
      <c r="D6" s="8"/>
      <c r="E6" s="8"/>
      <c r="F6" s="8"/>
      <c r="G6" s="8"/>
      <c r="H6" s="46"/>
      <c r="I6" s="29" t="s">
        <v>248</v>
      </c>
      <c r="J6" s="26" t="s">
        <v>3062</v>
      </c>
      <c r="S6" s="1761" t="s">
        <v>3036</v>
      </c>
      <c r="T6" s="1762"/>
      <c r="U6" s="1763"/>
      <c r="V6" s="146"/>
      <c r="W6" s="147" t="s">
        <v>245</v>
      </c>
      <c r="X6" s="148"/>
      <c r="Y6" s="149"/>
      <c r="Z6" s="150"/>
    </row>
    <row r="7" spans="1:26" ht="35.1" customHeight="1" thickBot="1" x14ac:dyDescent="0.25">
      <c r="A7" s="1568" t="s">
        <v>249</v>
      </c>
      <c r="B7" s="1570"/>
      <c r="C7" s="1578" t="s">
        <v>3061</v>
      </c>
      <c r="D7" s="1579"/>
      <c r="E7" s="1579"/>
      <c r="F7" s="1579"/>
      <c r="G7" s="1579"/>
      <c r="H7" s="1579"/>
      <c r="I7" s="1579"/>
      <c r="J7" s="1580"/>
      <c r="S7" s="1764"/>
      <c r="T7" s="1765"/>
      <c r="U7" s="1766"/>
      <c r="V7" s="1764"/>
      <c r="W7" s="1765"/>
      <c r="X7" s="1765"/>
      <c r="Y7" s="1765"/>
      <c r="Z7" s="1766"/>
    </row>
    <row r="8" spans="1:26" x14ac:dyDescent="0.2">
      <c r="S8" s="151"/>
      <c r="T8" s="146"/>
      <c r="U8" s="146"/>
      <c r="V8" s="146"/>
      <c r="W8" s="152"/>
      <c r="X8" s="148"/>
      <c r="Y8" s="149"/>
      <c r="Z8" s="146"/>
    </row>
    <row r="9" spans="1:26" s="27" customFormat="1" ht="12.75" x14ac:dyDescent="0.2">
      <c r="A9" s="1561" t="s">
        <v>250</v>
      </c>
      <c r="B9" s="1561"/>
      <c r="C9" s="1561"/>
      <c r="D9" s="1561"/>
      <c r="E9" s="1561"/>
      <c r="F9" s="1561"/>
      <c r="G9" s="1561"/>
      <c r="H9" s="1561"/>
      <c r="S9" s="151"/>
      <c r="T9" s="153"/>
      <c r="U9" s="146"/>
      <c r="V9" s="154"/>
      <c r="W9" s="155" t="s">
        <v>3037</v>
      </c>
      <c r="X9" s="156"/>
      <c r="Y9" s="157"/>
      <c r="Z9" s="146"/>
    </row>
    <row r="10" spans="1:26" s="20" customFormat="1" ht="13.9" customHeight="1" x14ac:dyDescent="0.2">
      <c r="A10" s="1562" t="s">
        <v>251</v>
      </c>
      <c r="B10" s="1563"/>
      <c r="C10" s="1563"/>
      <c r="D10" s="1564"/>
      <c r="E10" s="28" t="s">
        <v>252</v>
      </c>
      <c r="F10" s="28" t="s">
        <v>253</v>
      </c>
      <c r="G10" s="28" t="s">
        <v>254</v>
      </c>
      <c r="H10" s="28" t="s">
        <v>255</v>
      </c>
      <c r="I10" s="28" t="s">
        <v>256</v>
      </c>
      <c r="J10" s="28" t="s">
        <v>257</v>
      </c>
      <c r="S10" s="1772" t="s">
        <v>3038</v>
      </c>
      <c r="T10" s="1772"/>
      <c r="U10" s="1772"/>
      <c r="V10" s="1772"/>
      <c r="W10" s="1772"/>
      <c r="X10" s="156"/>
      <c r="Y10" s="157"/>
      <c r="Z10" s="146"/>
    </row>
    <row r="11" spans="1:26" s="20" customFormat="1" ht="13.9" customHeight="1" x14ac:dyDescent="0.2">
      <c r="A11" s="1558" t="str">
        <f>+'EQUIPOS '!B33</f>
        <v>HERRAMIENTA MENOR</v>
      </c>
      <c r="B11" s="1559"/>
      <c r="C11" s="1559"/>
      <c r="D11" s="1560"/>
      <c r="E11" s="29" t="s">
        <v>259</v>
      </c>
      <c r="F11" s="79">
        <v>0.01</v>
      </c>
      <c r="G11" s="31"/>
      <c r="H11" s="129">
        <f>+F11*J49</f>
        <v>3966.92</v>
      </c>
      <c r="I11" s="33">
        <f>IFERROR((G11/H11),"")</f>
        <v>0</v>
      </c>
      <c r="J11" s="33">
        <f>+ROUND(H11,0)</f>
        <v>3967</v>
      </c>
      <c r="S11" s="153"/>
      <c r="T11" s="153"/>
      <c r="U11" s="146"/>
      <c r="V11" s="153"/>
      <c r="W11" s="155"/>
      <c r="X11" s="158"/>
      <c r="Y11" s="159" t="s">
        <v>3039</v>
      </c>
      <c r="Z11" s="146"/>
    </row>
    <row r="12" spans="1:26" s="20" customFormat="1" ht="13.9" customHeight="1" thickBot="1" x14ac:dyDescent="0.25">
      <c r="A12" s="1558"/>
      <c r="B12" s="1559"/>
      <c r="C12" s="1559"/>
      <c r="D12" s="1560"/>
      <c r="E12" s="29"/>
      <c r="F12" s="30"/>
      <c r="G12" s="31"/>
      <c r="H12" s="30"/>
      <c r="I12" s="33"/>
      <c r="J12" s="33"/>
      <c r="S12" s="153" t="s">
        <v>3040</v>
      </c>
      <c r="T12" s="153"/>
      <c r="U12" s="146"/>
      <c r="V12" s="146"/>
      <c r="W12" s="152"/>
      <c r="X12" s="148"/>
      <c r="Y12" s="149"/>
      <c r="Z12" s="146"/>
    </row>
    <row r="13" spans="1:26" s="20" customFormat="1" ht="13.9" customHeight="1" x14ac:dyDescent="0.2">
      <c r="A13" s="1558"/>
      <c r="B13" s="1559"/>
      <c r="C13" s="1559"/>
      <c r="D13" s="1560"/>
      <c r="E13" s="29"/>
      <c r="F13" s="30"/>
      <c r="G13" s="31"/>
      <c r="H13" s="30"/>
      <c r="I13" s="33"/>
      <c r="J13" s="33"/>
      <c r="S13" s="1773" t="s">
        <v>251</v>
      </c>
      <c r="T13" s="1774"/>
      <c r="U13" s="1775"/>
      <c r="V13" s="160" t="s">
        <v>253</v>
      </c>
      <c r="W13" s="161" t="s">
        <v>254</v>
      </c>
      <c r="X13" s="162" t="s">
        <v>255</v>
      </c>
      <c r="Y13" s="163" t="s">
        <v>3041</v>
      </c>
      <c r="Z13" s="164"/>
    </row>
    <row r="14" spans="1:26" s="20" customFormat="1" ht="13.9" customHeight="1" x14ac:dyDescent="0.2">
      <c r="A14" s="1558"/>
      <c r="B14" s="1559"/>
      <c r="C14" s="1559"/>
      <c r="D14" s="1560"/>
      <c r="E14" s="29"/>
      <c r="F14" s="30"/>
      <c r="G14" s="31"/>
      <c r="H14" s="30"/>
      <c r="I14" s="33"/>
      <c r="J14" s="33"/>
      <c r="S14" s="1767" t="s">
        <v>3019</v>
      </c>
      <c r="T14" s="1768"/>
      <c r="U14" s="1769"/>
      <c r="V14" s="165"/>
      <c r="W14" s="166"/>
      <c r="X14" s="136"/>
      <c r="Y14" s="167">
        <f>+Z49*0.105</f>
        <v>0</v>
      </c>
      <c r="Z14" s="168"/>
    </row>
    <row r="15" spans="1:26" s="20" customFormat="1" ht="13.9" customHeight="1" x14ac:dyDescent="0.2">
      <c r="A15" s="1558"/>
      <c r="B15" s="1559"/>
      <c r="C15" s="1559"/>
      <c r="D15" s="1560"/>
      <c r="E15" s="29"/>
      <c r="F15" s="30"/>
      <c r="G15" s="31"/>
      <c r="H15" s="30"/>
      <c r="I15" s="33"/>
      <c r="J15" s="33"/>
      <c r="S15" s="1767"/>
      <c r="T15" s="1768"/>
      <c r="U15" s="1769"/>
      <c r="V15" s="165"/>
      <c r="W15" s="166"/>
      <c r="X15" s="136"/>
      <c r="Y15" s="167"/>
      <c r="Z15" s="168"/>
    </row>
    <row r="16" spans="1:26" s="20" customFormat="1" ht="13.9" customHeight="1" x14ac:dyDescent="0.2">
      <c r="A16" s="1558"/>
      <c r="B16" s="1559"/>
      <c r="C16" s="1559"/>
      <c r="D16" s="1560"/>
      <c r="E16" s="29"/>
      <c r="F16" s="30" t="str">
        <f>IFERROR(VLOOKUP(A16,'[10]EQUIPOS TRANSPOR SALARIO'!$A$3:$G$42,2,FALSE),"")</f>
        <v/>
      </c>
      <c r="G16" s="31" t="str">
        <f>IFERROR(VLOOKUP(A16,'[10]EQUIPOS TRANSPOR SALARIO'!$A$3:$G$42,6,FALSE),"")</f>
        <v/>
      </c>
      <c r="H16" s="30"/>
      <c r="I16" s="33"/>
      <c r="J16" s="33"/>
      <c r="S16" s="1767"/>
      <c r="T16" s="1768"/>
      <c r="U16" s="1769"/>
      <c r="V16" s="165"/>
      <c r="W16" s="166"/>
      <c r="X16" s="136"/>
      <c r="Y16" s="167"/>
      <c r="Z16" s="168"/>
    </row>
    <row r="17" spans="1:26" s="20" customFormat="1" ht="13.9" customHeight="1" x14ac:dyDescent="0.2">
      <c r="A17" s="1558"/>
      <c r="B17" s="1559"/>
      <c r="C17" s="1559"/>
      <c r="D17" s="1560"/>
      <c r="E17" s="29"/>
      <c r="F17" s="30" t="str">
        <f>IFERROR(VLOOKUP(A17,'[10]EQUIPOS TRANSPOR SALARIO'!$A$3:$G$42,2,FALSE),"")</f>
        <v/>
      </c>
      <c r="G17" s="31" t="str">
        <f>IFERROR(VLOOKUP(A17,'[10]EQUIPOS TRANSPOR SALARIO'!$A$3:$G$42,6,FALSE),"")</f>
        <v/>
      </c>
      <c r="H17" s="30"/>
      <c r="I17" s="33"/>
      <c r="J17" s="33"/>
      <c r="S17" s="1767"/>
      <c r="T17" s="1768"/>
      <c r="U17" s="1769"/>
      <c r="V17" s="165"/>
      <c r="W17" s="166"/>
      <c r="X17" s="136"/>
      <c r="Y17" s="167"/>
      <c r="Z17" s="168"/>
    </row>
    <row r="18" spans="1:26" s="20" customFormat="1" ht="13.9" customHeight="1" x14ac:dyDescent="0.2">
      <c r="I18" s="30" t="s">
        <v>257</v>
      </c>
      <c r="J18" s="34">
        <f>+SUM(J11:J17)</f>
        <v>3967</v>
      </c>
      <c r="S18" s="1767"/>
      <c r="T18" s="1768"/>
      <c r="U18" s="1769"/>
      <c r="V18" s="165"/>
      <c r="W18" s="166"/>
      <c r="X18" s="136"/>
      <c r="Y18" s="167"/>
      <c r="Z18" s="168"/>
    </row>
    <row r="19" spans="1:26" s="20" customFormat="1" ht="13.9" customHeight="1" x14ac:dyDescent="0.2">
      <c r="S19" s="1767"/>
      <c r="T19" s="1768"/>
      <c r="U19" s="1769"/>
      <c r="V19" s="165"/>
      <c r="W19" s="166"/>
      <c r="X19" s="136"/>
      <c r="Y19" s="167"/>
      <c r="Z19" s="168"/>
    </row>
    <row r="20" spans="1:26" s="20" customFormat="1" ht="13.9" customHeight="1" thickBot="1" x14ac:dyDescent="0.25">
      <c r="A20" s="1561" t="s">
        <v>263</v>
      </c>
      <c r="B20" s="1561"/>
      <c r="C20" s="1561"/>
      <c r="D20" s="1561"/>
      <c r="E20" s="1561"/>
      <c r="F20" s="1561"/>
      <c r="G20" s="1561"/>
      <c r="H20" s="1561"/>
      <c r="I20" s="27"/>
      <c r="S20" s="1776"/>
      <c r="T20" s="1777"/>
      <c r="U20" s="1778"/>
      <c r="V20" s="165"/>
      <c r="W20" s="166"/>
      <c r="X20" s="136"/>
      <c r="Y20" s="167"/>
      <c r="Z20" s="169"/>
    </row>
    <row r="21" spans="1:26" ht="13.9" customHeight="1" thickBot="1" x14ac:dyDescent="0.25">
      <c r="A21" s="1565" t="s">
        <v>251</v>
      </c>
      <c r="B21" s="1566"/>
      <c r="C21" s="1566"/>
      <c r="D21" s="1566"/>
      <c r="E21" s="1566"/>
      <c r="F21" s="1567"/>
      <c r="G21" s="28" t="s">
        <v>252</v>
      </c>
      <c r="H21" s="28" t="s">
        <v>264</v>
      </c>
      <c r="I21" s="28" t="s">
        <v>256</v>
      </c>
      <c r="J21" s="28" t="s">
        <v>257</v>
      </c>
      <c r="S21" s="146"/>
      <c r="T21" s="146"/>
      <c r="U21" s="146"/>
      <c r="V21" s="146"/>
      <c r="W21" s="152"/>
      <c r="X21" s="148"/>
      <c r="Y21" s="170" t="s">
        <v>3042</v>
      </c>
      <c r="Z21" s="171">
        <f>SUM(Y14:Y20)</f>
        <v>0</v>
      </c>
    </row>
    <row r="22" spans="1:26" ht="30.75" customHeight="1" thickBot="1" x14ac:dyDescent="0.25">
      <c r="A22" s="1568" t="str">
        <f>+'INSUMOS '!B26</f>
        <v>CINTA DE SEÑALIZACIÓN CALIBRE MÍNIMO DE 2 MM, ANCHO 10 CM X 500M DE LONGITUD</v>
      </c>
      <c r="B22" s="1569"/>
      <c r="C22" s="1569"/>
      <c r="D22" s="1569"/>
      <c r="E22" s="1569"/>
      <c r="F22" s="1570"/>
      <c r="G22" s="29" t="str">
        <f>+VLOOKUP(A22,'INSUMOS '!$B$3:$C$115,2,FALSE)</f>
        <v>M</v>
      </c>
      <c r="H22" s="35">
        <f>3*17</f>
        <v>51</v>
      </c>
      <c r="I22" s="33">
        <f>+IFERROR(VLOOKUP(A22,'INSUMOS '!$B$2:$AP$167,'INSUMOS '!$AO$2+1,FALSE),0)</f>
        <v>73.8</v>
      </c>
      <c r="J22" s="33">
        <f>ROUND(I22*H22,0)</f>
        <v>3764</v>
      </c>
      <c r="O22" s="19" t="s">
        <v>13</v>
      </c>
      <c r="P22" s="19">
        <v>16554</v>
      </c>
      <c r="Q22" s="19">
        <v>1.4681625E-3</v>
      </c>
      <c r="R22" s="19">
        <v>24.303962025000001</v>
      </c>
      <c r="S22" s="153" t="s">
        <v>3043</v>
      </c>
      <c r="T22" s="153"/>
      <c r="U22" s="146"/>
      <c r="V22" s="146"/>
      <c r="W22" s="152"/>
      <c r="X22" s="148"/>
      <c r="Y22" s="149"/>
      <c r="Z22" s="146"/>
    </row>
    <row r="23" spans="1:26" ht="13.9" customHeight="1" x14ac:dyDescent="0.2">
      <c r="A23" s="1558" t="str">
        <f>+'INSUMOS '!B111</f>
        <v xml:space="preserve">DELINEADOR TUBULAR COMPUESTO LASTRADO </v>
      </c>
      <c r="B23" s="1559"/>
      <c r="C23" s="1559"/>
      <c r="D23" s="1559"/>
      <c r="E23" s="1559"/>
      <c r="F23" s="1560"/>
      <c r="G23" s="29" t="str">
        <f>+VLOOKUP(A23,'INSUMOS '!$B$3:$C$115,2,FALSE)</f>
        <v>UN</v>
      </c>
      <c r="H23" s="35">
        <v>8</v>
      </c>
      <c r="I23" s="33">
        <f>+IFERROR(VLOOKUP(A23,'INSUMOS '!$B$2:$AP$167,'INSUMOS '!$AO$2+1,FALSE),0)</f>
        <v>49523</v>
      </c>
      <c r="J23" s="33">
        <f t="shared" ref="J23:J26" si="0">ROUND(I23*H23,0)</f>
        <v>396184</v>
      </c>
      <c r="O23" s="19" t="s">
        <v>10</v>
      </c>
      <c r="P23" s="19">
        <v>46308.781575000001</v>
      </c>
      <c r="Q23" s="19">
        <v>0.13333333333333333</v>
      </c>
      <c r="R23" s="19">
        <v>6174.5042100000001</v>
      </c>
      <c r="S23" s="1779" t="s">
        <v>251</v>
      </c>
      <c r="T23" s="1780"/>
      <c r="U23" s="1781"/>
      <c r="V23" s="172" t="s">
        <v>252</v>
      </c>
      <c r="W23" s="173" t="s">
        <v>3044</v>
      </c>
      <c r="X23" s="174" t="s">
        <v>264</v>
      </c>
      <c r="Y23" s="175" t="s">
        <v>3041</v>
      </c>
      <c r="Z23" s="164"/>
    </row>
    <row r="24" spans="1:26" ht="13.9" customHeight="1" x14ac:dyDescent="0.2">
      <c r="A24" s="1558" t="str">
        <f>+'INSUMOS '!B112</f>
        <v xml:space="preserve">KIT SEÑALES TEMPORAL PORTATILES </v>
      </c>
      <c r="B24" s="1559"/>
      <c r="C24" s="1559"/>
      <c r="D24" s="1559"/>
      <c r="E24" s="1559"/>
      <c r="F24" s="1560"/>
      <c r="G24" s="29" t="str">
        <f>+VLOOKUP(A24,'INSUMOS '!$B$3:$C$115,2,FALSE)</f>
        <v>UN</v>
      </c>
      <c r="H24" s="1081">
        <v>2</v>
      </c>
      <c r="I24" s="33">
        <f>+IFERROR(VLOOKUP(A24,'INSUMOS '!$B$2:$AP$167,'INSUMOS '!$AO$2+1,FALSE),0)</f>
        <v>6960000</v>
      </c>
      <c r="J24" s="33">
        <f t="shared" si="0"/>
        <v>13920000</v>
      </c>
      <c r="O24" s="19" t="s">
        <v>10</v>
      </c>
      <c r="P24" s="19">
        <v>186665.955525</v>
      </c>
      <c r="Q24" s="19">
        <v>8.3333333333333332E-3</v>
      </c>
      <c r="R24" s="19">
        <v>1555.549629375</v>
      </c>
      <c r="S24" s="1767" t="s">
        <v>3027</v>
      </c>
      <c r="T24" s="1768"/>
      <c r="U24" s="1769"/>
      <c r="V24" s="165" t="s">
        <v>13</v>
      </c>
      <c r="W24" s="136">
        <v>16554</v>
      </c>
      <c r="X24" s="176">
        <f>700*1.19*1.0575/500/1200</f>
        <v>1.4681625E-3</v>
      </c>
      <c r="Y24" s="177">
        <f>+X24*W24</f>
        <v>24.303962025000001</v>
      </c>
      <c r="Z24" s="150"/>
    </row>
    <row r="25" spans="1:26" ht="13.9" customHeight="1" x14ac:dyDescent="0.25">
      <c r="A25" s="1558" t="str">
        <f>+'INSUMOS '!B113</f>
        <v>DISPOSITIVOS LUMINOSOS  TIPO FLASHER PARA CONO</v>
      </c>
      <c r="B25" s="1559"/>
      <c r="C25" s="1559"/>
      <c r="D25" s="1559"/>
      <c r="E25" s="1559"/>
      <c r="F25" s="1560"/>
      <c r="G25" s="29" t="str">
        <f>+VLOOKUP(A25,'INSUMOS '!$B$3:$C$115,2,FALSE)</f>
        <v>UN</v>
      </c>
      <c r="H25" s="1081">
        <v>4</v>
      </c>
      <c r="I25" s="33">
        <f>+IFERROR(VLOOKUP(A25,'INSUMOS '!$B$2:$AP$167,'INSUMOS '!$AO$2+1,FALSE),0)</f>
        <v>41650</v>
      </c>
      <c r="J25" s="33">
        <f t="shared" si="0"/>
        <v>166600</v>
      </c>
      <c r="O25" s="19" t="s">
        <v>10</v>
      </c>
      <c r="P25" s="19">
        <v>25000</v>
      </c>
      <c r="Q25" s="19">
        <v>0.01</v>
      </c>
      <c r="R25" s="19">
        <v>250</v>
      </c>
      <c r="S25" s="1767" t="s">
        <v>3028</v>
      </c>
      <c r="T25" s="1768"/>
      <c r="U25" s="1769"/>
      <c r="V25" s="165" t="s">
        <v>10</v>
      </c>
      <c r="W25" s="178">
        <f>36799*1.19*1.0575</f>
        <v>46308.781575000001</v>
      </c>
      <c r="X25" s="88">
        <f>160/1200</f>
        <v>0.13333333333333333</v>
      </c>
      <c r="Y25" s="177">
        <f>+X25*W25</f>
        <v>6174.5042100000001</v>
      </c>
      <c r="Z25" s="150"/>
    </row>
    <row r="26" spans="1:26" ht="13.9" customHeight="1" x14ac:dyDescent="0.2">
      <c r="A26" s="1558" t="str">
        <f>+'INSUMOS '!B57</f>
        <v>MALETÍN PLÁSTICO DE BASE MÍNIMA DE 50 CM POR 200 CM Y ALTURA MÍNIMA DE 100 CM, CON MATERIAL REFLECTIVO COLOR BLANCO TIPO IV O SUPERIOR.</v>
      </c>
      <c r="B26" s="1559"/>
      <c r="C26" s="1559"/>
      <c r="D26" s="1559"/>
      <c r="E26" s="1559"/>
      <c r="F26" s="1560"/>
      <c r="G26" s="29" t="str">
        <f>+VLOOKUP(A26,'INSUMOS '!$B$3:$C$115,2,FALSE)</f>
        <v>UN</v>
      </c>
      <c r="H26" s="35">
        <v>2</v>
      </c>
      <c r="I26" s="33">
        <f>+IFERROR(VLOOKUP(A26,'INSUMOS '!$B$2:$AP$167,'INSUMOS '!$AO$2+1,FALSE),0)</f>
        <v>413093.5</v>
      </c>
      <c r="J26" s="33">
        <f t="shared" si="0"/>
        <v>826187</v>
      </c>
      <c r="S26" s="1767" t="s">
        <v>3029</v>
      </c>
      <c r="T26" s="1768"/>
      <c r="U26" s="1769"/>
      <c r="V26" s="165" t="s">
        <v>10</v>
      </c>
      <c r="W26" s="178">
        <f>148333*1.19*1.0575</f>
        <v>186665.955525</v>
      </c>
      <c r="X26" s="136">
        <v>8.3333333333333332E-3</v>
      </c>
      <c r="Y26" s="177">
        <f>+X26*W26</f>
        <v>1555.549629375</v>
      </c>
      <c r="Z26" s="150"/>
    </row>
    <row r="27" spans="1:26" ht="13.9" customHeight="1" x14ac:dyDescent="0.2">
      <c r="A27" s="1558"/>
      <c r="B27" s="1559"/>
      <c r="C27" s="1559"/>
      <c r="D27" s="1559"/>
      <c r="E27" s="1559"/>
      <c r="F27" s="1560"/>
      <c r="G27" s="29"/>
      <c r="H27" s="35"/>
      <c r="I27" s="33"/>
      <c r="J27" s="33"/>
      <c r="S27" s="1782" t="s">
        <v>3030</v>
      </c>
      <c r="T27" s="1783"/>
      <c r="U27" s="1784"/>
      <c r="V27" s="165" t="s">
        <v>10</v>
      </c>
      <c r="W27" s="179">
        <v>25000</v>
      </c>
      <c r="X27" s="136">
        <v>0.01</v>
      </c>
      <c r="Y27" s="177">
        <f>+X27*W27</f>
        <v>250</v>
      </c>
      <c r="Z27" s="150"/>
    </row>
    <row r="28" spans="1:26" ht="13.9" customHeight="1" x14ac:dyDescent="0.2">
      <c r="A28" s="1558"/>
      <c r="B28" s="1559"/>
      <c r="C28" s="1559"/>
      <c r="D28" s="1559"/>
      <c r="E28" s="1559"/>
      <c r="F28" s="1560"/>
      <c r="G28" s="29"/>
      <c r="H28" s="35"/>
      <c r="I28" s="33"/>
      <c r="J28" s="33"/>
      <c r="S28" s="1767"/>
      <c r="T28" s="1768"/>
      <c r="U28" s="1769"/>
      <c r="V28" s="165"/>
      <c r="W28" s="178"/>
      <c r="X28" s="136"/>
      <c r="Y28" s="177"/>
      <c r="Z28" s="150"/>
    </row>
    <row r="29" spans="1:26" ht="13.9" customHeight="1" x14ac:dyDescent="0.2">
      <c r="A29" s="1558"/>
      <c r="B29" s="1559"/>
      <c r="C29" s="1559"/>
      <c r="D29" s="1559"/>
      <c r="E29" s="1559"/>
      <c r="F29" s="1560"/>
      <c r="G29" s="29"/>
      <c r="H29" s="37"/>
      <c r="I29" s="33"/>
      <c r="J29" s="33"/>
      <c r="S29" s="1767"/>
      <c r="T29" s="1768"/>
      <c r="U29" s="1769"/>
      <c r="V29" s="165"/>
      <c r="W29" s="178"/>
      <c r="X29" s="136"/>
      <c r="Y29" s="177"/>
      <c r="Z29" s="150"/>
    </row>
    <row r="30" spans="1:26" ht="13.9" customHeight="1" x14ac:dyDescent="0.2">
      <c r="A30" s="1558"/>
      <c r="B30" s="1559"/>
      <c r="C30" s="1559"/>
      <c r="D30" s="1559"/>
      <c r="E30" s="1559"/>
      <c r="F30" s="1560"/>
      <c r="G30" s="29"/>
      <c r="H30" s="35"/>
      <c r="I30" s="33"/>
      <c r="J30" s="33"/>
      <c r="S30" s="1767"/>
      <c r="T30" s="1768"/>
      <c r="U30" s="1769"/>
      <c r="V30" s="165"/>
      <c r="W30" s="178"/>
      <c r="X30" s="136"/>
      <c r="Y30" s="177"/>
      <c r="Z30" s="150"/>
    </row>
    <row r="31" spans="1:26" ht="13.9" customHeight="1" x14ac:dyDescent="0.2">
      <c r="A31" s="1558"/>
      <c r="B31" s="1559"/>
      <c r="C31" s="1559"/>
      <c r="D31" s="1559"/>
      <c r="E31" s="1559"/>
      <c r="F31" s="1560"/>
      <c r="G31" s="29"/>
      <c r="H31" s="35"/>
      <c r="I31" s="33"/>
      <c r="J31" s="33"/>
      <c r="S31" s="1767"/>
      <c r="T31" s="1768"/>
      <c r="U31" s="1769"/>
      <c r="V31" s="165"/>
      <c r="W31" s="178"/>
      <c r="X31" s="136"/>
      <c r="Y31" s="177"/>
      <c r="Z31" s="150"/>
    </row>
    <row r="32" spans="1:26" ht="13.9" customHeight="1" x14ac:dyDescent="0.2">
      <c r="A32" s="20"/>
      <c r="B32" s="20"/>
      <c r="C32" s="20"/>
      <c r="D32" s="20"/>
      <c r="E32" s="20"/>
      <c r="G32" s="20"/>
      <c r="H32" s="20"/>
      <c r="I32" s="30" t="s">
        <v>257</v>
      </c>
      <c r="J32" s="34">
        <f>+SUM(J22:J31)</f>
        <v>15312735</v>
      </c>
      <c r="S32" s="1767"/>
      <c r="T32" s="1768"/>
      <c r="U32" s="1769"/>
      <c r="V32" s="165"/>
      <c r="W32" s="135"/>
      <c r="X32" s="136"/>
      <c r="Y32" s="177">
        <f>X32*W32</f>
        <v>0</v>
      </c>
      <c r="Z32" s="150"/>
    </row>
    <row r="33" spans="1:26" ht="13.9" customHeight="1" thickBot="1" x14ac:dyDescent="0.25">
      <c r="S33" s="1767"/>
      <c r="T33" s="1768"/>
      <c r="U33" s="1769"/>
      <c r="V33" s="165"/>
      <c r="W33" s="135"/>
      <c r="X33" s="136"/>
      <c r="Y33" s="177">
        <f>X33*W33</f>
        <v>0</v>
      </c>
      <c r="Z33" s="150"/>
    </row>
    <row r="34" spans="1:26" ht="13.9" customHeight="1" thickBot="1" x14ac:dyDescent="0.25">
      <c r="A34" s="1561" t="s">
        <v>267</v>
      </c>
      <c r="B34" s="1561"/>
      <c r="C34" s="1561"/>
      <c r="D34" s="1561"/>
      <c r="E34" s="1561"/>
      <c r="F34" s="1561"/>
      <c r="G34" s="1561"/>
      <c r="H34" s="1561"/>
      <c r="I34" s="27"/>
      <c r="S34" s="146"/>
      <c r="T34" s="146"/>
      <c r="U34" s="146"/>
      <c r="V34" s="146"/>
      <c r="W34" s="152"/>
      <c r="X34" s="148"/>
      <c r="Y34" s="170" t="s">
        <v>3042</v>
      </c>
      <c r="Z34" s="171">
        <f>SUM(Y24:Y33)</f>
        <v>8004.3578014000004</v>
      </c>
    </row>
    <row r="35" spans="1:26" ht="13.9" customHeight="1" x14ac:dyDescent="0.2">
      <c r="A35" s="1562" t="s">
        <v>268</v>
      </c>
      <c r="B35" s="1563"/>
      <c r="C35" s="1563"/>
      <c r="D35" s="1563"/>
      <c r="E35" s="1563"/>
      <c r="F35" s="1564"/>
      <c r="G35" s="38" t="s">
        <v>255</v>
      </c>
      <c r="H35" s="28" t="s">
        <v>269</v>
      </c>
      <c r="I35" s="28" t="s">
        <v>256</v>
      </c>
      <c r="J35" s="28" t="s">
        <v>257</v>
      </c>
      <c r="S35" s="146"/>
      <c r="T35" s="146"/>
      <c r="U35" s="146"/>
      <c r="V35" s="154"/>
      <c r="W35" s="180"/>
      <c r="X35" s="156"/>
      <c r="Y35" s="157"/>
      <c r="Z35" s="154"/>
    </row>
    <row r="36" spans="1:26" ht="13.9" customHeight="1" thickBot="1" x14ac:dyDescent="0.25">
      <c r="A36" s="1558" t="str">
        <f>+'EQUIPOS '!B6</f>
        <v>CAMION INCLUYE CONDUCTOR</v>
      </c>
      <c r="B36" s="1559"/>
      <c r="C36" s="1559"/>
      <c r="D36" s="1559"/>
      <c r="E36" s="1559"/>
      <c r="F36" s="1560"/>
      <c r="G36" s="29">
        <f>3/12</f>
        <v>0.25</v>
      </c>
      <c r="H36" s="33">
        <f>+IFERROR(VLOOKUP(A36,'EQUIPOS '!$B$3:$M$78,12,FALSE),0)</f>
        <v>611492.5</v>
      </c>
      <c r="I36" s="33">
        <f>IFERROR(H36*G36,0)</f>
        <v>152873.125</v>
      </c>
      <c r="J36" s="33">
        <f>ROUND(I36,0)</f>
        <v>152873</v>
      </c>
      <c r="L36" s="1770"/>
      <c r="M36" s="1771"/>
      <c r="N36" s="133"/>
      <c r="O36" s="134"/>
      <c r="P36" s="135"/>
      <c r="Q36" s="136"/>
      <c r="R36" s="137"/>
      <c r="S36" s="181" t="s">
        <v>3045</v>
      </c>
      <c r="T36" s="181"/>
      <c r="U36" s="182"/>
      <c r="V36" s="154"/>
      <c r="W36" s="180"/>
      <c r="X36" s="156"/>
      <c r="Y36" s="157"/>
      <c r="Z36" s="154"/>
    </row>
    <row r="37" spans="1:26" ht="13.9" customHeight="1" x14ac:dyDescent="0.2">
      <c r="A37" s="1558"/>
      <c r="B37" s="1559"/>
      <c r="C37" s="1559"/>
      <c r="D37" s="1559"/>
      <c r="E37" s="1559"/>
      <c r="F37" s="1560"/>
      <c r="G37" s="29"/>
      <c r="H37" s="33"/>
      <c r="I37" s="33"/>
      <c r="J37" s="33"/>
      <c r="S37" s="183" t="s">
        <v>3046</v>
      </c>
      <c r="T37" s="184"/>
      <c r="U37" s="185" t="s">
        <v>3047</v>
      </c>
      <c r="V37" s="160" t="s">
        <v>3048</v>
      </c>
      <c r="W37" s="186" t="s">
        <v>3049</v>
      </c>
      <c r="X37" s="162" t="s">
        <v>3050</v>
      </c>
      <c r="Y37" s="187" t="s">
        <v>3041</v>
      </c>
      <c r="Z37" s="164"/>
    </row>
    <row r="38" spans="1:26" ht="13.9" customHeight="1" x14ac:dyDescent="0.2">
      <c r="A38" s="1558"/>
      <c r="B38" s="1559"/>
      <c r="C38" s="1559"/>
      <c r="D38" s="1559"/>
      <c r="E38" s="1559"/>
      <c r="F38" s="1560"/>
      <c r="G38" s="29"/>
      <c r="H38" s="33"/>
      <c r="I38" s="33"/>
      <c r="J38" s="33"/>
      <c r="S38" s="1770" t="s">
        <v>3031</v>
      </c>
      <c r="T38" s="1771"/>
      <c r="U38" s="133" t="s">
        <v>3032</v>
      </c>
      <c r="V38" s="134">
        <v>10</v>
      </c>
      <c r="W38" s="135">
        <v>1000</v>
      </c>
      <c r="X38" s="136">
        <v>250000</v>
      </c>
      <c r="Y38" s="137">
        <f>+X38/W38</f>
        <v>250</v>
      </c>
      <c r="Z38" s="168"/>
    </row>
    <row r="39" spans="1:26" ht="13.9" customHeight="1" x14ac:dyDescent="0.2">
      <c r="G39" s="39"/>
      <c r="H39" s="39"/>
      <c r="I39" s="30" t="s">
        <v>257</v>
      </c>
      <c r="J39" s="33">
        <f>+SUM(J36:J38)</f>
        <v>152873</v>
      </c>
      <c r="S39" s="188"/>
      <c r="T39" s="189"/>
      <c r="U39" s="190"/>
      <c r="V39" s="165"/>
      <c r="W39" s="166"/>
      <c r="X39" s="136"/>
      <c r="Y39" s="137"/>
      <c r="Z39" s="168"/>
    </row>
    <row r="40" spans="1:26" ht="13.9" customHeight="1" thickBot="1" x14ac:dyDescent="0.25">
      <c r="S40" s="191"/>
      <c r="T40" s="192"/>
      <c r="U40" s="193"/>
      <c r="V40" s="194"/>
      <c r="W40" s="195"/>
      <c r="X40" s="196"/>
      <c r="Y40" s="197"/>
      <c r="Z40" s="168"/>
    </row>
    <row r="41" spans="1:26" ht="13.9" customHeight="1" thickBot="1" x14ac:dyDescent="0.25">
      <c r="A41" s="1561" t="s">
        <v>270</v>
      </c>
      <c r="B41" s="1561"/>
      <c r="C41" s="1561"/>
      <c r="D41" s="1561"/>
      <c r="E41" s="1561"/>
      <c r="F41" s="1561"/>
      <c r="G41" s="1561"/>
      <c r="H41" s="1561"/>
      <c r="I41" s="27"/>
      <c r="S41" s="146"/>
      <c r="T41" s="146"/>
      <c r="U41" s="146"/>
      <c r="V41" s="146"/>
      <c r="W41" s="152"/>
      <c r="X41" s="148"/>
      <c r="Y41" s="170" t="s">
        <v>3042</v>
      </c>
      <c r="Z41" s="171">
        <f>SUM(Y38:Y40)</f>
        <v>250</v>
      </c>
    </row>
    <row r="42" spans="1:26" s="39" customFormat="1" ht="13.9" customHeight="1" thickBot="1" x14ac:dyDescent="0.25">
      <c r="A42" s="1562" t="s">
        <v>271</v>
      </c>
      <c r="B42" s="1563"/>
      <c r="C42" s="1563"/>
      <c r="D42" s="1564"/>
      <c r="E42" s="28" t="s">
        <v>272</v>
      </c>
      <c r="F42" s="28" t="s">
        <v>264</v>
      </c>
      <c r="G42" s="28" t="s">
        <v>273</v>
      </c>
      <c r="H42" s="28" t="s">
        <v>255</v>
      </c>
      <c r="I42" s="28" t="s">
        <v>256</v>
      </c>
      <c r="J42" s="28" t="s">
        <v>257</v>
      </c>
      <c r="S42" s="153" t="s">
        <v>3051</v>
      </c>
      <c r="T42" s="153"/>
      <c r="U42" s="146"/>
      <c r="V42" s="154"/>
      <c r="W42" s="180"/>
      <c r="X42" s="156"/>
      <c r="Y42" s="157"/>
      <c r="Z42" s="154"/>
    </row>
    <row r="43" spans="1:26" s="39" customFormat="1" ht="13.9" customHeight="1" x14ac:dyDescent="0.2">
      <c r="A43" s="1558" t="str">
        <f>+PERSONAL!B5</f>
        <v xml:space="preserve">AYUDANTE </v>
      </c>
      <c r="B43" s="1559"/>
      <c r="C43" s="1559"/>
      <c r="D43" s="1560"/>
      <c r="E43" s="40">
        <f>+IFERROR(VLOOKUP(A43,PERSONAL!$B$3:$E$56,4,FALSE),0)</f>
        <v>72476</v>
      </c>
      <c r="F43" s="30">
        <v>3</v>
      </c>
      <c r="G43" s="40">
        <f>+E43*F43</f>
        <v>217428</v>
      </c>
      <c r="H43" s="35">
        <v>1</v>
      </c>
      <c r="I43" s="33">
        <f>IFERROR(ROUND(G43/H43,0),0)</f>
        <v>217428</v>
      </c>
      <c r="J43" s="33">
        <f>+I43</f>
        <v>217428</v>
      </c>
      <c r="M43" s="39">
        <v>1200</v>
      </c>
      <c r="N43" s="39" t="s">
        <v>3355</v>
      </c>
      <c r="S43" s="1785" t="s">
        <v>271</v>
      </c>
      <c r="T43" s="1771"/>
      <c r="U43" s="198" t="s">
        <v>272</v>
      </c>
      <c r="V43" s="198" t="s">
        <v>3052</v>
      </c>
      <c r="W43" s="199" t="s">
        <v>273</v>
      </c>
      <c r="X43" s="136" t="s">
        <v>255</v>
      </c>
      <c r="Y43" s="200" t="s">
        <v>3041</v>
      </c>
      <c r="Z43" s="201"/>
    </row>
    <row r="44" spans="1:26" s="39" customFormat="1" ht="13.9" customHeight="1" x14ac:dyDescent="0.2">
      <c r="A44" s="1558" t="str">
        <f>+PERSONAL!B3</f>
        <v>AUXILIAR DE TRÁFICO</v>
      </c>
      <c r="B44" s="1559"/>
      <c r="C44" s="1559"/>
      <c r="D44" s="1560"/>
      <c r="E44" s="40">
        <f>+IFERROR(VLOOKUP(A44,PERSONAL!$B$3:$E$56,4,FALSE),0)</f>
        <v>89632</v>
      </c>
      <c r="F44" s="30">
        <v>2</v>
      </c>
      <c r="G44" s="40">
        <f>+E44*F44</f>
        <v>179264</v>
      </c>
      <c r="H44" s="35">
        <f>+H43</f>
        <v>1</v>
      </c>
      <c r="I44" s="33">
        <f>IFERROR(ROUND(G44/H44,0),0)</f>
        <v>179264</v>
      </c>
      <c r="J44" s="33">
        <f>+I44</f>
        <v>179264</v>
      </c>
      <c r="M44" s="39">
        <f>20*6</f>
        <v>120</v>
      </c>
      <c r="N44" s="39" t="s">
        <v>3063</v>
      </c>
      <c r="S44" s="1786" t="s">
        <v>3033</v>
      </c>
      <c r="T44" s="1769"/>
      <c r="U44" s="202">
        <f>3*[22]JORNALES!U8</f>
        <v>0</v>
      </c>
      <c r="V44" s="203">
        <f>+[22]SEÑAL_TIPO_A!V58</f>
        <v>0</v>
      </c>
      <c r="W44" s="166">
        <f>+U44*V44</f>
        <v>0</v>
      </c>
      <c r="X44" s="136">
        <v>8</v>
      </c>
      <c r="Y44" s="204">
        <f>W44/X44</f>
        <v>0</v>
      </c>
      <c r="Z44" s="150"/>
    </row>
    <row r="45" spans="1:26" s="39" customFormat="1" ht="13.9" customHeight="1" x14ac:dyDescent="0.2">
      <c r="A45" s="1558"/>
      <c r="B45" s="1559"/>
      <c r="C45" s="1559"/>
      <c r="D45" s="1560"/>
      <c r="E45" s="40"/>
      <c r="F45" s="30"/>
      <c r="G45" s="40"/>
      <c r="H45" s="35"/>
      <c r="I45" s="33"/>
      <c r="J45" s="33"/>
      <c r="M45" s="39">
        <v>10</v>
      </c>
      <c r="N45" s="39" t="s">
        <v>3064</v>
      </c>
      <c r="S45" s="1785" t="s">
        <v>3034</v>
      </c>
      <c r="T45" s="1771"/>
      <c r="U45" s="202">
        <f>+[22]APU_IDU!X1211</f>
        <v>0</v>
      </c>
      <c r="V45" s="203">
        <f>+V44</f>
        <v>0</v>
      </c>
      <c r="W45" s="166">
        <f>+U45*V45</f>
        <v>0</v>
      </c>
      <c r="X45" s="136">
        <v>8</v>
      </c>
      <c r="Y45" s="204">
        <f>W45/X45</f>
        <v>0</v>
      </c>
      <c r="Z45" s="150"/>
    </row>
    <row r="46" spans="1:26" s="39" customFormat="1" ht="13.9" customHeight="1" x14ac:dyDescent="0.2">
      <c r="A46" s="1558"/>
      <c r="B46" s="1559"/>
      <c r="C46" s="1559"/>
      <c r="D46" s="1560"/>
      <c r="E46" s="40"/>
      <c r="F46" s="30"/>
      <c r="G46" s="40"/>
      <c r="H46" s="35"/>
      <c r="I46" s="33"/>
      <c r="J46" s="33"/>
      <c r="S46" s="1785"/>
      <c r="T46" s="1771"/>
      <c r="U46" s="202"/>
      <c r="V46" s="203"/>
      <c r="W46" s="166"/>
      <c r="X46" s="136"/>
      <c r="Y46" s="137"/>
      <c r="Z46" s="150"/>
    </row>
    <row r="47" spans="1:26" s="39" customFormat="1" ht="13.9" customHeight="1" x14ac:dyDescent="0.2">
      <c r="A47" s="1558"/>
      <c r="B47" s="1559"/>
      <c r="C47" s="1559"/>
      <c r="D47" s="1560"/>
      <c r="E47" s="40"/>
      <c r="F47" s="30"/>
      <c r="G47" s="40"/>
      <c r="H47" s="35"/>
      <c r="I47" s="33"/>
      <c r="J47" s="33"/>
      <c r="O47" s="39">
        <f>120/6</f>
        <v>20</v>
      </c>
      <c r="S47" s="1785"/>
      <c r="T47" s="1771"/>
      <c r="U47" s="202"/>
      <c r="V47" s="203"/>
      <c r="W47" s="166"/>
      <c r="X47" s="136"/>
      <c r="Y47" s="137"/>
      <c r="Z47" s="150"/>
    </row>
    <row r="48" spans="1:26" s="39" customFormat="1" ht="13.9" customHeight="1" thickBot="1" x14ac:dyDescent="0.25">
      <c r="A48" s="1558"/>
      <c r="B48" s="1559"/>
      <c r="C48" s="1559"/>
      <c r="D48" s="1560"/>
      <c r="E48" s="40"/>
      <c r="F48" s="30"/>
      <c r="G48" s="40"/>
      <c r="H48" s="35"/>
      <c r="I48" s="33"/>
      <c r="J48" s="33"/>
      <c r="S48" s="1785"/>
      <c r="T48" s="1771"/>
      <c r="U48" s="202"/>
      <c r="V48" s="203"/>
      <c r="W48" s="166"/>
      <c r="X48" s="136"/>
      <c r="Y48" s="137"/>
      <c r="Z48" s="150"/>
    </row>
    <row r="49" spans="1:26" ht="13.9" customHeight="1" thickBot="1" x14ac:dyDescent="0.25">
      <c r="A49" s="20"/>
      <c r="B49" s="20"/>
      <c r="C49" s="20"/>
      <c r="E49" s="20"/>
      <c r="F49" s="20"/>
      <c r="G49" s="20"/>
      <c r="H49" s="20"/>
      <c r="I49" s="30" t="s">
        <v>257</v>
      </c>
      <c r="J49" s="34">
        <f>+SUM(J43:J48)</f>
        <v>396692</v>
      </c>
      <c r="K49" s="1421"/>
      <c r="S49" s="146"/>
      <c r="T49" s="146"/>
      <c r="U49" s="146"/>
      <c r="V49" s="146"/>
      <c r="W49" s="152"/>
      <c r="X49" s="148"/>
      <c r="Y49" s="170" t="s">
        <v>3042</v>
      </c>
      <c r="Z49" s="171">
        <f>SUM(Y44:Y48)</f>
        <v>0</v>
      </c>
    </row>
    <row r="50" spans="1:26" ht="13.9" customHeight="1" thickBot="1" x14ac:dyDescent="0.25">
      <c r="M50" s="337">
        <f>+M43*I51</f>
        <v>15866400</v>
      </c>
      <c r="S50" s="146"/>
      <c r="T50" s="1785"/>
      <c r="U50" s="1771"/>
      <c r="V50" s="146"/>
      <c r="W50" s="152"/>
      <c r="X50" s="148"/>
      <c r="Y50" s="205"/>
      <c r="Z50" s="146"/>
    </row>
    <row r="51" spans="1:26" ht="13.9" customHeight="1" thickBot="1" x14ac:dyDescent="0.25">
      <c r="E51" s="41" t="s">
        <v>276</v>
      </c>
      <c r="I51" s="42">
        <f>+ROUND((J49+J39+J32+J18)/M43,0)</f>
        <v>13222</v>
      </c>
      <c r="J51" s="43"/>
      <c r="S51" s="146"/>
      <c r="T51" s="146"/>
      <c r="U51" s="146"/>
      <c r="V51" s="146"/>
      <c r="W51" s="206" t="s">
        <v>3053</v>
      </c>
      <c r="X51" s="148"/>
      <c r="Y51" s="207"/>
      <c r="Z51" s="208">
        <f>ROUND(Z21+Z34+Z41+Z49,0)</f>
        <v>8254</v>
      </c>
    </row>
    <row r="52" spans="1:26" ht="13.9" customHeight="1" thickBot="1" x14ac:dyDescent="0.25">
      <c r="L52" s="721"/>
      <c r="S52" s="153" t="s">
        <v>3054</v>
      </c>
      <c r="T52" s="153"/>
      <c r="U52" s="146"/>
      <c r="V52" s="154"/>
      <c r="W52" s="180"/>
      <c r="X52" s="156"/>
      <c r="Y52" s="157"/>
      <c r="Z52" s="154"/>
    </row>
    <row r="53" spans="1:26" ht="14.1" customHeight="1" x14ac:dyDescent="0.2">
      <c r="I53" s="44"/>
      <c r="J53" s="44"/>
      <c r="S53" s="209" t="s">
        <v>251</v>
      </c>
      <c r="T53" s="210"/>
      <c r="U53" s="210"/>
      <c r="V53" s="210"/>
      <c r="W53" s="211"/>
      <c r="X53" s="212" t="s">
        <v>3055</v>
      </c>
      <c r="Y53" s="213" t="s">
        <v>3056</v>
      </c>
      <c r="Z53" s="164"/>
    </row>
    <row r="54" spans="1:26" ht="14.1" customHeight="1" x14ac:dyDescent="0.2">
      <c r="I54" s="44"/>
      <c r="S54" s="188" t="s">
        <v>3057</v>
      </c>
      <c r="T54" s="189"/>
      <c r="U54" s="189"/>
      <c r="V54" s="189"/>
      <c r="W54" s="214"/>
      <c r="X54" s="215">
        <f>+[22]SEÑAL_TIPO_A!X50</f>
        <v>0</v>
      </c>
      <c r="Y54" s="216">
        <f>X54*Z51</f>
        <v>0</v>
      </c>
      <c r="Z54" s="217"/>
    </row>
    <row r="55" spans="1:26" x14ac:dyDescent="0.2">
      <c r="I55" s="44"/>
      <c r="S55" s="188" t="s">
        <v>3058</v>
      </c>
      <c r="T55" s="189"/>
      <c r="U55" s="189"/>
      <c r="V55" s="189"/>
      <c r="W55" s="214"/>
      <c r="X55" s="215">
        <f>+[22]SEÑAL_TIPO_A!X51</f>
        <v>0</v>
      </c>
      <c r="Y55" s="216">
        <f>X55*Z51</f>
        <v>0</v>
      </c>
      <c r="Z55" s="217"/>
    </row>
    <row r="56" spans="1:26" ht="15" thickBot="1" x14ac:dyDescent="0.25">
      <c r="S56" s="218" t="s">
        <v>216</v>
      </c>
      <c r="T56" s="182"/>
      <c r="U56" s="182"/>
      <c r="V56" s="182"/>
      <c r="W56" s="219"/>
      <c r="X56" s="220">
        <f>+[22]SEÑAL_TIPO_A!X52</f>
        <v>0</v>
      </c>
      <c r="Y56" s="221">
        <f>X56*Z51</f>
        <v>0</v>
      </c>
      <c r="Z56" s="169"/>
    </row>
    <row r="57" spans="1:26" ht="15" thickBot="1" x14ac:dyDescent="0.25">
      <c r="S57" s="146"/>
      <c r="T57" s="146"/>
      <c r="U57" s="146"/>
      <c r="V57" s="146"/>
      <c r="W57" s="152"/>
      <c r="X57" s="148"/>
      <c r="Y57" s="170" t="s">
        <v>3042</v>
      </c>
      <c r="Z57" s="222">
        <f>SUM(Y54:Y56)</f>
        <v>0</v>
      </c>
    </row>
    <row r="58" spans="1:26" ht="15" thickBot="1" x14ac:dyDescent="0.25">
      <c r="S58" s="146"/>
      <c r="T58" s="146"/>
      <c r="U58" s="146"/>
      <c r="V58" s="146"/>
      <c r="W58" s="152"/>
      <c r="X58" s="148"/>
      <c r="Y58" s="149"/>
      <c r="Z58" s="146"/>
    </row>
    <row r="59" spans="1:26" ht="15" thickBot="1" x14ac:dyDescent="0.25">
      <c r="S59" s="146"/>
      <c r="T59" s="146"/>
      <c r="U59" s="146"/>
      <c r="V59" s="223" t="s">
        <v>3059</v>
      </c>
      <c r="W59" s="224"/>
      <c r="X59" s="148"/>
      <c r="Y59" s="207"/>
      <c r="Z59" s="208">
        <f>ROUND((Z51+Z57),0)</f>
        <v>8254</v>
      </c>
    </row>
  </sheetData>
  <mergeCells count="72">
    <mergeCell ref="S48:T48"/>
    <mergeCell ref="T50:U50"/>
    <mergeCell ref="S38:T38"/>
    <mergeCell ref="S43:T43"/>
    <mergeCell ref="S44:T44"/>
    <mergeCell ref="S45:T45"/>
    <mergeCell ref="S46:T46"/>
    <mergeCell ref="S47:T47"/>
    <mergeCell ref="S33:U33"/>
    <mergeCell ref="S20:U20"/>
    <mergeCell ref="S23:U23"/>
    <mergeCell ref="S24:U24"/>
    <mergeCell ref="S25:U25"/>
    <mergeCell ref="S26:U26"/>
    <mergeCell ref="S27:U27"/>
    <mergeCell ref="S28:U28"/>
    <mergeCell ref="S29:U29"/>
    <mergeCell ref="S30:U30"/>
    <mergeCell ref="S31:U31"/>
    <mergeCell ref="S32:U32"/>
    <mergeCell ref="V7:Z7"/>
    <mergeCell ref="S10:W10"/>
    <mergeCell ref="S13:U13"/>
    <mergeCell ref="S14:U14"/>
    <mergeCell ref="S15:U15"/>
    <mergeCell ref="A45:D45"/>
    <mergeCell ref="A46:D46"/>
    <mergeCell ref="A47:D47"/>
    <mergeCell ref="A48:D48"/>
    <mergeCell ref="L36:M36"/>
    <mergeCell ref="A37:F37"/>
    <mergeCell ref="A38:F38"/>
    <mergeCell ref="A41:H41"/>
    <mergeCell ref="A42:D42"/>
    <mergeCell ref="A43:D43"/>
    <mergeCell ref="A44:D44"/>
    <mergeCell ref="S6:U6"/>
    <mergeCell ref="S7:U7"/>
    <mergeCell ref="S17:U17"/>
    <mergeCell ref="S18:U18"/>
    <mergeCell ref="S19:U19"/>
    <mergeCell ref="S16:U16"/>
    <mergeCell ref="A35:F35"/>
    <mergeCell ref="A36:F36"/>
    <mergeCell ref="A23:F23"/>
    <mergeCell ref="A24:F24"/>
    <mergeCell ref="A25:F25"/>
    <mergeCell ref="A26:F26"/>
    <mergeCell ref="A27:F27"/>
    <mergeCell ref="A28:F28"/>
    <mergeCell ref="A29:F29"/>
    <mergeCell ref="A30:F30"/>
    <mergeCell ref="A31:F31"/>
    <mergeCell ref="A34:H34"/>
    <mergeCell ref="A22:F22"/>
    <mergeCell ref="A9:H9"/>
    <mergeCell ref="A10:D10"/>
    <mergeCell ref="A11:D11"/>
    <mergeCell ref="A12:D12"/>
    <mergeCell ref="A13:D13"/>
    <mergeCell ref="A14:D14"/>
    <mergeCell ref="A15:D15"/>
    <mergeCell ref="A16:D16"/>
    <mergeCell ref="A17:D17"/>
    <mergeCell ref="A20:H20"/>
    <mergeCell ref="A21:F21"/>
    <mergeCell ref="A1:J1"/>
    <mergeCell ref="A2:J2"/>
    <mergeCell ref="A4:J4"/>
    <mergeCell ref="A6:B6"/>
    <mergeCell ref="A7:B7"/>
    <mergeCell ref="C7:J7"/>
  </mergeCells>
  <pageMargins left="0.70866141732283472" right="0.70866141732283472" top="0.78740157480314965" bottom="0.78740157480314965" header="0.31496062992125984" footer="0.31496062992125984"/>
  <pageSetup scale="85" orientation="portrait" r:id="rId1"/>
  <drawing r:id="rId2"/>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500-000000000000}">
  <sheetPr codeName="Hoja41">
    <tabColor rgb="FF00FF00"/>
  </sheetPr>
  <dimension ref="A1:J55"/>
  <sheetViews>
    <sheetView workbookViewId="0">
      <selection sqref="A1:J1"/>
    </sheetView>
  </sheetViews>
  <sheetFormatPr baseColWidth="10" defaultColWidth="11.42578125" defaultRowHeight="14.25" x14ac:dyDescent="0.25"/>
  <cols>
    <col min="1" max="1" width="3.7109375" style="19" customWidth="1"/>
    <col min="2" max="2" width="11.42578125" style="19"/>
    <col min="3" max="3" width="8.140625" style="19" customWidth="1"/>
    <col min="4" max="4" width="8.5703125" style="19" customWidth="1"/>
    <col min="5" max="5" width="12.28515625" style="19" customWidth="1"/>
    <col min="6" max="6" width="11.7109375" style="19" customWidth="1"/>
    <col min="7" max="8" width="11" style="19" bestFit="1" customWidth="1"/>
    <col min="9" max="9" width="12.85546875" style="19" bestFit="1" customWidth="1"/>
    <col min="10" max="10" width="12" style="19" customWidth="1"/>
    <col min="11" max="16384" width="11.42578125" style="19"/>
  </cols>
  <sheetData>
    <row r="1" spans="1:10" ht="29.25" customHeight="1" x14ac:dyDescent="0.25">
      <c r="A1" s="1574" t="s">
        <v>244</v>
      </c>
      <c r="B1" s="1575"/>
      <c r="C1" s="1575"/>
      <c r="D1" s="1575"/>
      <c r="E1" s="1575"/>
      <c r="F1" s="1575"/>
      <c r="G1" s="1575"/>
      <c r="H1" s="1575"/>
      <c r="I1" s="1575"/>
      <c r="J1" s="1575"/>
    </row>
    <row r="2" spans="1:10" ht="15" customHeight="1" x14ac:dyDescent="0.25">
      <c r="A2" s="1576" t="s">
        <v>245</v>
      </c>
      <c r="B2" s="1576"/>
      <c r="C2" s="1576"/>
      <c r="D2" s="1576"/>
      <c r="E2" s="1576"/>
      <c r="F2" s="1576"/>
      <c r="G2" s="1576"/>
      <c r="H2" s="1576"/>
      <c r="I2" s="1576"/>
      <c r="J2" s="1576"/>
    </row>
    <row r="4" spans="1:10" s="20" customFormat="1" ht="9.9499999999999993" customHeight="1" x14ac:dyDescent="0.25">
      <c r="A4" s="1577" t="s">
        <v>246</v>
      </c>
      <c r="B4" s="1577"/>
      <c r="C4" s="1577"/>
      <c r="D4" s="1577"/>
      <c r="E4" s="1577"/>
      <c r="F4" s="1577"/>
      <c r="G4" s="1577"/>
      <c r="H4" s="1577"/>
      <c r="I4" s="1577"/>
      <c r="J4" s="1577"/>
    </row>
    <row r="5" spans="1:10" s="20" customFormat="1" ht="9.9499999999999993" customHeight="1" x14ac:dyDescent="0.25">
      <c r="B5" s="21"/>
      <c r="C5" s="21"/>
      <c r="D5" s="21"/>
      <c r="E5" s="21"/>
      <c r="F5" s="21"/>
      <c r="G5" s="21"/>
    </row>
    <row r="6" spans="1:10" x14ac:dyDescent="0.25">
      <c r="A6" s="1558" t="s">
        <v>247</v>
      </c>
      <c r="B6" s="1560"/>
      <c r="C6" s="45">
        <v>37</v>
      </c>
      <c r="D6" s="8"/>
      <c r="E6" s="8"/>
      <c r="F6" s="8"/>
      <c r="G6" s="8"/>
      <c r="H6" s="46"/>
      <c r="I6" s="29" t="s">
        <v>248</v>
      </c>
      <c r="J6" s="26" t="str">
        <f>+VLOOKUP(C6,[10]Presupuesto!A3:C106,2,FALSE)</f>
        <v>M2</v>
      </c>
    </row>
    <row r="7" spans="1:10" ht="35.1" customHeight="1" x14ac:dyDescent="0.25">
      <c r="A7" s="1568" t="s">
        <v>249</v>
      </c>
      <c r="B7" s="1570"/>
      <c r="C7" s="1578" t="str">
        <f>+VLOOKUP(C6,[10]Presupuesto!A3:C106,3,FALSE)</f>
        <v>Suministro y aplicación imprimante transparente, espesor seco 2 mils y 19% de solidos por volumen</v>
      </c>
      <c r="D7" s="1579"/>
      <c r="E7" s="1579"/>
      <c r="F7" s="1579"/>
      <c r="G7" s="1579"/>
      <c r="H7" s="1579"/>
      <c r="I7" s="1579"/>
      <c r="J7" s="1580"/>
    </row>
    <row r="9" spans="1:10" s="27" customFormat="1" ht="12.75" x14ac:dyDescent="0.25">
      <c r="A9" s="1561" t="s">
        <v>250</v>
      </c>
      <c r="B9" s="1561"/>
      <c r="C9" s="1561"/>
      <c r="D9" s="1561"/>
      <c r="E9" s="1561"/>
      <c r="F9" s="1561"/>
      <c r="G9" s="1561"/>
      <c r="H9" s="1561"/>
    </row>
    <row r="10" spans="1:10" s="20" customFormat="1" ht="13.9" customHeight="1" x14ac:dyDescent="0.25">
      <c r="A10" s="1562" t="s">
        <v>251</v>
      </c>
      <c r="B10" s="1563"/>
      <c r="C10" s="1563"/>
      <c r="D10" s="1564"/>
      <c r="E10" s="28" t="s">
        <v>252</v>
      </c>
      <c r="F10" s="28" t="s">
        <v>253</v>
      </c>
      <c r="G10" s="28" t="s">
        <v>254</v>
      </c>
      <c r="H10" s="28" t="s">
        <v>255</v>
      </c>
      <c r="I10" s="28" t="s">
        <v>256</v>
      </c>
      <c r="J10" s="28" t="s">
        <v>257</v>
      </c>
    </row>
    <row r="11" spans="1:10" s="20" customFormat="1" ht="13.9" customHeight="1" x14ac:dyDescent="0.25">
      <c r="A11" s="1558" t="s">
        <v>285</v>
      </c>
      <c r="B11" s="1559"/>
      <c r="C11" s="1559"/>
      <c r="D11" s="1560"/>
      <c r="E11" s="29" t="s">
        <v>259</v>
      </c>
      <c r="F11" s="30" t="str">
        <f>IFERROR(VLOOKUP(A11,'[10]EQUIPOS TRANSPOR SALARIO'!$A$3:$G$42,2,FALSE),"")</f>
        <v>Airless</v>
      </c>
      <c r="G11" s="31">
        <f>IFERROR(VLOOKUP(A11,'[10]EQUIPOS TRANSPOR SALARIO'!$A$3:$G$42,6,FALSE),"")</f>
        <v>19769</v>
      </c>
      <c r="H11" s="30">
        <v>15</v>
      </c>
      <c r="I11" s="33">
        <f>IFERROR((G11/H11),"")</f>
        <v>1317.9333333333334</v>
      </c>
      <c r="J11" s="33">
        <f>ROUND(I11,0)</f>
        <v>1318</v>
      </c>
    </row>
    <row r="12" spans="1:10" s="20" customFormat="1" ht="13.9" customHeight="1" x14ac:dyDescent="0.25">
      <c r="A12" s="1558" t="s">
        <v>278</v>
      </c>
      <c r="B12" s="1559"/>
      <c r="C12" s="1559"/>
      <c r="D12" s="1560"/>
      <c r="E12" s="29" t="s">
        <v>259</v>
      </c>
      <c r="F12" s="30" t="str">
        <f>IFERROR(VLOOKUP(A12,'[10]EQUIPOS TRANSPOR SALARIO'!$A$3:$G$42,2,FALSE),"")</f>
        <v>Manual</v>
      </c>
      <c r="G12" s="31">
        <f>IFERROR(VLOOKUP(A12,'[10]EQUIPOS TRANSPOR SALARIO'!$A$3:$G$42,6,FALSE),"")</f>
        <v>4822</v>
      </c>
      <c r="H12" s="30">
        <v>15</v>
      </c>
      <c r="I12" s="33">
        <f t="shared" ref="I12:I17" si="0">IFERROR((G12/H12),0)</f>
        <v>321.46666666666664</v>
      </c>
      <c r="J12" s="33">
        <f t="shared" ref="J12:J17" si="1">ROUND(I12,0)</f>
        <v>321</v>
      </c>
    </row>
    <row r="13" spans="1:10" s="20" customFormat="1" ht="13.9" customHeight="1" x14ac:dyDescent="0.25">
      <c r="A13" s="1558" t="s">
        <v>159</v>
      </c>
      <c r="B13" s="1559"/>
      <c r="C13" s="1559"/>
      <c r="D13" s="1560"/>
      <c r="E13" s="29" t="s">
        <v>279</v>
      </c>
      <c r="F13" s="30" t="str">
        <f>IFERROR(VLOOKUP(A13,'[10]EQUIPOS TRANSPOR SALARIO'!$A$3:$G$42,2,FALSE),"")</f>
        <v>Global</v>
      </c>
      <c r="G13" s="31">
        <f>IFERROR(VLOOKUP(A13,'[10]EQUIPOS TRANSPOR SALARIO'!$A$3:$G$42,6,FALSE),"")</f>
        <v>4639</v>
      </c>
      <c r="H13" s="30">
        <v>15</v>
      </c>
      <c r="I13" s="33">
        <f t="shared" si="0"/>
        <v>309.26666666666665</v>
      </c>
      <c r="J13" s="33">
        <f t="shared" si="1"/>
        <v>309</v>
      </c>
    </row>
    <row r="14" spans="1:10" s="20" customFormat="1" ht="13.9" customHeight="1" x14ac:dyDescent="0.25">
      <c r="A14" s="1558" t="s">
        <v>280</v>
      </c>
      <c r="B14" s="1559"/>
      <c r="C14" s="1559"/>
      <c r="D14" s="1560"/>
      <c r="E14" s="29" t="s">
        <v>279</v>
      </c>
      <c r="F14" s="30" t="str">
        <f>IFERROR(VLOOKUP(A14,'[10]EQUIPOS TRANSPOR SALARIO'!$A$3:$G$42,2,FALSE),"")</f>
        <v>Varios</v>
      </c>
      <c r="G14" s="31">
        <f>IFERROR(VLOOKUP(A14,'[10]EQUIPOS TRANSPOR SALARIO'!$A$3:$G$42,6,FALSE),"")</f>
        <v>1929</v>
      </c>
      <c r="H14" s="30">
        <v>15</v>
      </c>
      <c r="I14" s="33">
        <f t="shared" si="0"/>
        <v>128.6</v>
      </c>
      <c r="J14" s="33">
        <f t="shared" si="1"/>
        <v>129</v>
      </c>
    </row>
    <row r="15" spans="1:10" s="20" customFormat="1" ht="13.9" customHeight="1" x14ac:dyDescent="0.25">
      <c r="A15" s="1558"/>
      <c r="B15" s="1559"/>
      <c r="C15" s="1559"/>
      <c r="D15" s="1560"/>
      <c r="E15" s="29"/>
      <c r="F15" s="30" t="str">
        <f>IFERROR(VLOOKUP(A15,'[10]EQUIPOS TRANSPOR SALARIO'!$A$3:$G$42,2,FALSE),"")</f>
        <v/>
      </c>
      <c r="G15" s="31" t="str">
        <f>IFERROR(VLOOKUP(A15,'[10]EQUIPOS TRANSPOR SALARIO'!$A$3:$G$42,6,FALSE),"")</f>
        <v/>
      </c>
      <c r="H15" s="30"/>
      <c r="I15" s="33">
        <f t="shared" si="0"/>
        <v>0</v>
      </c>
      <c r="J15" s="33">
        <f t="shared" si="1"/>
        <v>0</v>
      </c>
    </row>
    <row r="16" spans="1:10" s="20" customFormat="1" ht="13.9" customHeight="1" x14ac:dyDescent="0.25">
      <c r="A16" s="1558"/>
      <c r="B16" s="1559"/>
      <c r="C16" s="1559"/>
      <c r="D16" s="1560"/>
      <c r="E16" s="29"/>
      <c r="F16" s="30" t="str">
        <f>IFERROR(VLOOKUP(A16,'[10]EQUIPOS TRANSPOR SALARIO'!$A$3:$G$42,2,FALSE),"")</f>
        <v/>
      </c>
      <c r="G16" s="31" t="str">
        <f>IFERROR(VLOOKUP(A16,'[10]EQUIPOS TRANSPOR SALARIO'!$A$3:$G$42,6,FALSE),"")</f>
        <v/>
      </c>
      <c r="H16" s="30"/>
      <c r="I16" s="33">
        <f t="shared" si="0"/>
        <v>0</v>
      </c>
      <c r="J16" s="33">
        <f t="shared" si="1"/>
        <v>0</v>
      </c>
    </row>
    <row r="17" spans="1:10" s="20" customFormat="1" ht="13.9" customHeight="1" x14ac:dyDescent="0.25">
      <c r="A17" s="1558"/>
      <c r="B17" s="1559"/>
      <c r="C17" s="1559"/>
      <c r="D17" s="1560"/>
      <c r="E17" s="29"/>
      <c r="F17" s="30" t="str">
        <f>IFERROR(VLOOKUP(A17,'[10]EQUIPOS TRANSPOR SALARIO'!$A$3:$G$42,2,FALSE),"")</f>
        <v/>
      </c>
      <c r="G17" s="31" t="str">
        <f>IFERROR(VLOOKUP(A17,'[10]EQUIPOS TRANSPOR SALARIO'!$A$3:$G$42,6,FALSE),"")</f>
        <v/>
      </c>
      <c r="H17" s="30"/>
      <c r="I17" s="33">
        <f t="shared" si="0"/>
        <v>0</v>
      </c>
      <c r="J17" s="33">
        <f t="shared" si="1"/>
        <v>0</v>
      </c>
    </row>
    <row r="18" spans="1:10" s="20" customFormat="1" ht="13.9" customHeight="1" x14ac:dyDescent="0.25">
      <c r="I18" s="30" t="s">
        <v>257</v>
      </c>
      <c r="J18" s="34">
        <f>+SUM(J11:J17)</f>
        <v>2077</v>
      </c>
    </row>
    <row r="19" spans="1:10" s="20" customFormat="1" ht="13.9" customHeight="1" x14ac:dyDescent="0.25"/>
    <row r="20" spans="1:10" s="20" customFormat="1" ht="13.9" customHeight="1" x14ac:dyDescent="0.25">
      <c r="A20" s="1561" t="s">
        <v>263</v>
      </c>
      <c r="B20" s="1561"/>
      <c r="C20" s="1561"/>
      <c r="D20" s="1561"/>
      <c r="E20" s="1561"/>
      <c r="F20" s="1561"/>
      <c r="G20" s="1561"/>
      <c r="H20" s="1561"/>
      <c r="I20" s="27"/>
    </row>
    <row r="21" spans="1:10" ht="13.9" customHeight="1" x14ac:dyDescent="0.25">
      <c r="A21" s="1565" t="s">
        <v>251</v>
      </c>
      <c r="B21" s="1566"/>
      <c r="C21" s="1566"/>
      <c r="D21" s="1566"/>
      <c r="E21" s="1566"/>
      <c r="F21" s="1567"/>
      <c r="G21" s="28" t="s">
        <v>252</v>
      </c>
      <c r="H21" s="28" t="s">
        <v>264</v>
      </c>
      <c r="I21" s="28" t="s">
        <v>256</v>
      </c>
      <c r="J21" s="28" t="s">
        <v>257</v>
      </c>
    </row>
    <row r="22" spans="1:10" x14ac:dyDescent="0.25">
      <c r="A22" s="1568" t="s">
        <v>286</v>
      </c>
      <c r="B22" s="1569"/>
      <c r="C22" s="1569"/>
      <c r="D22" s="1569"/>
      <c r="E22" s="1569"/>
      <c r="F22" s="1570"/>
      <c r="G22" s="29" t="s">
        <v>114</v>
      </c>
      <c r="H22" s="47">
        <v>7.0999999999999994E-2</v>
      </c>
      <c r="I22" s="33">
        <f>IFERROR(VLOOKUP(A22,[10]INSUMOS!$A$2:$E$121,4,FALSE),0)</f>
        <v>29129</v>
      </c>
      <c r="J22" s="33">
        <f>ROUND(I22*H22,0)</f>
        <v>2068</v>
      </c>
    </row>
    <row r="23" spans="1:10" ht="13.9" customHeight="1" x14ac:dyDescent="0.25">
      <c r="A23" s="1558"/>
      <c r="B23" s="1559"/>
      <c r="C23" s="1559"/>
      <c r="D23" s="1559"/>
      <c r="E23" s="1559"/>
      <c r="F23" s="1560"/>
      <c r="G23" s="29"/>
      <c r="H23" s="47"/>
      <c r="I23" s="33">
        <f>IFERROR(VLOOKUP(A23,[10]INSUMOS!$A$2:$E$121,4,FALSE),0)</f>
        <v>0</v>
      </c>
      <c r="J23" s="33">
        <f t="shared" ref="J23:J31" si="2">ROUND(I23*H23,0)</f>
        <v>0</v>
      </c>
    </row>
    <row r="24" spans="1:10" ht="13.9" customHeight="1" x14ac:dyDescent="0.25">
      <c r="A24" s="1558"/>
      <c r="B24" s="1559"/>
      <c r="C24" s="1559"/>
      <c r="D24" s="1559"/>
      <c r="E24" s="1559"/>
      <c r="F24" s="1560"/>
      <c r="G24" s="29"/>
      <c r="H24" s="35"/>
      <c r="I24" s="33">
        <f>IFERROR(VLOOKUP(A24,[10]INSUMOS!$A$2:$E$121,4,FALSE),0)</f>
        <v>0</v>
      </c>
      <c r="J24" s="33">
        <f t="shared" si="2"/>
        <v>0</v>
      </c>
    </row>
    <row r="25" spans="1:10" ht="13.9" customHeight="1" x14ac:dyDescent="0.25">
      <c r="A25" s="1558"/>
      <c r="B25" s="1559"/>
      <c r="C25" s="1559"/>
      <c r="D25" s="1559"/>
      <c r="E25" s="1559"/>
      <c r="F25" s="1560"/>
      <c r="G25" s="29"/>
      <c r="H25" s="35"/>
      <c r="I25" s="33">
        <f>IFERROR(VLOOKUP(A25,[10]INSUMOS!$A$2:$E$121,4,FALSE),0)</f>
        <v>0</v>
      </c>
      <c r="J25" s="33">
        <f t="shared" si="2"/>
        <v>0</v>
      </c>
    </row>
    <row r="26" spans="1:10" ht="13.9" customHeight="1" x14ac:dyDescent="0.25">
      <c r="A26" s="1558"/>
      <c r="B26" s="1559"/>
      <c r="C26" s="1559"/>
      <c r="D26" s="1559"/>
      <c r="E26" s="1559"/>
      <c r="F26" s="1560"/>
      <c r="G26" s="29"/>
      <c r="H26" s="35"/>
      <c r="I26" s="33">
        <f>IFERROR(VLOOKUP(A26,[10]INSUMOS!$A$2:$E$121,4,FALSE),0)</f>
        <v>0</v>
      </c>
      <c r="J26" s="33">
        <f t="shared" si="2"/>
        <v>0</v>
      </c>
    </row>
    <row r="27" spans="1:10" ht="13.9" customHeight="1" x14ac:dyDescent="0.25">
      <c r="A27" s="1558"/>
      <c r="B27" s="1559"/>
      <c r="C27" s="1559"/>
      <c r="D27" s="1559"/>
      <c r="E27" s="1559"/>
      <c r="F27" s="1560"/>
      <c r="G27" s="29"/>
      <c r="H27" s="35"/>
      <c r="I27" s="33">
        <f>IFERROR(VLOOKUP(A27,[10]INSUMOS!$A$2:$E$121,4,FALSE),0)</f>
        <v>0</v>
      </c>
      <c r="J27" s="33">
        <f t="shared" si="2"/>
        <v>0</v>
      </c>
    </row>
    <row r="28" spans="1:10" ht="13.9" customHeight="1" x14ac:dyDescent="0.25">
      <c r="A28" s="1558"/>
      <c r="B28" s="1559"/>
      <c r="C28" s="1559"/>
      <c r="D28" s="1559"/>
      <c r="E28" s="1559"/>
      <c r="F28" s="1560"/>
      <c r="G28" s="29"/>
      <c r="H28" s="35"/>
      <c r="I28" s="33">
        <f>IFERROR(VLOOKUP(A28,[10]INSUMOS!$A$2:$E$121,4,FALSE),0)</f>
        <v>0</v>
      </c>
      <c r="J28" s="33">
        <f t="shared" si="2"/>
        <v>0</v>
      </c>
    </row>
    <row r="29" spans="1:10" ht="13.9" customHeight="1" x14ac:dyDescent="0.25">
      <c r="A29" s="1558"/>
      <c r="B29" s="1559"/>
      <c r="C29" s="1559"/>
      <c r="D29" s="1559"/>
      <c r="E29" s="1559"/>
      <c r="F29" s="1560"/>
      <c r="G29" s="29"/>
      <c r="H29" s="37"/>
      <c r="I29" s="33">
        <f>IFERROR(VLOOKUP(A29,[10]INSUMOS!$A$2:$E$121,4,FALSE),0)</f>
        <v>0</v>
      </c>
      <c r="J29" s="33">
        <f t="shared" si="2"/>
        <v>0</v>
      </c>
    </row>
    <row r="30" spans="1:10" ht="13.9" customHeight="1" x14ac:dyDescent="0.25">
      <c r="A30" s="1558"/>
      <c r="B30" s="1559"/>
      <c r="C30" s="1559"/>
      <c r="D30" s="1559"/>
      <c r="E30" s="1559"/>
      <c r="F30" s="1560"/>
      <c r="G30" s="29"/>
      <c r="H30" s="35"/>
      <c r="I30" s="33">
        <f>IFERROR(VLOOKUP(A30,[10]INSUMOS!$A$2:$E$121,4,FALSE),0)</f>
        <v>0</v>
      </c>
      <c r="J30" s="33">
        <f t="shared" si="2"/>
        <v>0</v>
      </c>
    </row>
    <row r="31" spans="1:10" ht="13.9" customHeight="1" x14ac:dyDescent="0.25">
      <c r="A31" s="1558"/>
      <c r="B31" s="1559"/>
      <c r="C31" s="1559"/>
      <c r="D31" s="1559"/>
      <c r="E31" s="1559"/>
      <c r="F31" s="1560"/>
      <c r="G31" s="29"/>
      <c r="H31" s="35"/>
      <c r="I31" s="33">
        <f>IFERROR(VLOOKUP(A31,[10]INSUMOS!$A$2:$E$121,4,FALSE),0)</f>
        <v>0</v>
      </c>
      <c r="J31" s="33">
        <f t="shared" si="2"/>
        <v>0</v>
      </c>
    </row>
    <row r="32" spans="1:10" ht="13.9" customHeight="1" x14ac:dyDescent="0.25">
      <c r="A32" s="20"/>
      <c r="B32" s="20"/>
      <c r="C32" s="20"/>
      <c r="D32" s="20"/>
      <c r="E32" s="20"/>
      <c r="G32" s="20"/>
      <c r="H32" s="20"/>
      <c r="I32" s="30" t="s">
        <v>257</v>
      </c>
      <c r="J32" s="34">
        <f>+SUM(J22:J31)</f>
        <v>2068</v>
      </c>
    </row>
    <row r="33" spans="1:10" ht="13.9" customHeight="1" x14ac:dyDescent="0.25"/>
    <row r="34" spans="1:10" ht="13.9" customHeight="1" x14ac:dyDescent="0.25">
      <c r="A34" s="1561" t="s">
        <v>267</v>
      </c>
      <c r="B34" s="1561"/>
      <c r="C34" s="1561"/>
      <c r="D34" s="1561"/>
      <c r="E34" s="1561"/>
      <c r="F34" s="1561"/>
      <c r="G34" s="1561"/>
      <c r="H34" s="1561"/>
      <c r="I34" s="27"/>
    </row>
    <row r="35" spans="1:10" ht="13.9" customHeight="1" x14ac:dyDescent="0.25">
      <c r="A35" s="1562" t="s">
        <v>268</v>
      </c>
      <c r="B35" s="1563"/>
      <c r="C35" s="1563"/>
      <c r="D35" s="1563"/>
      <c r="E35" s="1563"/>
      <c r="F35" s="1564"/>
      <c r="G35" s="38" t="s">
        <v>255</v>
      </c>
      <c r="H35" s="28" t="s">
        <v>269</v>
      </c>
      <c r="I35" s="28" t="s">
        <v>256</v>
      </c>
      <c r="J35" s="28" t="s">
        <v>257</v>
      </c>
    </row>
    <row r="36" spans="1:10" ht="13.9" customHeight="1" x14ac:dyDescent="0.25">
      <c r="A36" s="1558" t="s">
        <v>160</v>
      </c>
      <c r="B36" s="1559"/>
      <c r="C36" s="1559"/>
      <c r="D36" s="1559"/>
      <c r="E36" s="1559"/>
      <c r="F36" s="1560"/>
      <c r="G36" s="29">
        <f>+H11*8</f>
        <v>120</v>
      </c>
      <c r="H36" s="33">
        <f>IFERROR(VLOOKUP(A36,'[10]EQUIPOS TRANSPOR SALARIO'!$A$43:$C$47,3,FALSE),0)</f>
        <v>274944</v>
      </c>
      <c r="I36" s="33">
        <f>IFERROR(H36/G36,0)</f>
        <v>2291.1999999999998</v>
      </c>
      <c r="J36" s="33">
        <f>ROUND(I36,0)</f>
        <v>2291</v>
      </c>
    </row>
    <row r="37" spans="1:10" ht="13.9" customHeight="1" x14ac:dyDescent="0.25">
      <c r="A37" s="1558"/>
      <c r="B37" s="1559"/>
      <c r="C37" s="1559"/>
      <c r="D37" s="1559"/>
      <c r="E37" s="1559"/>
      <c r="F37" s="1560"/>
      <c r="G37" s="29"/>
      <c r="H37" s="33">
        <v>0</v>
      </c>
      <c r="I37" s="33">
        <f>IFERROR(H37/G37,0)</f>
        <v>0</v>
      </c>
      <c r="J37" s="33">
        <f>ROUND(I37,0)</f>
        <v>0</v>
      </c>
    </row>
    <row r="38" spans="1:10" ht="13.9" customHeight="1" x14ac:dyDescent="0.25">
      <c r="A38" s="1558"/>
      <c r="B38" s="1559"/>
      <c r="C38" s="1559"/>
      <c r="D38" s="1559"/>
      <c r="E38" s="1559"/>
      <c r="F38" s="1560"/>
      <c r="G38" s="29"/>
      <c r="H38" s="33">
        <v>0</v>
      </c>
      <c r="I38" s="33">
        <f>IFERROR(H38/G38,0)</f>
        <v>0</v>
      </c>
      <c r="J38" s="33">
        <f>ROUND(I38,0)</f>
        <v>0</v>
      </c>
    </row>
    <row r="39" spans="1:10" ht="13.9" customHeight="1" x14ac:dyDescent="0.25">
      <c r="G39" s="39"/>
      <c r="H39" s="39"/>
      <c r="I39" s="30" t="s">
        <v>257</v>
      </c>
      <c r="J39" s="33">
        <f>+SUM(J36:J38)</f>
        <v>2291</v>
      </c>
    </row>
    <row r="40" spans="1:10" ht="13.9" customHeight="1" x14ac:dyDescent="0.25"/>
    <row r="41" spans="1:10" ht="13.9" customHeight="1" x14ac:dyDescent="0.25">
      <c r="A41" s="1561" t="s">
        <v>270</v>
      </c>
      <c r="B41" s="1561"/>
      <c r="C41" s="1561"/>
      <c r="D41" s="1561"/>
      <c r="E41" s="1561"/>
      <c r="F41" s="1561"/>
      <c r="G41" s="1561"/>
      <c r="H41" s="1561"/>
      <c r="I41" s="27"/>
    </row>
    <row r="42" spans="1:10" s="39" customFormat="1" ht="13.9" customHeight="1" x14ac:dyDescent="0.25">
      <c r="A42" s="1562" t="s">
        <v>271</v>
      </c>
      <c r="B42" s="1563"/>
      <c r="C42" s="1563"/>
      <c r="D42" s="1564"/>
      <c r="E42" s="28" t="s">
        <v>272</v>
      </c>
      <c r="F42" s="28" t="s">
        <v>264</v>
      </c>
      <c r="G42" s="28" t="s">
        <v>273</v>
      </c>
      <c r="H42" s="28" t="s">
        <v>255</v>
      </c>
      <c r="I42" s="28" t="s">
        <v>256</v>
      </c>
      <c r="J42" s="28" t="s">
        <v>257</v>
      </c>
    </row>
    <row r="43" spans="1:10" s="39" customFormat="1" ht="13.9" customHeight="1" x14ac:dyDescent="0.25">
      <c r="A43" s="1558" t="s">
        <v>281</v>
      </c>
      <c r="B43" s="1559"/>
      <c r="C43" s="1559"/>
      <c r="D43" s="1560"/>
      <c r="E43" s="40">
        <f>IFERROR(VLOOKUP(A43,[10]PERSONAL!$A$3:$C$32,3,FALSE),0)</f>
        <v>116452</v>
      </c>
      <c r="F43" s="30">
        <v>1</v>
      </c>
      <c r="G43" s="40">
        <f t="shared" ref="G43:G48" si="3">+E43*F43</f>
        <v>116452</v>
      </c>
      <c r="H43" s="35">
        <f>IFERROR(H11*8,0)</f>
        <v>120</v>
      </c>
      <c r="I43" s="33">
        <f t="shared" ref="I43:I48" si="4">IFERROR(ROUND(G43/H43,0),0)</f>
        <v>970</v>
      </c>
      <c r="J43" s="33">
        <f t="shared" ref="J43:J48" si="5">+I43</f>
        <v>970</v>
      </c>
    </row>
    <row r="44" spans="1:10" s="39" customFormat="1" ht="13.9" customHeight="1" x14ac:dyDescent="0.25">
      <c r="A44" s="1558" t="s">
        <v>282</v>
      </c>
      <c r="B44" s="1559"/>
      <c r="C44" s="1559"/>
      <c r="D44" s="1560"/>
      <c r="E44" s="40">
        <f>IFERROR(VLOOKUP(A44,[10]PERSONAL!$A$3:$C$32,3,FALSE),0)</f>
        <v>61343</v>
      </c>
      <c r="F44" s="30">
        <v>1</v>
      </c>
      <c r="G44" s="40">
        <f t="shared" si="3"/>
        <v>61343</v>
      </c>
      <c r="H44" s="35">
        <f>+H43</f>
        <v>120</v>
      </c>
      <c r="I44" s="33">
        <f t="shared" si="4"/>
        <v>511</v>
      </c>
      <c r="J44" s="33">
        <f t="shared" si="5"/>
        <v>511</v>
      </c>
    </row>
    <row r="45" spans="1:10" s="39" customFormat="1" ht="13.9" customHeight="1" x14ac:dyDescent="0.25">
      <c r="A45" s="1558" t="s">
        <v>283</v>
      </c>
      <c r="B45" s="1559"/>
      <c r="C45" s="1559"/>
      <c r="D45" s="1560"/>
      <c r="E45" s="40">
        <f>IFERROR(VLOOKUP(A45,[10]PERSONAL!$A$3:$C$32,3,FALSE),0)</f>
        <v>62693</v>
      </c>
      <c r="F45" s="30">
        <v>2</v>
      </c>
      <c r="G45" s="40">
        <f t="shared" si="3"/>
        <v>125386</v>
      </c>
      <c r="H45" s="35">
        <f>+H44</f>
        <v>120</v>
      </c>
      <c r="I45" s="33">
        <f t="shared" si="4"/>
        <v>1045</v>
      </c>
      <c r="J45" s="33">
        <f t="shared" si="5"/>
        <v>1045</v>
      </c>
    </row>
    <row r="46" spans="1:10" s="39" customFormat="1" ht="13.9" customHeight="1" x14ac:dyDescent="0.25">
      <c r="A46" s="1558" t="s">
        <v>284</v>
      </c>
      <c r="B46" s="1559"/>
      <c r="C46" s="1559"/>
      <c r="D46" s="1560"/>
      <c r="E46" s="40">
        <f>IFERROR(VLOOKUP(A46,[10]PERSONAL!$A$3:$C$32,3,FALSE),0)</f>
        <v>87338</v>
      </c>
      <c r="F46" s="30">
        <v>1</v>
      </c>
      <c r="G46" s="40">
        <f t="shared" si="3"/>
        <v>87338</v>
      </c>
      <c r="H46" s="35">
        <f>+H45</f>
        <v>120</v>
      </c>
      <c r="I46" s="33">
        <f t="shared" si="4"/>
        <v>728</v>
      </c>
      <c r="J46" s="33">
        <f t="shared" si="5"/>
        <v>728</v>
      </c>
    </row>
    <row r="47" spans="1:10" s="39" customFormat="1" ht="13.9" customHeight="1" x14ac:dyDescent="0.25">
      <c r="A47" s="1558"/>
      <c r="B47" s="1559"/>
      <c r="C47" s="1559"/>
      <c r="D47" s="1560"/>
      <c r="E47" s="40">
        <f>IFERROR(VLOOKUP(A47,[10]PERSONAL!$A$3:$C$32,3,FALSE),0)</f>
        <v>0</v>
      </c>
      <c r="F47" s="30"/>
      <c r="G47" s="40">
        <f t="shared" si="3"/>
        <v>0</v>
      </c>
      <c r="H47" s="35">
        <f>IFERROR(H16*8,0)</f>
        <v>0</v>
      </c>
      <c r="I47" s="33">
        <f t="shared" si="4"/>
        <v>0</v>
      </c>
      <c r="J47" s="33">
        <f t="shared" si="5"/>
        <v>0</v>
      </c>
    </row>
    <row r="48" spans="1:10" s="39" customFormat="1" ht="13.9" customHeight="1" x14ac:dyDescent="0.25">
      <c r="A48" s="1558"/>
      <c r="B48" s="1559"/>
      <c r="C48" s="1559"/>
      <c r="D48" s="1560"/>
      <c r="E48" s="40">
        <f>IFERROR(VLOOKUP(A48,[10]PERSONAL!$A$3:$C$32,3,FALSE),0)</f>
        <v>0</v>
      </c>
      <c r="F48" s="30"/>
      <c r="G48" s="40">
        <f t="shared" si="3"/>
        <v>0</v>
      </c>
      <c r="H48" s="35">
        <f>IFERROR(H17*8,0)</f>
        <v>0</v>
      </c>
      <c r="I48" s="33">
        <f t="shared" si="4"/>
        <v>0</v>
      </c>
      <c r="J48" s="33">
        <f t="shared" si="5"/>
        <v>0</v>
      </c>
    </row>
    <row r="49" spans="1:10" ht="13.9" customHeight="1" x14ac:dyDescent="0.25">
      <c r="A49" s="20"/>
      <c r="B49" s="20"/>
      <c r="C49" s="20"/>
      <c r="E49" s="20"/>
      <c r="F49" s="20"/>
      <c r="G49" s="20"/>
      <c r="H49" s="20"/>
      <c r="I49" s="30" t="s">
        <v>257</v>
      </c>
      <c r="J49" s="34">
        <f>+SUM(J43:J48)</f>
        <v>3254</v>
      </c>
    </row>
    <row r="50" spans="1:10" ht="13.9" customHeight="1" x14ac:dyDescent="0.25"/>
    <row r="51" spans="1:10" ht="13.9" customHeight="1" x14ac:dyDescent="0.25">
      <c r="E51" s="41" t="s">
        <v>276</v>
      </c>
      <c r="I51" s="42">
        <f>+J49+J39+J32+J18</f>
        <v>9690</v>
      </c>
      <c r="J51" s="43"/>
    </row>
    <row r="52" spans="1:10" ht="13.9" customHeight="1" x14ac:dyDescent="0.25"/>
    <row r="53" spans="1:10" ht="14.1" customHeight="1" x14ac:dyDescent="0.25">
      <c r="I53" s="44"/>
      <c r="J53" s="44"/>
    </row>
    <row r="54" spans="1:10" ht="14.1" customHeight="1" x14ac:dyDescent="0.25">
      <c r="I54" s="44"/>
    </row>
    <row r="55" spans="1:10" x14ac:dyDescent="0.25">
      <c r="I55" s="44"/>
    </row>
  </sheetData>
  <mergeCells count="40">
    <mergeCell ref="A1:J1"/>
    <mergeCell ref="A2:J2"/>
    <mergeCell ref="A4:J4"/>
    <mergeCell ref="A6:B6"/>
    <mergeCell ref="A7:B7"/>
    <mergeCell ref="C7:J7"/>
    <mergeCell ref="A22:F22"/>
    <mergeCell ref="A9:H9"/>
    <mergeCell ref="A10:D10"/>
    <mergeCell ref="A11:D11"/>
    <mergeCell ref="A12:D12"/>
    <mergeCell ref="A13:D13"/>
    <mergeCell ref="A14:D14"/>
    <mergeCell ref="A15:D15"/>
    <mergeCell ref="A16:D16"/>
    <mergeCell ref="A17:D17"/>
    <mergeCell ref="A20:H20"/>
    <mergeCell ref="A21:F21"/>
    <mergeCell ref="A36:F36"/>
    <mergeCell ref="A23:F23"/>
    <mergeCell ref="A24:F24"/>
    <mergeCell ref="A25:F25"/>
    <mergeCell ref="A26:F26"/>
    <mergeCell ref="A27:F27"/>
    <mergeCell ref="A28:F28"/>
    <mergeCell ref="A29:F29"/>
    <mergeCell ref="A30:F30"/>
    <mergeCell ref="A31:F31"/>
    <mergeCell ref="A34:H34"/>
    <mergeCell ref="A35:F35"/>
    <mergeCell ref="A45:D45"/>
    <mergeCell ref="A46:D46"/>
    <mergeCell ref="A47:D47"/>
    <mergeCell ref="A48:D48"/>
    <mergeCell ref="A37:F37"/>
    <mergeCell ref="A38:F38"/>
    <mergeCell ref="A41:H41"/>
    <mergeCell ref="A42:D42"/>
    <mergeCell ref="A43:D43"/>
    <mergeCell ref="A44:D44"/>
  </mergeCells>
  <pageMargins left="0.70866141732283472" right="0.70866141732283472" top="0.78740157480314965" bottom="0.78740157480314965" header="0.31496062992125984" footer="0.31496062992125984"/>
  <pageSetup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158</vt:i4>
      </vt:variant>
      <vt:variant>
        <vt:lpstr>Rangos con nombre</vt:lpstr>
      </vt:variant>
      <vt:variant>
        <vt:i4>156</vt:i4>
      </vt:variant>
    </vt:vector>
  </HeadingPairs>
  <TitlesOfParts>
    <vt:vector size="314" baseType="lpstr">
      <vt:lpstr>F_PRESTACIONES SOCIALES </vt:lpstr>
      <vt:lpstr>SUPUESTOSMACROECONOM</vt:lpstr>
      <vt:lpstr>IDU_2024_INSUMOS</vt:lpstr>
      <vt:lpstr>APU_IDU</vt:lpstr>
      <vt:lpstr>F PRESTACIONAL Y G GENERALES</vt:lpstr>
      <vt:lpstr>AIU</vt:lpstr>
      <vt:lpstr>ENLACES </vt:lpstr>
      <vt:lpstr>PERSONAL</vt:lpstr>
      <vt:lpstr>EQUIPOS </vt:lpstr>
      <vt:lpstr>ANEXO PLIEGO_1</vt:lpstr>
      <vt:lpstr>POR AÑOS_OBRA2024</vt:lpstr>
      <vt:lpstr>ANEXO PLIEGO_2</vt:lpstr>
      <vt:lpstr>POR AÑOS_SUMINISTRO</vt:lpstr>
      <vt:lpstr>INSUMOS </vt:lpstr>
      <vt:lpstr>14S  </vt:lpstr>
      <vt:lpstr>13S </vt:lpstr>
      <vt:lpstr>12S</vt:lpstr>
      <vt:lpstr>11S</vt:lpstr>
      <vt:lpstr>10S</vt:lpstr>
      <vt:lpstr>9S</vt:lpstr>
      <vt:lpstr>8S</vt:lpstr>
      <vt:lpstr>7S</vt:lpstr>
      <vt:lpstr>6S</vt:lpstr>
      <vt:lpstr>5S</vt:lpstr>
      <vt:lpstr>4S</vt:lpstr>
      <vt:lpstr>3S</vt:lpstr>
      <vt:lpstr>2S</vt:lpstr>
      <vt:lpstr>1S</vt:lpstr>
      <vt:lpstr>129</vt:lpstr>
      <vt:lpstr>128</vt:lpstr>
      <vt:lpstr>127</vt:lpstr>
      <vt:lpstr>126</vt:lpstr>
      <vt:lpstr>125</vt:lpstr>
      <vt:lpstr>124</vt:lpstr>
      <vt:lpstr>123</vt:lpstr>
      <vt:lpstr>122</vt:lpstr>
      <vt:lpstr>121</vt:lpstr>
      <vt:lpstr>120</vt:lpstr>
      <vt:lpstr>119</vt:lpstr>
      <vt:lpstr>118</vt:lpstr>
      <vt:lpstr>117</vt:lpstr>
      <vt:lpstr>116</vt:lpstr>
      <vt:lpstr>115</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96N</vt:lpstr>
      <vt:lpstr>95</vt:lpstr>
      <vt:lpstr>94</vt:lpstr>
      <vt:lpstr>93</vt:lpstr>
      <vt:lpstr>92</vt:lpstr>
      <vt:lpstr>91</vt:lpstr>
      <vt:lpstr>90</vt:lpstr>
      <vt:lpstr>89</vt:lpstr>
      <vt:lpstr>88</vt:lpstr>
      <vt:lpstr>87</vt:lpstr>
      <vt:lpstr>86</vt:lpstr>
      <vt:lpstr>85</vt:lpstr>
      <vt:lpstr>84</vt:lpstr>
      <vt:lpstr>83</vt:lpstr>
      <vt:lpstr>82</vt:lpstr>
      <vt:lpstr>81</vt:lpstr>
      <vt:lpstr>80</vt:lpstr>
      <vt:lpstr>79</vt:lpstr>
      <vt:lpstr>78</vt:lpstr>
      <vt:lpstr>77</vt:lpstr>
      <vt:lpstr>76</vt:lpstr>
      <vt:lpstr>75</vt:lpstr>
      <vt:lpstr>74</vt:lpstr>
      <vt:lpstr>73</vt:lpstr>
      <vt:lpstr>72</vt:lpstr>
      <vt:lpstr>71</vt:lpstr>
      <vt:lpstr>70</vt:lpstr>
      <vt:lpstr>69</vt:lpstr>
      <vt:lpstr>68</vt:lpstr>
      <vt:lpstr>67</vt:lpstr>
      <vt:lpstr>66</vt:lpstr>
      <vt:lpstr>65</vt:lpstr>
      <vt:lpstr>64</vt:lpstr>
      <vt:lpstr>63</vt:lpstr>
      <vt:lpstr>62</vt:lpstr>
      <vt:lpstr>61</vt:lpstr>
      <vt:lpstr>60</vt:lpstr>
      <vt:lpstr>59</vt:lpstr>
      <vt:lpstr>58</vt:lpstr>
      <vt:lpstr>57</vt:lpstr>
      <vt:lpstr>56</vt:lpstr>
      <vt:lpstr>55</vt:lpstr>
      <vt:lpstr>54</vt:lpstr>
      <vt:lpstr>53</vt:lpstr>
      <vt:lpstr>52</vt:lpstr>
      <vt:lpstr>51</vt:lpstr>
      <vt:lpstr>50</vt:lpstr>
      <vt:lpstr>49</vt:lpstr>
      <vt:lpstr>48</vt:lpstr>
      <vt:lpstr>47</vt:lpstr>
      <vt:lpstr>46</vt:lpstr>
      <vt:lpstr>45</vt:lpstr>
      <vt:lpstr>44</vt:lpstr>
      <vt:lpstr>43</vt:lpstr>
      <vt:lpstr>42</vt:lpstr>
      <vt:lpstr>41</vt:lpstr>
      <vt:lpstr>40</vt:lpstr>
      <vt:lpstr>39</vt:lpstr>
      <vt:lpstr>38</vt:lpstr>
      <vt:lpstr>37</vt:lpstr>
      <vt:lpstr>36</vt:lpstr>
      <vt:lpstr>35</vt:lpstr>
      <vt:lpstr>34</vt:lpstr>
      <vt:lpstr>33</vt:lpstr>
      <vt:lpstr>32</vt:lpstr>
      <vt:lpstr>31</vt:lpstr>
      <vt:lpstr>30</vt:lpstr>
      <vt:lpstr>29</vt:lpstr>
      <vt:lpstr>28</vt:lpstr>
      <vt:lpstr>27N</vt:lpstr>
      <vt:lpstr>26</vt:lpstr>
      <vt:lpstr>25</vt:lpstr>
      <vt:lpstr>24</vt:lpstr>
      <vt:lpstr>23</vt:lpstr>
      <vt:lpstr>22N</vt:lpstr>
      <vt:lpstr>21</vt:lpstr>
      <vt:lpstr>20</vt:lpstr>
      <vt:lpstr>19</vt:lpstr>
      <vt:lpstr>18</vt:lpstr>
      <vt:lpstr>17</vt:lpstr>
      <vt:lpstr>16</vt:lpstr>
      <vt:lpstr>15</vt:lpstr>
      <vt:lpstr>14</vt:lpstr>
      <vt:lpstr>13</vt:lpstr>
      <vt:lpstr>12</vt:lpstr>
      <vt:lpstr>11</vt:lpstr>
      <vt:lpstr>10</vt:lpstr>
      <vt:lpstr>9</vt:lpstr>
      <vt:lpstr>8</vt:lpstr>
      <vt:lpstr>7</vt:lpstr>
      <vt:lpstr>6</vt:lpstr>
      <vt:lpstr>5</vt:lpstr>
      <vt:lpstr>4</vt:lpstr>
      <vt:lpstr>3</vt:lpstr>
      <vt:lpstr>2</vt:lpstr>
      <vt:lpstr>1</vt:lpstr>
      <vt:lpstr>PMT</vt:lpstr>
      <vt:lpstr>'1'!Área_de_impresión</vt:lpstr>
      <vt:lpstr>'10'!Área_de_impresión</vt:lpstr>
      <vt:lpstr>'100'!Área_de_impresión</vt:lpstr>
      <vt:lpstr>'101'!Área_de_impresión</vt:lpstr>
      <vt:lpstr>'102'!Área_de_impresión</vt:lpstr>
      <vt:lpstr>'103'!Área_de_impresión</vt:lpstr>
      <vt:lpstr>'104'!Área_de_impresión</vt:lpstr>
      <vt:lpstr>'105'!Área_de_impresión</vt:lpstr>
      <vt:lpstr>'106'!Área_de_impresión</vt:lpstr>
      <vt:lpstr>'107'!Área_de_impresión</vt:lpstr>
      <vt:lpstr>'108'!Área_de_impresión</vt:lpstr>
      <vt:lpstr>'109'!Área_de_impresión</vt:lpstr>
      <vt:lpstr>'10S'!Área_de_impresión</vt:lpstr>
      <vt:lpstr>'11'!Área_de_impresión</vt:lpstr>
      <vt:lpstr>'110'!Área_de_impresión</vt:lpstr>
      <vt:lpstr>'111'!Área_de_impresión</vt:lpstr>
      <vt:lpstr>'112'!Área_de_impresión</vt:lpstr>
      <vt:lpstr>'113'!Área_de_impresión</vt:lpstr>
      <vt:lpstr>'114'!Área_de_impresión</vt:lpstr>
      <vt:lpstr>'115'!Área_de_impresión</vt:lpstr>
      <vt:lpstr>'116'!Área_de_impresión</vt:lpstr>
      <vt:lpstr>'117'!Área_de_impresión</vt:lpstr>
      <vt:lpstr>'118'!Área_de_impresión</vt:lpstr>
      <vt:lpstr>'119'!Área_de_impresión</vt:lpstr>
      <vt:lpstr>'11S'!Área_de_impresión</vt:lpstr>
      <vt:lpstr>'12'!Área_de_impresión</vt:lpstr>
      <vt:lpstr>'120'!Área_de_impresión</vt:lpstr>
      <vt:lpstr>'121'!Área_de_impresión</vt:lpstr>
      <vt:lpstr>'122'!Área_de_impresión</vt:lpstr>
      <vt:lpstr>'123'!Área_de_impresión</vt:lpstr>
      <vt:lpstr>'124'!Área_de_impresión</vt:lpstr>
      <vt:lpstr>'125'!Área_de_impresión</vt:lpstr>
      <vt:lpstr>'126'!Área_de_impresión</vt:lpstr>
      <vt:lpstr>'127'!Área_de_impresión</vt:lpstr>
      <vt:lpstr>'128'!Área_de_impresión</vt:lpstr>
      <vt:lpstr>'12S'!Área_de_impresión</vt:lpstr>
      <vt:lpstr>'13'!Área_de_impresión</vt:lpstr>
      <vt:lpstr>'13S '!Área_de_impresión</vt:lpstr>
      <vt:lpstr>'14'!Área_de_impresión</vt:lpstr>
      <vt:lpstr>'14S  '!Área_de_impresión</vt:lpstr>
      <vt:lpstr>'15'!Área_de_impresión</vt:lpstr>
      <vt:lpstr>'16'!Área_de_impresión</vt:lpstr>
      <vt:lpstr>'17'!Área_de_impresión</vt:lpstr>
      <vt:lpstr>'18'!Área_de_impresión</vt:lpstr>
      <vt:lpstr>'19'!Área_de_impresión</vt:lpstr>
      <vt:lpstr>'1S'!Área_de_impresión</vt:lpstr>
      <vt:lpstr>'2'!Área_de_impresión</vt:lpstr>
      <vt:lpstr>'20'!Área_de_impresión</vt:lpstr>
      <vt:lpstr>'21'!Área_de_impresión</vt:lpstr>
      <vt:lpstr>'22'!Área_de_impresión</vt:lpstr>
      <vt:lpstr>'22N'!Área_de_impresión</vt:lpstr>
      <vt:lpstr>'23'!Área_de_impresión</vt:lpstr>
      <vt:lpstr>'24'!Área_de_impresión</vt:lpstr>
      <vt:lpstr>'25'!Área_de_impresión</vt:lpstr>
      <vt:lpstr>'26'!Área_de_impresión</vt:lpstr>
      <vt:lpstr>'27'!Área_de_impresión</vt:lpstr>
      <vt:lpstr>'27N'!Área_de_impresión</vt:lpstr>
      <vt:lpstr>'28'!Área_de_impresión</vt:lpstr>
      <vt:lpstr>'29'!Área_de_impresión</vt:lpstr>
      <vt:lpstr>'2S'!Área_de_impresión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'37_TERMOPLAST'!Área_de_impresión</vt:lpstr>
      <vt:lpstr>'38'!Área_de_impresión</vt:lpstr>
      <vt:lpstr>'39'!Área_de_impresión</vt:lpstr>
      <vt:lpstr>'3S'!Área_de_impresión</vt:lpstr>
      <vt:lpstr>'4'!Área_de_impresión</vt:lpstr>
      <vt:lpstr>'40'!Área_de_impresión</vt:lpstr>
      <vt:lpstr>'41'!Área_de_impresión</vt:lpstr>
      <vt:lpstr>'42'!Área_de_impresión</vt:lpstr>
      <vt:lpstr>'43'!Área_de_impresión</vt:lpstr>
      <vt:lpstr>'44'!Área_de_impresión</vt:lpstr>
      <vt:lpstr>'45'!Área_de_impresión</vt:lpstr>
      <vt:lpstr>'46'!Área_de_impresión</vt:lpstr>
      <vt:lpstr>'47'!Área_de_impresión</vt:lpstr>
      <vt:lpstr>'48'!Área_de_impresión</vt:lpstr>
      <vt:lpstr>'49'!Área_de_impresión</vt:lpstr>
      <vt:lpstr>'4S'!Área_de_impresión</vt:lpstr>
      <vt:lpstr>'5'!Área_de_impresión</vt:lpstr>
      <vt:lpstr>'50'!Área_de_impresión</vt:lpstr>
      <vt:lpstr>'51'!Área_de_impresión</vt:lpstr>
      <vt:lpstr>'52'!Área_de_impresión</vt:lpstr>
      <vt:lpstr>'53'!Área_de_impresión</vt:lpstr>
      <vt:lpstr>'54'!Área_de_impresión</vt:lpstr>
      <vt:lpstr>'55'!Área_de_impresión</vt:lpstr>
      <vt:lpstr>'56'!Área_de_impresión</vt:lpstr>
      <vt:lpstr>'57'!Área_de_impresión</vt:lpstr>
      <vt:lpstr>'58'!Área_de_impresión</vt:lpstr>
      <vt:lpstr>'59'!Área_de_impresión</vt:lpstr>
      <vt:lpstr>'5S'!Área_de_impresión</vt:lpstr>
      <vt:lpstr>'6'!Área_de_impresión</vt:lpstr>
      <vt:lpstr>'60'!Área_de_impresión</vt:lpstr>
      <vt:lpstr>'61'!Área_de_impresión</vt:lpstr>
      <vt:lpstr>'62'!Área_de_impresión</vt:lpstr>
      <vt:lpstr>'63'!Área_de_impresión</vt:lpstr>
      <vt:lpstr>'64'!Área_de_impresión</vt:lpstr>
      <vt:lpstr>'65'!Área_de_impresión</vt:lpstr>
      <vt:lpstr>'66'!Área_de_impresión</vt:lpstr>
      <vt:lpstr>'67'!Área_de_impresión</vt:lpstr>
      <vt:lpstr>'68'!Área_de_impresión</vt:lpstr>
      <vt:lpstr>'69'!Área_de_impresión</vt:lpstr>
      <vt:lpstr>'6S'!Área_de_impresión</vt:lpstr>
      <vt:lpstr>'7'!Área_de_impresión</vt:lpstr>
      <vt:lpstr>'70'!Área_de_impresión</vt:lpstr>
      <vt:lpstr>'71'!Área_de_impresión</vt:lpstr>
      <vt:lpstr>'72'!Área_de_impresión</vt:lpstr>
      <vt:lpstr>'73'!Área_de_impresión</vt:lpstr>
      <vt:lpstr>'74'!Área_de_impresión</vt:lpstr>
      <vt:lpstr>'75'!Área_de_impresión</vt:lpstr>
      <vt:lpstr>'75N'!Área_de_impresión</vt:lpstr>
      <vt:lpstr>'76'!Área_de_impresión</vt:lpstr>
      <vt:lpstr>'77'!Área_de_impresión</vt:lpstr>
      <vt:lpstr>'78'!Área_de_impresión</vt:lpstr>
      <vt:lpstr>'79'!Área_de_impresión</vt:lpstr>
      <vt:lpstr>'7S'!Área_de_impresión</vt:lpstr>
      <vt:lpstr>'8'!Área_de_impresión</vt:lpstr>
      <vt:lpstr>'80'!Área_de_impresión</vt:lpstr>
      <vt:lpstr>'81'!Área_de_impresión</vt:lpstr>
      <vt:lpstr>'82'!Área_de_impresión</vt:lpstr>
      <vt:lpstr>'83'!Área_de_impresión</vt:lpstr>
      <vt:lpstr>'84'!Área_de_impresión</vt:lpstr>
      <vt:lpstr>'85'!Área_de_impresión</vt:lpstr>
      <vt:lpstr>'86'!Área_de_impresión</vt:lpstr>
      <vt:lpstr>'87'!Área_de_impresión</vt:lpstr>
      <vt:lpstr>'88'!Área_de_impresión</vt:lpstr>
      <vt:lpstr>'89'!Área_de_impresión</vt:lpstr>
      <vt:lpstr>'8S'!Área_de_impresión</vt:lpstr>
      <vt:lpstr>'9'!Área_de_impresión</vt:lpstr>
      <vt:lpstr>'90'!Área_de_impresión</vt:lpstr>
      <vt:lpstr>'91'!Área_de_impresión</vt:lpstr>
      <vt:lpstr>'92'!Área_de_impresión</vt:lpstr>
      <vt:lpstr>'93'!Área_de_impresión</vt:lpstr>
      <vt:lpstr>'94'!Área_de_impresión</vt:lpstr>
      <vt:lpstr>'95'!Área_de_impresión</vt:lpstr>
      <vt:lpstr>'96'!Área_de_impresión</vt:lpstr>
      <vt:lpstr>'96N'!Área_de_impresión</vt:lpstr>
      <vt:lpstr>'97'!Área_de_impresión</vt:lpstr>
      <vt:lpstr>'98'!Área_de_impresión</vt:lpstr>
      <vt:lpstr>'99'!Área_de_impresión</vt:lpstr>
      <vt:lpstr>'9S'!Área_de_impresión</vt:lpstr>
      <vt:lpstr>'ANEXO PLIEGO_1'!Área_de_impresión</vt:lpstr>
      <vt:lpstr>'ANEXO PLIEGO_2'!Área_de_impresión</vt:lpstr>
      <vt:lpstr>'F PRESTACIONAL Y G GENERALES'!Área_de_impresión</vt:lpstr>
      <vt:lpstr>PMT!Área_de_impresión</vt:lpstr>
      <vt:lpstr>'POR AÑOS_OBRA2024'!Área_de_impresión</vt:lpstr>
      <vt:lpstr>'POR AÑOS_SUMINISTRO'!Área_de_impresión</vt:lpstr>
      <vt:lpstr>SECRETARÍA_DISTRITAL_DE_MOVILIDAD_SDM</vt:lpstr>
      <vt:lpstr>'ANEXO PLIEGO_1'!Títulos_a_imprimir</vt:lpstr>
      <vt:lpstr>'POR AÑOS_OBRA2024'!Títulos_a_imprimir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Hernando</dc:creator>
  <cp:lastModifiedBy>PAOLA VELA</cp:lastModifiedBy>
  <cp:lastPrinted>2020-09-17T19:08:39Z</cp:lastPrinted>
  <dcterms:created xsi:type="dcterms:W3CDTF">2020-06-10T20:36:39Z</dcterms:created>
  <dcterms:modified xsi:type="dcterms:W3CDTF">2024-10-25T21:27:02Z</dcterms:modified>
  <cp:contentStatus/>
</cp:coreProperties>
</file>