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usuario\Downloads\SUBASTA INVERSA BPO\CARGUE 3\"/>
    </mc:Choice>
  </mc:AlternateContent>
  <xr:revisionPtr revIDLastSave="0" documentId="13_ncr:1_{8264DE17-BF40-4CD2-ADD9-18567B0CEFBC}" xr6:coauthVersionLast="47" xr6:coauthVersionMax="47" xr10:uidLastSave="{00000000-0000-0000-0000-000000000000}"/>
  <bookViews>
    <workbookView xWindow="-120" yWindow="-120" windowWidth="20730" windowHeight="11160" xr2:uid="{45C9C7EC-53A3-4B9F-A09A-1C9B275DE493}"/>
  </bookViews>
  <sheets>
    <sheet name="PRECIOS UNIT 2024" sheetId="9" r:id="rId1"/>
    <sheet name="PRECIOS UNIT 2025" sheetId="10" r:id="rId2"/>
    <sheet name="2024 cuartiles" sheetId="12" r:id="rId3"/>
    <sheet name="2025 cuartiles" sheetId="13" r:id="rId4"/>
    <sheet name="Asig. salarial min" sheetId="14" r:id="rId5"/>
    <sheet name="Análisis presup total" sheetId="1" r:id="rId6"/>
    <sheet name="Hoja2" sheetId="2" r:id="rId7"/>
    <sheet name="Hoja1 (2)" sheetId="4" r:id="rId8"/>
    <sheet name="Hoja5" sheetId="5" r:id="rId9"/>
    <sheet name="Hoja3" sheetId="3" r:id="rId10"/>
  </sheets>
  <definedNames>
    <definedName name="_xlcn.WorksheetConnection_Libro2Datos_20241" hidden="1">Datos_2024[]</definedName>
  </definedNames>
  <calcPr calcId="191029"/>
  <pivotCaches>
    <pivotCache cacheId="3" r:id="rId11"/>
    <pivotCache cacheId="4" r:id="rId12"/>
    <pivotCache cacheId="5" r:id="rId1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atos_2024" name="Datos_2024" connection="WorksheetConnection_Libro2!Datos_2024"/>
        </x15:modelTables>
      </x15:dataModel>
    </ext>
  </extLst>
</workbook>
</file>

<file path=xl/calcChain.xml><?xml version="1.0" encoding="utf-8"?>
<calcChain xmlns="http://schemas.openxmlformats.org/spreadsheetml/2006/main">
  <c r="H55" i="9" l="1"/>
  <c r="H56" i="9"/>
  <c r="H57" i="9"/>
  <c r="H58" i="9"/>
  <c r="H59" i="9"/>
  <c r="H60" i="9"/>
  <c r="H54" i="9"/>
  <c r="AT15" i="14" l="1"/>
  <c r="AQ15" i="14"/>
  <c r="V15" i="14"/>
  <c r="J15" i="14"/>
  <c r="AT14" i="14"/>
  <c r="V14" i="14"/>
  <c r="AQ14" i="14" s="1"/>
  <c r="AS14" i="14" s="1"/>
  <c r="J14" i="14"/>
  <c r="AT13" i="14"/>
  <c r="AQ13" i="14"/>
  <c r="AS13" i="14" s="1"/>
  <c r="V13" i="14"/>
  <c r="J13" i="14"/>
  <c r="AT12" i="14"/>
  <c r="V12" i="14"/>
  <c r="AQ12" i="14" s="1"/>
  <c r="AS12" i="14" s="1"/>
  <c r="J12" i="14"/>
  <c r="AT11" i="14"/>
  <c r="V11" i="14"/>
  <c r="AQ11" i="14" s="1"/>
  <c r="AS11" i="14" s="1"/>
  <c r="J11" i="14"/>
  <c r="AT10" i="14"/>
  <c r="V10" i="14"/>
  <c r="AQ10" i="14" s="1"/>
  <c r="AS10" i="14" s="1"/>
  <c r="J10" i="14"/>
  <c r="AT9" i="14"/>
  <c r="AQ9" i="14"/>
  <c r="AS9" i="14" s="1"/>
  <c r="V9" i="14"/>
  <c r="J9" i="14"/>
  <c r="AT8" i="14"/>
  <c r="V8" i="14"/>
  <c r="AQ8" i="14" s="1"/>
  <c r="AS8" i="14" s="1"/>
  <c r="J8" i="14"/>
  <c r="D63" i="10" l="1"/>
  <c r="E73" i="10" s="1"/>
  <c r="G73" i="10" s="1"/>
  <c r="D60" i="10"/>
  <c r="F31" i="10"/>
  <c r="H31" i="10"/>
  <c r="I31" i="10"/>
  <c r="I60" i="9"/>
  <c r="J60" i="9" s="1"/>
  <c r="I59" i="9"/>
  <c r="J59" i="9" s="1"/>
  <c r="I58" i="9"/>
  <c r="J58" i="9" s="1"/>
  <c r="I57" i="9"/>
  <c r="J57" i="9" s="1"/>
  <c r="I56" i="9"/>
  <c r="J56" i="9" s="1"/>
  <c r="I55" i="9"/>
  <c r="J55" i="9" s="1"/>
  <c r="I54" i="9"/>
  <c r="J54" i="9" s="1"/>
  <c r="F30" i="9"/>
  <c r="G30" i="9"/>
  <c r="I30" i="9"/>
  <c r="Y22" i="13"/>
  <c r="W22" i="13"/>
  <c r="V22" i="13"/>
  <c r="U22" i="13"/>
  <c r="T22" i="13"/>
  <c r="R22" i="13"/>
  <c r="S22" i="13" s="1"/>
  <c r="Q22" i="13"/>
  <c r="O22" i="13"/>
  <c r="M22" i="13"/>
  <c r="N22" i="13" s="1"/>
  <c r="Y20" i="13"/>
  <c r="Q19" i="13"/>
  <c r="T16" i="13"/>
  <c r="V15" i="13"/>
  <c r="Y11" i="13"/>
  <c r="Y8" i="13"/>
  <c r="Y7" i="13"/>
  <c r="Q4" i="13"/>
  <c r="U20" i="13"/>
  <c r="U12" i="13"/>
  <c r="U4" i="13"/>
  <c r="Y21" i="13"/>
  <c r="W17" i="13"/>
  <c r="Y13" i="13"/>
  <c r="W9" i="13"/>
  <c r="V5" i="13"/>
  <c r="T21" i="13"/>
  <c r="T20" i="13"/>
  <c r="W16" i="13"/>
  <c r="X16" i="13" s="1"/>
  <c r="W21" i="13"/>
  <c r="U21" i="13"/>
  <c r="M21" i="13"/>
  <c r="N21" i="13" s="1"/>
  <c r="Q20" i="13"/>
  <c r="Y18" i="13"/>
  <c r="W18" i="13"/>
  <c r="V18" i="13"/>
  <c r="U18" i="13"/>
  <c r="T18" i="13"/>
  <c r="R18" i="13"/>
  <c r="S18" i="13" s="1"/>
  <c r="Q18" i="13"/>
  <c r="O18" i="13"/>
  <c r="M18" i="13"/>
  <c r="N18" i="13" s="1"/>
  <c r="Y17" i="13"/>
  <c r="V17" i="13"/>
  <c r="U17" i="13"/>
  <c r="T17" i="13"/>
  <c r="Q17" i="13"/>
  <c r="O17" i="13"/>
  <c r="Y14" i="13"/>
  <c r="W14" i="13"/>
  <c r="V14" i="13"/>
  <c r="U14" i="13"/>
  <c r="T14" i="13"/>
  <c r="R14" i="13"/>
  <c r="S14" i="13" s="1"/>
  <c r="Q14" i="13"/>
  <c r="O14" i="13"/>
  <c r="M14" i="13"/>
  <c r="N14" i="13" s="1"/>
  <c r="W13" i="13"/>
  <c r="V13" i="13"/>
  <c r="U13" i="13"/>
  <c r="R13" i="13"/>
  <c r="S13" i="13" s="1"/>
  <c r="Q13" i="13"/>
  <c r="M13" i="13"/>
  <c r="N13" i="13" s="1"/>
  <c r="Q12" i="13"/>
  <c r="Y10" i="13"/>
  <c r="W10" i="13"/>
  <c r="V10" i="13"/>
  <c r="U10" i="13"/>
  <c r="T10" i="13"/>
  <c r="R10" i="13"/>
  <c r="S10" i="13" s="1"/>
  <c r="Q10" i="13"/>
  <c r="O10" i="13"/>
  <c r="M10" i="13"/>
  <c r="N10" i="13" s="1"/>
  <c r="Y9" i="13"/>
  <c r="V9" i="13"/>
  <c r="U9" i="13"/>
  <c r="T9" i="13"/>
  <c r="Q9" i="13"/>
  <c r="O9" i="13"/>
  <c r="Y6" i="13"/>
  <c r="W6" i="13"/>
  <c r="X6" i="13" s="1"/>
  <c r="V6" i="13"/>
  <c r="U6" i="13"/>
  <c r="T6" i="13"/>
  <c r="R6" i="13"/>
  <c r="S6" i="13" s="1"/>
  <c r="Q6" i="13"/>
  <c r="O6" i="13"/>
  <c r="M6" i="13"/>
  <c r="N6" i="13" s="1"/>
  <c r="Y5" i="13"/>
  <c r="W5" i="13"/>
  <c r="X5" i="13" s="1"/>
  <c r="U5" i="13"/>
  <c r="T5" i="13"/>
  <c r="R5" i="13"/>
  <c r="S5" i="13" s="1"/>
  <c r="Q5" i="13"/>
  <c r="O5" i="13"/>
  <c r="M5" i="13"/>
  <c r="N5" i="13" s="1"/>
  <c r="Z21" i="12"/>
  <c r="X21" i="12"/>
  <c r="W21" i="12"/>
  <c r="V21" i="12"/>
  <c r="U21" i="12"/>
  <c r="S21" i="12"/>
  <c r="T21" i="12" s="1"/>
  <c r="R21" i="12"/>
  <c r="Q21" i="12"/>
  <c r="O21" i="12"/>
  <c r="M21" i="12"/>
  <c r="N21" i="12" s="1"/>
  <c r="Z20" i="12"/>
  <c r="X20" i="12"/>
  <c r="AB20" i="12" s="1"/>
  <c r="AD20" i="12" s="1"/>
  <c r="W20" i="12"/>
  <c r="V20" i="12"/>
  <c r="U20" i="12"/>
  <c r="S20" i="12"/>
  <c r="T20" i="12" s="1"/>
  <c r="R20" i="12"/>
  <c r="Q20" i="12"/>
  <c r="O20" i="12"/>
  <c r="M20" i="12"/>
  <c r="N20" i="12" s="1"/>
  <c r="Z19" i="12"/>
  <c r="X19" i="12"/>
  <c r="Y19" i="12" s="1"/>
  <c r="W19" i="12"/>
  <c r="V19" i="12"/>
  <c r="U19" i="12"/>
  <c r="S19" i="12"/>
  <c r="T19" i="12" s="1"/>
  <c r="R19" i="12"/>
  <c r="Q19" i="12"/>
  <c r="O19" i="12"/>
  <c r="M19" i="12"/>
  <c r="N19" i="12" s="1"/>
  <c r="Z18" i="12"/>
  <c r="X18" i="12"/>
  <c r="Y18" i="12" s="1"/>
  <c r="W18" i="12"/>
  <c r="V18" i="12"/>
  <c r="U18" i="12"/>
  <c r="S18" i="12"/>
  <c r="T18" i="12" s="1"/>
  <c r="R18" i="12"/>
  <c r="Q18" i="12"/>
  <c r="O18" i="12"/>
  <c r="M18" i="12"/>
  <c r="N18" i="12" s="1"/>
  <c r="Z17" i="12"/>
  <c r="X17" i="12"/>
  <c r="W17" i="12"/>
  <c r="V17" i="12"/>
  <c r="U17" i="12"/>
  <c r="S17" i="12"/>
  <c r="T17" i="12" s="1"/>
  <c r="R17" i="12"/>
  <c r="Q17" i="12"/>
  <c r="O17" i="12"/>
  <c r="M17" i="12"/>
  <c r="N17" i="12" s="1"/>
  <c r="Z16" i="12"/>
  <c r="Y16" i="12"/>
  <c r="X16" i="12"/>
  <c r="W16" i="12"/>
  <c r="V16" i="12"/>
  <c r="U16" i="12"/>
  <c r="S16" i="12"/>
  <c r="T16" i="12" s="1"/>
  <c r="R16" i="12"/>
  <c r="Q16" i="12"/>
  <c r="O16" i="12"/>
  <c r="M16" i="12"/>
  <c r="N16" i="12" s="1"/>
  <c r="Z15" i="12"/>
  <c r="Y15" i="12"/>
  <c r="X15" i="12"/>
  <c r="W15" i="12"/>
  <c r="V15" i="12"/>
  <c r="U15" i="12"/>
  <c r="S15" i="12"/>
  <c r="T15" i="12" s="1"/>
  <c r="R15" i="12"/>
  <c r="Q15" i="12"/>
  <c r="O15" i="12"/>
  <c r="M15" i="12"/>
  <c r="N15" i="12" s="1"/>
  <c r="Z14" i="12"/>
  <c r="X14" i="12"/>
  <c r="Y14" i="12" s="1"/>
  <c r="W14" i="12"/>
  <c r="V14" i="12"/>
  <c r="U14" i="12"/>
  <c r="S14" i="12"/>
  <c r="T14" i="12" s="1"/>
  <c r="R14" i="12"/>
  <c r="Q14" i="12"/>
  <c r="O14" i="12"/>
  <c r="M14" i="12"/>
  <c r="N14" i="12" s="1"/>
  <c r="Z13" i="12"/>
  <c r="X13" i="12"/>
  <c r="Y13" i="12" s="1"/>
  <c r="W13" i="12"/>
  <c r="V13" i="12"/>
  <c r="U13" i="12"/>
  <c r="S13" i="12"/>
  <c r="T13" i="12" s="1"/>
  <c r="R13" i="12"/>
  <c r="Q13" i="12"/>
  <c r="O13" i="12"/>
  <c r="M13" i="12"/>
  <c r="N13" i="12" s="1"/>
  <c r="Z12" i="12"/>
  <c r="X12" i="12"/>
  <c r="W12" i="12"/>
  <c r="V12" i="12"/>
  <c r="U12" i="12"/>
  <c r="S12" i="12"/>
  <c r="T12" i="12" s="1"/>
  <c r="R12" i="12"/>
  <c r="Q12" i="12"/>
  <c r="O12" i="12"/>
  <c r="M12" i="12"/>
  <c r="N12" i="12" s="1"/>
  <c r="Z11" i="12"/>
  <c r="X11" i="12"/>
  <c r="Y11" i="12" s="1"/>
  <c r="W11" i="12"/>
  <c r="V11" i="12"/>
  <c r="U11" i="12"/>
  <c r="S11" i="12"/>
  <c r="T11" i="12" s="1"/>
  <c r="R11" i="12"/>
  <c r="Q11" i="12"/>
  <c r="O11" i="12"/>
  <c r="M11" i="12"/>
  <c r="N11" i="12" s="1"/>
  <c r="Z10" i="12"/>
  <c r="X10" i="12"/>
  <c r="Y10" i="12" s="1"/>
  <c r="W10" i="12"/>
  <c r="V10" i="12"/>
  <c r="U10" i="12"/>
  <c r="S10" i="12"/>
  <c r="T10" i="12" s="1"/>
  <c r="R10" i="12"/>
  <c r="Q10" i="12"/>
  <c r="O10" i="12"/>
  <c r="M10" i="12"/>
  <c r="N10" i="12" s="1"/>
  <c r="Z9" i="12"/>
  <c r="X9" i="12"/>
  <c r="AB9" i="12" s="1"/>
  <c r="AC9" i="12" s="1"/>
  <c r="W9" i="12"/>
  <c r="V9" i="12"/>
  <c r="U9" i="12"/>
  <c r="S9" i="12"/>
  <c r="T9" i="12" s="1"/>
  <c r="R9" i="12"/>
  <c r="Q9" i="12"/>
  <c r="O9" i="12"/>
  <c r="M9" i="12"/>
  <c r="N9" i="12" s="1"/>
  <c r="Z8" i="12"/>
  <c r="X8" i="12"/>
  <c r="Y8" i="12" s="1"/>
  <c r="W8" i="12"/>
  <c r="V8" i="12"/>
  <c r="U8" i="12"/>
  <c r="S8" i="12"/>
  <c r="T8" i="12" s="1"/>
  <c r="R8" i="12"/>
  <c r="Q8" i="12"/>
  <c r="O8" i="12"/>
  <c r="M8" i="12"/>
  <c r="N8" i="12" s="1"/>
  <c r="Z7" i="12"/>
  <c r="X7" i="12"/>
  <c r="Y7" i="12" s="1"/>
  <c r="W7" i="12"/>
  <c r="V7" i="12"/>
  <c r="U7" i="12"/>
  <c r="S7" i="12"/>
  <c r="T7" i="12" s="1"/>
  <c r="R7" i="12"/>
  <c r="Q7" i="12"/>
  <c r="O7" i="12"/>
  <c r="M7" i="12"/>
  <c r="N7" i="12" s="1"/>
  <c r="Z6" i="12"/>
  <c r="Y6" i="12"/>
  <c r="X6" i="12"/>
  <c r="W6" i="12"/>
  <c r="V6" i="12"/>
  <c r="U6" i="12"/>
  <c r="S6" i="12"/>
  <c r="T6" i="12" s="1"/>
  <c r="R6" i="12"/>
  <c r="Q6" i="12"/>
  <c r="O6" i="12"/>
  <c r="P6" i="12" s="1"/>
  <c r="M6" i="12"/>
  <c r="N6" i="12" s="1"/>
  <c r="Z5" i="12"/>
  <c r="X5" i="12"/>
  <c r="Y5" i="12" s="1"/>
  <c r="W5" i="12"/>
  <c r="V5" i="12"/>
  <c r="U5" i="12"/>
  <c r="S5" i="12"/>
  <c r="T5" i="12" s="1"/>
  <c r="R5" i="12"/>
  <c r="Q5" i="12"/>
  <c r="O5" i="12"/>
  <c r="M5" i="12"/>
  <c r="N5" i="12" s="1"/>
  <c r="Z4" i="12"/>
  <c r="X4" i="12"/>
  <c r="W4" i="12"/>
  <c r="V4" i="12"/>
  <c r="U4" i="12"/>
  <c r="S4" i="12"/>
  <c r="T4" i="12" s="1"/>
  <c r="R4" i="12"/>
  <c r="Q4" i="12"/>
  <c r="O4" i="12"/>
  <c r="M4" i="12"/>
  <c r="BQ22" i="9"/>
  <c r="BR22" i="9"/>
  <c r="BS5" i="9"/>
  <c r="BT5" i="9" s="1"/>
  <c r="BS6" i="9"/>
  <c r="BT6" i="9" s="1"/>
  <c r="BS7" i="9"/>
  <c r="BT7" i="9" s="1"/>
  <c r="BS8" i="9"/>
  <c r="BT8" i="9" s="1"/>
  <c r="BS9" i="9"/>
  <c r="BT9" i="9" s="1"/>
  <c r="BS10" i="9"/>
  <c r="BT10" i="9" s="1"/>
  <c r="BS11" i="9"/>
  <c r="BT11" i="9" s="1"/>
  <c r="BS12" i="9"/>
  <c r="BT12" i="9" s="1"/>
  <c r="BS13" i="9"/>
  <c r="BT13" i="9" s="1"/>
  <c r="BS14" i="9"/>
  <c r="BT14" i="9" s="1"/>
  <c r="BS15" i="9"/>
  <c r="BT15" i="9" s="1"/>
  <c r="BS16" i="9"/>
  <c r="BT16" i="9" s="1"/>
  <c r="BS17" i="9"/>
  <c r="BT17" i="9" s="1"/>
  <c r="BS18" i="9"/>
  <c r="BT18" i="9" s="1"/>
  <c r="BS19" i="9"/>
  <c r="BT19" i="9" s="1"/>
  <c r="BS20" i="9"/>
  <c r="BT20" i="9" s="1"/>
  <c r="BS21" i="9"/>
  <c r="BT21" i="9" s="1"/>
  <c r="BS4" i="9"/>
  <c r="BT4" i="9" s="1"/>
  <c r="BO5" i="9"/>
  <c r="BP5" i="9" s="1"/>
  <c r="BO6" i="9"/>
  <c r="BP6" i="9" s="1"/>
  <c r="BO7" i="9"/>
  <c r="BP7" i="9" s="1"/>
  <c r="BO8" i="9"/>
  <c r="BP8" i="9" s="1"/>
  <c r="BO9" i="9"/>
  <c r="BP9" i="9" s="1"/>
  <c r="BO10" i="9"/>
  <c r="BP10" i="9" s="1"/>
  <c r="BO11" i="9"/>
  <c r="BP11" i="9" s="1"/>
  <c r="BO12" i="9"/>
  <c r="BP12" i="9" s="1"/>
  <c r="BO13" i="9"/>
  <c r="BP13" i="9" s="1"/>
  <c r="BO14" i="9"/>
  <c r="BP14" i="9" s="1"/>
  <c r="BO15" i="9"/>
  <c r="BP15" i="9" s="1"/>
  <c r="BO16" i="9"/>
  <c r="BP16" i="9" s="1"/>
  <c r="BO17" i="9"/>
  <c r="BP17" i="9" s="1"/>
  <c r="BO18" i="9"/>
  <c r="BP18" i="9" s="1"/>
  <c r="BO19" i="9"/>
  <c r="BP19" i="9" s="1"/>
  <c r="BO20" i="9"/>
  <c r="BP20" i="9" s="1"/>
  <c r="BO21" i="9"/>
  <c r="BP21" i="9" s="1"/>
  <c r="BO4" i="9"/>
  <c r="BP4" i="9" s="1"/>
  <c r="H73" i="10" l="1"/>
  <c r="I73" i="10" s="1"/>
  <c r="J73" i="10" s="1"/>
  <c r="E67" i="10"/>
  <c r="G67" i="10" s="1"/>
  <c r="E70" i="10"/>
  <c r="G70" i="10" s="1"/>
  <c r="E71" i="10"/>
  <c r="G71" i="10" s="1"/>
  <c r="E68" i="10"/>
  <c r="G68" i="10" s="1"/>
  <c r="E72" i="10"/>
  <c r="G72" i="10" s="1"/>
  <c r="E69" i="10"/>
  <c r="G69" i="10" s="1"/>
  <c r="J61" i="9"/>
  <c r="AA22" i="13"/>
  <c r="AC22" i="13" s="1"/>
  <c r="P22" i="13"/>
  <c r="X22" i="13"/>
  <c r="M22" i="12"/>
  <c r="AB4" i="12"/>
  <c r="AD4" i="12" s="1"/>
  <c r="AB12" i="12"/>
  <c r="P14" i="12"/>
  <c r="AB17" i="12"/>
  <c r="AC17" i="12" s="1"/>
  <c r="AB21" i="12"/>
  <c r="AA11" i="12"/>
  <c r="P13" i="12"/>
  <c r="AA19" i="12"/>
  <c r="AA21" i="12"/>
  <c r="Z22" i="13"/>
  <c r="O16" i="13"/>
  <c r="V20" i="13"/>
  <c r="U19" i="13"/>
  <c r="Y16" i="13"/>
  <c r="Z16" i="13" s="1"/>
  <c r="Q16" i="13"/>
  <c r="U8" i="13"/>
  <c r="V12" i="13"/>
  <c r="U16" i="13"/>
  <c r="AA16" i="13" s="1"/>
  <c r="V8" i="13"/>
  <c r="Q21" i="13"/>
  <c r="V21" i="13"/>
  <c r="R21" i="13"/>
  <c r="S21" i="13" s="1"/>
  <c r="M15" i="13"/>
  <c r="N15" i="13" s="1"/>
  <c r="P18" i="13"/>
  <c r="Y19" i="13"/>
  <c r="W7" i="13"/>
  <c r="X7" i="13" s="1"/>
  <c r="T19" i="13"/>
  <c r="Z20" i="13"/>
  <c r="O11" i="13"/>
  <c r="R15" i="13"/>
  <c r="S15" i="13" s="1"/>
  <c r="V19" i="13"/>
  <c r="W11" i="13"/>
  <c r="X11" i="13" s="1"/>
  <c r="V4" i="13"/>
  <c r="O7" i="13"/>
  <c r="Q8" i="13"/>
  <c r="T11" i="13"/>
  <c r="Z11" i="13" s="1"/>
  <c r="AA13" i="13"/>
  <c r="AC13" i="13" s="1"/>
  <c r="W15" i="13"/>
  <c r="X15" i="13" s="1"/>
  <c r="M19" i="13"/>
  <c r="N19" i="13" s="1"/>
  <c r="R19" i="13"/>
  <c r="S19" i="13" s="1"/>
  <c r="W19" i="13"/>
  <c r="X19" i="13" s="1"/>
  <c r="M20" i="13"/>
  <c r="N20" i="13" s="1"/>
  <c r="R20" i="13"/>
  <c r="S20" i="13" s="1"/>
  <c r="W20" i="13"/>
  <c r="X20" i="13" s="1"/>
  <c r="AA21" i="13"/>
  <c r="Y4" i="13"/>
  <c r="Y12" i="13"/>
  <c r="T7" i="13"/>
  <c r="Z7" i="13" s="1"/>
  <c r="M9" i="13"/>
  <c r="N9" i="13" s="1"/>
  <c r="R9" i="13"/>
  <c r="S9" i="13" s="1"/>
  <c r="O13" i="13"/>
  <c r="P13" i="13" s="1"/>
  <c r="T13" i="13"/>
  <c r="Z13" i="13" s="1"/>
  <c r="M17" i="13"/>
  <c r="N17" i="13" s="1"/>
  <c r="R17" i="13"/>
  <c r="S17" i="13" s="1"/>
  <c r="O19" i="13"/>
  <c r="O20" i="13"/>
  <c r="O21" i="13"/>
  <c r="X21" i="13"/>
  <c r="M4" i="13"/>
  <c r="N4" i="13" s="1"/>
  <c r="V7" i="13"/>
  <c r="M8" i="13"/>
  <c r="N8" i="13" s="1"/>
  <c r="R8" i="13"/>
  <c r="S8" i="13" s="1"/>
  <c r="W8" i="13"/>
  <c r="X8" i="13" s="1"/>
  <c r="V11" i="13"/>
  <c r="M12" i="13"/>
  <c r="N12" i="13" s="1"/>
  <c r="R12" i="13"/>
  <c r="S12" i="13" s="1"/>
  <c r="W12" i="13"/>
  <c r="X12" i="13" s="1"/>
  <c r="Q15" i="13"/>
  <c r="U15" i="13"/>
  <c r="V16" i="13"/>
  <c r="AA18" i="13"/>
  <c r="AB18" i="13" s="1"/>
  <c r="Q7" i="13"/>
  <c r="U7" i="13"/>
  <c r="Q11" i="13"/>
  <c r="U11" i="13"/>
  <c r="O15" i="13"/>
  <c r="T15" i="13"/>
  <c r="Y15" i="13"/>
  <c r="R4" i="13"/>
  <c r="S4" i="13" s="1"/>
  <c r="W4" i="13"/>
  <c r="X4" i="13" s="1"/>
  <c r="O4" i="13"/>
  <c r="T4" i="13"/>
  <c r="M7" i="13"/>
  <c r="N7" i="13" s="1"/>
  <c r="R7" i="13"/>
  <c r="S7" i="13" s="1"/>
  <c r="O8" i="13"/>
  <c r="T8" i="13"/>
  <c r="Z8" i="13" s="1"/>
  <c r="M11" i="13"/>
  <c r="N11" i="13" s="1"/>
  <c r="R11" i="13"/>
  <c r="S11" i="13" s="1"/>
  <c r="O12" i="13"/>
  <c r="P12" i="13" s="1"/>
  <c r="T12" i="13"/>
  <c r="M16" i="13"/>
  <c r="N16" i="13" s="1"/>
  <c r="R16" i="13"/>
  <c r="S16" i="13" s="1"/>
  <c r="P14" i="13"/>
  <c r="Z5" i="13"/>
  <c r="Z6" i="13"/>
  <c r="AA10" i="13"/>
  <c r="AB10" i="13" s="1"/>
  <c r="P10" i="13"/>
  <c r="X10" i="13"/>
  <c r="X13" i="13"/>
  <c r="X18" i="13"/>
  <c r="AA9" i="13"/>
  <c r="AA14" i="13"/>
  <c r="AB14" i="13" s="1"/>
  <c r="AA17" i="13"/>
  <c r="X9" i="13"/>
  <c r="X14" i="13"/>
  <c r="X17" i="13"/>
  <c r="AA6" i="13"/>
  <c r="Z10" i="13"/>
  <c r="Z14" i="13"/>
  <c r="Z18" i="13"/>
  <c r="AA5" i="13"/>
  <c r="P21" i="13"/>
  <c r="P5" i="13"/>
  <c r="P6" i="13"/>
  <c r="Z9" i="13"/>
  <c r="AA11" i="13"/>
  <c r="Z17" i="13"/>
  <c r="Z21" i="13"/>
  <c r="Y4" i="12"/>
  <c r="AA7" i="12"/>
  <c r="AA15" i="12"/>
  <c r="AB5" i="12"/>
  <c r="P9" i="12"/>
  <c r="Y9" i="12"/>
  <c r="P10" i="12"/>
  <c r="Y12" i="12"/>
  <c r="Y22" i="12" s="1"/>
  <c r="P17" i="12"/>
  <c r="Y17" i="12"/>
  <c r="P18" i="12"/>
  <c r="Y20" i="12"/>
  <c r="Y21" i="12"/>
  <c r="AC4" i="12"/>
  <c r="P5" i="12"/>
  <c r="AB8" i="12"/>
  <c r="AB13" i="12"/>
  <c r="AC13" i="12" s="1"/>
  <c r="AB16" i="12"/>
  <c r="AD9" i="12"/>
  <c r="AD17" i="12"/>
  <c r="AA10" i="12"/>
  <c r="AA14" i="12"/>
  <c r="AA18" i="12"/>
  <c r="P20" i="12"/>
  <c r="AD21" i="12"/>
  <c r="AC21" i="12"/>
  <c r="AA6" i="12"/>
  <c r="P4" i="12"/>
  <c r="AA5" i="12"/>
  <c r="AB7" i="12"/>
  <c r="P8" i="12"/>
  <c r="AA9" i="12"/>
  <c r="AB11" i="12"/>
  <c r="P12" i="12"/>
  <c r="AA13" i="12"/>
  <c r="AB15" i="12"/>
  <c r="P16" i="12"/>
  <c r="AA17" i="12"/>
  <c r="AB19" i="12"/>
  <c r="AA20" i="12"/>
  <c r="P21" i="12"/>
  <c r="N4" i="12"/>
  <c r="N22" i="12" s="1"/>
  <c r="AA4" i="12"/>
  <c r="AB6" i="12"/>
  <c r="P7" i="12"/>
  <c r="AA8" i="12"/>
  <c r="AB10" i="12"/>
  <c r="P11" i="12"/>
  <c r="AA12" i="12"/>
  <c r="AB14" i="12"/>
  <c r="P15" i="12"/>
  <c r="AA16" i="12"/>
  <c r="AB18" i="12"/>
  <c r="P19" i="12"/>
  <c r="AC20" i="12"/>
  <c r="BS22" i="9"/>
  <c r="BO22" i="9"/>
  <c r="BP22" i="9"/>
  <c r="BT22" i="9"/>
  <c r="Y22" i="10"/>
  <c r="V22" i="10"/>
  <c r="S22" i="10"/>
  <c r="P22" i="10"/>
  <c r="M22" i="10"/>
  <c r="J22" i="10"/>
  <c r="Y21" i="10"/>
  <c r="V21" i="10"/>
  <c r="S21" i="10"/>
  <c r="P21" i="10"/>
  <c r="M21" i="10"/>
  <c r="J21" i="10"/>
  <c r="Y20" i="10"/>
  <c r="V20" i="10"/>
  <c r="S20" i="10"/>
  <c r="P20" i="10"/>
  <c r="M20" i="10"/>
  <c r="J20" i="10"/>
  <c r="Y19" i="10"/>
  <c r="V19" i="10"/>
  <c r="S19" i="10"/>
  <c r="P19" i="10"/>
  <c r="M19" i="10"/>
  <c r="J19" i="10"/>
  <c r="Y18" i="10"/>
  <c r="V18" i="10"/>
  <c r="S18" i="10"/>
  <c r="P18" i="10"/>
  <c r="M18" i="10"/>
  <c r="J18" i="10"/>
  <c r="G18" i="10"/>
  <c r="Y17" i="10"/>
  <c r="V17" i="10"/>
  <c r="S17" i="10"/>
  <c r="P17" i="10"/>
  <c r="M17" i="10"/>
  <c r="J17" i="10"/>
  <c r="G17" i="10"/>
  <c r="Y16" i="10"/>
  <c r="V16" i="10"/>
  <c r="S16" i="10"/>
  <c r="P16" i="10"/>
  <c r="M16" i="10"/>
  <c r="J16" i="10"/>
  <c r="G16" i="10"/>
  <c r="Y15" i="10"/>
  <c r="V15" i="10"/>
  <c r="S15" i="10"/>
  <c r="P15" i="10"/>
  <c r="M15" i="10"/>
  <c r="J15" i="10"/>
  <c r="G15" i="10"/>
  <c r="Y14" i="10"/>
  <c r="V14" i="10"/>
  <c r="S14" i="10"/>
  <c r="P14" i="10"/>
  <c r="M14" i="10"/>
  <c r="J14" i="10"/>
  <c r="G14" i="10"/>
  <c r="Y13" i="10"/>
  <c r="V13" i="10"/>
  <c r="S13" i="10"/>
  <c r="P13" i="10"/>
  <c r="M13" i="10"/>
  <c r="J13" i="10"/>
  <c r="G13" i="10"/>
  <c r="Y12" i="10"/>
  <c r="V12" i="10"/>
  <c r="S12" i="10"/>
  <c r="P12" i="10"/>
  <c r="M12" i="10"/>
  <c r="J12" i="10"/>
  <c r="G12" i="10"/>
  <c r="Y11" i="10"/>
  <c r="V11" i="10"/>
  <c r="S11" i="10"/>
  <c r="P11" i="10"/>
  <c r="M11" i="10"/>
  <c r="J11" i="10"/>
  <c r="G11" i="10"/>
  <c r="Y10" i="10"/>
  <c r="V10" i="10"/>
  <c r="S10" i="10"/>
  <c r="P10" i="10"/>
  <c r="M10" i="10"/>
  <c r="J10" i="10"/>
  <c r="G10" i="10"/>
  <c r="Y9" i="10"/>
  <c r="V9" i="10"/>
  <c r="S9" i="10"/>
  <c r="P9" i="10"/>
  <c r="M9" i="10"/>
  <c r="J9" i="10"/>
  <c r="G9" i="10"/>
  <c r="Y8" i="10"/>
  <c r="V8" i="10"/>
  <c r="S8" i="10"/>
  <c r="P8" i="10"/>
  <c r="M8" i="10"/>
  <c r="J8" i="10"/>
  <c r="G8" i="10"/>
  <c r="Y7" i="10"/>
  <c r="V7" i="10"/>
  <c r="S7" i="10"/>
  <c r="P7" i="10"/>
  <c r="M7" i="10"/>
  <c r="J7" i="10"/>
  <c r="G7" i="10"/>
  <c r="Y6" i="10"/>
  <c r="V6" i="10"/>
  <c r="S6" i="10"/>
  <c r="P6" i="10"/>
  <c r="M6" i="10"/>
  <c r="J6" i="10"/>
  <c r="G6" i="10"/>
  <c r="Y5" i="10"/>
  <c r="V5" i="10"/>
  <c r="S5" i="10"/>
  <c r="P5" i="10"/>
  <c r="M5" i="10"/>
  <c r="J5" i="10"/>
  <c r="G5" i="10"/>
  <c r="Y4" i="10"/>
  <c r="V4" i="10"/>
  <c r="S4" i="10"/>
  <c r="P4" i="10"/>
  <c r="M4" i="10"/>
  <c r="J4" i="10"/>
  <c r="G4" i="10"/>
  <c r="H70" i="10" l="1"/>
  <c r="I70" i="10" s="1"/>
  <c r="J70" i="10" s="1"/>
  <c r="H67" i="10"/>
  <c r="I67" i="10" s="1"/>
  <c r="J67" i="10" s="1"/>
  <c r="H68" i="10"/>
  <c r="I68" i="10" s="1"/>
  <c r="J68" i="10" s="1"/>
  <c r="H69" i="10"/>
  <c r="I69" i="10" s="1"/>
  <c r="J69" i="10" s="1"/>
  <c r="H72" i="10"/>
  <c r="I72" i="10" s="1"/>
  <c r="J72" i="10" s="1"/>
  <c r="H71" i="10"/>
  <c r="I71" i="10" s="1"/>
  <c r="J71" i="10" s="1"/>
  <c r="AA7" i="10"/>
  <c r="AB7" i="10" s="1"/>
  <c r="AC7" i="10" s="1"/>
  <c r="AA11" i="10"/>
  <c r="AB11" i="10" s="1"/>
  <c r="AC11" i="10" s="1"/>
  <c r="AA15" i="10"/>
  <c r="AB15" i="10" s="1"/>
  <c r="AC15" i="10" s="1"/>
  <c r="AA21" i="10"/>
  <c r="AB21" i="10" s="1"/>
  <c r="AC21" i="10" s="1"/>
  <c r="AA19" i="10"/>
  <c r="AB19" i="10" s="1"/>
  <c r="AC19" i="10" s="1"/>
  <c r="P4" i="13"/>
  <c r="AB22" i="13"/>
  <c r="AD13" i="12"/>
  <c r="AD12" i="12"/>
  <c r="AC12" i="12"/>
  <c r="AA8" i="13"/>
  <c r="AB8" i="13" s="1"/>
  <c r="P15" i="13"/>
  <c r="P11" i="13"/>
  <c r="AC10" i="13"/>
  <c r="P17" i="13"/>
  <c r="P9" i="13"/>
  <c r="P20" i="13"/>
  <c r="AA19" i="13"/>
  <c r="AB19" i="13" s="1"/>
  <c r="Z4" i="13"/>
  <c r="Z19" i="13"/>
  <c r="AC18" i="13"/>
  <c r="AA12" i="13"/>
  <c r="AB12" i="13" s="1"/>
  <c r="AA15" i="13"/>
  <c r="AB15" i="13" s="1"/>
  <c r="AA7" i="13"/>
  <c r="AC7" i="13" s="1"/>
  <c r="P19" i="13"/>
  <c r="AA20" i="13"/>
  <c r="AB20" i="13" s="1"/>
  <c r="AB13" i="13"/>
  <c r="Z12" i="13"/>
  <c r="AC21" i="13"/>
  <c r="AB21" i="13"/>
  <c r="AA4" i="13"/>
  <c r="AC4" i="13" s="1"/>
  <c r="P8" i="13"/>
  <c r="Z15" i="13"/>
  <c r="P7" i="13"/>
  <c r="P16" i="13"/>
  <c r="AC14" i="13"/>
  <c r="AC17" i="13"/>
  <c r="AB17" i="13"/>
  <c r="AC9" i="13"/>
  <c r="AB9" i="13"/>
  <c r="AC11" i="13"/>
  <c r="AB11" i="13"/>
  <c r="AC5" i="13"/>
  <c r="AB5" i="13"/>
  <c r="AC16" i="13"/>
  <c r="AB16" i="13"/>
  <c r="AC6" i="13"/>
  <c r="AB6" i="13"/>
  <c r="AD16" i="12"/>
  <c r="AC16" i="12"/>
  <c r="AD8" i="12"/>
  <c r="AC8" i="12"/>
  <c r="AC5" i="12"/>
  <c r="AD5" i="12"/>
  <c r="AD18" i="12"/>
  <c r="AC18" i="12"/>
  <c r="AD19" i="12"/>
  <c r="AC19" i="12"/>
  <c r="P22" i="12"/>
  <c r="AD14" i="12"/>
  <c r="AC14" i="12"/>
  <c r="AD15" i="12"/>
  <c r="AC15" i="12"/>
  <c r="AD6" i="12"/>
  <c r="AC6" i="12"/>
  <c r="AD7" i="12"/>
  <c r="AC7" i="12"/>
  <c r="AD10" i="12"/>
  <c r="AC10" i="12"/>
  <c r="AC11" i="12"/>
  <c r="AD11" i="12"/>
  <c r="AA5" i="10"/>
  <c r="AB5" i="10" s="1"/>
  <c r="AC5" i="10" s="1"/>
  <c r="AA9" i="10"/>
  <c r="AB9" i="10" s="1"/>
  <c r="AC9" i="10" s="1"/>
  <c r="AA13" i="10"/>
  <c r="AB13" i="10" s="1"/>
  <c r="AC13" i="10" s="1"/>
  <c r="AA17" i="10"/>
  <c r="AB17" i="10" s="1"/>
  <c r="AC17" i="10" s="1"/>
  <c r="AA20" i="10"/>
  <c r="AB20" i="10" s="1"/>
  <c r="AC20" i="10" s="1"/>
  <c r="AA22" i="10"/>
  <c r="AB22" i="10" s="1"/>
  <c r="AC22" i="10" s="1"/>
  <c r="AA4" i="10"/>
  <c r="AA8" i="10"/>
  <c r="AB8" i="10" s="1"/>
  <c r="AC8" i="10" s="1"/>
  <c r="AA12" i="10"/>
  <c r="AB12" i="10" s="1"/>
  <c r="AC12" i="10" s="1"/>
  <c r="AA16" i="10"/>
  <c r="AB16" i="10" s="1"/>
  <c r="AC16" i="10" s="1"/>
  <c r="AA6" i="10"/>
  <c r="AB6" i="10" s="1"/>
  <c r="AC6" i="10" s="1"/>
  <c r="AA10" i="10"/>
  <c r="AB10" i="10" s="1"/>
  <c r="AC10" i="10" s="1"/>
  <c r="AA14" i="10"/>
  <c r="AB14" i="10" s="1"/>
  <c r="AC14" i="10" s="1"/>
  <c r="AA18" i="10"/>
  <c r="AB18" i="10" s="1"/>
  <c r="AC18" i="10" s="1"/>
  <c r="AE5" i="10"/>
  <c r="AH5" i="10"/>
  <c r="AE6" i="10"/>
  <c r="AH6" i="10"/>
  <c r="AJ13" i="10"/>
  <c r="AE13" i="10"/>
  <c r="AK13" i="10"/>
  <c r="AH13" i="10"/>
  <c r="AE17" i="10"/>
  <c r="AJ17" i="10"/>
  <c r="AK17" i="10"/>
  <c r="AH17" i="10"/>
  <c r="AH4" i="10"/>
  <c r="AJ4" i="10"/>
  <c r="E32" i="10" s="1"/>
  <c r="AE4" i="10"/>
  <c r="AK4" i="10"/>
  <c r="F32" i="10" s="1"/>
  <c r="AJ5" i="10"/>
  <c r="AK5" i="10"/>
  <c r="F33" i="10" s="1"/>
  <c r="AK6" i="10"/>
  <c r="F34" i="10" s="1"/>
  <c r="AJ6" i="10"/>
  <c r="AH11" i="10"/>
  <c r="AE11" i="10"/>
  <c r="AH12" i="10"/>
  <c r="AJ12" i="10"/>
  <c r="AK12" i="10"/>
  <c r="F40" i="10" s="1"/>
  <c r="AE12" i="10"/>
  <c r="AH16" i="10"/>
  <c r="AJ16" i="10"/>
  <c r="AK16" i="10"/>
  <c r="F44" i="10" s="1"/>
  <c r="AE16" i="10"/>
  <c r="AJ22" i="10"/>
  <c r="AK22" i="10"/>
  <c r="F50" i="10" s="1"/>
  <c r="AE22" i="10"/>
  <c r="AH22" i="10"/>
  <c r="AJ9" i="10"/>
  <c r="AE9" i="10"/>
  <c r="AF9" i="10" s="1"/>
  <c r="AK9" i="10"/>
  <c r="F37" i="10" s="1"/>
  <c r="AH9" i="10"/>
  <c r="AK10" i="10"/>
  <c r="AE10" i="10"/>
  <c r="AH10" i="10"/>
  <c r="AJ10" i="10"/>
  <c r="AK11" i="10"/>
  <c r="F39" i="10" s="1"/>
  <c r="AJ11" i="10"/>
  <c r="AK15" i="10"/>
  <c r="F43" i="10" s="1"/>
  <c r="AH15" i="10"/>
  <c r="AJ15" i="10"/>
  <c r="AE15" i="10"/>
  <c r="AK19" i="10"/>
  <c r="F47" i="10" s="1"/>
  <c r="AH19" i="10"/>
  <c r="AJ19" i="10"/>
  <c r="AE19" i="10"/>
  <c r="AF19" i="10" s="1"/>
  <c r="AE7" i="10"/>
  <c r="AH8" i="10"/>
  <c r="AJ8" i="10"/>
  <c r="AK8" i="10"/>
  <c r="F36" i="10" s="1"/>
  <c r="AE8" i="10"/>
  <c r="AK14" i="10"/>
  <c r="F42" i="10" s="1"/>
  <c r="AE14" i="10"/>
  <c r="AF14" i="10" s="1"/>
  <c r="AH14" i="10"/>
  <c r="AJ14" i="10"/>
  <c r="AJ18" i="10"/>
  <c r="AK18" i="10"/>
  <c r="AE18" i="10"/>
  <c r="AF18" i="10" s="1"/>
  <c r="AH18" i="10"/>
  <c r="AE21" i="10"/>
  <c r="AJ21" i="10"/>
  <c r="AK21" i="10"/>
  <c r="F49" i="10" s="1"/>
  <c r="AH21" i="10"/>
  <c r="AK7" i="10"/>
  <c r="F35" i="10" s="1"/>
  <c r="AH7" i="10"/>
  <c r="AJ7" i="10"/>
  <c r="AH20" i="10"/>
  <c r="AJ20" i="10"/>
  <c r="AE20" i="10"/>
  <c r="AF20" i="10" s="1"/>
  <c r="AK20" i="10"/>
  <c r="F48" i="10" s="1"/>
  <c r="J74" i="10" l="1"/>
  <c r="AF11" i="10"/>
  <c r="AL18" i="10"/>
  <c r="E46" i="10"/>
  <c r="AL10" i="10"/>
  <c r="E38" i="10"/>
  <c r="AL5" i="10"/>
  <c r="E33" i="10"/>
  <c r="AL7" i="10"/>
  <c r="E35" i="10"/>
  <c r="AL11" i="10"/>
  <c r="E39" i="10"/>
  <c r="AL16" i="10"/>
  <c r="E44" i="10"/>
  <c r="AL12" i="10"/>
  <c r="E40" i="10"/>
  <c r="AL6" i="10"/>
  <c r="E34" i="10"/>
  <c r="AL20" i="10"/>
  <c r="E48" i="10"/>
  <c r="AL17" i="10"/>
  <c r="E45" i="10"/>
  <c r="AL14" i="10"/>
  <c r="E42" i="10"/>
  <c r="AL13" i="10"/>
  <c r="E41" i="10"/>
  <c r="AL21" i="10"/>
  <c r="E49" i="10"/>
  <c r="AN18" i="10"/>
  <c r="I46" i="10" s="1"/>
  <c r="F46" i="10"/>
  <c r="AL8" i="10"/>
  <c r="E36" i="10"/>
  <c r="AL19" i="10"/>
  <c r="E47" i="10"/>
  <c r="AL15" i="10"/>
  <c r="E43" i="10"/>
  <c r="AN10" i="10"/>
  <c r="I38" i="10" s="1"/>
  <c r="F38" i="10"/>
  <c r="AL9" i="10"/>
  <c r="E37" i="10"/>
  <c r="AL22" i="10"/>
  <c r="E50" i="10"/>
  <c r="AF4" i="10"/>
  <c r="AN17" i="10"/>
  <c r="I45" i="10" s="1"/>
  <c r="F45" i="10"/>
  <c r="AN13" i="10"/>
  <c r="I41" i="10" s="1"/>
  <c r="F41" i="10"/>
  <c r="AF6" i="10"/>
  <c r="AN11" i="10"/>
  <c r="I39" i="10" s="1"/>
  <c r="AN6" i="10"/>
  <c r="I34" i="10" s="1"/>
  <c r="AF16" i="10"/>
  <c r="AF7" i="10"/>
  <c r="AN7" i="10"/>
  <c r="I35" i="10" s="1"/>
  <c r="AN14" i="10"/>
  <c r="I42" i="10" s="1"/>
  <c r="AN5" i="10"/>
  <c r="I33" i="10" s="1"/>
  <c r="AN19" i="10"/>
  <c r="I47" i="10" s="1"/>
  <c r="AN15" i="10"/>
  <c r="I43" i="10" s="1"/>
  <c r="AN9" i="10"/>
  <c r="I37" i="10" s="1"/>
  <c r="AN16" i="10"/>
  <c r="I44" i="10" s="1"/>
  <c r="AN12" i="10"/>
  <c r="I40" i="10" s="1"/>
  <c r="AN20" i="10"/>
  <c r="I48" i="10" s="1"/>
  <c r="AN21" i="10"/>
  <c r="I49" i="10" s="1"/>
  <c r="AN8" i="10"/>
  <c r="I36" i="10" s="1"/>
  <c r="AN22" i="10"/>
  <c r="I50" i="10" s="1"/>
  <c r="AN4" i="10"/>
  <c r="AF15" i="10"/>
  <c r="AF10" i="10"/>
  <c r="AF13" i="10"/>
  <c r="AF12" i="10"/>
  <c r="AF8" i="10"/>
  <c r="AF22" i="10"/>
  <c r="AF17" i="10"/>
  <c r="AF5" i="10"/>
  <c r="AF21" i="10"/>
  <c r="AC19" i="13"/>
  <c r="AC8" i="13"/>
  <c r="AC12" i="13"/>
  <c r="AC15" i="13"/>
  <c r="AC20" i="13"/>
  <c r="AB7" i="13"/>
  <c r="AB4" i="13"/>
  <c r="AB4" i="10"/>
  <c r="AA23" i="10"/>
  <c r="AJ23" i="10"/>
  <c r="E51" i="10" s="1"/>
  <c r="AL4" i="10"/>
  <c r="G32" i="10" s="1"/>
  <c r="AF23" i="10" l="1"/>
  <c r="I32" i="10"/>
  <c r="AN23" i="10"/>
  <c r="AM19" i="10"/>
  <c r="H47" i="10" s="1"/>
  <c r="G47" i="10"/>
  <c r="AM13" i="10"/>
  <c r="H41" i="10" s="1"/>
  <c r="G41" i="10"/>
  <c r="AM17" i="10"/>
  <c r="H45" i="10" s="1"/>
  <c r="G45" i="10"/>
  <c r="AM6" i="10"/>
  <c r="H34" i="10" s="1"/>
  <c r="G34" i="10"/>
  <c r="AM16" i="10"/>
  <c r="H44" i="10" s="1"/>
  <c r="G44" i="10"/>
  <c r="AM10" i="10"/>
  <c r="H38" i="10" s="1"/>
  <c r="G38" i="10"/>
  <c r="AM22" i="10"/>
  <c r="H50" i="10" s="1"/>
  <c r="G50" i="10"/>
  <c r="AM7" i="10"/>
  <c r="H35" i="10" s="1"/>
  <c r="G35" i="10"/>
  <c r="AM9" i="10"/>
  <c r="H37" i="10" s="1"/>
  <c r="G37" i="10"/>
  <c r="AM15" i="10"/>
  <c r="H43" i="10" s="1"/>
  <c r="G43" i="10"/>
  <c r="AM8" i="10"/>
  <c r="H36" i="10" s="1"/>
  <c r="G36" i="10"/>
  <c r="AM21" i="10"/>
  <c r="H49" i="10" s="1"/>
  <c r="G49" i="10"/>
  <c r="AM14" i="10"/>
  <c r="H42" i="10" s="1"/>
  <c r="G42" i="10"/>
  <c r="AM20" i="10"/>
  <c r="H48" i="10" s="1"/>
  <c r="G48" i="10"/>
  <c r="AM12" i="10"/>
  <c r="H40" i="10" s="1"/>
  <c r="G40" i="10"/>
  <c r="AM11" i="10"/>
  <c r="H39" i="10" s="1"/>
  <c r="G39" i="10"/>
  <c r="AM5" i="10"/>
  <c r="H33" i="10" s="1"/>
  <c r="G33" i="10"/>
  <c r="AM18" i="10"/>
  <c r="H46" i="10" s="1"/>
  <c r="G46" i="10"/>
  <c r="AB23" i="10"/>
  <c r="AC4" i="10"/>
  <c r="AC23" i="10" s="1"/>
  <c r="AL23" i="10"/>
  <c r="G51" i="10" s="1"/>
  <c r="AM4" i="10"/>
  <c r="AM23" i="10" l="1"/>
  <c r="H51" i="10" s="1"/>
  <c r="C75" i="10" s="1"/>
  <c r="H32" i="10"/>
  <c r="X22" i="9"/>
  <c r="U22" i="9"/>
  <c r="F18" i="9"/>
  <c r="I22" i="9"/>
  <c r="L22" i="9"/>
  <c r="O22" i="9"/>
  <c r="R22" i="9"/>
  <c r="BT23" i="9" l="1"/>
  <c r="BX23" i="9"/>
  <c r="Y21" i="9"/>
  <c r="V21" i="9"/>
  <c r="S21" i="9"/>
  <c r="P21" i="9"/>
  <c r="M21" i="9"/>
  <c r="J21" i="9"/>
  <c r="Y20" i="9"/>
  <c r="V20" i="9"/>
  <c r="S20" i="9"/>
  <c r="P20" i="9"/>
  <c r="M20" i="9"/>
  <c r="J20" i="9"/>
  <c r="Y19" i="9"/>
  <c r="V19" i="9"/>
  <c r="S19" i="9"/>
  <c r="P19" i="9"/>
  <c r="M19" i="9"/>
  <c r="J19" i="9"/>
  <c r="Y18" i="9"/>
  <c r="V18" i="9"/>
  <c r="S18" i="9"/>
  <c r="P18" i="9"/>
  <c r="M18" i="9"/>
  <c r="J18" i="9"/>
  <c r="Y17" i="9"/>
  <c r="V17" i="9"/>
  <c r="S17" i="9"/>
  <c r="P17" i="9"/>
  <c r="M17" i="9"/>
  <c r="J17" i="9"/>
  <c r="G17" i="9"/>
  <c r="Y16" i="9"/>
  <c r="V16" i="9"/>
  <c r="S16" i="9"/>
  <c r="P16" i="9"/>
  <c r="M16" i="9"/>
  <c r="J16" i="9"/>
  <c r="G16" i="9"/>
  <c r="Y15" i="9"/>
  <c r="V15" i="9"/>
  <c r="S15" i="9"/>
  <c r="P15" i="9"/>
  <c r="M15" i="9"/>
  <c r="J15" i="9"/>
  <c r="G15" i="9"/>
  <c r="Y14" i="9"/>
  <c r="V14" i="9"/>
  <c r="S14" i="9"/>
  <c r="P14" i="9"/>
  <c r="M14" i="9"/>
  <c r="J14" i="9"/>
  <c r="G14" i="9"/>
  <c r="Y13" i="9"/>
  <c r="V13" i="9"/>
  <c r="S13" i="9"/>
  <c r="P13" i="9"/>
  <c r="M13" i="9"/>
  <c r="J13" i="9"/>
  <c r="G13" i="9"/>
  <c r="Y12" i="9"/>
  <c r="V12" i="9"/>
  <c r="S12" i="9"/>
  <c r="P12" i="9"/>
  <c r="M12" i="9"/>
  <c r="J12" i="9"/>
  <c r="G12" i="9"/>
  <c r="Y11" i="9"/>
  <c r="V11" i="9"/>
  <c r="S11" i="9"/>
  <c r="P11" i="9"/>
  <c r="M11" i="9"/>
  <c r="J11" i="9"/>
  <c r="G11" i="9"/>
  <c r="Y10" i="9"/>
  <c r="V10" i="9"/>
  <c r="S10" i="9"/>
  <c r="P10" i="9"/>
  <c r="M10" i="9"/>
  <c r="J10" i="9"/>
  <c r="G10" i="9"/>
  <c r="Y9" i="9"/>
  <c r="V9" i="9"/>
  <c r="S9" i="9"/>
  <c r="P9" i="9"/>
  <c r="M9" i="9"/>
  <c r="J9" i="9"/>
  <c r="G9" i="9"/>
  <c r="Y8" i="9"/>
  <c r="V8" i="9"/>
  <c r="S8" i="9"/>
  <c r="P8" i="9"/>
  <c r="M8" i="9"/>
  <c r="J8" i="9"/>
  <c r="G8" i="9"/>
  <c r="Y7" i="9"/>
  <c r="V7" i="9"/>
  <c r="S7" i="9"/>
  <c r="P7" i="9"/>
  <c r="M7" i="9"/>
  <c r="J7" i="9"/>
  <c r="G7" i="9"/>
  <c r="Y6" i="9"/>
  <c r="V6" i="9"/>
  <c r="S6" i="9"/>
  <c r="P6" i="9"/>
  <c r="M6" i="9"/>
  <c r="J6" i="9"/>
  <c r="G6" i="9"/>
  <c r="Y5" i="9"/>
  <c r="V5" i="9"/>
  <c r="S5" i="9"/>
  <c r="P5" i="9"/>
  <c r="M5" i="9"/>
  <c r="J5" i="9"/>
  <c r="G5" i="9"/>
  <c r="Y4" i="9"/>
  <c r="V4" i="9"/>
  <c r="S4" i="9"/>
  <c r="P4" i="9"/>
  <c r="M4" i="9"/>
  <c r="J4" i="9"/>
  <c r="G4" i="9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E10" i="4"/>
  <c r="E9" i="4"/>
  <c r="E17" i="4"/>
  <c r="E15" i="1"/>
  <c r="BL19" i="9" l="1"/>
  <c r="BL21" i="9"/>
  <c r="AI4" i="9"/>
  <c r="AI12" i="9"/>
  <c r="AI16" i="9"/>
  <c r="AI19" i="9"/>
  <c r="AI21" i="9"/>
  <c r="AI8" i="9"/>
  <c r="AE6" i="9"/>
  <c r="AI6" i="9"/>
  <c r="BF8" i="9"/>
  <c r="BG8" i="9" s="1"/>
  <c r="BH8" i="9" s="1"/>
  <c r="AI10" i="9"/>
  <c r="AG11" i="9"/>
  <c r="BF11" i="9"/>
  <c r="BG11" i="9" s="1"/>
  <c r="BH11" i="9" s="1"/>
  <c r="AI14" i="9"/>
  <c r="AI18" i="9"/>
  <c r="AI20" i="9"/>
  <c r="AI5" i="9"/>
  <c r="AI9" i="9"/>
  <c r="AI13" i="9"/>
  <c r="AI17" i="9"/>
  <c r="AI7" i="9"/>
  <c r="AI11" i="9"/>
  <c r="AI15" i="9"/>
  <c r="AE5" i="9"/>
  <c r="AG9" i="9"/>
  <c r="AE9" i="9"/>
  <c r="AG13" i="9"/>
  <c r="F40" i="9" s="1"/>
  <c r="AE13" i="9"/>
  <c r="AG17" i="9"/>
  <c r="AE17" i="9"/>
  <c r="AG4" i="9"/>
  <c r="F31" i="9" s="1"/>
  <c r="AE4" i="9"/>
  <c r="BF5" i="9"/>
  <c r="BG5" i="9" s="1"/>
  <c r="BH5" i="9" s="1"/>
  <c r="AG5" i="9"/>
  <c r="F32" i="9" s="1"/>
  <c r="AG8" i="9"/>
  <c r="F35" i="9" s="1"/>
  <c r="AE8" i="9"/>
  <c r="AG12" i="9"/>
  <c r="F39" i="9" s="1"/>
  <c r="AE12" i="9"/>
  <c r="AG16" i="9"/>
  <c r="AE16" i="9"/>
  <c r="BL18" i="9"/>
  <c r="AE19" i="9"/>
  <c r="AG19" i="9"/>
  <c r="F46" i="9" s="1"/>
  <c r="AG21" i="9"/>
  <c r="AE21" i="9"/>
  <c r="AG10" i="9"/>
  <c r="F37" i="9" s="1"/>
  <c r="AE10" i="9"/>
  <c r="AG14" i="9"/>
  <c r="AE14" i="9"/>
  <c r="AG18" i="9"/>
  <c r="F45" i="9" s="1"/>
  <c r="AE18" i="9"/>
  <c r="AG20" i="9"/>
  <c r="AE20" i="9"/>
  <c r="BF20" i="9"/>
  <c r="BG20" i="9" s="1"/>
  <c r="BH20" i="9" s="1"/>
  <c r="AG6" i="9"/>
  <c r="F33" i="9" s="1"/>
  <c r="AE7" i="9"/>
  <c r="AG7" i="9"/>
  <c r="F34" i="9" s="1"/>
  <c r="AE11" i="9"/>
  <c r="AE15" i="9"/>
  <c r="AG15" i="9"/>
  <c r="F42" i="9" s="1"/>
  <c r="BK10" i="9"/>
  <c r="BL10" i="9"/>
  <c r="BJ10" i="9"/>
  <c r="BL5" i="9"/>
  <c r="BJ5" i="9"/>
  <c r="BK5" i="9"/>
  <c r="BF6" i="9"/>
  <c r="BG6" i="9" s="1"/>
  <c r="BH6" i="9" s="1"/>
  <c r="BL9" i="9"/>
  <c r="BJ9" i="9"/>
  <c r="BK9" i="9"/>
  <c r="BL13" i="9"/>
  <c r="BJ13" i="9"/>
  <c r="BK13" i="9"/>
  <c r="BL17" i="9"/>
  <c r="BJ17" i="9"/>
  <c r="BK17" i="9"/>
  <c r="BF17" i="9"/>
  <c r="BG17" i="9" s="1"/>
  <c r="BH17" i="9" s="1"/>
  <c r="BK6" i="9"/>
  <c r="BJ6" i="9"/>
  <c r="BL6" i="9"/>
  <c r="BK14" i="9"/>
  <c r="BJ14" i="9"/>
  <c r="BL14" i="9"/>
  <c r="BL4" i="9"/>
  <c r="BF4" i="9"/>
  <c r="BJ4" i="9"/>
  <c r="BK4" i="9"/>
  <c r="BK8" i="9"/>
  <c r="BJ8" i="9"/>
  <c r="BL8" i="9"/>
  <c r="BK12" i="9"/>
  <c r="BL12" i="9"/>
  <c r="BJ12" i="9"/>
  <c r="BF13" i="9"/>
  <c r="BG13" i="9" s="1"/>
  <c r="BH13" i="9" s="1"/>
  <c r="BK16" i="9"/>
  <c r="BL16" i="9"/>
  <c r="BJ16" i="9"/>
  <c r="BF16" i="9"/>
  <c r="BG16" i="9" s="1"/>
  <c r="BH16" i="9" s="1"/>
  <c r="BB19" i="9"/>
  <c r="BC19" i="9" s="1"/>
  <c r="BD19" i="9" s="1"/>
  <c r="BJ19" i="9"/>
  <c r="BK19" i="9"/>
  <c r="BF19" i="9"/>
  <c r="BG19" i="9" s="1"/>
  <c r="BH19" i="9" s="1"/>
  <c r="BL20" i="9"/>
  <c r="BB21" i="9"/>
  <c r="BC21" i="9" s="1"/>
  <c r="BD21" i="9" s="1"/>
  <c r="BJ21" i="9"/>
  <c r="BK21" i="9"/>
  <c r="BF10" i="9"/>
  <c r="BG10" i="9" s="1"/>
  <c r="BH10" i="9" s="1"/>
  <c r="BF14" i="9"/>
  <c r="BG14" i="9" s="1"/>
  <c r="BH14" i="9" s="1"/>
  <c r="BK18" i="9"/>
  <c r="BJ18" i="9"/>
  <c r="BK20" i="9"/>
  <c r="BJ20" i="9"/>
  <c r="BL7" i="9"/>
  <c r="BJ7" i="9"/>
  <c r="BK7" i="9"/>
  <c r="BF7" i="9"/>
  <c r="BG7" i="9" s="1"/>
  <c r="BH7" i="9" s="1"/>
  <c r="BF9" i="9"/>
  <c r="BG9" i="9" s="1"/>
  <c r="BH9" i="9" s="1"/>
  <c r="BL11" i="9"/>
  <c r="BJ11" i="9"/>
  <c r="BK11" i="9"/>
  <c r="BF12" i="9"/>
  <c r="BG12" i="9" s="1"/>
  <c r="BH12" i="9" s="1"/>
  <c r="BL15" i="9"/>
  <c r="BJ15" i="9"/>
  <c r="BK15" i="9"/>
  <c r="BF15" i="9"/>
  <c r="BG15" i="9" s="1"/>
  <c r="BH15" i="9" s="1"/>
  <c r="BF18" i="9"/>
  <c r="BG18" i="9" s="1"/>
  <c r="BH18" i="9" s="1"/>
  <c r="BF21" i="9"/>
  <c r="BG21" i="9" s="1"/>
  <c r="BH21" i="9" s="1"/>
  <c r="AX4" i="9"/>
  <c r="BB4" i="9"/>
  <c r="BB8" i="9"/>
  <c r="BC8" i="9" s="1"/>
  <c r="BD8" i="9" s="1"/>
  <c r="AX8" i="9"/>
  <c r="AY8" i="9" s="1"/>
  <c r="AZ8" i="9" s="1"/>
  <c r="BB12" i="9"/>
  <c r="BC12" i="9" s="1"/>
  <c r="BD12" i="9" s="1"/>
  <c r="AX12" i="9"/>
  <c r="AY12" i="9" s="1"/>
  <c r="AZ12" i="9" s="1"/>
  <c r="BB16" i="9"/>
  <c r="BC16" i="9" s="1"/>
  <c r="BD16" i="9" s="1"/>
  <c r="AX16" i="9"/>
  <c r="AY16" i="9" s="1"/>
  <c r="AZ16" i="9" s="1"/>
  <c r="BB7" i="9"/>
  <c r="BC7" i="9" s="1"/>
  <c r="BD7" i="9" s="1"/>
  <c r="AX7" i="9"/>
  <c r="AY7" i="9" s="1"/>
  <c r="AZ7" i="9" s="1"/>
  <c r="AX11" i="9"/>
  <c r="AY11" i="9" s="1"/>
  <c r="AZ11" i="9" s="1"/>
  <c r="BB11" i="9"/>
  <c r="BC11" i="9" s="1"/>
  <c r="BD11" i="9" s="1"/>
  <c r="BB15" i="9"/>
  <c r="BC15" i="9" s="1"/>
  <c r="BD15" i="9" s="1"/>
  <c r="AX15" i="9"/>
  <c r="AY15" i="9" s="1"/>
  <c r="AZ15" i="9" s="1"/>
  <c r="AX19" i="9"/>
  <c r="AY19" i="9" s="1"/>
  <c r="AZ19" i="9" s="1"/>
  <c r="AX21" i="9"/>
  <c r="AY21" i="9" s="1"/>
  <c r="AZ21" i="9" s="1"/>
  <c r="AX6" i="9"/>
  <c r="AY6" i="9" s="1"/>
  <c r="AZ6" i="9" s="1"/>
  <c r="BB6" i="9"/>
  <c r="BC6" i="9" s="1"/>
  <c r="BD6" i="9" s="1"/>
  <c r="BB10" i="9"/>
  <c r="BC10" i="9" s="1"/>
  <c r="BD10" i="9" s="1"/>
  <c r="AX10" i="9"/>
  <c r="AY10" i="9" s="1"/>
  <c r="AZ10" i="9" s="1"/>
  <c r="AX14" i="9"/>
  <c r="AY14" i="9" s="1"/>
  <c r="AZ14" i="9" s="1"/>
  <c r="BB14" i="9"/>
  <c r="BC14" i="9" s="1"/>
  <c r="BD14" i="9" s="1"/>
  <c r="BB18" i="9"/>
  <c r="BC18" i="9" s="1"/>
  <c r="BD18" i="9" s="1"/>
  <c r="BB20" i="9"/>
  <c r="BC20" i="9" s="1"/>
  <c r="BD20" i="9" s="1"/>
  <c r="BB5" i="9"/>
  <c r="BC5" i="9" s="1"/>
  <c r="BD5" i="9" s="1"/>
  <c r="AX5" i="9"/>
  <c r="AY5" i="9" s="1"/>
  <c r="AZ5" i="9" s="1"/>
  <c r="BB9" i="9"/>
  <c r="BC9" i="9" s="1"/>
  <c r="BD9" i="9" s="1"/>
  <c r="AX9" i="9"/>
  <c r="AY9" i="9" s="1"/>
  <c r="AZ9" i="9" s="1"/>
  <c r="BB13" i="9"/>
  <c r="BC13" i="9" s="1"/>
  <c r="BD13" i="9" s="1"/>
  <c r="AX13" i="9"/>
  <c r="AY13" i="9" s="1"/>
  <c r="AZ13" i="9" s="1"/>
  <c r="BB17" i="9"/>
  <c r="BC17" i="9" s="1"/>
  <c r="BD17" i="9" s="1"/>
  <c r="AX17" i="9"/>
  <c r="AY17" i="9" s="1"/>
  <c r="AZ17" i="9" s="1"/>
  <c r="AX18" i="9"/>
  <c r="AY18" i="9" s="1"/>
  <c r="AZ18" i="9" s="1"/>
  <c r="AX20" i="9"/>
  <c r="AY20" i="9" s="1"/>
  <c r="AZ20" i="9" s="1"/>
  <c r="AT10" i="9"/>
  <c r="AP5" i="9"/>
  <c r="AQ5" i="9" s="1"/>
  <c r="AR5" i="9" s="1"/>
  <c r="AT19" i="9"/>
  <c r="AT15" i="9"/>
  <c r="AT21" i="9"/>
  <c r="AT4" i="9"/>
  <c r="E31" i="9" s="1"/>
  <c r="AT8" i="9"/>
  <c r="AT12" i="9"/>
  <c r="AT14" i="9"/>
  <c r="AT20" i="9"/>
  <c r="AT6" i="9"/>
  <c r="AT13" i="9"/>
  <c r="AT16" i="9"/>
  <c r="AT5" i="9"/>
  <c r="AT9" i="9"/>
  <c r="AT7" i="9"/>
  <c r="AT11" i="9"/>
  <c r="AT17" i="9"/>
  <c r="AT18" i="9"/>
  <c r="AP6" i="9"/>
  <c r="AQ6" i="9" s="1"/>
  <c r="AR6" i="9" s="1"/>
  <c r="AP12" i="9"/>
  <c r="AQ12" i="9" s="1"/>
  <c r="AR12" i="9" s="1"/>
  <c r="AP4" i="9"/>
  <c r="AP10" i="9"/>
  <c r="AQ10" i="9" s="1"/>
  <c r="AR10" i="9" s="1"/>
  <c r="AP14" i="9"/>
  <c r="AQ14" i="9" s="1"/>
  <c r="AR14" i="9" s="1"/>
  <c r="AP13" i="9"/>
  <c r="AQ13" i="9" s="1"/>
  <c r="AR13" i="9" s="1"/>
  <c r="AP17" i="9"/>
  <c r="AQ17" i="9" s="1"/>
  <c r="AR17" i="9" s="1"/>
  <c r="AP19" i="9"/>
  <c r="AQ19" i="9" s="1"/>
  <c r="AR19" i="9" s="1"/>
  <c r="AP16" i="9"/>
  <c r="AQ16" i="9" s="1"/>
  <c r="AR16" i="9" s="1"/>
  <c r="AP21" i="9"/>
  <c r="AQ21" i="9" s="1"/>
  <c r="AR21" i="9" s="1"/>
  <c r="AP11" i="9"/>
  <c r="AQ11" i="9" s="1"/>
  <c r="AR11" i="9" s="1"/>
  <c r="AP7" i="9"/>
  <c r="AQ7" i="9" s="1"/>
  <c r="AR7" i="9" s="1"/>
  <c r="AP8" i="9"/>
  <c r="AQ8" i="9" s="1"/>
  <c r="AR8" i="9" s="1"/>
  <c r="AP9" i="9"/>
  <c r="AQ9" i="9" s="1"/>
  <c r="AR9" i="9" s="1"/>
  <c r="AP15" i="9"/>
  <c r="AQ15" i="9" s="1"/>
  <c r="AR15" i="9" s="1"/>
  <c r="AP18" i="9"/>
  <c r="AQ18" i="9" s="1"/>
  <c r="AR18" i="9" s="1"/>
  <c r="AP20" i="9"/>
  <c r="AQ20" i="9" s="1"/>
  <c r="AR20" i="9" s="1"/>
  <c r="AL4" i="9"/>
  <c r="AM4" i="9" s="1"/>
  <c r="AN4" i="9" s="1"/>
  <c r="AL8" i="9"/>
  <c r="AM8" i="9" s="1"/>
  <c r="AN8" i="9" s="1"/>
  <c r="AL12" i="9"/>
  <c r="AM12" i="9" s="1"/>
  <c r="AN12" i="9" s="1"/>
  <c r="AL21" i="9"/>
  <c r="AM21" i="9" s="1"/>
  <c r="AN21" i="9" s="1"/>
  <c r="AL9" i="9"/>
  <c r="AM9" i="9" s="1"/>
  <c r="AN9" i="9" s="1"/>
  <c r="AL6" i="9"/>
  <c r="AM6" i="9" s="1"/>
  <c r="AN6" i="9" s="1"/>
  <c r="AL14" i="9"/>
  <c r="AM14" i="9" s="1"/>
  <c r="AN14" i="9" s="1"/>
  <c r="AL15" i="9"/>
  <c r="AM15" i="9" s="1"/>
  <c r="AN15" i="9" s="1"/>
  <c r="AL17" i="9"/>
  <c r="AM17" i="9" s="1"/>
  <c r="AN17" i="9" s="1"/>
  <c r="AL20" i="9"/>
  <c r="AM20" i="9" s="1"/>
  <c r="AN20" i="9" s="1"/>
  <c r="AL10" i="9"/>
  <c r="AM10" i="9" s="1"/>
  <c r="AN10" i="9" s="1"/>
  <c r="AL13" i="9"/>
  <c r="AM13" i="9" s="1"/>
  <c r="AN13" i="9" s="1"/>
  <c r="AL18" i="9"/>
  <c r="AM18" i="9" s="1"/>
  <c r="AN18" i="9" s="1"/>
  <c r="AL5" i="9"/>
  <c r="AM5" i="9" s="1"/>
  <c r="AN5" i="9" s="1"/>
  <c r="AL11" i="9"/>
  <c r="AM11" i="9" s="1"/>
  <c r="AN11" i="9" s="1"/>
  <c r="AL16" i="9"/>
  <c r="AM16" i="9" s="1"/>
  <c r="AN16" i="9" s="1"/>
  <c r="AA9" i="9"/>
  <c r="AB9" i="9" s="1"/>
  <c r="AC9" i="9" s="1"/>
  <c r="AA13" i="9"/>
  <c r="AB13" i="9" s="1"/>
  <c r="AC13" i="9" s="1"/>
  <c r="AA18" i="9"/>
  <c r="AB18" i="9" s="1"/>
  <c r="AC18" i="9" s="1"/>
  <c r="AA5" i="9"/>
  <c r="AB5" i="9" s="1"/>
  <c r="AC5" i="9" s="1"/>
  <c r="AA16" i="9"/>
  <c r="AB16" i="9" s="1"/>
  <c r="AC16" i="9" s="1"/>
  <c r="AA4" i="9"/>
  <c r="AB4" i="9" s="1"/>
  <c r="AC4" i="9" s="1"/>
  <c r="AA12" i="9"/>
  <c r="AB12" i="9" s="1"/>
  <c r="AC12" i="9" s="1"/>
  <c r="AA7" i="9"/>
  <c r="AA11" i="9"/>
  <c r="AB11" i="9" s="1"/>
  <c r="AC11" i="9" s="1"/>
  <c r="AA15" i="9"/>
  <c r="AB15" i="9" s="1"/>
  <c r="AC15" i="9" s="1"/>
  <c r="AA19" i="9"/>
  <c r="AA21" i="9"/>
  <c r="AB21" i="9" s="1"/>
  <c r="AC21" i="9" s="1"/>
  <c r="AA8" i="9"/>
  <c r="AB8" i="9" s="1"/>
  <c r="AC8" i="9" s="1"/>
  <c r="AA20" i="9"/>
  <c r="AB20" i="9" s="1"/>
  <c r="AC20" i="9" s="1"/>
  <c r="AA6" i="9"/>
  <c r="AB6" i="9" s="1"/>
  <c r="AC6" i="9" s="1"/>
  <c r="AA10" i="9"/>
  <c r="AB10" i="9" s="1"/>
  <c r="AC10" i="9" s="1"/>
  <c r="AA14" i="9"/>
  <c r="AB14" i="9" s="1"/>
  <c r="AC14" i="9" s="1"/>
  <c r="AA17" i="9"/>
  <c r="AB17" i="9" s="1"/>
  <c r="AC17" i="9" s="1"/>
  <c r="C22" i="4"/>
  <c r="C21" i="4"/>
  <c r="C20" i="4"/>
  <c r="C19" i="4"/>
  <c r="C18" i="4"/>
  <c r="C17" i="4"/>
  <c r="C16" i="4"/>
  <c r="C15" i="4"/>
  <c r="C13" i="4"/>
  <c r="C12" i="4"/>
  <c r="C18" i="1"/>
  <c r="C17" i="1"/>
  <c r="C22" i="1"/>
  <c r="C21" i="1"/>
  <c r="C20" i="1"/>
  <c r="C19" i="1"/>
  <c r="C16" i="1"/>
  <c r="C15" i="1"/>
  <c r="C13" i="1"/>
  <c r="C14" i="1" s="1"/>
  <c r="C12" i="1"/>
  <c r="AJ15" i="9" l="1"/>
  <c r="AJ13" i="9"/>
  <c r="AJ18" i="9"/>
  <c r="AJ10" i="9"/>
  <c r="AJ12" i="9"/>
  <c r="AJ11" i="9"/>
  <c r="AJ14" i="9"/>
  <c r="AJ21" i="9"/>
  <c r="AU17" i="9"/>
  <c r="E44" i="9"/>
  <c r="AU5" i="9"/>
  <c r="E32" i="9"/>
  <c r="AU20" i="9"/>
  <c r="E47" i="9"/>
  <c r="AH16" i="9"/>
  <c r="G43" i="9" s="1"/>
  <c r="F43" i="9"/>
  <c r="AJ8" i="9"/>
  <c r="AU11" i="9"/>
  <c r="E38" i="9"/>
  <c r="AU16" i="9"/>
  <c r="E43" i="9"/>
  <c r="AU14" i="9"/>
  <c r="E41" i="9"/>
  <c r="AU21" i="9"/>
  <c r="E48" i="9"/>
  <c r="AU10" i="9"/>
  <c r="E37" i="9"/>
  <c r="AJ9" i="9"/>
  <c r="AJ4" i="9"/>
  <c r="AU7" i="9"/>
  <c r="E34" i="9"/>
  <c r="AU13" i="9"/>
  <c r="E40" i="9"/>
  <c r="AU12" i="9"/>
  <c r="E39" i="9"/>
  <c r="AU15" i="9"/>
  <c r="E42" i="9"/>
  <c r="AF14" i="9"/>
  <c r="AF21" i="9"/>
  <c r="AH17" i="9"/>
  <c r="G44" i="9" s="1"/>
  <c r="F44" i="9"/>
  <c r="AH9" i="9"/>
  <c r="G36" i="9" s="1"/>
  <c r="F36" i="9"/>
  <c r="AJ5" i="9"/>
  <c r="AJ6" i="9"/>
  <c r="AU18" i="9"/>
  <c r="E45" i="9"/>
  <c r="AU9" i="9"/>
  <c r="E36" i="9"/>
  <c r="AU6" i="9"/>
  <c r="E33" i="9"/>
  <c r="AU8" i="9"/>
  <c r="E35" i="9"/>
  <c r="AU19" i="9"/>
  <c r="E46" i="9"/>
  <c r="AF7" i="9"/>
  <c r="AH20" i="9"/>
  <c r="G47" i="9" s="1"/>
  <c r="F47" i="9"/>
  <c r="AH14" i="9"/>
  <c r="G41" i="9" s="1"/>
  <c r="F41" i="9"/>
  <c r="AH21" i="9"/>
  <c r="G48" i="9" s="1"/>
  <c r="F48" i="9"/>
  <c r="AF16" i="9"/>
  <c r="AF5" i="9"/>
  <c r="AJ17" i="9"/>
  <c r="AJ20" i="9"/>
  <c r="AH11" i="9"/>
  <c r="G38" i="9" s="1"/>
  <c r="F38" i="9"/>
  <c r="AF6" i="9"/>
  <c r="AJ16" i="9"/>
  <c r="AF20" i="9"/>
  <c r="AF13" i="9"/>
  <c r="AH7" i="9"/>
  <c r="G34" i="9" s="1"/>
  <c r="AH12" i="9"/>
  <c r="G39" i="9" s="1"/>
  <c r="AH15" i="9"/>
  <c r="G42" i="9" s="1"/>
  <c r="AF8" i="9"/>
  <c r="AF4" i="9"/>
  <c r="AF15" i="9"/>
  <c r="AH6" i="9"/>
  <c r="G33" i="9" s="1"/>
  <c r="AF18" i="9"/>
  <c r="AF10" i="9"/>
  <c r="AH19" i="9"/>
  <c r="G46" i="9" s="1"/>
  <c r="AH8" i="9"/>
  <c r="G35" i="9" s="1"/>
  <c r="AH4" i="9"/>
  <c r="AH13" i="9"/>
  <c r="G40" i="9" s="1"/>
  <c r="AF11" i="9"/>
  <c r="AH18" i="9"/>
  <c r="G45" i="9" s="1"/>
  <c r="AH10" i="9"/>
  <c r="G37" i="9" s="1"/>
  <c r="AF19" i="9"/>
  <c r="AF12" i="9"/>
  <c r="AH5" i="9"/>
  <c r="G32" i="9" s="1"/>
  <c r="AF17" i="9"/>
  <c r="AF9" i="9"/>
  <c r="BL22" i="9"/>
  <c r="BK22" i="9"/>
  <c r="BJ22" i="9"/>
  <c r="BG4" i="9"/>
  <c r="BH4" i="9" s="1"/>
  <c r="BF22" i="9"/>
  <c r="BC4" i="9"/>
  <c r="BD4" i="9" s="1"/>
  <c r="BB22" i="9"/>
  <c r="AY4" i="9"/>
  <c r="AZ4" i="9" s="1"/>
  <c r="AX22" i="9"/>
  <c r="AU4" i="9"/>
  <c r="AT22" i="9"/>
  <c r="E49" i="9" s="1"/>
  <c r="AL19" i="9"/>
  <c r="AM19" i="9" s="1"/>
  <c r="AN19" i="9" s="1"/>
  <c r="AB19" i="9"/>
  <c r="AC19" i="9" s="1"/>
  <c r="AP22" i="9"/>
  <c r="AQ4" i="9"/>
  <c r="AR4" i="9" s="1"/>
  <c r="AL7" i="9"/>
  <c r="AM7" i="9" s="1"/>
  <c r="AN7" i="9" s="1"/>
  <c r="AB7" i="9"/>
  <c r="AA22" i="9"/>
  <c r="C14" i="4"/>
  <c r="C23" i="4"/>
  <c r="C24" i="4" s="1"/>
  <c r="C23" i="1"/>
  <c r="C25" i="1" s="1"/>
  <c r="AF22" i="9" l="1"/>
  <c r="G31" i="9"/>
  <c r="AH22" i="9"/>
  <c r="AJ7" i="9"/>
  <c r="AV19" i="9"/>
  <c r="I46" i="9" s="1"/>
  <c r="H46" i="9"/>
  <c r="AV6" i="9"/>
  <c r="I33" i="9" s="1"/>
  <c r="H33" i="9"/>
  <c r="AV18" i="9"/>
  <c r="I45" i="9" s="1"/>
  <c r="H45" i="9"/>
  <c r="AV15" i="9"/>
  <c r="I42" i="9" s="1"/>
  <c r="H42" i="9"/>
  <c r="AV13" i="9"/>
  <c r="I40" i="9" s="1"/>
  <c r="H40" i="9"/>
  <c r="AV21" i="9"/>
  <c r="I48" i="9" s="1"/>
  <c r="H48" i="9"/>
  <c r="AV16" i="9"/>
  <c r="I43" i="9" s="1"/>
  <c r="H43" i="9"/>
  <c r="AJ19" i="9"/>
  <c r="AV5" i="9"/>
  <c r="I32" i="9" s="1"/>
  <c r="H32" i="9"/>
  <c r="AV8" i="9"/>
  <c r="I35" i="9" s="1"/>
  <c r="H35" i="9"/>
  <c r="AV9" i="9"/>
  <c r="I36" i="9" s="1"/>
  <c r="H36" i="9"/>
  <c r="AV12" i="9"/>
  <c r="I39" i="9" s="1"/>
  <c r="H39" i="9"/>
  <c r="AV7" i="9"/>
  <c r="I34" i="9" s="1"/>
  <c r="H34" i="9"/>
  <c r="AV10" i="9"/>
  <c r="I37" i="9" s="1"/>
  <c r="H37" i="9"/>
  <c r="AV14" i="9"/>
  <c r="I41" i="9" s="1"/>
  <c r="H41" i="9"/>
  <c r="AV11" i="9"/>
  <c r="I38" i="9" s="1"/>
  <c r="H38" i="9"/>
  <c r="AV4" i="9"/>
  <c r="I31" i="9" s="1"/>
  <c r="H31" i="9"/>
  <c r="AV20" i="9"/>
  <c r="I47" i="9" s="1"/>
  <c r="H47" i="9"/>
  <c r="AV17" i="9"/>
  <c r="I44" i="9" s="1"/>
  <c r="H44" i="9"/>
  <c r="BG22" i="9"/>
  <c r="BC22" i="9"/>
  <c r="BD22" i="9"/>
  <c r="BH23" i="9" s="1"/>
  <c r="AZ22" i="9"/>
  <c r="AY22" i="9"/>
  <c r="AU22" i="9"/>
  <c r="H49" i="9" s="1"/>
  <c r="AM22" i="9"/>
  <c r="AN22" i="9"/>
  <c r="AR23" i="9" s="1"/>
  <c r="AB22" i="9"/>
  <c r="AC7" i="9"/>
  <c r="AC22" i="9" s="1"/>
  <c r="AG23" i="9" s="1"/>
  <c r="AL22" i="9"/>
  <c r="AR22" i="9"/>
  <c r="AV23" i="9" s="1"/>
  <c r="AQ22" i="9"/>
  <c r="C25" i="4"/>
  <c r="C24" i="1"/>
  <c r="AV22" i="9" l="1"/>
  <c r="BH22" i="9"/>
  <c r="BL23" i="9" s="1"/>
  <c r="AZ23" i="9" l="1"/>
  <c r="I49" i="9"/>
  <c r="C63" i="9" s="1"/>
  <c r="C82" i="10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7A7F55-A62C-44C8-8843-2C57A3D26A7F}" keepAlive="1" name="ThisWorkbookDataModel" description="Modelo de dato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8FB5B24-7DE3-45BB-8415-EF4768394CFA}" name="WorksheetConnection_Libro2!Datos_2024" type="102" refreshedVersion="8" minRefreshableVersion="5">
    <extLst>
      <ext xmlns:x15="http://schemas.microsoft.com/office/spreadsheetml/2010/11/main" uri="{DE250136-89BD-433C-8126-D09CA5730AF9}">
        <x15:connection id="Datos_2024">
          <x15:rangePr sourceName="_xlcn.WorksheetConnection_Libro2Datos_20241"/>
        </x15:connection>
      </ext>
    </extLst>
  </connection>
</connections>
</file>

<file path=xl/sharedStrings.xml><?xml version="1.0" encoding="utf-8"?>
<sst xmlns="http://schemas.openxmlformats.org/spreadsheetml/2006/main" count="584" uniqueCount="174">
  <si>
    <t>Compañía</t>
  </si>
  <si>
    <t>Cotización 2024</t>
  </si>
  <si>
    <t>AlmaContact</t>
  </si>
  <si>
    <t>BPM</t>
  </si>
  <si>
    <t>Cobranza Nacional</t>
  </si>
  <si>
    <t>Grupo ASD</t>
  </si>
  <si>
    <t>Andes</t>
  </si>
  <si>
    <t>Recupera</t>
  </si>
  <si>
    <t>Sinergy</t>
  </si>
  <si>
    <t>Mín</t>
  </si>
  <si>
    <t>Máx</t>
  </si>
  <si>
    <t>Rango</t>
  </si>
  <si>
    <t>Promedio Aritmético</t>
  </si>
  <si>
    <t>Mediana</t>
  </si>
  <si>
    <t>Media Geométrica</t>
  </si>
  <si>
    <t>Desv. Estándar</t>
  </si>
  <si>
    <t>Varianza</t>
  </si>
  <si>
    <t>Q1</t>
  </si>
  <si>
    <t>Q2</t>
  </si>
  <si>
    <t>Q3</t>
  </si>
  <si>
    <t>RIQ</t>
  </si>
  <si>
    <t>Límite Inferior</t>
  </si>
  <si>
    <t>Límite Superior</t>
  </si>
  <si>
    <t>Etiquetas de fila</t>
  </si>
  <si>
    <t>Total general</t>
  </si>
  <si>
    <t>Promedio</t>
  </si>
  <si>
    <t>Empresa</t>
  </si>
  <si>
    <t>RIC</t>
  </si>
  <si>
    <t>Cotización 2025</t>
  </si>
  <si>
    <t>Suma de Cotización 2025</t>
  </si>
  <si>
    <t>Almacontact S.A.S</t>
  </si>
  <si>
    <t>BPM CONSULTING SAS</t>
  </si>
  <si>
    <t>Cobranza Nacional de Creditos S.A.S</t>
  </si>
  <si>
    <t>GRUPO ASD</t>
  </si>
  <si>
    <t>Andes BPO</t>
  </si>
  <si>
    <t>Servicio integral de cartera y credito Recupera SAS</t>
  </si>
  <si>
    <t>Sinergy &amp; Lowells S.A.S.xlsx</t>
  </si>
  <si>
    <t>Item</t>
  </si>
  <si>
    <t xml:space="preserve">Servicios - Costos Indirectos </t>
  </si>
  <si>
    <t xml:space="preserve">Cantidad </t>
  </si>
  <si>
    <t>N° de meses 2024</t>
  </si>
  <si>
    <t>Valor Unitario Sin IVA</t>
  </si>
  <si>
    <t>Valor Unitario Con IVA</t>
  </si>
  <si>
    <t>PROMEDIO VALORES UNITARIOS CON IVA</t>
  </si>
  <si>
    <t>Troncal SIP</t>
  </si>
  <si>
    <t>Minuto IVR (Interactive Voice Response) - Enrutador</t>
  </si>
  <si>
    <t>Minuto IVR (Interactive Voice Response) - Audiotexto</t>
  </si>
  <si>
    <t xml:space="preserve">Grabación anuncios IVR (Interactive Voice Response) Respuesta de Voz Interactiva Voz profesional </t>
  </si>
  <si>
    <t xml:space="preserve">Minutos de conexión outbound/Inbound Outbound entre fijos en ciudades principales </t>
  </si>
  <si>
    <t>Minutos de conexión outbound/Inbound Outbound de fijo a larga distancia nacional</t>
  </si>
  <si>
    <t xml:space="preserve">Minutos de conexión outbound/Inbound Outbound de fijo a celular </t>
  </si>
  <si>
    <t>Minuto Virtual Hold</t>
  </si>
  <si>
    <t>Clic to call (3 Licencias)</t>
  </si>
  <si>
    <t>Web Callback (2 Licencias)</t>
  </si>
  <si>
    <t>Mensaje SMS (Short Message Service) SMS en una sola vía</t>
  </si>
  <si>
    <t>Chatbot Smart</t>
  </si>
  <si>
    <t>Hora desarrollo para Integraciones y canales digitales</t>
  </si>
  <si>
    <t>Plataforma de Centro de Contacto para Agente Omnicanal</t>
  </si>
  <si>
    <t>Enlace Dedicado a Internet 15Mbps</t>
  </si>
  <si>
    <t>Transferencia de chat</t>
  </si>
  <si>
    <t xml:space="preserve">WhatsApp for Business API_setup </t>
  </si>
  <si>
    <t xml:space="preserve">WhatsApp for Business API </t>
  </si>
  <si>
    <t xml:space="preserve">WhatsApp for Business API_usuario activo </t>
  </si>
  <si>
    <t>N° de meses 2025</t>
  </si>
  <si>
    <t>PROMEDIO SIN EL VALOR MÁS BAJO</t>
  </si>
  <si>
    <t>VALOR MENSUAL SIN EL PRECIO MÁS BAJO</t>
  </si>
  <si>
    <t>VALOR VIGENCIA 2024</t>
  </si>
  <si>
    <t>PROMEDIO SIN EL VALOR MÁS BAJO Y SIN EL MÁS ALTO</t>
  </si>
  <si>
    <t>VALOR PROMEDIO MENSUAL</t>
  </si>
  <si>
    <t>VALOR PROMEDIO TOTAL VIGENCIA 2024</t>
  </si>
  <si>
    <t>VALOR MENSUAL SIN EL PRECIO MÁS ALTO Y MÁS BAJO</t>
  </si>
  <si>
    <t>VALOR VIGENCIA 2024 SIN EL PRECIO MÁS ALTO Y MÁS BAJO</t>
  </si>
  <si>
    <t>PROMEDIO SIN LOS DOS PRECIOS MÁS BAJOS</t>
  </si>
  <si>
    <t>VALOR MENSUAL SIN LOS DOS PRECIOS MÁS BAJOS</t>
  </si>
  <si>
    <t>PERSONAL</t>
  </si>
  <si>
    <t>Porcentaje de dedicación</t>
  </si>
  <si>
    <t xml:space="preserve">Valor Unitario </t>
  </si>
  <si>
    <t>Valor Mensual del equipo por ítem</t>
  </si>
  <si>
    <t>Supervisor Servicios BPO</t>
  </si>
  <si>
    <t>Líder de calidad</t>
  </si>
  <si>
    <t>Agente Técnico en el Centro de contacto</t>
  </si>
  <si>
    <t xml:space="preserve">Agente Técnico en la Entidad </t>
  </si>
  <si>
    <t xml:space="preserve">Agente Técnico para atención con Videollamada </t>
  </si>
  <si>
    <t>Agente en la Entidad, profesional en Ciencias Sociales, Humanas y afines; Economía, Administración, Contaduría y afines; Ingeniería, Arquitectura, Urbanismo y afines; Matemáticas, ciencias naturales y afines</t>
  </si>
  <si>
    <t xml:space="preserve">Agente Bilingüe, Profesional Ciencias sociales, humanas y afines en las instalaciones de la Entidad </t>
  </si>
  <si>
    <t>Total Vigencia SIN IVA</t>
  </si>
  <si>
    <t>Total Vigencia CON IVA</t>
  </si>
  <si>
    <t>TOTAL</t>
  </si>
  <si>
    <t xml:space="preserve">CDP </t>
  </si>
  <si>
    <t>MEDIANA</t>
  </si>
  <si>
    <t>MEDIANA MENSUAL</t>
  </si>
  <si>
    <t>MEDIANA VIGENCIA 2024</t>
  </si>
  <si>
    <t>PRECIO MÁX VIGENCIA 2024</t>
  </si>
  <si>
    <t>MÁXIMO CON IVA</t>
  </si>
  <si>
    <t>ELIMINANDO LOS MÁS BAJOS Y EL MÁS ALTO</t>
  </si>
  <si>
    <t>DESV AL PROMEDIO TOTAL</t>
  </si>
  <si>
    <t>VALOR MENSUAL CON PRECIOS MAX</t>
  </si>
  <si>
    <t>VALOR MENSUAL</t>
  </si>
  <si>
    <t>TOTAL VIGENCIA</t>
  </si>
  <si>
    <t>DESV ELIMINANDO LOS MAS BAJOS</t>
  </si>
  <si>
    <t>DESV ELIMINANDO LOS MÁS BAJOS Y EL MÁS ALTO</t>
  </si>
  <si>
    <t>MEDIANA SIN EL MÁS BAJO</t>
  </si>
  <si>
    <t>MEDIANA SIN LOS DOS MÁS BAJOS</t>
  </si>
  <si>
    <t>DESVIACIÓN ESTÁNDAR DE TODOS LOS VALORES</t>
  </si>
  <si>
    <t>DESVIACIÓN ESTÁNDAR ELIMINANDO LOS DOS VALORES MÁS BAJOS</t>
  </si>
  <si>
    <t>DESVIACIÓN ESTÁNDAR ELIMINANDO EL VALOR MÁS BAJO</t>
  </si>
  <si>
    <t>DESVIACIÓN ESTÁNDAR CON TODOS LOS VALORES</t>
  </si>
  <si>
    <t>SERVICIOS CON CANTIDADES FIJAS</t>
  </si>
  <si>
    <t>Precio más bajo</t>
  </si>
  <si>
    <t>Segundo precio más bajo</t>
  </si>
  <si>
    <t>Precio más alto</t>
  </si>
  <si>
    <t>Datos atipicos</t>
  </si>
  <si>
    <t>VALOR PROMEDIO MENSUAL 2024</t>
  </si>
  <si>
    <t>desviación</t>
  </si>
  <si>
    <t>coheficiente de variación</t>
  </si>
  <si>
    <t>MEDIA GEOMÉTRICA</t>
  </si>
  <si>
    <t>MEDIA GEOMÉTRICA SIN MAX</t>
  </si>
  <si>
    <t>MEDIA PODADA</t>
  </si>
  <si>
    <t>VALOR MENSUAL CON MEDIA PODADA 2024</t>
  </si>
  <si>
    <t>Valor Mínimo</t>
  </si>
  <si>
    <t>Q4 Maximo</t>
  </si>
  <si>
    <t>RANGO</t>
  </si>
  <si>
    <t>RANGO INTERCUARTILICO</t>
  </si>
  <si>
    <t>limite inferior</t>
  </si>
  <si>
    <t>limite superior</t>
  </si>
  <si>
    <t>COEFICIENTE DE VARIACIÓN</t>
  </si>
  <si>
    <t>DESVIACIÓN ESTÁNDAR SIN LOS DOS VALORES MÁS BAJOS</t>
  </si>
  <si>
    <t>COEFICIENTE DE VARIACIÓN CON TODOS LOS VALORES</t>
  </si>
  <si>
    <t>COEFICIENTE DE VARIACIÓN SIN LOS DOS VALORES MÁS BAJOS</t>
  </si>
  <si>
    <t>COEFICIENTE DE VARIACIÓN SIN EL VALOR MÁS BAJO</t>
  </si>
  <si>
    <t xml:space="preserve">TOTAL VIGENCIA </t>
  </si>
  <si>
    <t>TOTAL SERVICIOS VIGENCIA 2024</t>
  </si>
  <si>
    <t>DESVIACIÓN ESTÁNDAR SIN EL VALOR MÁS BAJO</t>
  </si>
  <si>
    <t>Valor SMLMV 2024</t>
  </si>
  <si>
    <t>Asignación salarial mínima</t>
  </si>
  <si>
    <t>TOTAL VIGENCIA 2025</t>
  </si>
  <si>
    <t>TOTAL VIGENCIA 2024</t>
  </si>
  <si>
    <t>SMLMV 2024</t>
  </si>
  <si>
    <t>SMLMV 2025</t>
  </si>
  <si>
    <t xml:space="preserve">Promedio </t>
  </si>
  <si>
    <t xml:space="preserve">VIGENCIA </t>
  </si>
  <si>
    <t>INCREMENTO % SMLMV</t>
  </si>
  <si>
    <t>COBRANZA</t>
  </si>
  <si>
    <t>ALMACONTACT</t>
  </si>
  <si>
    <t>RECUPERA S.AS</t>
  </si>
  <si>
    <t>Valor de la remuneración mensual del personal</t>
  </si>
  <si>
    <t xml:space="preserve">Personal </t>
  </si>
  <si>
    <t>Salario básico mensual 2025</t>
  </si>
  <si>
    <t>CANT</t>
  </si>
  <si>
    <t>Salario básico mensual 2024</t>
  </si>
  <si>
    <t>ARTÍCULO</t>
  </si>
  <si>
    <t>PROMEDIO COTIZACIONES</t>
  </si>
  <si>
    <t>PROMEDIO EN SMLMV</t>
  </si>
  <si>
    <t>REMUNERACIÓN</t>
  </si>
  <si>
    <t>4 SMMLV</t>
  </si>
  <si>
    <t>3,5 SMMLV</t>
  </si>
  <si>
    <t>3.5 SMMLV</t>
  </si>
  <si>
    <t>2 SMMLV</t>
  </si>
  <si>
    <t xml:space="preserve">Agente Técnico en la Entidad Compradora  </t>
  </si>
  <si>
    <t xml:space="preserve">Agente Técnico en la Entidad Compradora </t>
  </si>
  <si>
    <t xml:space="preserve">Agente Técnico en la Entidad Compradora por 2 meses </t>
  </si>
  <si>
    <t>Agente en la Entidad Compradora profesional en Ciencias Sociales, Humanas y afines; Economía, Administración, Contaduría y afines; Ingeniería, Arquitectura, Urbanismo y afines; Matemáticas, ciencias naturales y afines</t>
  </si>
  <si>
    <t>3 SMMLV</t>
  </si>
  <si>
    <t>Agente Profesional en la Entidad, profesional en Ciencias Sociales, Humanas y afines; Economía, Administración, Contaduría y afines; Bellas artes; Ciencias de la Educación; Ingeniería, Arquitectura, Urbanismo y afines; Matemáticas, ciencias naturales y afines</t>
  </si>
  <si>
    <t>Agente Bilingüe Profesional Ciencias sociales, humanas y afines en las instalaciones de la Entidad Compradora</t>
  </si>
  <si>
    <t xml:space="preserve">TOTAL  </t>
  </si>
  <si>
    <t>Incremento salarial 2024 - 9,53%</t>
  </si>
  <si>
    <t>RESUMEN</t>
  </si>
  <si>
    <t>VALOR VIGENCIA 2025</t>
  </si>
  <si>
    <t>VALOR PROMEDIO TOTAL VIGENCIA 2025</t>
  </si>
  <si>
    <t>TOTAL DE LAS DOS VIGENCIAS</t>
  </si>
  <si>
    <t>PRECIOS TECHO</t>
  </si>
  <si>
    <t>VALOR MENSUAL 2025</t>
  </si>
  <si>
    <t>VALOR MENSUAL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</si>
</sst>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\$\ #,##0;\-\$\ #,##0;\$\ #,##0"/>
    <numFmt numFmtId="165" formatCode="&quot;$&quot;\ #,##0.00"/>
    <numFmt numFmtId="166" formatCode="0.0"/>
    <numFmt numFmtId="174" formatCode="_-&quot;$&quot;\ * #,##0_-;\-&quot;$&quot;\ * #,##0_-;_-&quot;$&quot;\ * &quot;-&quot;??_-;_-@_-"/>
    <numFmt numFmtId="175" formatCode="_(&quot;$&quot;\ * #,##0_);_(&quot;$&quot;\ * \(#,##0\);_(&quot;$&quot;\ * &quot;-&quot;??_);_(@_)"/>
    <numFmt numFmtId="176" formatCode="_(&quot;$&quot;\ * #,##0.00_);_(&quot;$&quot;\ * \(#,##0.00\);_(&quot;$&quot;\ * &quot;-&quot;??_);_(@_)"/>
  </numFmts>
  <fonts count="3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u/>
      <sz val="12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4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Cambria"/>
      <family val="1"/>
    </font>
    <font>
      <sz val="11"/>
      <name val="Aptos Narrow"/>
      <family val="2"/>
      <scheme val="minor"/>
    </font>
    <font>
      <b/>
      <sz val="10"/>
      <name val="Arial"/>
      <family val="2"/>
    </font>
    <font>
      <b/>
      <sz val="16"/>
      <color theme="0"/>
      <name val="Arial"/>
      <family val="2"/>
    </font>
    <font>
      <sz val="10"/>
      <color rgb="FF000000"/>
      <name val="Aptos Narrow"/>
      <family val="2"/>
      <scheme val="minor"/>
    </font>
    <font>
      <b/>
      <sz val="12"/>
      <color theme="0"/>
      <name val="Arial"/>
      <family val="2"/>
    </font>
    <font>
      <b/>
      <sz val="11"/>
      <name val="Aptos Narrow"/>
      <family val="2"/>
      <scheme val="minor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6"/>
      <color theme="1"/>
      <name val="Arial"/>
      <family val="2"/>
    </font>
    <font>
      <b/>
      <sz val="15"/>
      <color rgb="FFFFC000"/>
      <name val="Aptos Narrow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AB7"/>
        <bgColor indexed="64"/>
      </patternFill>
    </fill>
    <fill>
      <patternFill patternType="solid">
        <fgColor rgb="FFFFFAB7"/>
        <bgColor rgb="FFFFFAB7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rgb="FF366092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/>
    <xf numFmtId="0" fontId="23" fillId="0" borderId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</cellStyleXfs>
  <cellXfs count="177">
    <xf numFmtId="0" fontId="0" fillId="0" borderId="0" xfId="0"/>
    <xf numFmtId="6" fontId="0" fillId="0" borderId="0" xfId="0" applyNumberFormat="1"/>
    <xf numFmtId="0" fontId="2" fillId="0" borderId="2" xfId="0" applyFont="1" applyBorder="1"/>
    <xf numFmtId="6" fontId="2" fillId="0" borderId="3" xfId="0" applyNumberFormat="1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6" fontId="2" fillId="0" borderId="7" xfId="0" applyNumberFormat="1" applyFont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0" fontId="3" fillId="0" borderId="1" xfId="0" applyFont="1" applyBorder="1"/>
    <xf numFmtId="6" fontId="0" fillId="0" borderId="1" xfId="0" applyNumberFormat="1" applyBorder="1"/>
    <xf numFmtId="9" fontId="0" fillId="0" borderId="0" xfId="0" applyNumberFormat="1"/>
    <xf numFmtId="9" fontId="0" fillId="0" borderId="0" xfId="1" applyFo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2" borderId="1" xfId="4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9" fillId="0" borderId="1" xfId="4" applyBorder="1" applyAlignment="1">
      <alignment horizontal="center" vertical="center" wrapText="1"/>
    </xf>
    <xf numFmtId="44" fontId="9" fillId="4" borderId="1" xfId="2" applyFont="1" applyFill="1" applyBorder="1" applyAlignment="1" applyProtection="1">
      <alignment horizontal="center" vertical="center" wrapText="1"/>
      <protection locked="0"/>
    </xf>
    <xf numFmtId="42" fontId="0" fillId="0" borderId="1" xfId="3" applyFont="1" applyBorder="1" applyAlignment="1">
      <alignment horizontal="center" vertical="center"/>
    </xf>
    <xf numFmtId="165" fontId="9" fillId="4" borderId="1" xfId="4" applyNumberFormat="1" applyFill="1" applyBorder="1" applyAlignment="1" applyProtection="1">
      <alignment horizontal="center" vertical="center" wrapText="1"/>
      <protection locked="0"/>
    </xf>
    <xf numFmtId="165" fontId="9" fillId="5" borderId="1" xfId="0" applyNumberFormat="1" applyFont="1" applyFill="1" applyBorder="1" applyAlignment="1">
      <alignment horizontal="center" vertical="center" wrapText="1"/>
    </xf>
    <xf numFmtId="42" fontId="0" fillId="0" borderId="1" xfId="0" applyNumberFormat="1" applyBorder="1" applyAlignment="1">
      <alignment horizontal="center" vertical="center"/>
    </xf>
    <xf numFmtId="0" fontId="12" fillId="0" borderId="1" xfId="4" applyFont="1" applyBorder="1" applyAlignment="1">
      <alignment horizontal="center" vertical="center" wrapText="1"/>
    </xf>
    <xf numFmtId="165" fontId="13" fillId="4" borderId="1" xfId="4" applyNumberFormat="1" applyFont="1" applyFill="1" applyBorder="1" applyAlignment="1" applyProtection="1">
      <alignment horizontal="center" vertical="center" wrapText="1"/>
      <protection locked="0"/>
    </xf>
    <xf numFmtId="42" fontId="5" fillId="0" borderId="1" xfId="3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5" fontId="9" fillId="5" borderId="10" xfId="0" applyNumberFormat="1" applyFont="1" applyFill="1" applyBorder="1" applyAlignment="1">
      <alignment horizontal="center" vertical="center" wrapText="1"/>
    </xf>
    <xf numFmtId="42" fontId="0" fillId="0" borderId="0" xfId="3" applyFont="1" applyAlignment="1">
      <alignment horizontal="center" vertical="center"/>
    </xf>
    <xf numFmtId="42" fontId="6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2" fontId="0" fillId="6" borderId="1" xfId="3" applyFont="1" applyFill="1" applyBorder="1" applyAlignment="1">
      <alignment horizontal="center" vertical="center"/>
    </xf>
    <xf numFmtId="42" fontId="0" fillId="7" borderId="1" xfId="3" applyFont="1" applyFill="1" applyBorder="1" applyAlignment="1">
      <alignment horizontal="center" vertical="center"/>
    </xf>
    <xf numFmtId="42" fontId="5" fillId="0" borderId="0" xfId="0" applyNumberFormat="1" applyFont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42" fontId="0" fillId="8" borderId="1" xfId="3" applyFont="1" applyFill="1" applyBorder="1" applyAlignment="1">
      <alignment horizontal="center" vertical="center"/>
    </xf>
    <xf numFmtId="42" fontId="5" fillId="0" borderId="1" xfId="0" applyNumberFormat="1" applyFont="1" applyBorder="1" applyAlignment="1">
      <alignment horizontal="center" vertical="center"/>
    </xf>
    <xf numFmtId="0" fontId="9" fillId="0" borderId="1" xfId="4" applyBorder="1" applyAlignment="1">
      <alignment horizontal="left" vertical="center" wrapText="1"/>
    </xf>
    <xf numFmtId="165" fontId="9" fillId="4" borderId="1" xfId="4" applyNumberFormat="1" applyFill="1" applyBorder="1" applyAlignment="1" applyProtection="1">
      <alignment horizontal="right" vertical="center" wrapText="1"/>
      <protection locked="0"/>
    </xf>
    <xf numFmtId="165" fontId="9" fillId="0" borderId="1" xfId="4" applyNumberFormat="1" applyBorder="1" applyAlignment="1">
      <alignment horizontal="right" vertical="center" wrapText="1"/>
    </xf>
    <xf numFmtId="0" fontId="14" fillId="0" borderId="0" xfId="0" applyFont="1" applyAlignment="1">
      <alignment horizontal="center" vertical="center"/>
    </xf>
    <xf numFmtId="42" fontId="15" fillId="0" borderId="0" xfId="0" applyNumberFormat="1" applyFont="1" applyAlignment="1">
      <alignment horizontal="center" vertical="center"/>
    </xf>
    <xf numFmtId="0" fontId="14" fillId="9" borderId="0" xfId="0" applyFont="1" applyFill="1" applyAlignment="1">
      <alignment horizontal="center" vertical="center"/>
    </xf>
    <xf numFmtId="42" fontId="14" fillId="9" borderId="0" xfId="3" applyFont="1" applyFill="1" applyAlignment="1">
      <alignment horizontal="center" vertical="center"/>
    </xf>
    <xf numFmtId="0" fontId="9" fillId="10" borderId="1" xfId="4" applyFill="1" applyBorder="1" applyAlignment="1">
      <alignment horizontal="center" vertical="center" wrapText="1"/>
    </xf>
    <xf numFmtId="0" fontId="12" fillId="10" borderId="1" xfId="4" applyFont="1" applyFill="1" applyBorder="1" applyAlignment="1">
      <alignment horizontal="center" vertical="center" wrapText="1"/>
    </xf>
    <xf numFmtId="0" fontId="9" fillId="11" borderId="1" xfId="4" applyFill="1" applyBorder="1" applyAlignment="1">
      <alignment horizontal="center" vertical="center" wrapText="1"/>
    </xf>
    <xf numFmtId="0" fontId="12" fillId="11" borderId="1" xfId="4" applyFont="1" applyFill="1" applyBorder="1" applyAlignment="1">
      <alignment horizontal="center" vertical="center" wrapText="1"/>
    </xf>
    <xf numFmtId="42" fontId="0" fillId="0" borderId="0" xfId="0" applyNumberFormat="1" applyAlignment="1">
      <alignment horizontal="center" vertical="center"/>
    </xf>
    <xf numFmtId="42" fontId="0" fillId="0" borderId="1" xfId="3" applyFont="1" applyFill="1" applyBorder="1" applyAlignment="1">
      <alignment horizontal="center" vertical="center"/>
    </xf>
    <xf numFmtId="165" fontId="9" fillId="0" borderId="1" xfId="4" applyNumberFormat="1" applyBorder="1" applyAlignment="1" applyProtection="1">
      <alignment horizontal="center" vertical="center" wrapText="1"/>
      <protection locked="0"/>
    </xf>
    <xf numFmtId="165" fontId="9" fillId="0" borderId="10" xfId="0" applyNumberFormat="1" applyFont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42" fontId="0" fillId="12" borderId="1" xfId="3" applyFont="1" applyFill="1" applyBorder="1" applyAlignment="1">
      <alignment horizontal="center" vertical="center"/>
    </xf>
    <xf numFmtId="42" fontId="0" fillId="12" borderId="1" xfId="0" applyNumberFormat="1" applyFill="1" applyBorder="1" applyAlignment="1">
      <alignment horizontal="center" vertical="center"/>
    </xf>
    <xf numFmtId="42" fontId="0" fillId="0" borderId="0" xfId="0" applyNumberFormat="1"/>
    <xf numFmtId="42" fontId="0" fillId="13" borderId="0" xfId="3" applyFont="1" applyFill="1" applyAlignment="1">
      <alignment horizontal="center" vertical="center"/>
    </xf>
    <xf numFmtId="42" fontId="0" fillId="13" borderId="0" xfId="0" applyNumberFormat="1" applyFill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2" fontId="0" fillId="0" borderId="0" xfId="3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 wrapText="1"/>
    </xf>
    <xf numFmtId="42" fontId="0" fillId="0" borderId="1" xfId="3" applyFont="1" applyFill="1" applyBorder="1"/>
    <xf numFmtId="42" fontId="0" fillId="14" borderId="1" xfId="3" applyFont="1" applyFill="1" applyBorder="1"/>
    <xf numFmtId="0" fontId="14" fillId="15" borderId="1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1" fillId="9" borderId="1" xfId="4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2" fontId="16" fillId="0" borderId="0" xfId="3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1" fillId="14" borderId="1" xfId="4" applyFont="1" applyFill="1" applyBorder="1" applyAlignment="1">
      <alignment horizontal="center" vertical="center" wrapText="1"/>
    </xf>
    <xf numFmtId="0" fontId="14" fillId="14" borderId="1" xfId="0" applyFont="1" applyFill="1" applyBorder="1" applyAlignment="1">
      <alignment horizontal="center" vertical="center" wrapText="1"/>
    </xf>
    <xf numFmtId="0" fontId="14" fillId="17" borderId="1" xfId="0" applyFont="1" applyFill="1" applyBorder="1" applyAlignment="1">
      <alignment horizontal="center" vertical="center" wrapText="1"/>
    </xf>
    <xf numFmtId="42" fontId="14" fillId="17" borderId="1" xfId="3" applyFont="1" applyFill="1" applyBorder="1" applyAlignment="1">
      <alignment horizontal="center" vertical="center" wrapText="1"/>
    </xf>
    <xf numFmtId="0" fontId="19" fillId="9" borderId="1" xfId="0" applyFont="1" applyFill="1" applyBorder="1" applyAlignment="1">
      <alignment horizontal="center" vertical="center" wrapText="1"/>
    </xf>
    <xf numFmtId="42" fontId="19" fillId="9" borderId="1" xfId="3" applyFont="1" applyFill="1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/>
    </xf>
    <xf numFmtId="42" fontId="14" fillId="0" borderId="1" xfId="3" applyFont="1" applyFill="1" applyBorder="1" applyAlignment="1">
      <alignment horizontal="center" vertical="center" wrapText="1"/>
    </xf>
    <xf numFmtId="42" fontId="14" fillId="0" borderId="0" xfId="3" applyFont="1" applyFill="1" applyBorder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/>
    </xf>
    <xf numFmtId="0" fontId="11" fillId="3" borderId="12" xfId="4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9" fontId="0" fillId="0" borderId="0" xfId="1" applyFont="1" applyAlignment="1">
      <alignment horizontal="center" vertical="center"/>
    </xf>
    <xf numFmtId="0" fontId="14" fillId="18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9" fontId="0" fillId="0" borderId="1" xfId="1" applyFont="1" applyFill="1" applyBorder="1" applyAlignment="1">
      <alignment horizontal="center" vertical="center"/>
    </xf>
    <xf numFmtId="0" fontId="10" fillId="19" borderId="1" xfId="4" applyFont="1" applyFill="1" applyBorder="1" applyAlignment="1">
      <alignment horizontal="center" vertical="center" wrapText="1"/>
    </xf>
    <xf numFmtId="0" fontId="4" fillId="19" borderId="0" xfId="0" applyFont="1" applyFill="1" applyAlignment="1">
      <alignment horizontal="center" vertical="center" wrapText="1"/>
    </xf>
    <xf numFmtId="42" fontId="6" fillId="0" borderId="0" xfId="3" applyFont="1" applyAlignment="1">
      <alignment horizontal="center" vertical="center"/>
    </xf>
    <xf numFmtId="42" fontId="0" fillId="0" borderId="1" xfId="0" applyNumberFormat="1" applyFill="1" applyBorder="1" applyAlignment="1">
      <alignment horizontal="center" vertical="center"/>
    </xf>
    <xf numFmtId="0" fontId="4" fillId="19" borderId="16" xfId="0" applyFont="1" applyFill="1" applyBorder="1" applyAlignment="1">
      <alignment horizontal="center" vertical="center" wrapText="1"/>
    </xf>
    <xf numFmtId="9" fontId="20" fillId="0" borderId="1" xfId="1" applyFont="1" applyFill="1" applyBorder="1" applyAlignment="1">
      <alignment horizontal="center" vertical="center"/>
    </xf>
    <xf numFmtId="42" fontId="6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4" applyFill="1" applyBorder="1" applyAlignment="1">
      <alignment horizontal="center" vertical="center" wrapText="1"/>
    </xf>
    <xf numFmtId="0" fontId="12" fillId="0" borderId="1" xfId="4" applyFont="1" applyFill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center" vertical="center" wrapText="1"/>
    </xf>
    <xf numFmtId="0" fontId="21" fillId="0" borderId="1" xfId="4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2" fontId="15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1" fontId="0" fillId="0" borderId="1" xfId="3" applyNumberFormat="1" applyFont="1" applyBorder="1" applyAlignment="1">
      <alignment horizontal="center" vertical="center"/>
    </xf>
    <xf numFmtId="166" fontId="0" fillId="0" borderId="1" xfId="3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2" fontId="15" fillId="0" borderId="0" xfId="0" applyNumberFormat="1" applyFont="1"/>
    <xf numFmtId="42" fontId="14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6" fontId="0" fillId="0" borderId="0" xfId="0" applyNumberFormat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2" fillId="2" borderId="3" xfId="4" applyFont="1" applyFill="1" applyBorder="1" applyAlignment="1">
      <alignment horizontal="center" vertical="center" wrapText="1"/>
    </xf>
    <xf numFmtId="0" fontId="22" fillId="2" borderId="17" xfId="4" applyFont="1" applyFill="1" applyBorder="1" applyAlignment="1">
      <alignment horizontal="center" vertical="center" wrapText="1"/>
    </xf>
    <xf numFmtId="0" fontId="22" fillId="2" borderId="2" xfId="4" applyFont="1" applyFill="1" applyBorder="1" applyAlignment="1">
      <alignment horizontal="center" vertical="center" wrapText="1"/>
    </xf>
    <xf numFmtId="0" fontId="24" fillId="2" borderId="1" xfId="4" applyFont="1" applyFill="1" applyBorder="1" applyAlignment="1">
      <alignment horizontal="center" vertical="center" wrapText="1"/>
    </xf>
    <xf numFmtId="174" fontId="0" fillId="0" borderId="0" xfId="2" applyNumberFormat="1" applyFont="1"/>
    <xf numFmtId="44" fontId="0" fillId="0" borderId="0" xfId="2" applyFont="1"/>
    <xf numFmtId="0" fontId="25" fillId="20" borderId="21" xfId="0" applyFont="1" applyFill="1" applyBorder="1" applyAlignment="1">
      <alignment horizontal="center" vertical="center" wrapText="1"/>
    </xf>
    <xf numFmtId="0" fontId="25" fillId="20" borderId="22" xfId="0" applyFont="1" applyFill="1" applyBorder="1" applyAlignment="1">
      <alignment horizontal="center" vertical="center" wrapText="1"/>
    </xf>
    <xf numFmtId="0" fontId="25" fillId="20" borderId="23" xfId="0" applyFont="1" applyFill="1" applyBorder="1" applyAlignment="1">
      <alignment horizontal="center" vertical="center" wrapText="1"/>
    </xf>
    <xf numFmtId="9" fontId="27" fillId="0" borderId="1" xfId="4" applyNumberFormat="1" applyFont="1" applyBorder="1" applyAlignment="1">
      <alignment horizontal="center" vertical="center" wrapText="1"/>
    </xf>
    <xf numFmtId="175" fontId="28" fillId="4" borderId="1" xfId="2" applyNumberFormat="1" applyFont="1" applyFill="1" applyBorder="1" applyAlignment="1">
      <alignment horizontal="center" vertical="center" wrapText="1"/>
    </xf>
    <xf numFmtId="0" fontId="27" fillId="0" borderId="1" xfId="4" applyFont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44" fontId="28" fillId="4" borderId="1" xfId="2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175" fontId="28" fillId="4" borderId="1" xfId="6" applyNumberFormat="1" applyFont="1" applyFill="1" applyBorder="1" applyAlignment="1">
      <alignment horizontal="left" vertical="center" wrapText="1"/>
    </xf>
    <xf numFmtId="175" fontId="28" fillId="4" borderId="1" xfId="7" applyNumberFormat="1" applyFont="1" applyFill="1" applyBorder="1" applyAlignment="1">
      <alignment horizontal="left" vertical="center" wrapText="1"/>
    </xf>
    <xf numFmtId="9" fontId="27" fillId="0" borderId="20" xfId="5" applyNumberFormat="1" applyFont="1" applyBorder="1" applyAlignment="1">
      <alignment horizontal="center" vertical="center" wrapText="1"/>
    </xf>
    <xf numFmtId="174" fontId="30" fillId="5" borderId="20" xfId="2" applyNumberFormat="1" applyFont="1" applyFill="1" applyBorder="1" applyAlignment="1">
      <alignment horizontal="left" vertical="center" wrapText="1"/>
    </xf>
    <xf numFmtId="0" fontId="27" fillId="0" borderId="20" xfId="5" applyFont="1" applyBorder="1" applyAlignment="1">
      <alignment horizontal="center" vertical="center" wrapText="1"/>
    </xf>
    <xf numFmtId="0" fontId="26" fillId="0" borderId="24" xfId="5" applyFont="1" applyBorder="1" applyAlignment="1">
      <alignment horizontal="center" vertical="center" wrapText="1"/>
    </xf>
    <xf numFmtId="174" fontId="0" fillId="0" borderId="1" xfId="0" applyNumberFormat="1" applyBorder="1" applyAlignment="1">
      <alignment horizontal="center" vertical="center"/>
    </xf>
    <xf numFmtId="44" fontId="0" fillId="0" borderId="1" xfId="2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4" fontId="0" fillId="0" borderId="25" xfId="2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76" fontId="28" fillId="4" borderId="1" xfId="7" applyFont="1" applyFill="1" applyBorder="1" applyAlignment="1">
      <alignment horizontal="left" vertical="center" wrapText="1"/>
    </xf>
    <xf numFmtId="0" fontId="26" fillId="0" borderId="26" xfId="5" applyFont="1" applyBorder="1" applyAlignment="1">
      <alignment horizontal="center" vertical="center" wrapText="1"/>
    </xf>
    <xf numFmtId="174" fontId="0" fillId="0" borderId="27" xfId="0" applyNumberFormat="1" applyBorder="1" applyAlignment="1">
      <alignment horizontal="center" vertical="center"/>
    </xf>
    <xf numFmtId="44" fontId="0" fillId="0" borderId="27" xfId="2" applyFont="1" applyBorder="1" applyAlignment="1">
      <alignment horizontal="center" vertical="center"/>
    </xf>
    <xf numFmtId="166" fontId="0" fillId="0" borderId="27" xfId="0" applyNumberFormat="1" applyBorder="1" applyAlignment="1">
      <alignment horizontal="center" vertical="center"/>
    </xf>
    <xf numFmtId="44" fontId="0" fillId="0" borderId="28" xfId="2" applyFont="1" applyBorder="1" applyAlignment="1">
      <alignment horizontal="center" vertical="center"/>
    </xf>
    <xf numFmtId="0" fontId="26" fillId="0" borderId="1" xfId="4" applyFont="1" applyFill="1" applyBorder="1" applyAlignment="1">
      <alignment horizontal="left" vertical="center" wrapText="1"/>
    </xf>
    <xf numFmtId="0" fontId="26" fillId="0" borderId="20" xfId="5" applyFont="1" applyFill="1" applyBorder="1" applyAlignment="1">
      <alignment horizontal="left" vertical="center" wrapText="1"/>
    </xf>
    <xf numFmtId="0" fontId="5" fillId="0" borderId="0" xfId="0" applyFont="1"/>
    <xf numFmtId="0" fontId="22" fillId="21" borderId="10" xfId="5" applyFont="1" applyFill="1" applyBorder="1" applyAlignment="1">
      <alignment horizontal="center" vertical="center" wrapText="1"/>
    </xf>
    <xf numFmtId="0" fontId="12" fillId="2" borderId="18" xfId="5" applyFont="1" applyFill="1" applyBorder="1"/>
    <xf numFmtId="0" fontId="12" fillId="2" borderId="19" xfId="5" applyFont="1" applyFill="1" applyBorder="1"/>
    <xf numFmtId="0" fontId="24" fillId="21" borderId="20" xfId="5" applyFont="1" applyFill="1" applyBorder="1" applyAlignment="1">
      <alignment horizontal="center" vertical="center" wrapText="1"/>
    </xf>
    <xf numFmtId="0" fontId="14" fillId="22" borderId="1" xfId="0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0" fontId="31" fillId="0" borderId="0" xfId="0" applyFont="1" applyAlignment="1">
      <alignment horizontal="center" vertical="center"/>
    </xf>
  </cellXfs>
  <cellStyles count="8">
    <cellStyle name="Moneda" xfId="2" builtinId="4"/>
    <cellStyle name="Moneda [0]" xfId="3" builtinId="7"/>
    <cellStyle name="Moneda 3" xfId="6" xr:uid="{453AD092-C97E-4DA3-B30E-C8E556375B81}"/>
    <cellStyle name="Moneda 4" xfId="7" xr:uid="{561B0E0C-951E-4E11-915D-D084207A090D}"/>
    <cellStyle name="Normal" xfId="0" builtinId="0"/>
    <cellStyle name="Normal 2" xfId="4" xr:uid="{62D07F3F-DC47-4831-B4D8-9C4B961FAB40}"/>
    <cellStyle name="Normal 4" xfId="5" xr:uid="{BA6291ED-A3FD-42E2-8B6D-3C2E5095710F}"/>
    <cellStyle name="Porcentaje" xfId="1" builtinId="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0" formatCode="&quot;$&quot;\ #,##0;[Red]\-&quot;$&quot;\ #,##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0" formatCode="&quot;$&quot;\ #,##0;[Red]\-&quot;$&quot;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0" formatCode="&quot;$&quot;\ #,##0;[Red]\-&quot;$&quot;\ #,##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10" formatCode="&quot;$&quot;\ #,##0;[Red]\-&quot;$&quot;\ #,##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3.xml"/><Relationship Id="rId18" Type="http://schemas.openxmlformats.org/officeDocument/2006/relationships/powerPivotData" Target="model/item.data"/><Relationship Id="rId26" Type="http://schemas.openxmlformats.org/officeDocument/2006/relationships/customXml" Target="../customXml/item7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[Análisis del presupuesto.xlsx]Hoja2!TablaDinámica4</c:name>
    <c:fmtId val="1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/>
                </a:solidFill>
                <a:latin typeface="Franklin Gothic Demi Cond" panose="020B0706030402020204" pitchFamily="34" charset="0"/>
                <a:ea typeface="+mn-ea"/>
                <a:cs typeface="+mn-cs"/>
              </a:defRPr>
            </a:pPr>
            <a:r>
              <a:rPr lang="es-CO" sz="2800">
                <a:latin typeface="Franklin Gothic Demi Cond" panose="020B0706030402020204" pitchFamily="34" charset="0"/>
              </a:rPr>
              <a:t>Cotizaciones 2024 vs Promedio</a:t>
            </a:r>
          </a:p>
        </c:rich>
      </c:tx>
      <c:layout>
        <c:manualLayout>
          <c:xMode val="edge"/>
          <c:yMode val="edge"/>
          <c:x val="1.8763764827963349E-3"/>
          <c:y val="5.880189064283661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/>
              </a:solidFill>
              <a:latin typeface="Franklin Gothic Demi Cond" panose="020B0706030402020204" pitchFamily="34" charset="0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tx1"/>
          </a:solidFill>
          <a:ln>
            <a:noFill/>
          </a:ln>
          <a:effectLst/>
        </c:spPr>
        <c:dLbl>
          <c:idx val="0"/>
          <c:layout>
            <c:manualLayout>
              <c:x val="0"/>
              <c:y val="-4.116132344998563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  <c:dLbl>
          <c:idx val="0"/>
          <c:layout>
            <c:manualLayout>
              <c:x val="-8.2711080595302688E-2"/>
              <c:y val="-3.5281134385701976E-2"/>
            </c:manualLayout>
          </c:layout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chemeClr val="bg1"/>
                    </a:solidFill>
                  </a:rPr>
                  <a:t>Promedio:</a:t>
                </a:r>
                <a:fld id="{BC5F7BA3-352B-45C3-9864-64E69EE5CAC2}" type="VALUE">
                  <a:rPr lang="en-US" sz="1200">
                    <a:solidFill>
                      <a:schemeClr val="bg1"/>
                    </a:solidFill>
                  </a:rPr>
                  <a:pPr>
                    <a:defRPr sz="12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t>[VALOR]</a:t>
                </a:fld>
                <a:endParaRPr lang="en-US" sz="1200">
                  <a:solidFill>
                    <a:schemeClr val="bg1"/>
                  </a:solidFill>
                </a:endParaRPr>
              </a:p>
            </c:rich>
          </c:tx>
          <c:spPr>
            <a:solidFill>
              <a:schemeClr val="accent2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"/>
        <c:spPr>
          <a:solidFill>
            <a:schemeClr val="tx1"/>
          </a:solidFill>
          <a:ln>
            <a:noFill/>
          </a:ln>
          <a:effectLst/>
        </c:spPr>
        <c:dLbl>
          <c:idx val="0"/>
          <c:layout>
            <c:manualLayout>
              <c:x val="-3.0633733553815812E-3"/>
              <c:y val="1.176037812856732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tx1"/>
          </a:solidFill>
          <a:ln>
            <a:noFill/>
          </a:ln>
          <a:effectLst/>
        </c:spPr>
        <c:dLbl>
          <c:idx val="0"/>
          <c:layout>
            <c:manualLayout>
              <c:x val="-3.0633733553815812E-3"/>
              <c:y val="1.176037812856732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tx1"/>
          </a:solidFill>
          <a:ln>
            <a:noFill/>
          </a:ln>
          <a:effectLst/>
        </c:spPr>
        <c:dLbl>
          <c:idx val="0"/>
          <c:layout>
            <c:manualLayout>
              <c:x val="0"/>
              <c:y val="-4.116132344998563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  <c:dLbl>
          <c:idx val="0"/>
          <c:layout>
            <c:manualLayout>
              <c:x val="-8.2711080595302688E-2"/>
              <c:y val="-3.5281134385701976E-2"/>
            </c:manualLayout>
          </c:layout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chemeClr val="bg1"/>
                    </a:solidFill>
                  </a:rPr>
                  <a:t>Promedio:</a:t>
                </a:r>
                <a:fld id="{BC5F7BA3-352B-45C3-9864-64E69EE5CAC2}" type="VALUE">
                  <a:rPr lang="en-US" sz="1200">
                    <a:solidFill>
                      <a:schemeClr val="bg1"/>
                    </a:solidFill>
                  </a:rPr>
                  <a:pPr>
                    <a:defRPr sz="12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t>[VALOR]</a:t>
                </a:fld>
                <a:endParaRPr lang="en-US" sz="1200">
                  <a:solidFill>
                    <a:schemeClr val="bg1"/>
                  </a:solidFill>
                </a:endParaRPr>
              </a:p>
            </c:rich>
          </c:tx>
          <c:spPr>
            <a:solidFill>
              <a:schemeClr val="accent2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10"/>
        <c:spPr>
          <a:solidFill>
            <a:schemeClr val="tx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tx1"/>
          </a:solidFill>
          <a:ln>
            <a:noFill/>
          </a:ln>
          <a:effectLst/>
        </c:spPr>
        <c:dLbl>
          <c:idx val="0"/>
          <c:layout>
            <c:manualLayout>
              <c:x val="-3.0633733553815812E-3"/>
              <c:y val="1.176037812856732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tx1"/>
          </a:solidFill>
          <a:ln>
            <a:noFill/>
          </a:ln>
          <a:effectLst/>
        </c:spPr>
        <c:dLbl>
          <c:idx val="0"/>
          <c:layout>
            <c:manualLayout>
              <c:x val="0"/>
              <c:y val="-4.116132344998563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layout>
            <c:manualLayout>
              <c:x val="-8.2711080595302688E-2"/>
              <c:y val="-3.5281134385701976E-2"/>
            </c:manualLayout>
          </c:layout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chemeClr val="bg1"/>
                    </a:solidFill>
                  </a:rPr>
                  <a:t>Promedio:</a:t>
                </a:r>
                <a:fld id="{BC5F7BA3-352B-45C3-9864-64E69EE5CAC2}" type="VALUE">
                  <a:rPr lang="en-US" sz="1200">
                    <a:solidFill>
                      <a:schemeClr val="bg1"/>
                    </a:solidFill>
                  </a:rPr>
                  <a:pPr>
                    <a:defRPr sz="1200">
                      <a:solidFill>
                        <a:schemeClr val="bg1"/>
                      </a:solidFill>
                    </a:defRPr>
                  </a:pPr>
                  <a:t>[VALOR]</a:t>
                </a:fld>
                <a:endParaRPr lang="en-US" sz="1200">
                  <a:solidFill>
                    <a:schemeClr val="bg1"/>
                  </a:solidFill>
                </a:endParaRPr>
              </a:p>
            </c:rich>
          </c:tx>
          <c:spPr>
            <a:solidFill>
              <a:schemeClr val="accent2"/>
            </a:solidFill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Hoja2!$C$3</c:f>
              <c:strCache>
                <c:ptCount val="1"/>
                <c:pt idx="0">
                  <c:v>Cotización 2024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5BB-4481-95F0-94C64012FE4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5BB-4481-95F0-94C64012FE42}"/>
              </c:ext>
            </c:extLst>
          </c:dPt>
          <c:dLbls>
            <c:dLbl>
              <c:idx val="1"/>
              <c:layout>
                <c:manualLayout>
                  <c:x val="-3.0633733553815812E-3"/>
                  <c:y val="1.17603781285673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5BB-4481-95F0-94C64012FE42}"/>
                </c:ext>
              </c:extLst>
            </c:dLbl>
            <c:dLbl>
              <c:idx val="2"/>
              <c:layout>
                <c:manualLayout>
                  <c:x val="0"/>
                  <c:y val="-4.11613234499856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5BB-4481-95F0-94C64012FE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Hoja2!$B$4:$B$10</c:f>
              <c:strCache>
                <c:ptCount val="7"/>
                <c:pt idx="0">
                  <c:v>Recupera</c:v>
                </c:pt>
                <c:pt idx="1">
                  <c:v>Andes</c:v>
                </c:pt>
                <c:pt idx="2">
                  <c:v>Sinergy</c:v>
                </c:pt>
                <c:pt idx="3">
                  <c:v>BPM</c:v>
                </c:pt>
                <c:pt idx="4">
                  <c:v>Cobranza Nacional</c:v>
                </c:pt>
                <c:pt idx="5">
                  <c:v>AlmaContact</c:v>
                </c:pt>
                <c:pt idx="6">
                  <c:v>Grupo ASD</c:v>
                </c:pt>
              </c:strCache>
            </c:strRef>
          </c:cat>
          <c:val>
            <c:numRef>
              <c:f>Hoja2!$C$4:$C$10</c:f>
              <c:numCache>
                <c:formatCode>\$\ #,##0;\-\$\ #,##0;\$\ #,##0</c:formatCode>
                <c:ptCount val="7"/>
                <c:pt idx="0">
                  <c:v>223542830.896</c:v>
                </c:pt>
                <c:pt idx="1">
                  <c:v>297417702.9533577</c:v>
                </c:pt>
                <c:pt idx="2">
                  <c:v>318618989.5</c:v>
                </c:pt>
                <c:pt idx="3">
                  <c:v>347462792.60000002</c:v>
                </c:pt>
                <c:pt idx="4">
                  <c:v>363192551.51200002</c:v>
                </c:pt>
                <c:pt idx="5">
                  <c:v>376198350.09890002</c:v>
                </c:pt>
                <c:pt idx="6">
                  <c:v>452347145.88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BB-4481-95F0-94C64012FE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351618143"/>
        <c:axId val="1345161455"/>
      </c:barChart>
      <c:lineChart>
        <c:grouping val="standard"/>
        <c:varyColors val="0"/>
        <c:ser>
          <c:idx val="1"/>
          <c:order val="1"/>
          <c:tx>
            <c:strRef>
              <c:f>Hoja2!$D$3</c:f>
              <c:strCache>
                <c:ptCount val="1"/>
                <c:pt idx="0">
                  <c:v>Promedio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3-A5BB-4481-95F0-94C64012FE42}"/>
              </c:ext>
            </c:extLst>
          </c:dPt>
          <c:dLbls>
            <c:dLbl>
              <c:idx val="0"/>
              <c:layout>
                <c:manualLayout>
                  <c:x val="-8.2711080595302688E-2"/>
                  <c:y val="-3.5281134385701976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200" b="0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200">
                        <a:solidFill>
                          <a:schemeClr val="bg1"/>
                        </a:solidFill>
                      </a:rPr>
                      <a:t>Promedio:</a:t>
                    </a:r>
                    <a:fld id="{BC5F7BA3-352B-45C3-9864-64E69EE5CAC2}" type="VALUE">
                      <a:rPr lang="en-US" sz="1200">
                        <a:solidFill>
                          <a:schemeClr val="bg1"/>
                        </a:solidFill>
                      </a:rPr>
                      <a:pPr>
                        <a:defRPr sz="1200">
                          <a:solidFill>
                            <a:schemeClr val="bg1"/>
                          </a:solidFill>
                        </a:defRPr>
                      </a:pPr>
                      <a:t>[VALOR]</a:t>
                    </a:fld>
                    <a:endParaRPr lang="en-US" sz="1200">
                      <a:solidFill>
                        <a:schemeClr val="bg1"/>
                      </a:solidFill>
                    </a:endParaRPr>
                  </a:p>
                </c:rich>
              </c:tx>
              <c:spPr>
                <a:solidFill>
                  <a:schemeClr val="accent2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A5BB-4481-95F0-94C64012FE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Hoja2!$B$4:$B$10</c:f>
              <c:strCache>
                <c:ptCount val="7"/>
                <c:pt idx="0">
                  <c:v>Recupera</c:v>
                </c:pt>
                <c:pt idx="1">
                  <c:v>Andes</c:v>
                </c:pt>
                <c:pt idx="2">
                  <c:v>Sinergy</c:v>
                </c:pt>
                <c:pt idx="3">
                  <c:v>BPM</c:v>
                </c:pt>
                <c:pt idx="4">
                  <c:v>Cobranza Nacional</c:v>
                </c:pt>
                <c:pt idx="5">
                  <c:v>AlmaContact</c:v>
                </c:pt>
                <c:pt idx="6">
                  <c:v>Grupo ASD</c:v>
                </c:pt>
              </c:strCache>
            </c:strRef>
          </c:cat>
          <c:val>
            <c:numRef>
              <c:f>Hoja2!$D$4:$D$10</c:f>
              <c:numCache>
                <c:formatCode>\$\ #,##0;\-\$\ #,##0;\$\ #,##0</c:formatCode>
                <c:ptCount val="7"/>
                <c:pt idx="0">
                  <c:v>339825766.20575106</c:v>
                </c:pt>
                <c:pt idx="1">
                  <c:v>339825766.20575106</c:v>
                </c:pt>
                <c:pt idx="2">
                  <c:v>339825766.20575106</c:v>
                </c:pt>
                <c:pt idx="3">
                  <c:v>339825766.20575106</c:v>
                </c:pt>
                <c:pt idx="4">
                  <c:v>339825766.20575106</c:v>
                </c:pt>
                <c:pt idx="5">
                  <c:v>339825766.20575106</c:v>
                </c:pt>
                <c:pt idx="6">
                  <c:v>339825766.20575106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5BB-4481-95F0-94C64012FE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1618143"/>
        <c:axId val="1345161455"/>
      </c:lineChart>
      <c:catAx>
        <c:axId val="13516181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45161455"/>
        <c:crosses val="autoZero"/>
        <c:auto val="1"/>
        <c:lblAlgn val="ctr"/>
        <c:lblOffset val="100"/>
        <c:noMultiLvlLbl val="0"/>
      </c:catAx>
      <c:valAx>
        <c:axId val="1345161455"/>
        <c:scaling>
          <c:orientation val="minMax"/>
        </c:scaling>
        <c:delete val="0"/>
        <c:axPos val="l"/>
        <c:numFmt formatCode="\$\ #,##0;\-\$\ #,##0;\$\ 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3516181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/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11</xdr:col>
      <xdr:colOff>671513</xdr:colOff>
      <xdr:row>24</xdr:row>
      <xdr:rowOff>128589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8E2BD78-647E-40B2-8538-6DEB34698C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aquin Bolaños" refreshedDate="45539.542601157409" createdVersion="5" refreshedVersion="8" minRefreshableVersion="3" recordCount="0" supportSubquery="1" supportAdvancedDrill="1" xr:uid="{CB0DD2B2-17CB-4AE6-88A4-982F21E7DEC3}">
  <cacheSource type="external" connectionId="1"/>
  <cacheFields count="3">
    <cacheField name="[Datos_2024].[Compañía].[Compañía]" caption="Compañía" numFmtId="0" level="1">
      <sharedItems count="7">
        <s v="AlmaContact"/>
        <s v="Andes"/>
        <s v="BPM"/>
        <s v="Cobranza Nacional"/>
        <s v="Grupo ASD"/>
        <s v="Recupera"/>
        <s v="Sinergy"/>
      </sharedItems>
    </cacheField>
    <cacheField name="[Measures].[Suma de Cotización 2024]" caption="Suma de Cotización 2024" numFmtId="0" hierarchy="2" level="32767"/>
    <cacheField name="[Measures].[Promedio]" caption="Promedio" numFmtId="0" hierarchy="3" level="32767"/>
  </cacheFields>
  <cacheHierarchies count="12">
    <cacheHierarchy uniqueName="[Datos_2024].[Compañía]" caption="Compañía" attribute="1" defaultMemberUniqueName="[Datos_2024].[Compañía].[All]" allUniqueName="[Datos_2024].[Compañía].[All]" dimensionUniqueName="[Datos_2024]" displayFolder="" count="2" memberValueDatatype="130" unbalanced="0">
      <fieldsUsage count="2">
        <fieldUsage x="-1"/>
        <fieldUsage x="0"/>
      </fieldsUsage>
    </cacheHierarchy>
    <cacheHierarchy uniqueName="[Datos_2024].[Cotización 2024]" caption="Cotización 2024" attribute="1" defaultMemberUniqueName="[Datos_2024].[Cotización 2024].[All]" allUniqueName="[Datos_2024].[Cotización 2024].[All]" dimensionUniqueName="[Datos_2024]" displayFolder="" count="0" memberValueDatatype="5" unbalanced="0"/>
    <cacheHierarchy uniqueName="[Measures].[Suma de Cotización 2024]" caption="Suma de Cotización 2024" measure="1" displayFolder="" measureGroup="Datos_2024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Promedio]" caption="Promedio" measure="1" displayFolder="" measureGroup="Datos_2024" count="0" oneField="1">
      <fieldsUsage count="1">
        <fieldUsage x="2"/>
      </fieldsUsage>
    </cacheHierarchy>
    <cacheHierarchy uniqueName="[Measures].[Q1]" caption="Q1" measure="1" displayFolder="" measureGroup="Datos_2024" count="0"/>
    <cacheHierarchy uniqueName="[Measures].[Q2]" caption="Q2" measure="1" displayFolder="" measureGroup="Datos_2024" count="0"/>
    <cacheHierarchy uniqueName="[Measures].[Q3]" caption="Q3" measure="1" displayFolder="" measureGroup="Datos_2024" count="0"/>
    <cacheHierarchy uniqueName="[Measures].[RIC]" caption="RIC" measure="1" displayFolder="" measureGroup="Datos_2024" count="0"/>
    <cacheHierarchy uniqueName="[Measures].[Límite Inferior]" caption="Límite Inferior" measure="1" displayFolder="" measureGroup="Datos_2024" count="0"/>
    <cacheHierarchy uniqueName="[Measures].[Límite Superior]" caption="Límite Superior" measure="1" displayFolder="" measureGroup="Datos_2024" count="0"/>
    <cacheHierarchy uniqueName="[Measures].[__XL_Count Datos_2024]" caption="__XL_Count Datos_2024" measure="1" displayFolder="" measureGroup="Datos_2024" count="0" hidden="1"/>
    <cacheHierarchy uniqueName="[Measures].[__No hay medidas definidas]" caption="__No hay medidas definidas" measure="1" displayFolder="" count="0" hidden="1"/>
  </cacheHierarchies>
  <kpis count="0"/>
  <dimensions count="2">
    <dimension name="Datos_2024" uniqueName="[Datos_2024]" caption="Datos_2024"/>
    <dimension measure="1" name="Measures" uniqueName="[Measures]" caption="Measures"/>
  </dimensions>
  <measureGroups count="1">
    <measureGroup name="Datos_2024" caption="Datos_2024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oaquin Bolaños" refreshedDate="45539.544219560186" createdVersion="5" refreshedVersion="8" minRefreshableVersion="3" recordCount="0" supportSubquery="1" supportAdvancedDrill="1" xr:uid="{FCC9DD46-074E-419C-8EFE-D7C187DB0553}">
  <cacheSource type="external" connectionId="1"/>
  <cacheFields count="8">
    <cacheField name="[Datos_2024].[Compañía].[Compañía]" caption="Compañía" numFmtId="0" level="1">
      <sharedItems count="7">
        <s v="AlmaContact"/>
        <s v="Andes"/>
        <s v="BPM"/>
        <s v="Cobranza Nacional"/>
        <s v="Grupo ASD"/>
        <s v="Recupera"/>
        <s v="Sinergy"/>
      </sharedItems>
    </cacheField>
    <cacheField name="[Measures].[Suma de Cotización 2024]" caption="Suma de Cotización 2024" numFmtId="0" hierarchy="2" level="32767"/>
    <cacheField name="[Measures].[Q1]" caption="Q1" numFmtId="0" hierarchy="4" level="32767"/>
    <cacheField name="[Measures].[Q2]" caption="Q2" numFmtId="0" hierarchy="5" level="32767"/>
    <cacheField name="[Measures].[Q3]" caption="Q3" numFmtId="0" hierarchy="6" level="32767"/>
    <cacheField name="[Measures].[RIC]" caption="RIC" numFmtId="0" hierarchy="7" level="32767"/>
    <cacheField name="[Measures].[Límite Inferior]" caption="Límite Inferior" numFmtId="0" hierarchy="8" level="32767"/>
    <cacheField name="[Measures].[Límite Superior]" caption="Límite Superior" numFmtId="0" hierarchy="9" level="32767"/>
  </cacheFields>
  <cacheHierarchies count="12">
    <cacheHierarchy uniqueName="[Datos_2024].[Compañía]" caption="Compañía" attribute="1" defaultMemberUniqueName="[Datos_2024].[Compañía].[All]" allUniqueName="[Datos_2024].[Compañía].[All]" dimensionUniqueName="[Datos_2024]" displayFolder="" count="2" memberValueDatatype="130" unbalanced="0">
      <fieldsUsage count="2">
        <fieldUsage x="-1"/>
        <fieldUsage x="0"/>
      </fieldsUsage>
    </cacheHierarchy>
    <cacheHierarchy uniqueName="[Datos_2024].[Cotización 2024]" caption="Cotización 2024" attribute="1" defaultMemberUniqueName="[Datos_2024].[Cotización 2024].[All]" allUniqueName="[Datos_2024].[Cotización 2024].[All]" dimensionUniqueName="[Datos_2024]" displayFolder="" count="0" memberValueDatatype="5" unbalanced="0"/>
    <cacheHierarchy uniqueName="[Measures].[Suma de Cotización 2024]" caption="Suma de Cotización 2024" measure="1" displayFolder="" measureGroup="Datos_2024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Promedio]" caption="Promedio" measure="1" displayFolder="" measureGroup="Datos_2024" count="0"/>
    <cacheHierarchy uniqueName="[Measures].[Q1]" caption="Q1" measure="1" displayFolder="" measureGroup="Datos_2024" count="0" oneField="1">
      <fieldsUsage count="1">
        <fieldUsage x="2"/>
      </fieldsUsage>
    </cacheHierarchy>
    <cacheHierarchy uniqueName="[Measures].[Q2]" caption="Q2" measure="1" displayFolder="" measureGroup="Datos_2024" count="0" oneField="1">
      <fieldsUsage count="1">
        <fieldUsage x="3"/>
      </fieldsUsage>
    </cacheHierarchy>
    <cacheHierarchy uniqueName="[Measures].[Q3]" caption="Q3" measure="1" displayFolder="" measureGroup="Datos_2024" count="0" oneField="1">
      <fieldsUsage count="1">
        <fieldUsage x="4"/>
      </fieldsUsage>
    </cacheHierarchy>
    <cacheHierarchy uniqueName="[Measures].[RIC]" caption="RIC" measure="1" displayFolder="" measureGroup="Datos_2024" count="0" oneField="1">
      <fieldsUsage count="1">
        <fieldUsage x="5"/>
      </fieldsUsage>
    </cacheHierarchy>
    <cacheHierarchy uniqueName="[Measures].[Límite Inferior]" caption="Límite Inferior" measure="1" displayFolder="" measureGroup="Datos_2024" count="0" oneField="1">
      <fieldsUsage count="1">
        <fieldUsage x="6"/>
      </fieldsUsage>
    </cacheHierarchy>
    <cacheHierarchy uniqueName="[Measures].[Límite Superior]" caption="Límite Superior" measure="1" displayFolder="" measureGroup="Datos_2024" count="0" oneField="1">
      <fieldsUsage count="1">
        <fieldUsage x="7"/>
      </fieldsUsage>
    </cacheHierarchy>
    <cacheHierarchy uniqueName="[Measures].[__XL_Count Datos_2024]" caption="__XL_Count Datos_2024" measure="1" displayFolder="" measureGroup="Datos_2024" count="0" hidden="1"/>
    <cacheHierarchy uniqueName="[Measures].[__No hay medidas definidas]" caption="__No hay medidas definidas" measure="1" displayFolder="" count="0" hidden="1"/>
  </cacheHierarchies>
  <kpis count="0"/>
  <dimensions count="2">
    <dimension name="Datos_2024" uniqueName="[Datos_2024]" caption="Datos_2024"/>
    <dimension measure="1" name="Measures" uniqueName="[Measures]" caption="Measures"/>
  </dimensions>
  <measureGroups count="1">
    <measureGroup name="Datos_2024" caption="Datos_2024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aquin Bolaños" refreshedDate="45539.645501736108" createdVersion="8" refreshedVersion="8" minRefreshableVersion="3" recordCount="6" xr:uid="{02B6A035-C302-4C5F-B648-2E4CEA6871FA}">
  <cacheSource type="worksheet">
    <worksheetSource name="Tabla_Datos_2025"/>
  </cacheSource>
  <cacheFields count="2">
    <cacheField name="Compañía" numFmtId="0">
      <sharedItems count="6">
        <s v="AlmaContact"/>
        <s v="BPM"/>
        <s v="Cobranza Nacional"/>
        <s v="Grupo ASD"/>
        <s v="Recupera"/>
        <s v="Sinergy"/>
      </sharedItems>
    </cacheField>
    <cacheField name="Cotización 2025" numFmtId="6">
      <sharedItems containsSemiMixedTypes="0" containsString="0" containsNumber="1" minValue="1139072636.24" maxValue="265982564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2176359014.4779"/>
  </r>
  <r>
    <x v="1"/>
    <n v="2112833576"/>
  </r>
  <r>
    <x v="2"/>
    <n v="2136465236.22"/>
  </r>
  <r>
    <x v="3"/>
    <n v="2659825644"/>
  </r>
  <r>
    <x v="4"/>
    <n v="1139072636.24"/>
  </r>
  <r>
    <x v="5"/>
    <n v="188797117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B11ED9-3F60-48FF-91B3-DD5361EF8EA3}" name="TablaDinámica6" cacheId="4" applyNumberFormats="0" applyBorderFormats="0" applyFontFormats="0" applyPatternFormats="0" applyAlignmentFormats="0" applyWidthHeightFormats="1" dataCaption="Valores" tag="9508c378-4bb8-42b6-a731-c33b38273613" updatedVersion="8" minRefreshableVersion="3" subtotalHiddenItems="1" rowGrandTotals="0" colGrandTotals="0" itemPrintTitles="1" createdVersion="5" indent="0" outline="1" outlineData="1" multipleFieldFilters="0" rowHeaderCaption="Empresa">
  <location ref="B14:I21" firstHeaderRow="0" firstDataRow="1" firstDataCol="1"/>
  <pivotFields count="8">
    <pivotField axis="axisRow" allDrilled="1" subtotalTop="0" showAll="0" sortType="ascending" defaultSubtotal="0" defaultAttributeDrillState="1">
      <items count="7">
        <item x="0"/>
        <item x="1"/>
        <item x="2"/>
        <item x="3"/>
        <item x="4"/>
        <item x="5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0"/>
  </rowFields>
  <rowItems count="7">
    <i>
      <x v="5"/>
    </i>
    <i>
      <x v="1"/>
    </i>
    <i>
      <x v="6"/>
    </i>
    <i>
      <x v="2"/>
    </i>
    <i>
      <x v="3"/>
    </i>
    <i>
      <x/>
    </i>
    <i>
      <x v="4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Cotización 2024" fld="1" baseField="0" baseItem="0"/>
    <dataField fld="2" subtotal="count" baseField="0" baseItem="0"/>
    <dataField fld="3" subtotal="count" baseField="0" baseItem="0"/>
    <dataField fld="4" subtotal="count" baseField="0" baseItem="0"/>
    <dataField fld="5" subtotal="count" baseField="0" baseItem="0"/>
    <dataField fld="6" subtotal="count" baseField="0" baseItem="0"/>
    <dataField fld="7" subtotal="count" baseField="0" baseItem="0"/>
  </dataFields>
  <formats count="8">
    <format dxfId="20">
      <pivotArea dataOnly="0" labelOnly="1" outline="0" axis="axisValues" fieldPosition="0"/>
    </format>
    <format dxfId="19">
      <pivotArea field="0" type="button" dataOnly="0" labelOnly="1" outline="0" axis="axisRow" fieldPosition="0"/>
    </format>
    <format dxfId="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6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4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13">
      <pivotArea dataOnly="0" labelOnly="1" outline="0" fieldPosition="0">
        <references count="1">
          <reference field="4294967294" count="1">
            <x v="6"/>
          </reference>
        </references>
      </pivotArea>
    </format>
  </formats>
  <pivotHierarchies count="12">
    <pivotHierarchy dragToData="1"/>
    <pivotHierarchy dragToData="1"/>
    <pivotHierarchy dragToData="1" caption="Cotización 2024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9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Datos_2024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53048D-3C97-4AC9-84B7-C25C793B822B}" name="TablaDinámica4" cacheId="3" applyNumberFormats="0" applyBorderFormats="0" applyFontFormats="0" applyPatternFormats="0" applyAlignmentFormats="0" applyWidthHeightFormats="1" dataCaption="Valores" tag="178f809e-22d0-431f-8eef-c0da7088989a" updatedVersion="8" minRefreshableVersion="3" rowGrandTotals="0" colGrandTotals="0" itemPrintTitles="1" createdVersion="5" indent="0" outline="1" outlineData="1" multipleFieldFilters="0" chartFormat="17" rowHeaderCaption="Empresa">
  <location ref="B3:D10" firstHeaderRow="0" firstDataRow="1" firstDataCol="1"/>
  <pivotFields count="3">
    <pivotField axis="axisRow" allDrilled="1" subtotalTop="0" showAll="0" sortType="ascending" defaultSubtotal="0" defaultAttributeDrillState="1">
      <items count="7">
        <item x="0"/>
        <item x="1"/>
        <item x="2"/>
        <item x="3"/>
        <item x="4"/>
        <item x="5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ubtotalTop="0" showAll="0" defaultSubtotal="0"/>
    <pivotField dataField="1" subtotalTop="0" showAll="0" defaultSubtotal="0"/>
  </pivotFields>
  <rowFields count="1">
    <field x="0"/>
  </rowFields>
  <rowItems count="7">
    <i>
      <x v="5"/>
    </i>
    <i>
      <x v="1"/>
    </i>
    <i>
      <x v="6"/>
    </i>
    <i>
      <x v="2"/>
    </i>
    <i>
      <x v="3"/>
    </i>
    <i>
      <x/>
    </i>
    <i>
      <x v="4"/>
    </i>
  </rowItems>
  <colFields count="1">
    <field x="-2"/>
  </colFields>
  <colItems count="2">
    <i>
      <x/>
    </i>
    <i i="1">
      <x v="1"/>
    </i>
  </colItems>
  <dataFields count="2">
    <dataField name="Cotización 2024" fld="1" baseField="0" baseItem="0"/>
    <dataField fld="2" subtotal="count" baseField="0" baseItem="0"/>
  </dataFields>
  <formats count="1">
    <format dxfId="2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5">
    <chartFormat chart="11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1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11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14">
      <pivotArea type="data" outline="0" fieldPosition="0">
        <references count="2">
          <reference field="4294967294" count="1" selected="0">
            <x v="1"/>
          </reference>
          <reference field="0" count="1" selected="0">
            <x v="5"/>
          </reference>
        </references>
      </pivotArea>
    </chartFormat>
  </chartFormats>
  <pivotHierarchies count="12">
    <pivotHierarchy dragToData="1"/>
    <pivotHierarchy dragToData="1"/>
    <pivotHierarchy dragToData="1" caption="Cotización 2024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9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Datos_2024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5E72017-A8AC-4F65-BB21-EC9C3B9BBDB5}" name="TablaDinámica8" cacheId="5" applyNumberFormats="0" applyBorderFormats="0" applyFontFormats="0" applyPatternFormats="0" applyAlignmentFormats="0" applyWidthHeightFormats="1" dataCaption="Valores" updatedVersion="8" minRefreshableVersion="3" itemPrintTitles="1" createdVersion="8" indent="0" outline="1" outlineData="1" multipleFieldFilters="0" chartFormat="3">
  <location ref="C29:D36" firstHeaderRow="1" firstDataRow="1" firstDataCol="1"/>
  <pivotFields count="2">
    <pivotField axis="axisRow" showAll="0" sortType="ascending">
      <items count="7">
        <item x="0"/>
        <item x="1"/>
        <item x="2"/>
        <item x="3"/>
        <item x="4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6" showAll="0"/>
  </pivotFields>
  <rowFields count="1">
    <field x="0"/>
  </rowFields>
  <rowItems count="7">
    <i>
      <x v="4"/>
    </i>
    <i>
      <x v="5"/>
    </i>
    <i>
      <x v="1"/>
    </i>
    <i>
      <x v="2"/>
    </i>
    <i>
      <x/>
    </i>
    <i>
      <x v="3"/>
    </i>
    <i t="grand">
      <x/>
    </i>
  </rowItems>
  <colItems count="1">
    <i/>
  </colItems>
  <dataFields count="1">
    <dataField name="Suma de Cotización 2025" fld="1" baseField="0" baseItem="0" numFmtId="6"/>
  </dataFields>
  <formats count="1">
    <format dxfId="6">
      <pivotArea outline="0" collapsedLevelsAreSubtotals="1" fieldPosition="0"/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15F40F-1206-44C2-AA18-B91E9F37D160}" name="Datos_2024" displayName="Datos_2024" ref="B3:C10" totalsRowShown="0" headerRowDxfId="27" headerRowBorderDxfId="26" tableBorderDxfId="25" totalsRowBorderDxfId="24">
  <autoFilter ref="B3:C10" xr:uid="{3215F40F-1206-44C2-AA18-B91E9F37D160}"/>
  <tableColumns count="2">
    <tableColumn id="1" xr3:uid="{AB2EFB0A-8969-498D-B2C8-E7129E10B13B}" name="Compañía" dataDxfId="23"/>
    <tableColumn id="2" xr3:uid="{762E956B-2B05-4E9A-B965-B5CDEE4547FF}" name="Cotización 2024" dataDxfId="2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C9B69A-EF9C-4894-BD90-7AC2D2D3B1F6}" name="Datos_20243" displayName="Datos_20243" ref="B3:C10" totalsRowShown="0" headerRowDxfId="12" headerRowBorderDxfId="11" tableBorderDxfId="10" totalsRowBorderDxfId="9">
  <autoFilter ref="B3:C10" xr:uid="{3215F40F-1206-44C2-AA18-B91E9F37D160}"/>
  <tableColumns count="2">
    <tableColumn id="1" xr3:uid="{342D3AC5-5878-4B7B-B0C5-53C4DD1BF959}" name="Compañía" dataDxfId="8"/>
    <tableColumn id="2" xr3:uid="{40DCF36B-EF03-43C6-9A08-D1EE31DCF2A2}" name="Cotización 2025" dataDxfId="7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4F0DD0-DC0C-474E-A05E-3C0B4C0D93FF}" name="Tabla_Datos_2025" displayName="Tabla_Datos_2025" ref="C4:D10" totalsRowShown="0" headerRowDxfId="5" headerRowBorderDxfId="4" tableBorderDxfId="3" totalsRowBorderDxfId="2">
  <autoFilter ref="C4:D10" xr:uid="{E44F0DD0-DC0C-474E-A05E-3C0B4C0D93FF}"/>
  <tableColumns count="2">
    <tableColumn id="1" xr3:uid="{21C79B37-821C-4F58-9547-F909BD1A2C4C}" name="Compañía" dataDxfId="1"/>
    <tableColumn id="2" xr3:uid="{B78A6C63-B0F6-449F-AE61-C7DCD6C803F6}" name="Cotización 2025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3A830-ED7B-422A-87B0-FA46A534168C}">
  <dimension ref="A2:BX63"/>
  <sheetViews>
    <sheetView tabSelected="1" topLeftCell="A28" zoomScale="80" zoomScaleNormal="80" workbookViewId="0">
      <selection activeCell="E31" sqref="E31"/>
    </sheetView>
  </sheetViews>
  <sheetFormatPr baseColWidth="10" defaultRowHeight="15" x14ac:dyDescent="0.25"/>
  <cols>
    <col min="1" max="1" width="5.85546875" style="17" bestFit="1" customWidth="1"/>
    <col min="2" max="2" width="47.7109375" style="17" customWidth="1"/>
    <col min="3" max="3" width="14.85546875" style="17" bestFit="1" customWidth="1"/>
    <col min="4" max="4" width="11.42578125" style="18"/>
    <col min="5" max="5" width="13.7109375" style="18" bestFit="1" customWidth="1"/>
    <col min="6" max="6" width="14.140625" style="18" customWidth="1"/>
    <col min="7" max="7" width="15.28515625" style="18" bestFit="1" customWidth="1"/>
    <col min="8" max="8" width="15.28515625" style="18" customWidth="1"/>
    <col min="9" max="9" width="19.140625" style="17" bestFit="1" customWidth="1"/>
    <col min="10" max="10" width="17.7109375" style="17" customWidth="1"/>
    <col min="11" max="11" width="23.5703125" style="17" bestFit="1" customWidth="1"/>
    <col min="12" max="12" width="11.42578125" style="17"/>
    <col min="13" max="13" width="15.5703125" style="17" bestFit="1" customWidth="1"/>
    <col min="14" max="14" width="15.7109375" style="17" customWidth="1"/>
    <col min="15" max="15" width="11.42578125" style="17"/>
    <col min="16" max="16" width="15.140625" style="17" bestFit="1" customWidth="1"/>
    <col min="17" max="17" width="13.7109375" style="17" customWidth="1"/>
    <col min="18" max="18" width="11.42578125" style="17"/>
    <col min="19" max="19" width="13.85546875" style="17" customWidth="1"/>
    <col min="20" max="20" width="15" style="17" customWidth="1"/>
    <col min="21" max="21" width="11.42578125" style="17"/>
    <col min="22" max="22" width="13.42578125" style="17" customWidth="1"/>
    <col min="23" max="23" width="14.5703125" style="17" customWidth="1"/>
    <col min="24" max="24" width="11.42578125" style="17"/>
    <col min="25" max="25" width="15.140625" style="17" bestFit="1" customWidth="1"/>
    <col min="26" max="26" width="14.42578125" style="17" customWidth="1"/>
    <col min="27" max="27" width="0" style="17" hidden="1" customWidth="1"/>
    <col min="28" max="28" width="15.5703125" style="17" bestFit="1" customWidth="1"/>
    <col min="29" max="29" width="14.42578125" style="17" customWidth="1"/>
    <col min="30" max="30" width="11.42578125" style="17" customWidth="1"/>
    <col min="31" max="31" width="14.7109375" style="17" bestFit="1" customWidth="1"/>
    <col min="32" max="32" width="17.5703125" style="17" bestFit="1" customWidth="1"/>
    <col min="33" max="33" width="20.85546875" style="17" bestFit="1" customWidth="1"/>
    <col min="34" max="34" width="16.7109375" style="17" customWidth="1"/>
    <col min="35" max="36" width="19.7109375" style="17" customWidth="1"/>
    <col min="37" max="38" width="22.7109375" style="17" customWidth="1"/>
    <col min="39" max="40" width="24.85546875" style="17" customWidth="1"/>
    <col min="41" max="41" width="12" style="33" customWidth="1"/>
    <col min="42" max="42" width="15.5703125" style="17" customWidth="1"/>
    <col min="43" max="43" width="15.85546875" style="17" customWidth="1"/>
    <col min="44" max="44" width="20.85546875" style="17" bestFit="1" customWidth="1"/>
    <col min="45" max="45" width="11.42578125" style="17" customWidth="1"/>
    <col min="46" max="46" width="19.140625" style="17" customWidth="1"/>
    <col min="47" max="47" width="19.85546875" style="17" customWidth="1"/>
    <col min="48" max="48" width="20.140625" style="17" customWidth="1"/>
    <col min="49" max="49" width="10.28515625" style="17" customWidth="1"/>
    <col min="50" max="50" width="18.140625" style="17" customWidth="1"/>
    <col min="51" max="51" width="15.42578125" style="17" customWidth="1"/>
    <col min="52" max="52" width="20.85546875" style="17" bestFit="1" customWidth="1"/>
    <col min="53" max="53" width="14.7109375" style="17" customWidth="1"/>
    <col min="54" max="54" width="12.7109375" style="17" customWidth="1"/>
    <col min="55" max="56" width="15.42578125" style="17" bestFit="1" customWidth="1"/>
    <col min="57" max="57" width="11.42578125" style="17" customWidth="1"/>
    <col min="58" max="58" width="17.7109375" style="17" customWidth="1"/>
    <col min="59" max="59" width="14.85546875" style="17" customWidth="1"/>
    <col min="60" max="60" width="20.85546875" style="17" bestFit="1" customWidth="1"/>
    <col min="61" max="61" width="11.42578125" style="17" customWidth="1"/>
    <col min="62" max="62" width="19.7109375" style="17" customWidth="1"/>
    <col min="63" max="63" width="15.42578125" style="17" bestFit="1" customWidth="1"/>
    <col min="64" max="64" width="20.42578125" style="17" bestFit="1" customWidth="1"/>
    <col min="65" max="65" width="11.42578125" style="17"/>
    <col min="66" max="67" width="12.5703125" style="17" bestFit="1" customWidth="1"/>
    <col min="68" max="68" width="18.85546875" style="17" customWidth="1"/>
    <col min="69" max="69" width="11.42578125" style="17"/>
    <col min="70" max="70" width="18" style="17" customWidth="1"/>
    <col min="71" max="71" width="13.7109375" style="17" bestFit="1" customWidth="1"/>
    <col min="72" max="72" width="20.85546875" style="17" bestFit="1" customWidth="1"/>
    <col min="73" max="73" width="11.42578125" style="17"/>
    <col min="74" max="74" width="19.140625" style="17" customWidth="1"/>
    <col min="75" max="75" width="15.42578125" style="17" bestFit="1" customWidth="1"/>
    <col min="76" max="76" width="19.85546875" style="17" bestFit="1" customWidth="1"/>
    <col min="77" max="16384" width="11.42578125" style="17"/>
  </cols>
  <sheetData>
    <row r="2" spans="1:72" ht="18" x14ac:dyDescent="0.25">
      <c r="J2" s="66" t="s">
        <v>30</v>
      </c>
      <c r="K2" s="67"/>
      <c r="M2" s="66" t="s">
        <v>31</v>
      </c>
      <c r="N2" s="67"/>
      <c r="P2" s="66" t="s">
        <v>32</v>
      </c>
      <c r="Q2" s="67"/>
      <c r="S2" s="66" t="s">
        <v>33</v>
      </c>
      <c r="T2" s="67"/>
      <c r="V2" s="66" t="s">
        <v>34</v>
      </c>
      <c r="W2" s="67"/>
      <c r="Y2" s="66" t="s">
        <v>35</v>
      </c>
      <c r="Z2" s="67"/>
      <c r="AB2" s="65" t="s">
        <v>36</v>
      </c>
      <c r="AC2" s="65"/>
    </row>
    <row r="3" spans="1:72" ht="75" x14ac:dyDescent="0.25">
      <c r="A3" s="19" t="s">
        <v>37</v>
      </c>
      <c r="B3" s="19" t="s">
        <v>38</v>
      </c>
      <c r="C3" s="19" t="s">
        <v>39</v>
      </c>
      <c r="D3" s="19" t="s">
        <v>40</v>
      </c>
      <c r="E3" s="17"/>
      <c r="F3" s="20" t="s">
        <v>41</v>
      </c>
      <c r="G3" s="20" t="s">
        <v>42</v>
      </c>
      <c r="H3" s="17"/>
      <c r="I3" s="20" t="s">
        <v>41</v>
      </c>
      <c r="J3" s="20" t="s">
        <v>42</v>
      </c>
      <c r="L3" s="20" t="s">
        <v>41</v>
      </c>
      <c r="M3" s="20" t="s">
        <v>42</v>
      </c>
      <c r="O3" s="20" t="s">
        <v>41</v>
      </c>
      <c r="P3" s="20" t="s">
        <v>42</v>
      </c>
      <c r="R3" s="20" t="s">
        <v>41</v>
      </c>
      <c r="S3" s="20" t="s">
        <v>42</v>
      </c>
      <c r="U3" s="20" t="s">
        <v>41</v>
      </c>
      <c r="V3" s="20" t="s">
        <v>42</v>
      </c>
      <c r="X3" s="20" t="s">
        <v>41</v>
      </c>
      <c r="Y3" s="20" t="s">
        <v>42</v>
      </c>
      <c r="AA3" s="20" t="s">
        <v>43</v>
      </c>
      <c r="AB3" s="40" t="s">
        <v>68</v>
      </c>
      <c r="AC3" s="40" t="s">
        <v>69</v>
      </c>
      <c r="AD3" s="69"/>
      <c r="AE3" s="173" t="s">
        <v>103</v>
      </c>
      <c r="AF3" s="173" t="s">
        <v>127</v>
      </c>
      <c r="AG3" s="173" t="s">
        <v>126</v>
      </c>
      <c r="AH3" s="173" t="s">
        <v>128</v>
      </c>
      <c r="AI3" s="173" t="s">
        <v>132</v>
      </c>
      <c r="AJ3" s="173" t="s">
        <v>129</v>
      </c>
      <c r="AK3" s="33"/>
      <c r="AL3" s="40" t="s">
        <v>64</v>
      </c>
      <c r="AM3" s="40" t="s">
        <v>65</v>
      </c>
      <c r="AN3" s="40" t="s">
        <v>66</v>
      </c>
      <c r="AO3" s="17"/>
      <c r="AP3" s="40" t="s">
        <v>67</v>
      </c>
      <c r="AQ3" s="40" t="s">
        <v>70</v>
      </c>
      <c r="AR3" s="40" t="s">
        <v>71</v>
      </c>
      <c r="AT3" s="72" t="s">
        <v>72</v>
      </c>
      <c r="AU3" s="72" t="s">
        <v>73</v>
      </c>
      <c r="AV3" s="72" t="s">
        <v>66</v>
      </c>
      <c r="AX3" s="58" t="s">
        <v>89</v>
      </c>
      <c r="AY3" s="58" t="s">
        <v>90</v>
      </c>
      <c r="AZ3" s="58" t="s">
        <v>91</v>
      </c>
      <c r="BB3" s="58" t="s">
        <v>93</v>
      </c>
      <c r="BC3" s="58" t="s">
        <v>96</v>
      </c>
      <c r="BD3" s="58" t="s">
        <v>92</v>
      </c>
      <c r="BF3" s="58" t="s">
        <v>94</v>
      </c>
      <c r="BG3" s="58" t="s">
        <v>97</v>
      </c>
      <c r="BH3" s="58" t="s">
        <v>98</v>
      </c>
      <c r="BJ3" s="58" t="s">
        <v>95</v>
      </c>
      <c r="BK3" s="58" t="s">
        <v>99</v>
      </c>
      <c r="BL3" s="58" t="s">
        <v>100</v>
      </c>
      <c r="BN3" s="58" t="s">
        <v>101</v>
      </c>
      <c r="BO3" s="58" t="s">
        <v>97</v>
      </c>
      <c r="BP3" s="58" t="s">
        <v>98</v>
      </c>
      <c r="BR3" s="58" t="s">
        <v>102</v>
      </c>
      <c r="BS3" s="58" t="s">
        <v>97</v>
      </c>
      <c r="BT3" s="58" t="s">
        <v>98</v>
      </c>
    </row>
    <row r="4" spans="1:72" x14ac:dyDescent="0.25">
      <c r="A4" s="21">
        <v>1</v>
      </c>
      <c r="B4" s="50" t="s">
        <v>44</v>
      </c>
      <c r="C4" s="50">
        <v>40</v>
      </c>
      <c r="D4" s="22">
        <v>1</v>
      </c>
      <c r="E4" s="17"/>
      <c r="F4" s="23">
        <v>80500</v>
      </c>
      <c r="G4" s="24">
        <f>+F4*1.19</f>
        <v>95795</v>
      </c>
      <c r="H4" s="17"/>
      <c r="I4" s="25">
        <v>120000</v>
      </c>
      <c r="J4" s="38">
        <f>+I4*1.19</f>
        <v>142800</v>
      </c>
      <c r="L4" s="25">
        <v>54105</v>
      </c>
      <c r="M4" s="41">
        <f>+L4*1.19</f>
        <v>64384.95</v>
      </c>
      <c r="O4" s="25">
        <v>74700</v>
      </c>
      <c r="P4" s="24">
        <f>+O4*1.19</f>
        <v>88893</v>
      </c>
      <c r="R4" s="25">
        <v>107440</v>
      </c>
      <c r="S4" s="24">
        <f>+R4*1.19</f>
        <v>127853.59999999999</v>
      </c>
      <c r="U4" s="25">
        <v>27500</v>
      </c>
      <c r="V4" s="37">
        <f>+U4*1.19</f>
        <v>32725</v>
      </c>
      <c r="X4" s="26">
        <v>118750</v>
      </c>
      <c r="Y4" s="24">
        <f>+X4*1.19</f>
        <v>141312.5</v>
      </c>
      <c r="AA4" s="27">
        <f>+AVERAGE(G4,J4,M4,P4,S4,V4,Y4)</f>
        <v>99109.150000000009</v>
      </c>
      <c r="AB4" s="60">
        <f>+AA4*C4</f>
        <v>3964366.0000000005</v>
      </c>
      <c r="AC4" s="24">
        <f>+AB4</f>
        <v>3964366.0000000005</v>
      </c>
      <c r="AD4" s="68"/>
      <c r="AE4" s="70">
        <f>+STDEVA(G4,J4,M4,P4,S4,V4,Y4)</f>
        <v>41320.364790772328</v>
      </c>
      <c r="AF4" s="101">
        <f>+AE4/AA4</f>
        <v>0.41691775977064</v>
      </c>
      <c r="AG4" s="70">
        <f>+STDEVA(G4,J4,P4,S4,Y4)</f>
        <v>25431.428164025667</v>
      </c>
      <c r="AH4" s="101">
        <f>+AG4/AT4</f>
        <v>0.21311701506807434</v>
      </c>
      <c r="AI4" s="70">
        <f>+STDEVA(G4,J4,M4,P4,S4,Y4)</f>
        <v>31946.5303663128</v>
      </c>
      <c r="AJ4" s="101">
        <f>+AI4/AL4</f>
        <v>0.2899665037910798</v>
      </c>
      <c r="AK4" s="33"/>
      <c r="AL4" s="60">
        <f>+AVERAGE(G4,J4,M4,P4,S4,Y4)</f>
        <v>110173.175</v>
      </c>
      <c r="AM4" s="24">
        <f>+AL4*C4</f>
        <v>4406927</v>
      </c>
      <c r="AN4" s="24">
        <f>+AM4*D4</f>
        <v>4406927</v>
      </c>
      <c r="AO4" s="17"/>
      <c r="AP4" s="61">
        <f>+AVERAGE(Y4,S4,P4,M4,G4)</f>
        <v>103647.81</v>
      </c>
      <c r="AQ4" s="24">
        <f>+AP4*C4</f>
        <v>4145912.4</v>
      </c>
      <c r="AR4" s="24">
        <f>+AQ4*D4</f>
        <v>4145912.4</v>
      </c>
      <c r="AT4" s="61">
        <f>+AVERAGE(Y4,S4,P4,J4,G4)</f>
        <v>119330.81999999999</v>
      </c>
      <c r="AU4" s="24">
        <f>+AT4*C4</f>
        <v>4773232.8</v>
      </c>
      <c r="AV4" s="24">
        <f>+AU4*D4</f>
        <v>4773232.8</v>
      </c>
      <c r="AX4" s="54">
        <f>+MEDIAN(G4,J4,M4,P4,S4,V4,Y4)</f>
        <v>95795</v>
      </c>
      <c r="AY4" s="33">
        <f>+AX4*C4</f>
        <v>3831800</v>
      </c>
      <c r="AZ4" s="33">
        <f>+AY4*D4</f>
        <v>3831800</v>
      </c>
      <c r="BB4" s="54">
        <f>+MAX(G4,J4,M4,P4,S4,V4,Y4)</f>
        <v>142800</v>
      </c>
      <c r="BC4" s="33">
        <f>+BB4*C4</f>
        <v>5712000</v>
      </c>
      <c r="BD4" s="33">
        <f>+BC4*D4</f>
        <v>5712000</v>
      </c>
      <c r="BF4" s="54">
        <f>+AVERAGE(G4,P4,S4,Y4)</f>
        <v>113463.52499999999</v>
      </c>
      <c r="BG4" s="33">
        <f>+BF4*C4</f>
        <v>4538541</v>
      </c>
      <c r="BH4" s="33">
        <f>+BG4*D4</f>
        <v>4538541</v>
      </c>
      <c r="BJ4" s="59">
        <f>+STDEV(G4,J4,M4,P4,S4,V4,Y4)</f>
        <v>41320.364790772328</v>
      </c>
      <c r="BK4" s="59">
        <f>+_xlfn.STDEV.S(G4,J4,P4,S4,Y4)</f>
        <v>25431.428164025667</v>
      </c>
      <c r="BL4" s="59">
        <f>+_xlfn.STDEV.S(G4,P4,S4,Y4)</f>
        <v>25156.358649504553</v>
      </c>
      <c r="BN4" s="63">
        <v>111824.29999999999</v>
      </c>
      <c r="BO4" s="33">
        <f>+BN4*C4</f>
        <v>4472972</v>
      </c>
      <c r="BP4" s="33">
        <f>+BO4*D4</f>
        <v>4472972</v>
      </c>
      <c r="BR4" s="63">
        <v>127853.59999999999</v>
      </c>
      <c r="BS4" s="33">
        <f>+BR4*C4</f>
        <v>5114144</v>
      </c>
      <c r="BT4" s="54">
        <f>+BS4</f>
        <v>5114144</v>
      </c>
    </row>
    <row r="5" spans="1:72" x14ac:dyDescent="0.25">
      <c r="A5" s="21">
        <v>2</v>
      </c>
      <c r="B5" s="22" t="s">
        <v>45</v>
      </c>
      <c r="C5" s="22">
        <v>40000</v>
      </c>
      <c r="D5" s="22">
        <v>0.76</v>
      </c>
      <c r="E5" s="17"/>
      <c r="F5" s="23">
        <v>16.099999999999998</v>
      </c>
      <c r="G5" s="41">
        <f t="shared" ref="G5:G17" si="0">+F5*1.19</f>
        <v>19.158999999999995</v>
      </c>
      <c r="H5" s="17"/>
      <c r="I5" s="25">
        <v>30</v>
      </c>
      <c r="J5" s="24">
        <f t="shared" ref="J5:J21" si="1">+I5*1.19</f>
        <v>35.699999999999996</v>
      </c>
      <c r="L5" s="25">
        <v>41</v>
      </c>
      <c r="M5" s="24">
        <f t="shared" ref="M5:M21" si="2">+L5*1.19</f>
        <v>48.79</v>
      </c>
      <c r="O5" s="25">
        <v>9</v>
      </c>
      <c r="P5" s="37">
        <f t="shared" ref="P5:P21" si="3">+O5*1.19</f>
        <v>10.709999999999999</v>
      </c>
      <c r="R5" s="25">
        <v>80</v>
      </c>
      <c r="S5" s="24">
        <f t="shared" ref="S5:S21" si="4">+R5*1.19</f>
        <v>95.199999999999989</v>
      </c>
      <c r="U5" s="25">
        <v>22</v>
      </c>
      <c r="V5" s="24">
        <f t="shared" ref="V5:V21" si="5">+U5*1.19</f>
        <v>26.18</v>
      </c>
      <c r="X5" s="26">
        <v>337.5</v>
      </c>
      <c r="Y5" s="38">
        <f t="shared" ref="Y5:Y21" si="6">+X5*1.19</f>
        <v>401.625</v>
      </c>
      <c r="AA5" s="27">
        <f t="shared" ref="AA5:AA17" si="7">+AVERAGE(G5,J5,M5,P5,S5,V5,Y5)</f>
        <v>91.052000000000007</v>
      </c>
      <c r="AB5" s="24">
        <f>+AA5*C5</f>
        <v>3642080.0000000005</v>
      </c>
      <c r="AC5" s="24">
        <f>+AB5*D5</f>
        <v>2767980.8000000003</v>
      </c>
      <c r="AD5" s="68"/>
      <c r="AE5" s="70">
        <f t="shared" ref="AE5:AE21" si="8">+STDEVA(G5,J5,M5,P5,S5,V5,Y5)</f>
        <v>139.73458864218264</v>
      </c>
      <c r="AF5" s="101">
        <f t="shared" ref="AF5:AF21" si="9">+AE5/AA5</f>
        <v>1.5346679770041585</v>
      </c>
      <c r="AG5" s="71">
        <f>+STDEVA(J5,M5,S5,V5,Y5)</f>
        <v>158.82064736677029</v>
      </c>
      <c r="AH5" s="101">
        <f t="shared" ref="AH5:AH21" si="10">+AG5/AT5</f>
        <v>1.307176580603711</v>
      </c>
      <c r="AI5" s="71">
        <f>+STDEVA(G5,J5,M5,S5,V5,Y5)</f>
        <v>148.07017826242617</v>
      </c>
      <c r="AJ5" s="101">
        <f t="shared" ref="AJ5:AJ21" si="11">+AI5/AL5</f>
        <v>1.4177218522096036</v>
      </c>
      <c r="AK5" s="33"/>
      <c r="AL5" s="27">
        <f>+AVERAGE(G5,J5,M5,S5,V5,Y5)</f>
        <v>104.44233333333334</v>
      </c>
      <c r="AM5" s="24">
        <f>+AL5*C5</f>
        <v>4177693.3333333335</v>
      </c>
      <c r="AN5" s="24">
        <f>+AM5*D5</f>
        <v>3175046.9333333336</v>
      </c>
      <c r="AO5" s="17"/>
      <c r="AP5" s="42">
        <f>+AVERAGE(V5,S5,M5,J5,G5)</f>
        <v>45.005799999999994</v>
      </c>
      <c r="AQ5" s="24">
        <f>+AP5*C5</f>
        <v>1800231.9999999998</v>
      </c>
      <c r="AR5" s="24">
        <f>+AQ5*D5</f>
        <v>1368176.3199999998</v>
      </c>
      <c r="AT5" s="27">
        <f>+AVERAGE(Y5,V5,S5,M5,J5)</f>
        <v>121.499</v>
      </c>
      <c r="AU5" s="24">
        <f>+AT5*C5</f>
        <v>4859960</v>
      </c>
      <c r="AV5" s="24">
        <f>+AU5*D5</f>
        <v>3693569.6</v>
      </c>
      <c r="AX5" s="54">
        <f t="shared" ref="AX5:AX17" si="12">+MEDIAN(G5,J5,M5,P5,S5,V5,Y5)</f>
        <v>35.699999999999996</v>
      </c>
      <c r="AY5" s="33">
        <f>+AX5*C5</f>
        <v>1427999.9999999998</v>
      </c>
      <c r="AZ5" s="33">
        <f>+AY5*D5</f>
        <v>1085279.9999999998</v>
      </c>
      <c r="BB5" s="54">
        <f t="shared" ref="BB5:BB21" si="13">+MAX(G5,J5,M5,P5,S5,V5,Y5)</f>
        <v>401.625</v>
      </c>
      <c r="BC5" s="33">
        <f>+BB5*C5</f>
        <v>16065000</v>
      </c>
      <c r="BD5" s="33">
        <f>+BC5*D5</f>
        <v>12209400</v>
      </c>
      <c r="BF5" s="54">
        <f>+AVERAGE(J5,M5,S5,V5)</f>
        <v>51.467500000000001</v>
      </c>
      <c r="BG5" s="33">
        <f>+BF5*C5</f>
        <v>2058700</v>
      </c>
      <c r="BH5" s="33">
        <f>+BG5*D5</f>
        <v>1564612</v>
      </c>
      <c r="BJ5" s="59">
        <f t="shared" ref="BJ5:BJ21" si="14">+_xlfn.STDEV.S(G5,J5,M5,P5,S5,V5,Y5)</f>
        <v>139.73458864218264</v>
      </c>
      <c r="BK5" s="59">
        <f t="shared" ref="BK5:BK21" si="15">+_xlfn.STDEV.S(G5,J5,P5,S5,Y5)</f>
        <v>164.97313399369003</v>
      </c>
      <c r="BL5" s="59">
        <f t="shared" ref="BL5:BL21" si="16">+_xlfn.STDEV.S(G5,P5,S5,Y5)</f>
        <v>183.93459851896637</v>
      </c>
      <c r="BN5" s="33">
        <v>42.244999999999997</v>
      </c>
      <c r="BO5" s="33">
        <f>+BN5*C5</f>
        <v>1689800</v>
      </c>
      <c r="BP5" s="33">
        <f>+BO5*D5</f>
        <v>1284248</v>
      </c>
      <c r="BR5" s="33">
        <v>45.517499999999998</v>
      </c>
      <c r="BS5" s="33">
        <f>+BR5*C5</f>
        <v>1820700</v>
      </c>
      <c r="BT5" s="33">
        <f>+BS5*0.76</f>
        <v>1383732</v>
      </c>
    </row>
    <row r="6" spans="1:72" x14ac:dyDescent="0.25">
      <c r="A6" s="21">
        <v>3</v>
      </c>
      <c r="B6" s="22" t="s">
        <v>46</v>
      </c>
      <c r="C6" s="22">
        <v>6000</v>
      </c>
      <c r="D6" s="22">
        <v>0.76</v>
      </c>
      <c r="E6" s="17"/>
      <c r="F6" s="23">
        <v>34.5</v>
      </c>
      <c r="G6" s="41">
        <f t="shared" si="0"/>
        <v>41.055</v>
      </c>
      <c r="H6" s="17"/>
      <c r="I6" s="25">
        <v>38</v>
      </c>
      <c r="J6" s="24">
        <f t="shared" si="1"/>
        <v>45.22</v>
      </c>
      <c r="L6" s="25">
        <v>41</v>
      </c>
      <c r="M6" s="24">
        <f t="shared" si="2"/>
        <v>48.79</v>
      </c>
      <c r="O6" s="25">
        <v>24</v>
      </c>
      <c r="P6" s="37">
        <f t="shared" si="3"/>
        <v>28.56</v>
      </c>
      <c r="R6" s="25">
        <v>80</v>
      </c>
      <c r="S6" s="24">
        <f t="shared" si="4"/>
        <v>95.199999999999989</v>
      </c>
      <c r="U6" s="25">
        <v>192</v>
      </c>
      <c r="V6" s="24">
        <f t="shared" si="5"/>
        <v>228.48</v>
      </c>
      <c r="X6" s="26">
        <v>337.5</v>
      </c>
      <c r="Y6" s="38">
        <f t="shared" si="6"/>
        <v>401.625</v>
      </c>
      <c r="AA6" s="27">
        <f t="shared" si="7"/>
        <v>126.99</v>
      </c>
      <c r="AB6" s="24">
        <f>+AA6*C6</f>
        <v>761940</v>
      </c>
      <c r="AC6" s="24">
        <f>+AB6*D6</f>
        <v>579074.4</v>
      </c>
      <c r="AD6" s="68"/>
      <c r="AE6" s="70">
        <f t="shared" si="8"/>
        <v>139.40951034631752</v>
      </c>
      <c r="AF6" s="101">
        <f t="shared" si="9"/>
        <v>1.097799120767915</v>
      </c>
      <c r="AG6" s="71">
        <f>+STDEVA(J6,M6,S6,V6,Y6)</f>
        <v>152.26513855771452</v>
      </c>
      <c r="AH6" s="101">
        <f t="shared" si="10"/>
        <v>0.92922220731778693</v>
      </c>
      <c r="AI6" s="71">
        <f>+STDEVA(G6,J6,M6,S6,V6,Y6)</f>
        <v>145.12536676956236</v>
      </c>
      <c r="AJ6" s="101">
        <f t="shared" si="11"/>
        <v>1.0120671346250731</v>
      </c>
      <c r="AK6" s="33"/>
      <c r="AL6" s="27">
        <f>+AVERAGE(G6,J6,M6,S6,V6,Y6)</f>
        <v>143.39500000000001</v>
      </c>
      <c r="AM6" s="24">
        <f>+AL6*C6</f>
        <v>860370.00000000012</v>
      </c>
      <c r="AN6" s="24">
        <f>+AM6*D6</f>
        <v>653881.20000000007</v>
      </c>
      <c r="AO6" s="17"/>
      <c r="AP6" s="27">
        <f>+AVERAGE(G6,J6,M6,S6,V6)</f>
        <v>91.748999999999995</v>
      </c>
      <c r="AQ6" s="24">
        <f>+AP6*C6</f>
        <v>550494</v>
      </c>
      <c r="AR6" s="24">
        <f>+AQ6*D6</f>
        <v>418375.44</v>
      </c>
      <c r="AT6" s="27">
        <f>+AVERAGE(Y6,V6,S6,M6,J6)</f>
        <v>163.863</v>
      </c>
      <c r="AU6" s="24">
        <f>+AT6*C6</f>
        <v>983178</v>
      </c>
      <c r="AV6" s="24">
        <f>+AU6*D6</f>
        <v>747215.28</v>
      </c>
      <c r="AX6" s="54">
        <f t="shared" si="12"/>
        <v>48.79</v>
      </c>
      <c r="AY6" s="33">
        <f>+AX6*C6</f>
        <v>292740</v>
      </c>
      <c r="AZ6" s="33">
        <f>+AY6*D6</f>
        <v>222482.4</v>
      </c>
      <c r="BB6" s="54">
        <f t="shared" si="13"/>
        <v>401.625</v>
      </c>
      <c r="BC6" s="33">
        <f>+BB6*C6</f>
        <v>2409750</v>
      </c>
      <c r="BD6" s="33">
        <f>+BC6*D6</f>
        <v>1831410</v>
      </c>
      <c r="BF6" s="54">
        <f>+AVERAGE(J6,M6,S6,V6)</f>
        <v>104.42249999999999</v>
      </c>
      <c r="BG6" s="33">
        <f>+BF6*C6</f>
        <v>626534.99999999988</v>
      </c>
      <c r="BH6" s="33">
        <f>+BG6*D6</f>
        <v>476166.59999999992</v>
      </c>
      <c r="BJ6" s="59">
        <f t="shared" si="14"/>
        <v>139.40951034631752</v>
      </c>
      <c r="BK6" s="59">
        <f t="shared" si="15"/>
        <v>158.1819557740389</v>
      </c>
      <c r="BL6" s="59">
        <f t="shared" si="16"/>
        <v>175.7396738075953</v>
      </c>
      <c r="BN6" s="33">
        <v>71.99499999999999</v>
      </c>
      <c r="BO6" s="33">
        <f>+BN6*C6</f>
        <v>431969.99999999994</v>
      </c>
      <c r="BP6" s="33">
        <f>+BO6*D6</f>
        <v>328297.19999999995</v>
      </c>
      <c r="BR6" s="33">
        <v>83.597499999999997</v>
      </c>
      <c r="BS6" s="33">
        <f>+BR6*C6</f>
        <v>501585</v>
      </c>
      <c r="BT6" s="33">
        <f t="shared" ref="BT6:BT21" si="17">+BS6*0.76</f>
        <v>381204.6</v>
      </c>
    </row>
    <row r="7" spans="1:72" ht="25.5" x14ac:dyDescent="0.25">
      <c r="A7" s="21">
        <v>4</v>
      </c>
      <c r="B7" s="22" t="s">
        <v>47</v>
      </c>
      <c r="C7" s="22">
        <v>3</v>
      </c>
      <c r="D7" s="22">
        <v>0.76</v>
      </c>
      <c r="E7" s="17"/>
      <c r="F7" s="23">
        <v>120.74999999999999</v>
      </c>
      <c r="G7" s="24">
        <f t="shared" si="0"/>
        <v>143.69249999999997</v>
      </c>
      <c r="H7" s="17"/>
      <c r="I7" s="25">
        <v>164000</v>
      </c>
      <c r="J7" s="24">
        <f t="shared" si="1"/>
        <v>195160</v>
      </c>
      <c r="L7" s="25">
        <v>64352</v>
      </c>
      <c r="M7" s="37">
        <f t="shared" si="2"/>
        <v>76578.87999999999</v>
      </c>
      <c r="O7" s="25">
        <v>86500</v>
      </c>
      <c r="P7" s="41">
        <f t="shared" si="3"/>
        <v>102935</v>
      </c>
      <c r="R7" s="25">
        <v>795430</v>
      </c>
      <c r="S7" s="24">
        <f t="shared" si="4"/>
        <v>946561.7</v>
      </c>
      <c r="U7" s="25">
        <v>1300000</v>
      </c>
      <c r="V7" s="38">
        <f t="shared" si="5"/>
        <v>1547000</v>
      </c>
      <c r="X7" s="26">
        <v>1300000</v>
      </c>
      <c r="Y7" s="24">
        <f t="shared" si="6"/>
        <v>1547000</v>
      </c>
      <c r="AA7" s="27">
        <f t="shared" si="7"/>
        <v>630768.46750000003</v>
      </c>
      <c r="AB7" s="24">
        <f>+AA7*C7</f>
        <v>1892305.4025000001</v>
      </c>
      <c r="AC7" s="24">
        <f>+AB7*D7</f>
        <v>1438152.1059000001</v>
      </c>
      <c r="AD7" s="68"/>
      <c r="AE7" s="70">
        <f t="shared" si="8"/>
        <v>701410.77124314115</v>
      </c>
      <c r="AF7" s="101">
        <f t="shared" si="9"/>
        <v>1.1119940316977579</v>
      </c>
      <c r="AG7" s="71">
        <f>+STDEVA(G7,J7,S7,V7,Y7)</f>
        <v>730063.93101539195</v>
      </c>
      <c r="AH7" s="101">
        <f t="shared" si="10"/>
        <v>0.8617647910956272</v>
      </c>
      <c r="AI7" s="71">
        <f>+STDEVA(G7,J7,P7,S7,Y7,V7)</f>
        <v>720215.05650091276</v>
      </c>
      <c r="AJ7" s="101">
        <f t="shared" si="11"/>
        <v>1.0144754077331346</v>
      </c>
      <c r="AK7" s="33"/>
      <c r="AL7" s="27">
        <f>+AVERAGE(AA7,Y7,V7,S7,P7,J7,G7)</f>
        <v>709938.40857142862</v>
      </c>
      <c r="AM7" s="24">
        <f>+AL7*C7</f>
        <v>2129815.2257142859</v>
      </c>
      <c r="AN7" s="24">
        <f>+AM7*D7</f>
        <v>1618659.5715428572</v>
      </c>
      <c r="AO7" s="17"/>
      <c r="AP7" s="27">
        <f>+AVERAGE(G7,J7,P7,S7,Y7)</f>
        <v>558360.07850000006</v>
      </c>
      <c r="AQ7" s="24">
        <f>+AP7*C7</f>
        <v>1675080.2355000002</v>
      </c>
      <c r="AR7" s="24">
        <f>+AQ7*D7</f>
        <v>1273060.9789800001</v>
      </c>
      <c r="AT7" s="27">
        <f>+AVERAGE(Y7,V7,S7,J7,G7)</f>
        <v>847173.07850000006</v>
      </c>
      <c r="AU7" s="24">
        <f>+AT7*C7</f>
        <v>2541519.2355000004</v>
      </c>
      <c r="AV7" s="24">
        <f>+AU7*D7</f>
        <v>1931554.6189800003</v>
      </c>
      <c r="AX7" s="54">
        <f t="shared" si="12"/>
        <v>195160</v>
      </c>
      <c r="AY7" s="33">
        <f>+AX7*C7</f>
        <v>585480</v>
      </c>
      <c r="AZ7" s="33">
        <f>+AY7*D7</f>
        <v>444964.8</v>
      </c>
      <c r="BB7" s="54">
        <f t="shared" si="13"/>
        <v>1547000</v>
      </c>
      <c r="BC7" s="33">
        <f>+BB7*C7</f>
        <v>4641000</v>
      </c>
      <c r="BD7" s="33">
        <f>+BC7*D7</f>
        <v>3527160</v>
      </c>
      <c r="BF7" s="54">
        <f>+AVERAGE(G7,J7,S7,Y7)</f>
        <v>672216.34812500002</v>
      </c>
      <c r="BG7" s="33">
        <f>+BF7*C7</f>
        <v>2016649.0443750001</v>
      </c>
      <c r="BH7" s="33">
        <f>+BG7*D7</f>
        <v>1532653.273725</v>
      </c>
      <c r="BJ7" s="59">
        <f t="shared" si="14"/>
        <v>701410.77124314115</v>
      </c>
      <c r="BK7" s="59">
        <f t="shared" si="15"/>
        <v>666903.52114582388</v>
      </c>
      <c r="BL7" s="59">
        <f t="shared" si="16"/>
        <v>733518.54209437803</v>
      </c>
      <c r="BN7" s="33">
        <v>570860.85</v>
      </c>
      <c r="BO7" s="33">
        <f>+BN7*C7</f>
        <v>1712582.5499999998</v>
      </c>
      <c r="BP7" s="33">
        <f>+BO7*D7</f>
        <v>1301562.7379999999</v>
      </c>
      <c r="BR7" s="33">
        <v>758711.27499999991</v>
      </c>
      <c r="BS7" s="33">
        <f>+BR7*C7</f>
        <v>2276133.8249999997</v>
      </c>
      <c r="BT7" s="33">
        <f t="shared" si="17"/>
        <v>1729861.7069999997</v>
      </c>
    </row>
    <row r="8" spans="1:72" ht="25.5" x14ac:dyDescent="0.25">
      <c r="A8" s="21">
        <v>5</v>
      </c>
      <c r="B8" s="22" t="s">
        <v>48</v>
      </c>
      <c r="C8" s="22">
        <v>1000</v>
      </c>
      <c r="D8" s="22">
        <v>0.76</v>
      </c>
      <c r="E8" s="17"/>
      <c r="F8" s="23">
        <v>229.99999999999997</v>
      </c>
      <c r="G8" s="38">
        <f t="shared" si="0"/>
        <v>273.69999999999993</v>
      </c>
      <c r="H8" s="17"/>
      <c r="I8" s="25">
        <v>114</v>
      </c>
      <c r="J8" s="24">
        <f t="shared" si="1"/>
        <v>135.66</v>
      </c>
      <c r="L8" s="25">
        <v>23</v>
      </c>
      <c r="M8" s="37">
        <f t="shared" si="2"/>
        <v>27.369999999999997</v>
      </c>
      <c r="O8" s="25">
        <v>83</v>
      </c>
      <c r="P8" s="24">
        <f t="shared" si="3"/>
        <v>98.77</v>
      </c>
      <c r="R8" s="25">
        <v>114</v>
      </c>
      <c r="S8" s="24">
        <f t="shared" si="4"/>
        <v>135.66</v>
      </c>
      <c r="U8" s="25">
        <v>22</v>
      </c>
      <c r="V8" s="41">
        <f t="shared" si="5"/>
        <v>26.18</v>
      </c>
      <c r="X8" s="26">
        <v>118.75</v>
      </c>
      <c r="Y8" s="24">
        <f t="shared" si="6"/>
        <v>141.3125</v>
      </c>
      <c r="AA8" s="27">
        <f t="shared" si="7"/>
        <v>119.80749999999998</v>
      </c>
      <c r="AB8" s="24">
        <f>+AA8*C8</f>
        <v>119807.49999999997</v>
      </c>
      <c r="AC8" s="24">
        <f>+AB8*D8</f>
        <v>91053.699999999983</v>
      </c>
      <c r="AD8" s="68"/>
      <c r="AE8" s="70">
        <f t="shared" si="8"/>
        <v>84.064803041562314</v>
      </c>
      <c r="AF8" s="101">
        <f t="shared" si="9"/>
        <v>0.70166561393537408</v>
      </c>
      <c r="AG8" s="70">
        <f>+STDEVA(G8,J8,P8,S8,Y8)</f>
        <v>67.391597501097962</v>
      </c>
      <c r="AH8" s="101">
        <f t="shared" si="10"/>
        <v>0.42918980324924438</v>
      </c>
      <c r="AI8" s="70">
        <f>+STDEVA(G8,J8,P8,S8,V8,Y8)</f>
        <v>80.538860212787966</v>
      </c>
      <c r="AJ8" s="101">
        <f t="shared" si="11"/>
        <v>0.59476863681752667</v>
      </c>
      <c r="AK8" s="33"/>
      <c r="AL8" s="27">
        <f>+AVERAGE(G8,J8,P8,M8,S8,Y8)</f>
        <v>135.4120833333333</v>
      </c>
      <c r="AM8" s="24">
        <f>+AL8*C8</f>
        <v>135412.08333333331</v>
      </c>
      <c r="AN8" s="24">
        <f>+AM8*D8</f>
        <v>102913.18333333332</v>
      </c>
      <c r="AO8" s="17"/>
      <c r="AP8" s="27">
        <f>+AVERAGE(J8,M8,P8,S8,Y8)</f>
        <v>107.75450000000001</v>
      </c>
      <c r="AQ8" s="24">
        <f>+AP8*C8</f>
        <v>107754.5</v>
      </c>
      <c r="AR8" s="24">
        <f>+AQ8*D8</f>
        <v>81893.42</v>
      </c>
      <c r="AT8" s="27">
        <f>+AVERAGE(Y8,S8,P8,J8,G8)</f>
        <v>157.02049999999997</v>
      </c>
      <c r="AU8" s="24">
        <f>+AT8*C8</f>
        <v>157020.49999999997</v>
      </c>
      <c r="AV8" s="24">
        <f>+AU8*D8</f>
        <v>119335.57999999997</v>
      </c>
      <c r="AX8" s="54">
        <f t="shared" si="12"/>
        <v>135.66</v>
      </c>
      <c r="AY8" s="33">
        <f>+AX8*C8</f>
        <v>135660</v>
      </c>
      <c r="AZ8" s="33">
        <f>+AY8*D8</f>
        <v>103101.6</v>
      </c>
      <c r="BB8" s="54">
        <f t="shared" si="13"/>
        <v>273.69999999999993</v>
      </c>
      <c r="BC8" s="33">
        <f>+BB8*C8</f>
        <v>273699.99999999994</v>
      </c>
      <c r="BD8" s="33">
        <f>+BC8*D8</f>
        <v>208011.99999999997</v>
      </c>
      <c r="BF8" s="54">
        <f>+AVERAGE(Y8,S8,P8,J8)</f>
        <v>127.85062499999998</v>
      </c>
      <c r="BG8" s="33">
        <f>+BF8*C8</f>
        <v>127850.62499999999</v>
      </c>
      <c r="BH8" s="33">
        <f>+BG8*D8</f>
        <v>97166.474999999991</v>
      </c>
      <c r="BJ8" s="59">
        <f t="shared" si="14"/>
        <v>84.064803041562314</v>
      </c>
      <c r="BK8" s="59">
        <f t="shared" si="15"/>
        <v>67.391597501097962</v>
      </c>
      <c r="BL8" s="59">
        <f t="shared" si="16"/>
        <v>76.585836276880627</v>
      </c>
      <c r="BN8" s="33">
        <v>135.66</v>
      </c>
      <c r="BO8" s="33">
        <f>+BN8*C8</f>
        <v>135660</v>
      </c>
      <c r="BP8" s="33">
        <f>+BO8*D8</f>
        <v>103101.6</v>
      </c>
      <c r="BR8" s="33">
        <v>135.66</v>
      </c>
      <c r="BS8" s="33">
        <f>+BR8*C8</f>
        <v>135660</v>
      </c>
      <c r="BT8" s="33">
        <f t="shared" si="17"/>
        <v>103101.6</v>
      </c>
    </row>
    <row r="9" spans="1:72" ht="25.5" x14ac:dyDescent="0.25">
      <c r="A9" s="21">
        <v>6</v>
      </c>
      <c r="B9" s="22" t="s">
        <v>49</v>
      </c>
      <c r="C9" s="22">
        <v>2500</v>
      </c>
      <c r="D9" s="22">
        <v>0.76</v>
      </c>
      <c r="E9" s="17"/>
      <c r="F9" s="23">
        <v>229.99999999999997</v>
      </c>
      <c r="G9" s="38">
        <f t="shared" si="0"/>
        <v>273.69999999999993</v>
      </c>
      <c r="H9" s="17"/>
      <c r="I9" s="25">
        <v>164</v>
      </c>
      <c r="J9" s="24">
        <f t="shared" si="1"/>
        <v>195.16</v>
      </c>
      <c r="L9" s="25">
        <v>56</v>
      </c>
      <c r="M9" s="41">
        <f t="shared" si="2"/>
        <v>66.64</v>
      </c>
      <c r="O9" s="25">
        <v>91</v>
      </c>
      <c r="P9" s="24">
        <f t="shared" si="3"/>
        <v>108.28999999999999</v>
      </c>
      <c r="R9" s="25">
        <v>153</v>
      </c>
      <c r="S9" s="24">
        <f t="shared" si="4"/>
        <v>182.07</v>
      </c>
      <c r="U9" s="25">
        <v>22</v>
      </c>
      <c r="V9" s="37">
        <f t="shared" si="5"/>
        <v>26.18</v>
      </c>
      <c r="X9" s="26">
        <v>95</v>
      </c>
      <c r="Y9" s="24">
        <f t="shared" si="6"/>
        <v>113.05</v>
      </c>
      <c r="AA9" s="27">
        <f t="shared" si="7"/>
        <v>137.86999999999998</v>
      </c>
      <c r="AB9" s="24">
        <f>+AA9*C9</f>
        <v>344674.99999999994</v>
      </c>
      <c r="AC9" s="24">
        <f>+AB9*D9</f>
        <v>261952.99999999997</v>
      </c>
      <c r="AD9" s="68"/>
      <c r="AE9" s="70">
        <f t="shared" si="8"/>
        <v>84.384981681181472</v>
      </c>
      <c r="AF9" s="101">
        <f t="shared" si="9"/>
        <v>0.61206195460347779</v>
      </c>
      <c r="AG9" s="70">
        <f>+STDEVA(G9,J9,P9,S9,Y9)</f>
        <v>67.979108040632596</v>
      </c>
      <c r="AH9" s="101">
        <f t="shared" si="10"/>
        <v>0.38966780951214991</v>
      </c>
      <c r="AI9" s="70">
        <f>+STDEVA(G9,J9,M9,P9,S9,Y9)</f>
        <v>75.061555206377065</v>
      </c>
      <c r="AJ9" s="101">
        <f t="shared" si="11"/>
        <v>0.47967252584194697</v>
      </c>
      <c r="AK9" s="33"/>
      <c r="AL9" s="27">
        <f>+AVERAGE(M9,J9,G9,P9,S9,Y9)</f>
        <v>156.48499999999999</v>
      </c>
      <c r="AM9" s="24">
        <f>+AL9*C9</f>
        <v>391212.49999999994</v>
      </c>
      <c r="AN9" s="24">
        <f>+AM9*D9</f>
        <v>297321.49999999994</v>
      </c>
      <c r="AO9" s="17"/>
      <c r="AP9" s="27">
        <f>+AVERAGE(Y9,S9,P9,M9,J9)</f>
        <v>133.04199999999997</v>
      </c>
      <c r="AQ9" s="24">
        <f>+AP9*C9</f>
        <v>332604.99999999994</v>
      </c>
      <c r="AR9" s="24">
        <f>+AQ9*D9</f>
        <v>252779.79999999996</v>
      </c>
      <c r="AT9" s="27">
        <f>+AVERAGE(Y9,S9,P9,J9,G9)</f>
        <v>174.45399999999998</v>
      </c>
      <c r="AU9" s="24">
        <f>+AT9*C9</f>
        <v>436134.99999999994</v>
      </c>
      <c r="AV9" s="24">
        <f>+AU9*D9</f>
        <v>331462.59999999998</v>
      </c>
      <c r="AX9" s="54">
        <f t="shared" si="12"/>
        <v>113.05</v>
      </c>
      <c r="AY9" s="33">
        <f>+AX9*C9</f>
        <v>282625</v>
      </c>
      <c r="AZ9" s="33">
        <f>+AY9*D9</f>
        <v>214795</v>
      </c>
      <c r="BB9" s="54">
        <f t="shared" si="13"/>
        <v>273.69999999999993</v>
      </c>
      <c r="BC9" s="33">
        <f>+BB9*C9</f>
        <v>684249.99999999988</v>
      </c>
      <c r="BD9" s="33">
        <f>+BC9*D9</f>
        <v>520029.99999999994</v>
      </c>
      <c r="BF9" s="54">
        <f>+AVERAGE(Y9,S9,P9,J9)</f>
        <v>149.64249999999998</v>
      </c>
      <c r="BG9" s="33">
        <f>+BF9*C9</f>
        <v>374106.24999999994</v>
      </c>
      <c r="BH9" s="33">
        <f>+BG9*D9</f>
        <v>284320.74999999994</v>
      </c>
      <c r="BJ9" s="59">
        <f t="shared" si="14"/>
        <v>84.384981681181472</v>
      </c>
      <c r="BK9" s="59">
        <f t="shared" si="15"/>
        <v>67.979108040632596</v>
      </c>
      <c r="BL9" s="59">
        <f t="shared" si="16"/>
        <v>77.349237175725634</v>
      </c>
      <c r="BN9" s="33">
        <v>147.56</v>
      </c>
      <c r="BO9" s="33">
        <f>+BN9*C9</f>
        <v>368900</v>
      </c>
      <c r="BP9" s="33">
        <f>+BO9*D9</f>
        <v>280364</v>
      </c>
      <c r="BR9" s="33">
        <v>182.07</v>
      </c>
      <c r="BS9" s="33">
        <f>+BR9*C9</f>
        <v>455175</v>
      </c>
      <c r="BT9" s="33">
        <f t="shared" si="17"/>
        <v>345933</v>
      </c>
    </row>
    <row r="10" spans="1:72" ht="25.5" x14ac:dyDescent="0.25">
      <c r="A10" s="21">
        <v>7</v>
      </c>
      <c r="B10" s="22" t="s">
        <v>50</v>
      </c>
      <c r="C10" s="22">
        <v>2000</v>
      </c>
      <c r="D10" s="22">
        <v>0.76</v>
      </c>
      <c r="E10" s="17"/>
      <c r="F10" s="23">
        <v>172.5</v>
      </c>
      <c r="G10" s="24">
        <f t="shared" si="0"/>
        <v>205.27499999999998</v>
      </c>
      <c r="H10" s="17"/>
      <c r="I10" s="25">
        <v>124</v>
      </c>
      <c r="J10" s="24">
        <f t="shared" si="1"/>
        <v>147.56</v>
      </c>
      <c r="L10" s="25">
        <v>53</v>
      </c>
      <c r="M10" s="41">
        <f t="shared" si="2"/>
        <v>63.07</v>
      </c>
      <c r="O10" s="25">
        <v>87</v>
      </c>
      <c r="P10" s="24">
        <f t="shared" si="3"/>
        <v>103.53</v>
      </c>
      <c r="R10" s="25">
        <v>74</v>
      </c>
      <c r="S10" s="24">
        <f t="shared" si="4"/>
        <v>88.06</v>
      </c>
      <c r="U10" s="25">
        <v>22</v>
      </c>
      <c r="V10" s="37">
        <f t="shared" si="5"/>
        <v>26.18</v>
      </c>
      <c r="X10" s="26">
        <v>625</v>
      </c>
      <c r="Y10" s="38">
        <f t="shared" si="6"/>
        <v>743.75</v>
      </c>
      <c r="AA10" s="27">
        <f t="shared" si="7"/>
        <v>196.77499999999995</v>
      </c>
      <c r="AB10" s="24">
        <f>+AA10*C10</f>
        <v>393549.99999999988</v>
      </c>
      <c r="AC10" s="24">
        <f>+AB10*D10</f>
        <v>299097.99999999994</v>
      </c>
      <c r="AD10" s="68"/>
      <c r="AE10" s="70">
        <f t="shared" si="8"/>
        <v>248.0488121150083</v>
      </c>
      <c r="AF10" s="101">
        <f t="shared" si="9"/>
        <v>1.2605707641469108</v>
      </c>
      <c r="AG10" s="71">
        <f>+STDEVA(G10,J10,P10,S10,Y10)</f>
        <v>275.53125961494823</v>
      </c>
      <c r="AH10" s="101">
        <f t="shared" si="10"/>
        <v>1.0694636195196627</v>
      </c>
      <c r="AI10" s="71">
        <f>+STDEVA(G10,J10,M10,P10,S10,Y10)</f>
        <v>258.92708733830841</v>
      </c>
      <c r="AJ10" s="101">
        <f t="shared" si="11"/>
        <v>1.149726751277415</v>
      </c>
      <c r="AK10" s="33"/>
      <c r="AL10" s="27">
        <f>+AVERAGE(Y10,S10,P10,M10,J10,G10)</f>
        <v>225.20749999999998</v>
      </c>
      <c r="AM10" s="24">
        <f>+AL10*C10</f>
        <v>450414.99999999994</v>
      </c>
      <c r="AN10" s="24">
        <f>+AM10*D10</f>
        <v>342315.39999999997</v>
      </c>
      <c r="AO10" s="17"/>
      <c r="AP10" s="27">
        <f>+AVERAGE(S10,P10,M10,J10,G10)</f>
        <v>121.499</v>
      </c>
      <c r="AQ10" s="24">
        <f>+AP10*C10</f>
        <v>242998</v>
      </c>
      <c r="AR10" s="24">
        <f>+AQ10*D10</f>
        <v>184678.48</v>
      </c>
      <c r="AT10" s="27">
        <f>+AVERAGE(Y10,S10,P10,J10,G10)</f>
        <v>257.63499999999993</v>
      </c>
      <c r="AU10" s="24">
        <f>+AT10*C10</f>
        <v>515269.99999999988</v>
      </c>
      <c r="AV10" s="24">
        <f>+AU10*D10</f>
        <v>391605.1999999999</v>
      </c>
      <c r="AX10" s="54">
        <f t="shared" si="12"/>
        <v>103.53</v>
      </c>
      <c r="AY10" s="33">
        <f>+AX10*C10</f>
        <v>207060</v>
      </c>
      <c r="AZ10" s="33">
        <f>+AY10*D10</f>
        <v>157365.6</v>
      </c>
      <c r="BB10" s="54">
        <f t="shared" si="13"/>
        <v>743.75</v>
      </c>
      <c r="BC10" s="33">
        <f>+BB10*C10</f>
        <v>1487500</v>
      </c>
      <c r="BD10" s="33">
        <f>+BC10*D10</f>
        <v>1130500</v>
      </c>
      <c r="BF10" s="54">
        <f>+AVERAGE(S10,P10,J10,G10)</f>
        <v>136.10624999999999</v>
      </c>
      <c r="BG10" s="33">
        <f>+BF10*C10</f>
        <v>272212.5</v>
      </c>
      <c r="BH10" s="33">
        <f>+BG10*D10</f>
        <v>206881.5</v>
      </c>
      <c r="BJ10" s="59">
        <f t="shared" si="14"/>
        <v>248.0488121150083</v>
      </c>
      <c r="BK10" s="59">
        <f t="shared" si="15"/>
        <v>275.53125961494823</v>
      </c>
      <c r="BL10" s="59">
        <f t="shared" si="16"/>
        <v>310.12055079100554</v>
      </c>
      <c r="BN10" s="33">
        <v>125.545</v>
      </c>
      <c r="BO10" s="33">
        <f>+BN10*C10</f>
        <v>251090</v>
      </c>
      <c r="BP10" s="33">
        <f>+BO10*D10</f>
        <v>190828.4</v>
      </c>
      <c r="BR10" s="33">
        <v>147.56</v>
      </c>
      <c r="BS10" s="33">
        <f>+BR10*C10</f>
        <v>295120</v>
      </c>
      <c r="BT10" s="33">
        <f t="shared" si="17"/>
        <v>224291.20000000001</v>
      </c>
    </row>
    <row r="11" spans="1:72" x14ac:dyDescent="0.25">
      <c r="A11" s="21">
        <v>8</v>
      </c>
      <c r="B11" s="22" t="s">
        <v>51</v>
      </c>
      <c r="C11" s="22">
        <v>2000</v>
      </c>
      <c r="D11" s="22">
        <v>0.76</v>
      </c>
      <c r="E11" s="17"/>
      <c r="F11" s="23">
        <v>108.1</v>
      </c>
      <c r="G11" s="41">
        <f t="shared" si="0"/>
        <v>128.63899999999998</v>
      </c>
      <c r="H11" s="17"/>
      <c r="I11" s="25">
        <v>124</v>
      </c>
      <c r="J11" s="24">
        <f t="shared" si="1"/>
        <v>147.56</v>
      </c>
      <c r="L11" s="25">
        <v>142</v>
      </c>
      <c r="M11" s="24">
        <f t="shared" si="2"/>
        <v>168.98</v>
      </c>
      <c r="O11" s="25">
        <v>140</v>
      </c>
      <c r="P11" s="24">
        <f t="shared" si="3"/>
        <v>166.6</v>
      </c>
      <c r="R11" s="25">
        <v>80</v>
      </c>
      <c r="S11" s="37">
        <f t="shared" si="4"/>
        <v>95.199999999999989</v>
      </c>
      <c r="U11" s="25">
        <v>192</v>
      </c>
      <c r="V11" s="24">
        <f t="shared" si="5"/>
        <v>228.48</v>
      </c>
      <c r="X11" s="26">
        <v>270</v>
      </c>
      <c r="Y11" s="38">
        <f t="shared" si="6"/>
        <v>321.3</v>
      </c>
      <c r="AA11" s="27">
        <f t="shared" si="7"/>
        <v>179.53700000000001</v>
      </c>
      <c r="AB11" s="24">
        <f>+AA11*C11</f>
        <v>359074</v>
      </c>
      <c r="AC11" s="24">
        <f>+AB11*D11</f>
        <v>272896.24</v>
      </c>
      <c r="AD11" s="68"/>
      <c r="AE11" s="70">
        <f t="shared" si="8"/>
        <v>74.718188479557384</v>
      </c>
      <c r="AF11" s="101">
        <f t="shared" si="9"/>
        <v>0.41617153277350843</v>
      </c>
      <c r="AG11" s="70">
        <f>+STDEVA(J11,M11,P11,V11,Y11)</f>
        <v>70.950350809562579</v>
      </c>
      <c r="AH11" s="101">
        <f t="shared" si="10"/>
        <v>0.34344552728944439</v>
      </c>
      <c r="AI11" s="70">
        <f>+STDEVA(G11,J11,M11,P11,V11,Y11)</f>
        <v>70.991072172257461</v>
      </c>
      <c r="AJ11" s="101">
        <f t="shared" si="11"/>
        <v>0.36670236555658797</v>
      </c>
      <c r="AK11" s="33"/>
      <c r="AL11" s="27">
        <f>+AVERAGE(Y11,V11,G11,J11,M11,P11)</f>
        <v>193.59316666666666</v>
      </c>
      <c r="AM11" s="24">
        <f>+AL11*C11</f>
        <v>387186.33333333331</v>
      </c>
      <c r="AN11" s="24">
        <f>+AM11*D11</f>
        <v>294261.61333333334</v>
      </c>
      <c r="AO11" s="17"/>
      <c r="AP11" s="27">
        <f>+AVERAGE(V11,P11,M11,J11,G11)</f>
        <v>168.05179999999999</v>
      </c>
      <c r="AQ11" s="24">
        <f>+AP11*C11</f>
        <v>336103.6</v>
      </c>
      <c r="AR11" s="24">
        <f>+AQ11*D11</f>
        <v>255438.73599999998</v>
      </c>
      <c r="AT11" s="27">
        <f>+AVERAGE(Y11,V11,P11,M11,J11)</f>
        <v>206.584</v>
      </c>
      <c r="AU11" s="24">
        <f>+AT11*C11</f>
        <v>413168</v>
      </c>
      <c r="AV11" s="24">
        <f>+AU11*D11</f>
        <v>314007.67999999999</v>
      </c>
      <c r="AX11" s="54">
        <f t="shared" si="12"/>
        <v>166.6</v>
      </c>
      <c r="AY11" s="33">
        <f>+AX11*C11</f>
        <v>333200</v>
      </c>
      <c r="AZ11" s="33">
        <f>+AY11*D11</f>
        <v>253232</v>
      </c>
      <c r="BB11" s="54">
        <f t="shared" si="13"/>
        <v>321.3</v>
      </c>
      <c r="BC11" s="33">
        <f>+BB11*C11</f>
        <v>642600</v>
      </c>
      <c r="BD11" s="33">
        <f>+BC11*D11</f>
        <v>488376</v>
      </c>
      <c r="BF11" s="54">
        <f>+AVERAGE(V11,P11,M11,J11)</f>
        <v>177.90499999999997</v>
      </c>
      <c r="BG11" s="33">
        <f>+BF11*C11</f>
        <v>355809.99999999994</v>
      </c>
      <c r="BH11" s="33">
        <f>+BG11*D11</f>
        <v>270415.59999999998</v>
      </c>
      <c r="BJ11" s="59">
        <f t="shared" si="14"/>
        <v>74.718188479557384</v>
      </c>
      <c r="BK11" s="59">
        <f t="shared" si="15"/>
        <v>87.600344806398994</v>
      </c>
      <c r="BL11" s="59">
        <f t="shared" si="16"/>
        <v>99.928610001924199</v>
      </c>
      <c r="BN11" s="33">
        <v>167.79</v>
      </c>
      <c r="BO11" s="33">
        <f>+BN11*C11</f>
        <v>335580</v>
      </c>
      <c r="BP11" s="33">
        <f>+BO11*D11</f>
        <v>255040.80000000002</v>
      </c>
      <c r="BR11" s="33">
        <v>168.98</v>
      </c>
      <c r="BS11" s="33">
        <f>+BR11*C11</f>
        <v>337960</v>
      </c>
      <c r="BT11" s="33">
        <f t="shared" si="17"/>
        <v>256849.6</v>
      </c>
    </row>
    <row r="12" spans="1:72" x14ac:dyDescent="0.25">
      <c r="A12" s="21">
        <v>9</v>
      </c>
      <c r="B12" s="51" t="s">
        <v>52</v>
      </c>
      <c r="C12" s="50">
        <v>3</v>
      </c>
      <c r="D12" s="22">
        <v>1</v>
      </c>
      <c r="E12" s="17"/>
      <c r="F12" s="23">
        <v>368000</v>
      </c>
      <c r="G12" s="24">
        <f t="shared" si="0"/>
        <v>437920</v>
      </c>
      <c r="H12" s="17"/>
      <c r="I12" s="25">
        <v>350000</v>
      </c>
      <c r="J12" s="24">
        <f t="shared" si="1"/>
        <v>416500</v>
      </c>
      <c r="L12" s="25">
        <v>279302</v>
      </c>
      <c r="M12" s="41">
        <f t="shared" si="2"/>
        <v>332369.38</v>
      </c>
      <c r="O12" s="25">
        <v>782900</v>
      </c>
      <c r="P12" s="38">
        <f t="shared" si="3"/>
        <v>931651</v>
      </c>
      <c r="R12" s="25">
        <v>53029</v>
      </c>
      <c r="S12" s="37">
        <f t="shared" si="4"/>
        <v>63104.509999999995</v>
      </c>
      <c r="U12" s="25">
        <v>361400</v>
      </c>
      <c r="V12" s="24">
        <f t="shared" si="5"/>
        <v>430066</v>
      </c>
      <c r="X12" s="26">
        <v>187500</v>
      </c>
      <c r="Y12" s="24">
        <f t="shared" si="6"/>
        <v>223125</v>
      </c>
      <c r="AA12" s="27">
        <f t="shared" si="7"/>
        <v>404962.26999999996</v>
      </c>
      <c r="AB12" s="60">
        <f>+AA12*C12</f>
        <v>1214886.8099999998</v>
      </c>
      <c r="AC12" s="24">
        <f>+AB12</f>
        <v>1214886.8099999998</v>
      </c>
      <c r="AD12" s="68"/>
      <c r="AE12" s="70">
        <f t="shared" si="8"/>
        <v>269088.52176097943</v>
      </c>
      <c r="AF12" s="101">
        <f t="shared" si="9"/>
        <v>0.66447800621272557</v>
      </c>
      <c r="AG12" s="70">
        <f>+STDEVA(G12,J12,P12,V12,Y12)</f>
        <v>263610.25741290872</v>
      </c>
      <c r="AH12" s="101">
        <f t="shared" si="10"/>
        <v>0.54034838695660548</v>
      </c>
      <c r="AI12" s="70">
        <f>+STDEVA(G12,J12,M12,P12,V12,Y12)</f>
        <v>244175.05162354343</v>
      </c>
      <c r="AJ12" s="101">
        <f t="shared" si="11"/>
        <v>0.52858771924470738</v>
      </c>
      <c r="AK12" s="33"/>
      <c r="AL12" s="61">
        <f>+AVERAGE(G12,J12,M12,P12,V12,Y12)</f>
        <v>461938.5633333333</v>
      </c>
      <c r="AM12" s="24">
        <f>+AL12*C12</f>
        <v>1385815.69</v>
      </c>
      <c r="AN12" s="24">
        <f>+AM12*D12</f>
        <v>1385815.69</v>
      </c>
      <c r="AO12" s="17"/>
      <c r="AP12" s="61">
        <f>+AVERAGE(Y12,V12,M12,J12,G12)</f>
        <v>367996.076</v>
      </c>
      <c r="AQ12" s="24">
        <f>+AP12*C12</f>
        <v>1103988.2280000001</v>
      </c>
      <c r="AR12" s="24">
        <f>+AQ12*D12</f>
        <v>1103988.2280000001</v>
      </c>
      <c r="AT12" s="61">
        <f>+AVERAGE(Y12,V12,P12,J12,G12)</f>
        <v>487852.4</v>
      </c>
      <c r="AU12" s="24">
        <f>+AT12*C12</f>
        <v>1463557.2000000002</v>
      </c>
      <c r="AV12" s="24">
        <f>+AU12*D12</f>
        <v>1463557.2000000002</v>
      </c>
      <c r="AX12" s="54">
        <f t="shared" si="12"/>
        <v>416500</v>
      </c>
      <c r="AY12" s="33">
        <f>+AX12*C12</f>
        <v>1249500</v>
      </c>
      <c r="AZ12" s="33">
        <f>+AY12*D12</f>
        <v>1249500</v>
      </c>
      <c r="BB12" s="54">
        <f t="shared" si="13"/>
        <v>931651</v>
      </c>
      <c r="BC12" s="33">
        <f>+BB12*C12</f>
        <v>2794953</v>
      </c>
      <c r="BD12" s="33">
        <f>+BC12*D12</f>
        <v>2794953</v>
      </c>
      <c r="BF12" s="54">
        <f>+AVERAGE(V12,J12,G12,Y12)</f>
        <v>376902.75</v>
      </c>
      <c r="BG12" s="33">
        <f>+BF12*C12</f>
        <v>1130708.25</v>
      </c>
      <c r="BH12" s="33">
        <f>+BG12*D12</f>
        <v>1130708.25</v>
      </c>
      <c r="BJ12" s="59">
        <f t="shared" si="14"/>
        <v>269088.52176097943</v>
      </c>
      <c r="BK12" s="59">
        <f t="shared" si="15"/>
        <v>327147.07176554709</v>
      </c>
      <c r="BL12" s="59">
        <f t="shared" si="16"/>
        <v>377754.60499256878</v>
      </c>
      <c r="BN12" s="63">
        <v>423283</v>
      </c>
      <c r="BO12" s="33">
        <f>+BN12*C12</f>
        <v>1269849</v>
      </c>
      <c r="BP12" s="33">
        <f>+BO12*D12</f>
        <v>1269849</v>
      </c>
      <c r="BR12" s="63">
        <v>430066</v>
      </c>
      <c r="BS12" s="33">
        <f>+BR12*C12</f>
        <v>1290198</v>
      </c>
      <c r="BT12" s="33">
        <f>+BS12</f>
        <v>1290198</v>
      </c>
    </row>
    <row r="13" spans="1:72" x14ac:dyDescent="0.25">
      <c r="A13" s="21">
        <v>10</v>
      </c>
      <c r="B13" s="51" t="s">
        <v>53</v>
      </c>
      <c r="C13" s="50">
        <v>2</v>
      </c>
      <c r="D13" s="22">
        <v>1</v>
      </c>
      <c r="E13" s="17"/>
      <c r="F13" s="23">
        <v>402499.99999999994</v>
      </c>
      <c r="G13" s="24">
        <f t="shared" si="0"/>
        <v>478974.99999999988</v>
      </c>
      <c r="H13" s="17"/>
      <c r="I13" s="25">
        <v>350000</v>
      </c>
      <c r="J13" s="24">
        <f t="shared" si="1"/>
        <v>416500</v>
      </c>
      <c r="L13" s="25">
        <v>279302</v>
      </c>
      <c r="M13" s="41">
        <f t="shared" si="2"/>
        <v>332369.38</v>
      </c>
      <c r="O13" s="25">
        <v>756700</v>
      </c>
      <c r="P13" s="24">
        <f t="shared" si="3"/>
        <v>900473</v>
      </c>
      <c r="R13" s="25">
        <v>880559</v>
      </c>
      <c r="S13" s="38">
        <f t="shared" si="4"/>
        <v>1047865.21</v>
      </c>
      <c r="U13" s="25">
        <v>361400</v>
      </c>
      <c r="V13" s="24">
        <f t="shared" si="5"/>
        <v>430066</v>
      </c>
      <c r="X13" s="26">
        <v>162500</v>
      </c>
      <c r="Y13" s="37">
        <f t="shared" si="6"/>
        <v>193375</v>
      </c>
      <c r="AA13" s="27">
        <f t="shared" si="7"/>
        <v>542803.37</v>
      </c>
      <c r="AB13" s="60">
        <f>+AA13*C13</f>
        <v>1085606.74</v>
      </c>
      <c r="AC13" s="24">
        <f>+AB13</f>
        <v>1085606.74</v>
      </c>
      <c r="AD13" s="68"/>
      <c r="AE13" s="70">
        <f t="shared" si="8"/>
        <v>311484.08012861863</v>
      </c>
      <c r="AF13" s="101">
        <f t="shared" si="9"/>
        <v>0.57384330559447083</v>
      </c>
      <c r="AG13" s="70">
        <f>+STDEVA(G13,J13,P13,S13,V13)</f>
        <v>297095.17444090993</v>
      </c>
      <c r="AH13" s="101">
        <f t="shared" si="10"/>
        <v>0.45373569912634309</v>
      </c>
      <c r="AI13" s="70">
        <f>+STDEVA(G13,J13,M13,P13,S13,V13)</f>
        <v>296541.32134339405</v>
      </c>
      <c r="AJ13" s="101">
        <f t="shared" si="11"/>
        <v>0.49337916775736318</v>
      </c>
      <c r="AK13" s="33"/>
      <c r="AL13" s="61">
        <f>+AVERAGE(V13,S13,P13,M13,J13,G13)</f>
        <v>601041.43166666664</v>
      </c>
      <c r="AM13" s="24">
        <f>+AL13*C13</f>
        <v>1202082.8633333333</v>
      </c>
      <c r="AN13" s="24">
        <f>+AM13*D13</f>
        <v>1202082.8633333333</v>
      </c>
      <c r="AO13" s="17"/>
      <c r="AP13" s="61">
        <f>+AVERAGE(G13,J13,M13,P13,V13)</f>
        <v>511676.67599999998</v>
      </c>
      <c r="AQ13" s="24">
        <f>+AP13*C13</f>
        <v>1023353.352</v>
      </c>
      <c r="AR13" s="24">
        <f>+AQ13*D13</f>
        <v>1023353.352</v>
      </c>
      <c r="AT13" s="61">
        <f>+AVERAGE(V13,S13,P13,J13,G13)</f>
        <v>654775.84199999995</v>
      </c>
      <c r="AU13" s="24">
        <f>+AT13*C13</f>
        <v>1309551.6839999999</v>
      </c>
      <c r="AV13" s="24">
        <f>+AU13*D13</f>
        <v>1309551.6839999999</v>
      </c>
      <c r="AX13" s="54">
        <f t="shared" si="12"/>
        <v>430066</v>
      </c>
      <c r="AY13" s="33">
        <f>+AX13*C13</f>
        <v>860132</v>
      </c>
      <c r="AZ13" s="33">
        <f>+AY13*D13</f>
        <v>860132</v>
      </c>
      <c r="BB13" s="54">
        <f t="shared" si="13"/>
        <v>1047865.21</v>
      </c>
      <c r="BC13" s="33">
        <f>+BB13*C13</f>
        <v>2095730.42</v>
      </c>
      <c r="BD13" s="33">
        <f>+BC13*D13</f>
        <v>2095730.42</v>
      </c>
      <c r="BF13" s="54">
        <f>+AVERAGE(V13,P13,J13,G13)</f>
        <v>556503.5</v>
      </c>
      <c r="BG13" s="33">
        <f>+BF13*C13</f>
        <v>1113007</v>
      </c>
      <c r="BH13" s="33">
        <f>+BG13*D13</f>
        <v>1113007</v>
      </c>
      <c r="BJ13" s="59">
        <f t="shared" si="14"/>
        <v>311484.08012861863</v>
      </c>
      <c r="BK13" s="59">
        <f t="shared" si="15"/>
        <v>355054.17499120574</v>
      </c>
      <c r="BL13" s="59">
        <f t="shared" si="16"/>
        <v>391016.78983520763</v>
      </c>
      <c r="BN13" s="63">
        <v>454520.49999999994</v>
      </c>
      <c r="BO13" s="33">
        <f>+BN13*C13</f>
        <v>909040.99999999988</v>
      </c>
      <c r="BP13" s="33">
        <f>+BO13*D13</f>
        <v>909040.99999999988</v>
      </c>
      <c r="BR13" s="63">
        <v>478974.99999999988</v>
      </c>
      <c r="BS13" s="33">
        <f>+BR13*C13</f>
        <v>957949.99999999977</v>
      </c>
      <c r="BT13" s="33">
        <f>+BS13</f>
        <v>957949.99999999977</v>
      </c>
    </row>
    <row r="14" spans="1:72" ht="25.5" x14ac:dyDescent="0.25">
      <c r="A14" s="21">
        <v>11</v>
      </c>
      <c r="B14" s="28" t="s">
        <v>54</v>
      </c>
      <c r="C14" s="28">
        <v>20000</v>
      </c>
      <c r="D14" s="22">
        <v>0.76</v>
      </c>
      <c r="E14" s="17"/>
      <c r="F14" s="23">
        <v>16.099999999999998</v>
      </c>
      <c r="G14" s="24">
        <f t="shared" si="0"/>
        <v>19.158999999999995</v>
      </c>
      <c r="H14" s="17"/>
      <c r="I14" s="25">
        <v>25</v>
      </c>
      <c r="J14" s="38">
        <f t="shared" si="1"/>
        <v>29.75</v>
      </c>
      <c r="L14" s="25">
        <v>23</v>
      </c>
      <c r="M14" s="24">
        <f t="shared" si="2"/>
        <v>27.369999999999997</v>
      </c>
      <c r="O14" s="25">
        <v>13</v>
      </c>
      <c r="P14" s="24">
        <f t="shared" si="3"/>
        <v>15.469999999999999</v>
      </c>
      <c r="R14" s="25">
        <v>7</v>
      </c>
      <c r="S14" s="24">
        <f t="shared" si="4"/>
        <v>8.33</v>
      </c>
      <c r="U14" s="25">
        <v>2.6</v>
      </c>
      <c r="V14" s="37">
        <f t="shared" si="5"/>
        <v>3.0939999999999999</v>
      </c>
      <c r="X14" s="26">
        <v>5</v>
      </c>
      <c r="Y14" s="41">
        <f t="shared" si="6"/>
        <v>5.9499999999999993</v>
      </c>
      <c r="AA14" s="27">
        <f t="shared" si="7"/>
        <v>15.588999999999999</v>
      </c>
      <c r="AB14" s="24">
        <f>+AA14*C14</f>
        <v>311780</v>
      </c>
      <c r="AC14" s="24">
        <f>+AB14*D14</f>
        <v>236952.8</v>
      </c>
      <c r="AD14" s="68"/>
      <c r="AE14" s="70">
        <f t="shared" si="8"/>
        <v>10.438816743290401</v>
      </c>
      <c r="AF14" s="101">
        <f t="shared" si="9"/>
        <v>0.66962709239145568</v>
      </c>
      <c r="AG14" s="70">
        <f>+STDEVA(G14,J14,M14,P14,S14)</f>
        <v>8.7577855762744061</v>
      </c>
      <c r="AH14" s="101">
        <f t="shared" si="10"/>
        <v>0.43754361935443042</v>
      </c>
      <c r="AI14" s="71">
        <f>+STDEVA(G14,J14,M14,P14,S14,Y14)</f>
        <v>9.7125435134160405</v>
      </c>
      <c r="AJ14" s="101">
        <f t="shared" si="11"/>
        <v>0.54961624725779035</v>
      </c>
      <c r="AK14" s="33"/>
      <c r="AL14" s="27">
        <f>+AVERAGE(G14,J14,M14,P14,S14,Y14)</f>
        <v>17.671499999999998</v>
      </c>
      <c r="AM14" s="24">
        <f>+AL14*C14</f>
        <v>353429.99999999994</v>
      </c>
      <c r="AN14" s="24">
        <f>+AM14*D14</f>
        <v>268606.79999999993</v>
      </c>
      <c r="AO14" s="17"/>
      <c r="AP14" s="27">
        <f>+AVERAGE(G14,M14,P14,S14,Y14)</f>
        <v>15.255799999999999</v>
      </c>
      <c r="AQ14" s="24">
        <f>+AP14*C14</f>
        <v>305116</v>
      </c>
      <c r="AR14" s="24">
        <f>+AQ14*D14</f>
        <v>231888.16</v>
      </c>
      <c r="AT14" s="27">
        <f>+AVERAGE(S14,P14,M14,J14,G14)</f>
        <v>20.015799999999995</v>
      </c>
      <c r="AU14" s="24">
        <f>+AT14*C14</f>
        <v>400315.99999999988</v>
      </c>
      <c r="AV14" s="24">
        <f>+AU14*D14</f>
        <v>304240.15999999992</v>
      </c>
      <c r="AX14" s="54">
        <f t="shared" si="12"/>
        <v>15.469999999999999</v>
      </c>
      <c r="AY14" s="33">
        <f>+AX14*C14</f>
        <v>309400</v>
      </c>
      <c r="AZ14" s="33">
        <f>+AY14*D14</f>
        <v>235144</v>
      </c>
      <c r="BB14" s="54">
        <f t="shared" si="13"/>
        <v>29.75</v>
      </c>
      <c r="BC14" s="33">
        <f>+BB14*C14</f>
        <v>595000</v>
      </c>
      <c r="BD14" s="33">
        <f>+BC14*D14</f>
        <v>452200</v>
      </c>
      <c r="BF14" s="54">
        <f>+AVERAGE(S14,P14,M14,G14)</f>
        <v>17.582249999999998</v>
      </c>
      <c r="BG14" s="33">
        <f>+BF14*C14</f>
        <v>351644.99999999994</v>
      </c>
      <c r="BH14" s="33">
        <f>+BG14*D14</f>
        <v>267250.19999999995</v>
      </c>
      <c r="BJ14" s="59">
        <f t="shared" si="14"/>
        <v>10.438816743290401</v>
      </c>
      <c r="BK14" s="59">
        <f t="shared" si="15"/>
        <v>9.470934811305586</v>
      </c>
      <c r="BL14" s="59">
        <f t="shared" si="16"/>
        <v>6.1415798931002552</v>
      </c>
      <c r="BN14" s="33">
        <v>17.314499999999995</v>
      </c>
      <c r="BO14" s="33">
        <f>+BN14*C14</f>
        <v>346289.99999999988</v>
      </c>
      <c r="BP14" s="33">
        <f>+BO14*D14</f>
        <v>263180.39999999991</v>
      </c>
      <c r="BR14" s="33">
        <v>19.158999999999995</v>
      </c>
      <c r="BS14" s="33">
        <f>+BR14*C14</f>
        <v>383179.99999999988</v>
      </c>
      <c r="BT14" s="33">
        <f t="shared" si="17"/>
        <v>291216.79999999993</v>
      </c>
    </row>
    <row r="15" spans="1:72" x14ac:dyDescent="0.25">
      <c r="A15" s="21">
        <v>12</v>
      </c>
      <c r="B15" s="28" t="s">
        <v>55</v>
      </c>
      <c r="C15" s="28">
        <v>20000</v>
      </c>
      <c r="D15" s="22">
        <v>0.76</v>
      </c>
      <c r="E15" s="17"/>
      <c r="F15" s="23">
        <v>692.3</v>
      </c>
      <c r="G15" s="24">
        <f t="shared" si="0"/>
        <v>823.83699999999988</v>
      </c>
      <c r="H15" s="17"/>
      <c r="I15" s="25">
        <v>350</v>
      </c>
      <c r="J15" s="24">
        <f t="shared" si="1"/>
        <v>416.5</v>
      </c>
      <c r="L15" s="25">
        <v>812</v>
      </c>
      <c r="M15" s="38">
        <f t="shared" si="2"/>
        <v>966.28</v>
      </c>
      <c r="O15" s="25">
        <v>550</v>
      </c>
      <c r="P15" s="24">
        <f t="shared" si="3"/>
        <v>654.5</v>
      </c>
      <c r="R15" s="25">
        <v>774</v>
      </c>
      <c r="S15" s="24">
        <f t="shared" si="4"/>
        <v>921.06</v>
      </c>
      <c r="U15" s="25">
        <v>208</v>
      </c>
      <c r="V15" s="41">
        <f t="shared" si="5"/>
        <v>247.51999999999998</v>
      </c>
      <c r="X15" s="26">
        <v>93.75</v>
      </c>
      <c r="Y15" s="37">
        <f t="shared" si="6"/>
        <v>111.5625</v>
      </c>
      <c r="AA15" s="27">
        <f t="shared" si="7"/>
        <v>591.60850000000005</v>
      </c>
      <c r="AB15" s="24">
        <f>+AA15*C15</f>
        <v>11832170.000000002</v>
      </c>
      <c r="AC15" s="24">
        <f>+AB15*D15</f>
        <v>8992449.2000000011</v>
      </c>
      <c r="AD15" s="68"/>
      <c r="AE15" s="70">
        <f t="shared" si="8"/>
        <v>338.20764959550604</v>
      </c>
      <c r="AF15" s="101">
        <f t="shared" si="9"/>
        <v>0.57167476396215744</v>
      </c>
      <c r="AG15" s="70">
        <f>+STDEVA(G15,J15,M15,P15,S15)</f>
        <v>224.51385965191534</v>
      </c>
      <c r="AH15" s="101">
        <f t="shared" si="10"/>
        <v>0.29680506709748822</v>
      </c>
      <c r="AI15" s="70">
        <f>+STDEVA(G15,J15,M15,P15,S15,V15)</f>
        <v>288.94807941941161</v>
      </c>
      <c r="AJ15" s="101">
        <f t="shared" si="11"/>
        <v>0.43022799890822311</v>
      </c>
      <c r="AK15" s="33"/>
      <c r="AL15" s="27">
        <f>+AVERAGE(V15,S15,P15,M15,J15,G15)</f>
        <v>671.61616666666657</v>
      </c>
      <c r="AM15" s="24">
        <f>+AL15*C15</f>
        <v>13432323.333333332</v>
      </c>
      <c r="AN15" s="24">
        <f>+AM15*D15</f>
        <v>10208565.733333332</v>
      </c>
      <c r="AO15" s="17"/>
      <c r="AP15" s="27">
        <f>+AVERAGE(G15,J15,P15,S15,V15)</f>
        <v>612.68340000000001</v>
      </c>
      <c r="AQ15" s="24">
        <f>+AP15*C15</f>
        <v>12253668</v>
      </c>
      <c r="AR15" s="24">
        <f>+AQ15*D15</f>
        <v>9312787.6799999997</v>
      </c>
      <c r="AT15" s="27">
        <f>+AVERAGE(S15,P15,M15,J15,G15)</f>
        <v>756.43540000000007</v>
      </c>
      <c r="AU15" s="24">
        <f>+AT15*C15</f>
        <v>15128708.000000002</v>
      </c>
      <c r="AV15" s="24">
        <f>+AU15*D15</f>
        <v>11497818.080000002</v>
      </c>
      <c r="AX15" s="54">
        <f t="shared" si="12"/>
        <v>654.5</v>
      </c>
      <c r="AY15" s="33">
        <f>+AX15*C15</f>
        <v>13090000</v>
      </c>
      <c r="AZ15" s="33">
        <f>+AY15*D15</f>
        <v>9948400</v>
      </c>
      <c r="BB15" s="54">
        <f t="shared" si="13"/>
        <v>966.28</v>
      </c>
      <c r="BC15" s="33">
        <f>+BB15*C15</f>
        <v>19325600</v>
      </c>
      <c r="BD15" s="33">
        <f>+BC15*D15</f>
        <v>14687456</v>
      </c>
      <c r="BF15" s="54">
        <f>+AVERAGE(S15,P15,J15,G15)</f>
        <v>703.97424999999998</v>
      </c>
      <c r="BG15" s="33">
        <f>+BF15*C15</f>
        <v>14079485</v>
      </c>
      <c r="BH15" s="33">
        <f>+BG15*D15</f>
        <v>10700408.6</v>
      </c>
      <c r="BJ15" s="59">
        <f t="shared" si="14"/>
        <v>338.20764959550604</v>
      </c>
      <c r="BK15" s="59">
        <f t="shared" si="15"/>
        <v>326.85768797260977</v>
      </c>
      <c r="BL15" s="59">
        <f t="shared" si="16"/>
        <v>361.3151740125636</v>
      </c>
      <c r="BN15" s="33">
        <v>739.16849999999999</v>
      </c>
      <c r="BO15" s="33">
        <f>+BN15*C15</f>
        <v>14783370</v>
      </c>
      <c r="BP15" s="33">
        <f>+BO15*D15</f>
        <v>11235361.199999999</v>
      </c>
      <c r="BR15" s="33">
        <v>823.83699999999988</v>
      </c>
      <c r="BS15" s="33">
        <f>+BR15*C15</f>
        <v>16476739.999999998</v>
      </c>
      <c r="BT15" s="33">
        <f t="shared" si="17"/>
        <v>12522322.399999999</v>
      </c>
    </row>
    <row r="16" spans="1:72" ht="25.5" x14ac:dyDescent="0.25">
      <c r="A16" s="21">
        <v>13</v>
      </c>
      <c r="B16" s="50" t="s">
        <v>57</v>
      </c>
      <c r="C16" s="50">
        <v>18</v>
      </c>
      <c r="D16" s="22">
        <v>1</v>
      </c>
      <c r="E16" s="17"/>
      <c r="F16" s="23">
        <v>919999.99999999988</v>
      </c>
      <c r="G16" s="38">
        <f t="shared" si="0"/>
        <v>1094799.9999999998</v>
      </c>
      <c r="H16" s="17"/>
      <c r="I16" s="25">
        <v>380000</v>
      </c>
      <c r="J16" s="24">
        <f t="shared" si="1"/>
        <v>452200</v>
      </c>
      <c r="L16" s="25">
        <v>399003</v>
      </c>
      <c r="M16" s="24">
        <f t="shared" si="2"/>
        <v>474813.57</v>
      </c>
      <c r="O16" s="25">
        <v>584200</v>
      </c>
      <c r="P16" s="24">
        <f t="shared" si="3"/>
        <v>695198</v>
      </c>
      <c r="R16" s="25">
        <v>880559</v>
      </c>
      <c r="S16" s="24">
        <f t="shared" si="4"/>
        <v>1047865.21</v>
      </c>
      <c r="U16" s="25">
        <v>361400</v>
      </c>
      <c r="V16" s="41">
        <f t="shared" si="5"/>
        <v>430066</v>
      </c>
      <c r="X16" s="26">
        <v>327500</v>
      </c>
      <c r="Y16" s="37">
        <f t="shared" si="6"/>
        <v>389725</v>
      </c>
      <c r="AA16" s="27">
        <f t="shared" si="7"/>
        <v>654952.53999999992</v>
      </c>
      <c r="AB16" s="60">
        <f>+AA16*C16</f>
        <v>11789145.719999999</v>
      </c>
      <c r="AC16" s="24">
        <f>+AB16*D16</f>
        <v>11789145.719999999</v>
      </c>
      <c r="AD16" s="68"/>
      <c r="AE16" s="70">
        <f t="shared" si="8"/>
        <v>301093.58905007376</v>
      </c>
      <c r="AF16" s="101">
        <f t="shared" si="9"/>
        <v>0.45971817904557449</v>
      </c>
      <c r="AG16" s="71">
        <f>+STDEVA(G16,J16,M16,P16,S16)</f>
        <v>306178.92239336745</v>
      </c>
      <c r="AH16" s="101">
        <f t="shared" si="10"/>
        <v>0.40662542266969953</v>
      </c>
      <c r="AI16" s="71">
        <f>+STDEVA(G16,J16,M16,P16,S16,V16)</f>
        <v>303932.28639467323</v>
      </c>
      <c r="AJ16" s="101">
        <f t="shared" si="11"/>
        <v>0.43471241778607517</v>
      </c>
      <c r="AK16" s="33"/>
      <c r="AL16" s="61">
        <f>+AVERAGE(G16,J16,M16,P16,S16,V16)</f>
        <v>699157.12999999989</v>
      </c>
      <c r="AM16" s="24">
        <f>+AL16*C16</f>
        <v>12584828.339999998</v>
      </c>
      <c r="AN16" s="24">
        <f>+AM16*D16</f>
        <v>12584828.339999998</v>
      </c>
      <c r="AO16" s="17"/>
      <c r="AP16" s="61">
        <f>+AVERAGE(J16,M16,P16,S16,V16)</f>
        <v>620028.5560000001</v>
      </c>
      <c r="AQ16" s="24">
        <f>+AP16*C16</f>
        <v>11160514.008000001</v>
      </c>
      <c r="AR16" s="24">
        <f>+AQ16*D16</f>
        <v>11160514.008000001</v>
      </c>
      <c r="AT16" s="61">
        <f>+AVERAGE(S16,P16,M16,J16,G16)</f>
        <v>752975.35599999991</v>
      </c>
      <c r="AU16" s="24">
        <f>+AT16*C16</f>
        <v>13553556.407999998</v>
      </c>
      <c r="AV16" s="24">
        <f>+AU16*D16</f>
        <v>13553556.407999998</v>
      </c>
      <c r="AX16" s="54">
        <f t="shared" si="12"/>
        <v>474813.57</v>
      </c>
      <c r="AY16" s="33">
        <f>+AX16*C16</f>
        <v>8546644.2599999998</v>
      </c>
      <c r="AZ16" s="33">
        <f>+AY16*D16</f>
        <v>8546644.2599999998</v>
      </c>
      <c r="BB16" s="54">
        <f t="shared" si="13"/>
        <v>1094799.9999999998</v>
      </c>
      <c r="BC16" s="33">
        <f>+BB16*C16</f>
        <v>19706399.999999996</v>
      </c>
      <c r="BD16" s="33">
        <f>+BC16*D16</f>
        <v>19706399.999999996</v>
      </c>
      <c r="BF16" s="64">
        <f>+AVERAGE(S16,P16,M16,J16)</f>
        <v>667519.19499999995</v>
      </c>
      <c r="BG16" s="33">
        <f>+BF16*C16</f>
        <v>12015345.51</v>
      </c>
      <c r="BH16" s="33">
        <f>+BG16*D16</f>
        <v>12015345.51</v>
      </c>
      <c r="BJ16" s="59">
        <f t="shared" si="14"/>
        <v>301093.58905007376</v>
      </c>
      <c r="BK16" s="59">
        <f t="shared" si="15"/>
        <v>327150.94339858735</v>
      </c>
      <c r="BL16" s="59">
        <f t="shared" si="16"/>
        <v>330385.10853476875</v>
      </c>
      <c r="BN16" s="63">
        <v>585005.78500000003</v>
      </c>
      <c r="BO16" s="33">
        <f>+BN16*C16</f>
        <v>10530104.130000001</v>
      </c>
      <c r="BP16" s="33">
        <f>+BO16*D16</f>
        <v>10530104.130000001</v>
      </c>
      <c r="BR16" s="63">
        <v>695198</v>
      </c>
      <c r="BS16" s="33">
        <f>+BR16*C16</f>
        <v>12513564</v>
      </c>
      <c r="BT16" s="33">
        <f>+BS16</f>
        <v>12513564</v>
      </c>
    </row>
    <row r="17" spans="1:76" x14ac:dyDescent="0.25">
      <c r="A17" s="21">
        <v>14</v>
      </c>
      <c r="B17" s="50" t="s">
        <v>58</v>
      </c>
      <c r="C17" s="50">
        <v>1</v>
      </c>
      <c r="D17" s="22">
        <v>1</v>
      </c>
      <c r="E17" s="17"/>
      <c r="F17" s="23">
        <v>4600000</v>
      </c>
      <c r="G17" s="38">
        <f t="shared" si="0"/>
        <v>5474000</v>
      </c>
      <c r="H17" s="17"/>
      <c r="I17" s="25">
        <v>3200000</v>
      </c>
      <c r="J17" s="24">
        <f t="shared" si="1"/>
        <v>3808000</v>
      </c>
      <c r="L17" s="25">
        <v>3972471</v>
      </c>
      <c r="M17" s="24">
        <f t="shared" si="2"/>
        <v>4727240.49</v>
      </c>
      <c r="O17" s="25">
        <v>4456000</v>
      </c>
      <c r="P17" s="24">
        <f t="shared" si="3"/>
        <v>5302640</v>
      </c>
      <c r="R17" s="25">
        <v>2272655</v>
      </c>
      <c r="S17" s="24">
        <f t="shared" si="4"/>
        <v>2704459.4499999997</v>
      </c>
      <c r="U17" s="25">
        <v>600000</v>
      </c>
      <c r="V17" s="37">
        <f t="shared" si="5"/>
        <v>714000</v>
      </c>
      <c r="X17" s="26">
        <v>1875000</v>
      </c>
      <c r="Y17" s="41">
        <f t="shared" si="6"/>
        <v>2231250</v>
      </c>
      <c r="AA17" s="27">
        <f t="shared" si="7"/>
        <v>3565941.4200000004</v>
      </c>
      <c r="AB17" s="60">
        <f>+AA17*C17</f>
        <v>3565941.4200000004</v>
      </c>
      <c r="AC17" s="24">
        <f>+AB17*D17</f>
        <v>3565941.4200000004</v>
      </c>
      <c r="AD17" s="68"/>
      <c r="AE17" s="70">
        <f t="shared" si="8"/>
        <v>1766405.9378197114</v>
      </c>
      <c r="AF17" s="101">
        <f t="shared" si="9"/>
        <v>0.49535472678059617</v>
      </c>
      <c r="AG17" s="70">
        <f>+STDEVA(G17,J17,M17,P17,S17)</f>
        <v>1151150.4751619019</v>
      </c>
      <c r="AH17" s="101">
        <f t="shared" si="10"/>
        <v>0.26143093681762575</v>
      </c>
      <c r="AI17" s="70">
        <f>+STDEVA(G17,J17,M17,P17,S17,Y17)</f>
        <v>1358821.1642958415</v>
      </c>
      <c r="AJ17" s="101">
        <f t="shared" si="11"/>
        <v>0.33623659118078308</v>
      </c>
      <c r="AK17" s="33"/>
      <c r="AL17" s="61">
        <f>+AVERAGE(G17,J17,M17,P17,S17,Y17)</f>
        <v>4041264.99</v>
      </c>
      <c r="AM17" s="24">
        <f>+AL17*C17</f>
        <v>4041264.99</v>
      </c>
      <c r="AN17" s="24">
        <f>+AM17*D17</f>
        <v>4041264.99</v>
      </c>
      <c r="AO17" s="17"/>
      <c r="AP17" s="61">
        <f>+AVERAGE(J17,M17,P17,S17,Y17)</f>
        <v>3754717.9879999994</v>
      </c>
      <c r="AQ17" s="24">
        <f>+AP17*C17</f>
        <v>3754717.9879999994</v>
      </c>
      <c r="AR17" s="24">
        <f>+AQ17*D17</f>
        <v>3754717.9879999994</v>
      </c>
      <c r="AT17" s="61">
        <f>+AVERAGE(S17,P17,M17,J17,G17)</f>
        <v>4403267.9879999999</v>
      </c>
      <c r="AU17" s="24">
        <f>+AT17*C17</f>
        <v>4403267.9879999999</v>
      </c>
      <c r="AV17" s="24">
        <f>+AU17*D17</f>
        <v>4403267.9879999999</v>
      </c>
      <c r="AX17" s="54">
        <f t="shared" si="12"/>
        <v>3808000</v>
      </c>
      <c r="AY17" s="33">
        <f>+AX17*C17</f>
        <v>3808000</v>
      </c>
      <c r="AZ17" s="33">
        <f>+AY17*D17</f>
        <v>3808000</v>
      </c>
      <c r="BB17" s="54">
        <f t="shared" si="13"/>
        <v>5474000</v>
      </c>
      <c r="BC17" s="33">
        <f>+BB17*C17</f>
        <v>5474000</v>
      </c>
      <c r="BD17" s="33">
        <f>+BC17*D17</f>
        <v>5474000</v>
      </c>
      <c r="BF17" s="64">
        <f>+AVERAGE(S17,P17,M17,J17)</f>
        <v>4135584.9849999999</v>
      </c>
      <c r="BG17" s="33">
        <f>+BF17*C17</f>
        <v>4135584.9849999999</v>
      </c>
      <c r="BH17" s="33">
        <f>+BG17*D17</f>
        <v>4135584.9849999999</v>
      </c>
      <c r="BJ17" s="59">
        <f t="shared" si="14"/>
        <v>1766405.9378197114</v>
      </c>
      <c r="BK17" s="59">
        <f t="shared" si="15"/>
        <v>1472013.9196667988</v>
      </c>
      <c r="BL17" s="59">
        <f t="shared" si="16"/>
        <v>1698603.6558563309</v>
      </c>
      <c r="BN17" s="63">
        <v>4267620.2450000001</v>
      </c>
      <c r="BO17" s="33">
        <f>+BN17*C17</f>
        <v>4267620.2450000001</v>
      </c>
      <c r="BP17" s="33">
        <f>+BO17*D17</f>
        <v>4267620.2450000001</v>
      </c>
      <c r="BR17" s="63">
        <v>4727240.49</v>
      </c>
      <c r="BS17" s="33">
        <f>+BR17*C17</f>
        <v>4727240.49</v>
      </c>
      <c r="BT17" s="33">
        <f>+BS17</f>
        <v>4727240.49</v>
      </c>
    </row>
    <row r="18" spans="1:76" x14ac:dyDescent="0.25">
      <c r="A18" s="21">
        <v>15</v>
      </c>
      <c r="B18" s="22" t="s">
        <v>59</v>
      </c>
      <c r="C18" s="22">
        <v>1500</v>
      </c>
      <c r="D18" s="22">
        <v>0.76</v>
      </c>
      <c r="E18" s="17"/>
      <c r="F18" s="36">
        <f>+SUM(F4:F17)</f>
        <v>6372620.3499999996</v>
      </c>
      <c r="G18" s="17"/>
      <c r="H18" s="17"/>
      <c r="I18" s="25">
        <v>773</v>
      </c>
      <c r="J18" s="24">
        <f t="shared" si="1"/>
        <v>919.87</v>
      </c>
      <c r="L18" s="25">
        <v>40</v>
      </c>
      <c r="M18" s="37">
        <f t="shared" si="2"/>
        <v>47.599999999999994</v>
      </c>
      <c r="O18" s="25">
        <v>660</v>
      </c>
      <c r="P18" s="41">
        <f t="shared" si="3"/>
        <v>785.4</v>
      </c>
      <c r="R18" s="25">
        <v>2936</v>
      </c>
      <c r="S18" s="24">
        <f t="shared" si="4"/>
        <v>3493.8399999999997</v>
      </c>
      <c r="U18" s="29">
        <v>0</v>
      </c>
      <c r="V18" s="30">
        <f t="shared" si="5"/>
        <v>0</v>
      </c>
      <c r="X18" s="26">
        <v>25000</v>
      </c>
      <c r="Y18" s="38">
        <f t="shared" si="6"/>
        <v>29750</v>
      </c>
      <c r="AA18" s="27">
        <f>+AVERAGE(J18,M18,P18,S18,Y18)</f>
        <v>6999.3419999999996</v>
      </c>
      <c r="AB18" s="24">
        <f>+AA18*C18</f>
        <v>10499013</v>
      </c>
      <c r="AC18" s="24">
        <f>+AB18*D18</f>
        <v>7979249.8799999999</v>
      </c>
      <c r="AD18" s="68"/>
      <c r="AE18" s="70">
        <f t="shared" si="8"/>
        <v>11786.487284557261</v>
      </c>
      <c r="AF18" s="101">
        <f t="shared" si="9"/>
        <v>1.6839421883596002</v>
      </c>
      <c r="AG18" s="71">
        <f>+STDEVA(J18,S18,Y18)</f>
        <v>15954.036350943712</v>
      </c>
      <c r="AH18" s="101">
        <f t="shared" si="10"/>
        <v>1.4009634507736757</v>
      </c>
      <c r="AI18" s="71">
        <f>+STDEVA(J18,P18,S18,Y18)</f>
        <v>14063.811236343145</v>
      </c>
      <c r="AJ18" s="101">
        <f t="shared" si="11"/>
        <v>1.6096331192803643</v>
      </c>
      <c r="AK18" s="33"/>
      <c r="AL18" s="27">
        <f>+AVERAGE(J18,P18,S18,Y18)</f>
        <v>8737.2775000000001</v>
      </c>
      <c r="AM18" s="24">
        <f>+AL18*C18</f>
        <v>13105916.25</v>
      </c>
      <c r="AN18" s="24">
        <f>+AM18*D18</f>
        <v>9960496.3499999996</v>
      </c>
      <c r="AO18" s="17"/>
      <c r="AP18" s="27">
        <f>+AVERAGE(J18,P18,S18)</f>
        <v>1733.0366666666666</v>
      </c>
      <c r="AQ18" s="24">
        <f>+AP18*C18</f>
        <v>2599555</v>
      </c>
      <c r="AR18" s="24">
        <f>+AQ18*D18</f>
        <v>1975661.8</v>
      </c>
      <c r="AT18" s="27">
        <f>+AVERAGE(Y18,S18,J18)</f>
        <v>11387.903333333334</v>
      </c>
      <c r="AU18" s="24">
        <f>+AT18*C18</f>
        <v>17081855</v>
      </c>
      <c r="AV18" s="24">
        <f>+AU18*D18</f>
        <v>12982209.800000001</v>
      </c>
      <c r="AX18" s="54">
        <f>+MEDIAN(Y18,S18,P18,M18,J18)</f>
        <v>919.87</v>
      </c>
      <c r="AY18" s="33">
        <f>+AX18*C18</f>
        <v>1379805</v>
      </c>
      <c r="AZ18" s="33">
        <f>+AY18*D18</f>
        <v>1048651.8</v>
      </c>
      <c r="BB18" s="54">
        <f t="shared" si="13"/>
        <v>29750</v>
      </c>
      <c r="BC18" s="33">
        <f>+BB18*C18</f>
        <v>44625000</v>
      </c>
      <c r="BD18" s="33">
        <f>+BC18*D18</f>
        <v>33915000</v>
      </c>
      <c r="BF18" s="54">
        <f>+AVERAGE(S18,J18)</f>
        <v>2206.855</v>
      </c>
      <c r="BG18" s="33">
        <f>+BF18*C18</f>
        <v>3310282.5</v>
      </c>
      <c r="BH18" s="33">
        <f>+BG18*D18</f>
        <v>2515814.7000000002</v>
      </c>
      <c r="BJ18" s="59">
        <f t="shared" si="14"/>
        <v>11786.487284557261</v>
      </c>
      <c r="BK18" s="59">
        <f t="shared" si="15"/>
        <v>14063.811236343145</v>
      </c>
      <c r="BL18" s="59">
        <f t="shared" si="16"/>
        <v>15998.27927382192</v>
      </c>
      <c r="BN18" s="33">
        <v>2206.855</v>
      </c>
      <c r="BO18" s="33">
        <f>+BN18*C18</f>
        <v>3310282.5</v>
      </c>
      <c r="BP18" s="33">
        <f>+BO18*D18</f>
        <v>2515814.7000000002</v>
      </c>
      <c r="BR18" s="33">
        <v>3493.8399999999997</v>
      </c>
      <c r="BS18" s="33">
        <f>+BR18*C18</f>
        <v>5240760</v>
      </c>
      <c r="BT18" s="33">
        <f t="shared" si="17"/>
        <v>3982977.6</v>
      </c>
    </row>
    <row r="19" spans="1:76" x14ac:dyDescent="0.25">
      <c r="A19" s="21">
        <v>16</v>
      </c>
      <c r="B19" s="52" t="s">
        <v>60</v>
      </c>
      <c r="C19" s="52">
        <v>1</v>
      </c>
      <c r="D19" s="22">
        <v>1</v>
      </c>
      <c r="E19" s="17"/>
      <c r="F19" s="17"/>
      <c r="G19" s="17"/>
      <c r="H19" s="17"/>
      <c r="I19" s="25">
        <v>2500000</v>
      </c>
      <c r="J19" s="24">
        <f t="shared" si="1"/>
        <v>2975000</v>
      </c>
      <c r="L19" s="25">
        <v>2394016</v>
      </c>
      <c r="M19" s="24">
        <f t="shared" si="2"/>
        <v>2848879.04</v>
      </c>
      <c r="O19" s="25">
        <v>4372000</v>
      </c>
      <c r="P19" s="38">
        <f t="shared" si="3"/>
        <v>5202680</v>
      </c>
      <c r="R19" s="25">
        <v>949970</v>
      </c>
      <c r="S19" s="41">
        <f t="shared" si="4"/>
        <v>1130464.3</v>
      </c>
      <c r="U19" s="25">
        <v>2000000</v>
      </c>
      <c r="V19" s="24">
        <f t="shared" si="5"/>
        <v>2380000</v>
      </c>
      <c r="X19" s="26">
        <v>450000</v>
      </c>
      <c r="Y19" s="37">
        <f t="shared" si="6"/>
        <v>535500</v>
      </c>
      <c r="AA19" s="27">
        <f>+AVERAGE(J19,M19,P19,S19,V19,Y19)</f>
        <v>2512087.2233333332</v>
      </c>
      <c r="AB19" s="60">
        <f>+AA19*C19</f>
        <v>2512087.2233333332</v>
      </c>
      <c r="AC19" s="24">
        <f>+AB19</f>
        <v>2512087.2233333332</v>
      </c>
      <c r="AD19" s="68"/>
      <c r="AE19" s="70">
        <f t="shared" si="8"/>
        <v>1637084.7531339575</v>
      </c>
      <c r="AF19" s="101">
        <f t="shared" si="9"/>
        <v>0.65168308565404054</v>
      </c>
      <c r="AG19" s="70">
        <f>+STDEVA(J19,M19,P19,V19)</f>
        <v>1260298.8592261095</v>
      </c>
      <c r="AH19" s="101">
        <f t="shared" si="10"/>
        <v>0.37602455796923401</v>
      </c>
      <c r="AI19" s="70">
        <f>+STDEVA(J19,M19,P19,S19,V19)</f>
        <v>1475801.1369240149</v>
      </c>
      <c r="AJ19" s="101">
        <f t="shared" si="11"/>
        <v>0.51937060227573861</v>
      </c>
      <c r="AK19" s="33"/>
      <c r="AL19" s="61">
        <f>+AVERAGE(J19,M19,P19,S19,V19,AA19)</f>
        <v>2841518.4272222221</v>
      </c>
      <c r="AM19" s="24">
        <f>+AL19*C19</f>
        <v>2841518.4272222221</v>
      </c>
      <c r="AN19" s="24">
        <f>+AM19*D19</f>
        <v>2841518.4272222221</v>
      </c>
      <c r="AO19" s="17"/>
      <c r="AP19" s="61">
        <f>+AVERAGE(J19,M19,S19,V19)</f>
        <v>2333585.835</v>
      </c>
      <c r="AQ19" s="24">
        <f>+AP19*C19</f>
        <v>2333585.835</v>
      </c>
      <c r="AR19" s="24">
        <f>+AQ19*D19</f>
        <v>2333585.835</v>
      </c>
      <c r="AT19" s="61">
        <f>+AVERAGE(V19,P19,M19,J19)</f>
        <v>3351639.76</v>
      </c>
      <c r="AU19" s="24">
        <f>+AT19*C19</f>
        <v>3351639.76</v>
      </c>
      <c r="AV19" s="24">
        <f>+AU19*D19</f>
        <v>3351639.76</v>
      </c>
      <c r="AX19" s="54">
        <f>+MEDIAN(Y19,V19,S19,P19,M19,J19)</f>
        <v>2614439.52</v>
      </c>
      <c r="AY19" s="33">
        <f>+AX19*C19</f>
        <v>2614439.52</v>
      </c>
      <c r="AZ19" s="33">
        <f>+AY19*D19</f>
        <v>2614439.52</v>
      </c>
      <c r="BB19" s="54">
        <f t="shared" si="13"/>
        <v>5202680</v>
      </c>
      <c r="BC19" s="33">
        <f>+BB19*C19</f>
        <v>5202680</v>
      </c>
      <c r="BD19" s="33">
        <f>+BC19*D19</f>
        <v>5202680</v>
      </c>
      <c r="BF19" s="64">
        <f>+AVERAGE(V19,M19,J19)</f>
        <v>2734626.3466666667</v>
      </c>
      <c r="BG19" s="33">
        <f>+BF19*C19</f>
        <v>2734626.3466666667</v>
      </c>
      <c r="BH19" s="33">
        <f>+BG19*D19</f>
        <v>2734626.3466666667</v>
      </c>
      <c r="BJ19" s="59">
        <f t="shared" si="14"/>
        <v>1637084.7531339575</v>
      </c>
      <c r="BK19" s="59">
        <f t="shared" si="15"/>
        <v>2102290.8686909359</v>
      </c>
      <c r="BL19" s="59">
        <f t="shared" si="16"/>
        <v>2540324.5323514929</v>
      </c>
      <c r="BN19" s="63">
        <v>2848879.04</v>
      </c>
      <c r="BO19" s="33">
        <f>+BN19*C19</f>
        <v>2848879.04</v>
      </c>
      <c r="BP19" s="33">
        <f>+BO19*D19</f>
        <v>2848879.04</v>
      </c>
      <c r="BR19" s="63">
        <v>2911939.52</v>
      </c>
      <c r="BS19" s="33">
        <f>+BR19*C19</f>
        <v>2911939.52</v>
      </c>
      <c r="BT19" s="33">
        <f>+BS19</f>
        <v>2911939.52</v>
      </c>
    </row>
    <row r="20" spans="1:76" x14ac:dyDescent="0.25">
      <c r="A20" s="21">
        <v>17</v>
      </c>
      <c r="B20" s="50" t="s">
        <v>61</v>
      </c>
      <c r="C20" s="50">
        <v>1</v>
      </c>
      <c r="D20" s="22">
        <v>1</v>
      </c>
      <c r="E20" s="17"/>
      <c r="F20" s="17"/>
      <c r="G20" s="17"/>
      <c r="H20" s="17"/>
      <c r="I20" s="25">
        <v>1500000</v>
      </c>
      <c r="J20" s="24">
        <f t="shared" si="1"/>
        <v>1785000</v>
      </c>
      <c r="L20" s="25">
        <v>2007782</v>
      </c>
      <c r="M20" s="38">
        <f t="shared" si="2"/>
        <v>2389260.58</v>
      </c>
      <c r="O20" s="25">
        <v>1252000</v>
      </c>
      <c r="P20" s="24">
        <f t="shared" si="3"/>
        <v>1489880</v>
      </c>
      <c r="R20" s="25">
        <v>154541</v>
      </c>
      <c r="S20" s="37">
        <f t="shared" si="4"/>
        <v>183903.78999999998</v>
      </c>
      <c r="U20" s="25">
        <v>634140</v>
      </c>
      <c r="V20" s="24">
        <f t="shared" si="5"/>
        <v>754626.6</v>
      </c>
      <c r="X20" s="26">
        <v>450000</v>
      </c>
      <c r="Y20" s="41">
        <f t="shared" si="6"/>
        <v>535500</v>
      </c>
      <c r="AA20" s="27">
        <f t="shared" ref="AA20:AA21" si="18">+AVERAGE(J20,M20,P20,S20,V20,Y20)</f>
        <v>1189695.1616666666</v>
      </c>
      <c r="AB20" s="60">
        <f>+AA20*C20</f>
        <v>1189695.1616666666</v>
      </c>
      <c r="AC20" s="24">
        <f>+AB20</f>
        <v>1189695.1616666666</v>
      </c>
      <c r="AD20" s="68"/>
      <c r="AE20" s="70">
        <f t="shared" si="8"/>
        <v>838132.23619992158</v>
      </c>
      <c r="AF20" s="101">
        <f t="shared" si="9"/>
        <v>0.70449327122232397</v>
      </c>
      <c r="AG20" s="70">
        <f>+STDEVA(J20,M20,P20,V20)</f>
        <v>679178.86971651553</v>
      </c>
      <c r="AH20" s="101">
        <f t="shared" si="10"/>
        <v>0.42324567984502942</v>
      </c>
      <c r="AI20" s="70">
        <f>+STDEVA(J20,M20,P20,V20,Y20)</f>
        <v>758021.88075352891</v>
      </c>
      <c r="AJ20" s="101">
        <f t="shared" si="11"/>
        <v>0.54500485898323581</v>
      </c>
      <c r="AK20" s="33"/>
      <c r="AL20" s="61">
        <f>+AVERAGE(Y20,V20,P20,M20,J20)</f>
        <v>1390853.436</v>
      </c>
      <c r="AM20" s="24">
        <f>+AL20*C20</f>
        <v>1390853.436</v>
      </c>
      <c r="AN20" s="24">
        <f>+AM20*D20</f>
        <v>1390853.436</v>
      </c>
      <c r="AO20" s="17"/>
      <c r="AP20" s="61">
        <f>+AVERAGE(J20,P20,V20,Y20)</f>
        <v>1141251.6499999999</v>
      </c>
      <c r="AQ20" s="24">
        <f>+AP20*C20</f>
        <v>1141251.6499999999</v>
      </c>
      <c r="AR20" s="24">
        <f>+AQ20*D20</f>
        <v>1141251.6499999999</v>
      </c>
      <c r="AT20" s="61">
        <f>+AVERAGE(V20,P20,M20,J20)</f>
        <v>1604691.7949999999</v>
      </c>
      <c r="AU20" s="24">
        <f>+AT20*C20</f>
        <v>1604691.7949999999</v>
      </c>
      <c r="AV20" s="24">
        <f>+AU20*D20</f>
        <v>1604691.7949999999</v>
      </c>
      <c r="AX20" s="54">
        <f t="shared" ref="AX20:AX21" si="19">+MEDIAN(Y20,V20,S20,P20,M20,J20)</f>
        <v>1122253.3</v>
      </c>
      <c r="AY20" s="33">
        <f>+AX20*C20</f>
        <v>1122253.3</v>
      </c>
      <c r="AZ20" s="33">
        <f>+AY20*D20</f>
        <v>1122253.3</v>
      </c>
      <c r="BB20" s="54">
        <f t="shared" si="13"/>
        <v>2389260.58</v>
      </c>
      <c r="BC20" s="33">
        <f>+BB20*C20</f>
        <v>2389260.58</v>
      </c>
      <c r="BD20" s="33">
        <f>+BC20*D20</f>
        <v>2389260.58</v>
      </c>
      <c r="BF20" s="64">
        <f>+AVERAGE(V20,P20,J20)</f>
        <v>1343168.8666666667</v>
      </c>
      <c r="BG20" s="33">
        <f>+BF20*C20</f>
        <v>1343168.8666666667</v>
      </c>
      <c r="BH20" s="33">
        <f>+BG20*D20</f>
        <v>1343168.8666666667</v>
      </c>
      <c r="BJ20" s="59">
        <f t="shared" si="14"/>
        <v>838132.23619992158</v>
      </c>
      <c r="BK20" s="59">
        <f t="shared" si="15"/>
        <v>761133.47922953544</v>
      </c>
      <c r="BL20" s="59">
        <f t="shared" si="16"/>
        <v>675775.47311370715</v>
      </c>
      <c r="BN20" s="63">
        <v>1489880</v>
      </c>
      <c r="BO20" s="33">
        <f>+BN20*C20</f>
        <v>1489880</v>
      </c>
      <c r="BP20" s="33">
        <f>+BO20*D20</f>
        <v>1489880</v>
      </c>
      <c r="BR20" s="63">
        <v>1637440</v>
      </c>
      <c r="BS20" s="33">
        <f>+BR20*C20</f>
        <v>1637440</v>
      </c>
      <c r="BT20" s="33">
        <f>+BS20</f>
        <v>1637440</v>
      </c>
    </row>
    <row r="21" spans="1:76" x14ac:dyDescent="0.25">
      <c r="A21" s="21">
        <v>18</v>
      </c>
      <c r="B21" s="22" t="s">
        <v>62</v>
      </c>
      <c r="C21" s="22">
        <v>1000</v>
      </c>
      <c r="D21" s="22">
        <v>0.76</v>
      </c>
      <c r="E21" s="17"/>
      <c r="F21" s="17"/>
      <c r="G21" s="17"/>
      <c r="H21" s="17"/>
      <c r="I21" s="25">
        <v>350</v>
      </c>
      <c r="J21" s="38">
        <f t="shared" si="1"/>
        <v>416.5</v>
      </c>
      <c r="L21" s="25">
        <v>178</v>
      </c>
      <c r="M21" s="24">
        <f t="shared" si="2"/>
        <v>211.82</v>
      </c>
      <c r="O21" s="25">
        <v>330</v>
      </c>
      <c r="P21" s="24">
        <f t="shared" si="3"/>
        <v>392.7</v>
      </c>
      <c r="R21" s="25">
        <v>138</v>
      </c>
      <c r="S21" s="41">
        <f t="shared" si="4"/>
        <v>164.22</v>
      </c>
      <c r="U21" s="25">
        <v>80</v>
      </c>
      <c r="V21" s="37">
        <f t="shared" si="5"/>
        <v>95.199999999999989</v>
      </c>
      <c r="X21" s="26">
        <v>270</v>
      </c>
      <c r="Y21" s="24">
        <f t="shared" si="6"/>
        <v>321.3</v>
      </c>
      <c r="AA21" s="27">
        <f t="shared" si="18"/>
        <v>266.95666666666665</v>
      </c>
      <c r="AB21" s="24">
        <f>+AA21*C21</f>
        <v>266956.66666666663</v>
      </c>
      <c r="AC21" s="24">
        <f>+AB21*D21</f>
        <v>202887.06666666665</v>
      </c>
      <c r="AD21" s="68"/>
      <c r="AE21" s="70">
        <f t="shared" si="8"/>
        <v>129.78676321823679</v>
      </c>
      <c r="AF21" s="101">
        <f t="shared" si="9"/>
        <v>0.48617165039857951</v>
      </c>
      <c r="AG21" s="70">
        <f>+STDEVA(J21,M21,P21,Y21)</f>
        <v>91.889783255085973</v>
      </c>
      <c r="AH21" s="101">
        <f t="shared" si="10"/>
        <v>0.27382377750487508</v>
      </c>
      <c r="AI21" s="70">
        <f>+STDEVA(J21,M21,P21,S21,Y21)</f>
        <v>110.47917957696826</v>
      </c>
      <c r="AJ21" s="101">
        <f t="shared" si="11"/>
        <v>0.36666527134018434</v>
      </c>
      <c r="AK21" s="33"/>
      <c r="AL21" s="27">
        <f>+AVERAGE(Y21,S21,P21,M21,J21)</f>
        <v>301.30799999999999</v>
      </c>
      <c r="AM21" s="24">
        <f>+AL21*C21</f>
        <v>301308</v>
      </c>
      <c r="AN21" s="24">
        <f>+AM21*D21</f>
        <v>228994.08000000002</v>
      </c>
      <c r="AO21" s="17"/>
      <c r="AP21" s="27">
        <f>+AVERAGE(M21,P21,S21,Y21)</f>
        <v>272.51</v>
      </c>
      <c r="AQ21" s="24">
        <f>+AP21*C21</f>
        <v>272510</v>
      </c>
      <c r="AR21" s="24">
        <f>+AQ21*D21</f>
        <v>207107.6</v>
      </c>
      <c r="AT21" s="27">
        <f>+AVERAGE(Y21,P21,M21,J21)</f>
        <v>335.58</v>
      </c>
      <c r="AU21" s="24">
        <f>+AT21*C21</f>
        <v>335580</v>
      </c>
      <c r="AV21" s="24">
        <f>+AU21*D21</f>
        <v>255040.80000000002</v>
      </c>
      <c r="AX21" s="54">
        <f t="shared" si="19"/>
        <v>266.56</v>
      </c>
      <c r="AY21" s="33">
        <f>+AX21*C21</f>
        <v>266560</v>
      </c>
      <c r="AZ21" s="33">
        <f>+AY21*D21</f>
        <v>202585.60000000001</v>
      </c>
      <c r="BB21" s="54">
        <f t="shared" si="13"/>
        <v>416.5</v>
      </c>
      <c r="BC21" s="33">
        <f>+BB21*C21</f>
        <v>416500</v>
      </c>
      <c r="BD21" s="33">
        <f>+BC21*D21</f>
        <v>316540</v>
      </c>
      <c r="BF21" s="54">
        <f>+AVERAGE(Y21,P21,M21)</f>
        <v>308.60666666666663</v>
      </c>
      <c r="BG21" s="33">
        <f>+BF21*C21</f>
        <v>308606.66666666663</v>
      </c>
      <c r="BH21" s="33">
        <f>+BG21*D21</f>
        <v>234541.06666666665</v>
      </c>
      <c r="BJ21" s="59">
        <f t="shared" si="14"/>
        <v>129.78676321823679</v>
      </c>
      <c r="BK21" s="59">
        <f t="shared" si="15"/>
        <v>113.74308594371787</v>
      </c>
      <c r="BL21" s="59">
        <f t="shared" si="16"/>
        <v>116.88683758233853</v>
      </c>
      <c r="BN21" s="33">
        <v>321.3</v>
      </c>
      <c r="BO21" s="33">
        <f>+BN21*C21</f>
        <v>321300</v>
      </c>
      <c r="BP21" s="33">
        <f>+BO21*D21</f>
        <v>244188</v>
      </c>
      <c r="BR21" s="33">
        <v>357</v>
      </c>
      <c r="BS21" s="33">
        <f>+BR21*C21</f>
        <v>357000</v>
      </c>
      <c r="BT21" s="33">
        <f t="shared" si="17"/>
        <v>271320</v>
      </c>
    </row>
    <row r="22" spans="1:76" x14ac:dyDescent="0.25">
      <c r="E22" s="17"/>
      <c r="F22" s="17"/>
      <c r="G22" s="17"/>
      <c r="H22" s="17"/>
      <c r="I22" s="35">
        <f>+SUM(I4:I21)</f>
        <v>8566092</v>
      </c>
      <c r="L22" s="35">
        <f>+SUM(L4:L21)</f>
        <v>9451742</v>
      </c>
      <c r="O22" s="35">
        <f>+SUM(O4:O21)</f>
        <v>12366987</v>
      </c>
      <c r="R22" s="35">
        <f>+SUM(R4:R21)</f>
        <v>6098619</v>
      </c>
      <c r="U22" s="35">
        <f>+SUM(U4:U21)</f>
        <v>5646602.5999999996</v>
      </c>
      <c r="X22" s="35">
        <f>+SUM(X4:X21)</f>
        <v>4898402.5</v>
      </c>
      <c r="AA22" s="39">
        <f>+SUM(AA4:AA21)</f>
        <v>9609045.1301666666</v>
      </c>
      <c r="AB22" s="39">
        <f>+SUM(AB4:AB21)</f>
        <v>55745080.644166671</v>
      </c>
      <c r="AC22" s="39">
        <f>+SUM(AC4:AC21)</f>
        <v>48443476.267566681</v>
      </c>
      <c r="AD22" s="39"/>
      <c r="AF22" s="174">
        <f>+AVERAGE(AF4:AF21)</f>
        <v>0.78404639024007039</v>
      </c>
      <c r="AH22" s="98">
        <f>+AVERAGE(AH4:AH21)</f>
        <v>0.57853299732059493</v>
      </c>
      <c r="AI22" s="54"/>
      <c r="AK22" s="33"/>
      <c r="AL22" s="39">
        <f>+SUM(AL4:AL21)</f>
        <v>10866571.970043652</v>
      </c>
      <c r="AM22" s="39">
        <f>+SUM(AM4:AM21)</f>
        <v>63578372.805603169</v>
      </c>
      <c r="AN22" s="39">
        <f>+SUM(AN4:AN21)</f>
        <v>55004353.11143174</v>
      </c>
      <c r="AO22" s="39"/>
      <c r="AP22" s="39">
        <f>+SUM(AP4:AP21)</f>
        <v>9394565.2574666664</v>
      </c>
      <c r="AQ22" s="39">
        <f>+SUM(AQ4:AQ21)</f>
        <v>45139439.796499997</v>
      </c>
      <c r="AR22" s="39">
        <f>+SUM(AR4:AR21)</f>
        <v>40225171.875979997</v>
      </c>
      <c r="AS22" s="39"/>
      <c r="AT22" s="39">
        <f t="shared" ref="AT22:BD22" si="20">+SUM(AT4:AT21)</f>
        <v>12235288.029533334</v>
      </c>
      <c r="AU22" s="39">
        <f t="shared" si="20"/>
        <v>73312207.370499998</v>
      </c>
      <c r="AV22" s="39">
        <f t="shared" si="20"/>
        <v>63027557.03397999</v>
      </c>
      <c r="AW22" s="39"/>
      <c r="AX22" s="39">
        <f t="shared" si="20"/>
        <v>9159487.120000001</v>
      </c>
      <c r="AY22" s="39">
        <f t="shared" si="20"/>
        <v>40343299.079999998</v>
      </c>
      <c r="AZ22" s="39">
        <f t="shared" si="20"/>
        <v>35948771.879999995</v>
      </c>
      <c r="BA22" s="39"/>
      <c r="BB22" s="39">
        <f t="shared" si="20"/>
        <v>17863635.02</v>
      </c>
      <c r="BC22" s="39">
        <f t="shared" si="20"/>
        <v>134540924</v>
      </c>
      <c r="BD22" s="39">
        <f t="shared" si="20"/>
        <v>112661108</v>
      </c>
      <c r="BF22" s="39">
        <f>+SUM(BF4:BF21)</f>
        <v>10603969.929000001</v>
      </c>
      <c r="BG22" s="39">
        <f t="shared" ref="BG22:BH22" si="21">+SUM(BG4:BG21)</f>
        <v>50892864.544374995</v>
      </c>
      <c r="BH22" s="47">
        <f t="shared" si="21"/>
        <v>45161212.723724999</v>
      </c>
      <c r="BI22" s="47"/>
      <c r="BJ22" s="47">
        <f t="shared" ref="BJ22" si="22">+SUM(BJ4:BJ21)</f>
        <v>5879055.5355255967</v>
      </c>
      <c r="BK22" s="47">
        <f t="shared" ref="BK22" si="23">+SUM(BK4:BK21)</f>
        <v>6052460.9473972628</v>
      </c>
      <c r="BL22" s="47">
        <f t="shared" ref="BL22" si="24">+SUM(BL4:BL21)</f>
        <v>6789941.3467998412</v>
      </c>
      <c r="BO22" s="39">
        <f>+SUM(BO4:BO21)</f>
        <v>49475170.464999996</v>
      </c>
      <c r="BP22" s="39">
        <f>+SUM(BP4:BP21)</f>
        <v>43790332.453000002</v>
      </c>
      <c r="BQ22" s="39">
        <f t="shared" ref="BQ22:BT22" si="25">+SUM(BQ4:BQ21)</f>
        <v>0</v>
      </c>
      <c r="BR22" s="39">
        <f t="shared" si="25"/>
        <v>11772881.106000001</v>
      </c>
      <c r="BS22" s="39">
        <f t="shared" si="25"/>
        <v>57432489.835000001</v>
      </c>
      <c r="BT22" s="39">
        <f t="shared" si="25"/>
        <v>50645286.517000005</v>
      </c>
    </row>
    <row r="23" spans="1:76" x14ac:dyDescent="0.25">
      <c r="F23" s="34"/>
      <c r="G23" s="34"/>
      <c r="H23" s="34"/>
      <c r="M23" s="35"/>
      <c r="P23" s="35"/>
      <c r="S23" s="35"/>
      <c r="V23" s="35"/>
      <c r="Y23" s="35"/>
      <c r="AB23" s="35"/>
      <c r="AE23" s="39"/>
      <c r="AF23" s="39"/>
      <c r="AG23" s="47">
        <f>AC22+J38</f>
        <v>48443476.267566681</v>
      </c>
      <c r="AH23" s="47"/>
      <c r="AP23" s="39"/>
      <c r="AQ23" s="39"/>
      <c r="AR23" s="47" t="e">
        <f>+AN22+#REF!</f>
        <v>#REF!</v>
      </c>
      <c r="AS23" s="39"/>
      <c r="AT23" s="39"/>
      <c r="AU23" s="39"/>
      <c r="AV23" s="47" t="e">
        <f>+AR22+#REF!</f>
        <v>#REF!</v>
      </c>
      <c r="AW23" s="39"/>
      <c r="AX23" s="39"/>
      <c r="AY23" s="39"/>
      <c r="AZ23" s="47" t="e">
        <f>+AV22+#REF!</f>
        <v>#REF!</v>
      </c>
      <c r="BH23" s="47" t="e">
        <f>+BD22+#REF!</f>
        <v>#REF!</v>
      </c>
      <c r="BL23" s="47">
        <f>+BH22+J38</f>
        <v>45161212.723724999</v>
      </c>
      <c r="BT23" s="47" t="e">
        <f>+#REF!+BP22</f>
        <v>#REF!</v>
      </c>
      <c r="BX23" s="47" t="e">
        <f>+BT22+#REF!</f>
        <v>#REF!</v>
      </c>
    </row>
    <row r="24" spans="1:76" x14ac:dyDescent="0.25">
      <c r="F24" s="34"/>
      <c r="G24" s="34"/>
      <c r="H24" s="34"/>
      <c r="M24" s="35"/>
      <c r="P24" s="35"/>
      <c r="S24" s="35"/>
      <c r="V24" s="35"/>
      <c r="Y24" s="35"/>
      <c r="AB24" s="35"/>
      <c r="AE24" s="39"/>
      <c r="AF24" s="39"/>
      <c r="AG24" s="39"/>
      <c r="AH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</row>
    <row r="25" spans="1:76" x14ac:dyDescent="0.25">
      <c r="F25" s="34"/>
      <c r="G25" s="34"/>
      <c r="H25" s="34"/>
      <c r="M25" s="35"/>
      <c r="P25" s="35"/>
      <c r="S25" s="35"/>
      <c r="V25" s="35"/>
      <c r="Y25" s="35"/>
      <c r="AB25" s="35"/>
      <c r="AE25" s="39"/>
      <c r="AF25" s="39"/>
      <c r="AG25" s="39"/>
      <c r="AH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</row>
    <row r="26" spans="1:76" x14ac:dyDescent="0.25">
      <c r="B26" s="74" t="s">
        <v>107</v>
      </c>
      <c r="F26" s="34"/>
      <c r="G26" s="34"/>
      <c r="H26" s="34"/>
      <c r="J26" s="75" t="s">
        <v>108</v>
      </c>
      <c r="K26" s="76" t="s">
        <v>109</v>
      </c>
      <c r="M26" s="77" t="s">
        <v>110</v>
      </c>
      <c r="P26" s="35"/>
      <c r="S26" s="35"/>
      <c r="V26" s="35"/>
      <c r="Y26" s="35"/>
      <c r="AB26" s="35"/>
      <c r="AE26" s="39"/>
      <c r="AF26" s="39"/>
      <c r="AG26" s="39"/>
      <c r="AH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</row>
    <row r="27" spans="1:76" x14ac:dyDescent="0.25">
      <c r="F27" s="34"/>
      <c r="G27" s="34"/>
      <c r="H27" s="34"/>
      <c r="M27" s="35"/>
      <c r="P27" s="35"/>
      <c r="S27" s="35"/>
      <c r="V27" s="35"/>
      <c r="Y27" s="35"/>
      <c r="AB27" s="35"/>
      <c r="AE27" s="39"/>
      <c r="AF27" s="39"/>
      <c r="AG27" s="39"/>
      <c r="AH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</row>
    <row r="28" spans="1:76" x14ac:dyDescent="0.25">
      <c r="F28" s="34"/>
      <c r="G28" s="34"/>
      <c r="H28" s="34"/>
      <c r="M28" s="35"/>
      <c r="P28" s="35"/>
      <c r="S28" s="35"/>
      <c r="V28" s="35"/>
      <c r="Y28" s="35"/>
      <c r="AB28" s="35"/>
      <c r="AE28" s="39"/>
      <c r="AF28" s="39"/>
      <c r="AG28" s="39"/>
      <c r="AH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</row>
    <row r="29" spans="1:76" ht="19.5" x14ac:dyDescent="0.25">
      <c r="B29" s="176" t="s">
        <v>167</v>
      </c>
      <c r="F29" s="34"/>
      <c r="G29" s="34"/>
      <c r="H29" s="34"/>
      <c r="M29" s="35"/>
      <c r="P29" s="35"/>
      <c r="S29" s="35"/>
      <c r="V29" s="35"/>
      <c r="Y29" s="35"/>
      <c r="AB29" s="35"/>
      <c r="AE29" s="39"/>
      <c r="AF29" s="39"/>
      <c r="AG29" s="39"/>
      <c r="AH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</row>
    <row r="30" spans="1:76" ht="75" x14ac:dyDescent="0.25">
      <c r="A30" s="102" t="s">
        <v>37</v>
      </c>
      <c r="B30" s="102" t="s">
        <v>38</v>
      </c>
      <c r="C30" s="102" t="s">
        <v>39</v>
      </c>
      <c r="D30" s="102" t="s">
        <v>40</v>
      </c>
      <c r="E30" s="106" t="s">
        <v>171</v>
      </c>
      <c r="F30" s="103" t="str">
        <f>AG3</f>
        <v>DESVIACIÓN ESTÁNDAR SIN LOS DOS VALORES MÁS BAJOS</v>
      </c>
      <c r="G30" s="103" t="str">
        <f>AH3</f>
        <v>COEFICIENTE DE VARIACIÓN SIN LOS DOS VALORES MÁS BAJOS</v>
      </c>
      <c r="H30" s="106" t="s">
        <v>173</v>
      </c>
      <c r="I30" s="106" t="str">
        <f>AV3</f>
        <v>VALOR VIGENCIA 2024</v>
      </c>
      <c r="AT30" s="48" t="s">
        <v>88</v>
      </c>
      <c r="AU30" s="49">
        <v>284848138</v>
      </c>
    </row>
    <row r="31" spans="1:76" x14ac:dyDescent="0.25">
      <c r="A31" s="21">
        <v>1</v>
      </c>
      <c r="B31" s="113" t="s">
        <v>44</v>
      </c>
      <c r="C31" s="111">
        <v>40</v>
      </c>
      <c r="D31" s="22">
        <v>1</v>
      </c>
      <c r="E31" s="105">
        <f>AT4</f>
        <v>119330.81999999999</v>
      </c>
      <c r="F31" s="55">
        <f>AG4</f>
        <v>25431.428164025667</v>
      </c>
      <c r="G31" s="107">
        <f>AH4</f>
        <v>0.21311701506807434</v>
      </c>
      <c r="H31" s="55">
        <f>AU4</f>
        <v>4773232.8</v>
      </c>
      <c r="I31" s="55">
        <f>AV4</f>
        <v>4773232.8</v>
      </c>
      <c r="J31" s="33"/>
      <c r="K31" s="33">
        <v>1581698.7348736001</v>
      </c>
    </row>
    <row r="32" spans="1:76" x14ac:dyDescent="0.25">
      <c r="A32" s="21">
        <v>2</v>
      </c>
      <c r="B32" s="111" t="s">
        <v>45</v>
      </c>
      <c r="C32" s="111">
        <v>40000</v>
      </c>
      <c r="D32" s="22">
        <v>0.76</v>
      </c>
      <c r="E32" s="105">
        <f>AT5</f>
        <v>121.499</v>
      </c>
      <c r="F32" s="55">
        <f>AG5</f>
        <v>158.82064736677029</v>
      </c>
      <c r="G32" s="107">
        <f>AH5</f>
        <v>1.307176580603711</v>
      </c>
      <c r="H32" s="55">
        <f>AU5</f>
        <v>4859960</v>
      </c>
      <c r="I32" s="55">
        <f>AV5</f>
        <v>3693569.6</v>
      </c>
      <c r="J32" s="33"/>
      <c r="K32" s="33">
        <v>131652.67584000001</v>
      </c>
    </row>
    <row r="33" spans="1:11" x14ac:dyDescent="0.25">
      <c r="A33" s="21">
        <v>3</v>
      </c>
      <c r="B33" s="111" t="s">
        <v>46</v>
      </c>
      <c r="C33" s="111">
        <v>6000</v>
      </c>
      <c r="D33" s="22">
        <v>0.76</v>
      </c>
      <c r="E33" s="105">
        <f>AT6</f>
        <v>163.863</v>
      </c>
      <c r="F33" s="55">
        <f>AG6</f>
        <v>152.26513855771452</v>
      </c>
      <c r="G33" s="107">
        <f>AH6</f>
        <v>0.92922220731778693</v>
      </c>
      <c r="H33" s="55">
        <f>AU6</f>
        <v>983178</v>
      </c>
      <c r="I33" s="55">
        <f>AV6</f>
        <v>747215.28</v>
      </c>
      <c r="J33" s="33"/>
      <c r="K33" s="33">
        <v>19766.444006399997</v>
      </c>
    </row>
    <row r="34" spans="1:11" ht="25.5" x14ac:dyDescent="0.25">
      <c r="A34" s="21">
        <v>4</v>
      </c>
      <c r="B34" s="111" t="s">
        <v>47</v>
      </c>
      <c r="C34" s="111">
        <v>3</v>
      </c>
      <c r="D34" s="22">
        <v>0.76</v>
      </c>
      <c r="E34" s="105">
        <f>AT7</f>
        <v>847173.07850000006</v>
      </c>
      <c r="F34" s="55">
        <f>AG7</f>
        <v>730063.93101539195</v>
      </c>
      <c r="G34" s="107">
        <f>AH7</f>
        <v>0.8617647910956272</v>
      </c>
      <c r="H34" s="55">
        <f>AU7</f>
        <v>2541519.2355000004</v>
      </c>
      <c r="I34" s="55">
        <f>AV7</f>
        <v>1931554.6189800003</v>
      </c>
      <c r="J34" s="33"/>
    </row>
    <row r="35" spans="1:11" ht="25.5" x14ac:dyDescent="0.25">
      <c r="A35" s="21">
        <v>5</v>
      </c>
      <c r="B35" s="111" t="s">
        <v>48</v>
      </c>
      <c r="C35" s="111">
        <v>1000</v>
      </c>
      <c r="D35" s="22">
        <v>0.76</v>
      </c>
      <c r="E35" s="105">
        <f>AT8</f>
        <v>157.02049999999997</v>
      </c>
      <c r="F35" s="55">
        <f>AG8</f>
        <v>67.391597501097962</v>
      </c>
      <c r="G35" s="107">
        <f>AH8</f>
        <v>0.42918980324924438</v>
      </c>
      <c r="H35" s="55">
        <f>AU8</f>
        <v>157020.49999999997</v>
      </c>
      <c r="I35" s="55">
        <f>AV8</f>
        <v>119335.57999999997</v>
      </c>
      <c r="J35" s="33"/>
    </row>
    <row r="36" spans="1:11" ht="25.5" x14ac:dyDescent="0.25">
      <c r="A36" s="21">
        <v>6</v>
      </c>
      <c r="B36" s="111" t="s">
        <v>49</v>
      </c>
      <c r="C36" s="111">
        <v>2500</v>
      </c>
      <c r="D36" s="22">
        <v>0.76</v>
      </c>
      <c r="E36" s="105">
        <f>AT9</f>
        <v>174.45399999999998</v>
      </c>
      <c r="F36" s="55">
        <f>AG9</f>
        <v>67.979108040632596</v>
      </c>
      <c r="G36" s="107">
        <f>AH9</f>
        <v>0.38966780951214991</v>
      </c>
      <c r="H36" s="55">
        <f>AU9</f>
        <v>436134.99999999994</v>
      </c>
      <c r="I36" s="55">
        <f>AV9</f>
        <v>331462.59999999998</v>
      </c>
      <c r="J36" s="33"/>
    </row>
    <row r="37" spans="1:11" ht="25.5" x14ac:dyDescent="0.25">
      <c r="A37" s="21">
        <v>7</v>
      </c>
      <c r="B37" s="111" t="s">
        <v>50</v>
      </c>
      <c r="C37" s="111">
        <v>2000</v>
      </c>
      <c r="D37" s="22">
        <v>0.76</v>
      </c>
      <c r="E37" s="105">
        <f>AT10</f>
        <v>257.63499999999993</v>
      </c>
      <c r="F37" s="55">
        <f>AG10</f>
        <v>275.53125961494823</v>
      </c>
      <c r="G37" s="107">
        <f>AH10</f>
        <v>1.0694636195196627</v>
      </c>
      <c r="H37" s="55">
        <f>AU10</f>
        <v>515269.99999999988</v>
      </c>
      <c r="I37" s="55">
        <f>AV10</f>
        <v>391605.1999999999</v>
      </c>
      <c r="J37" s="33"/>
    </row>
    <row r="38" spans="1:11" x14ac:dyDescent="0.25">
      <c r="A38" s="21">
        <v>8</v>
      </c>
      <c r="B38" s="111" t="s">
        <v>51</v>
      </c>
      <c r="C38" s="111">
        <v>2000</v>
      </c>
      <c r="D38" s="22">
        <v>0.76</v>
      </c>
      <c r="E38" s="105">
        <f>AT11</f>
        <v>206.584</v>
      </c>
      <c r="F38" s="55">
        <f>AG11</f>
        <v>70.950350809562579</v>
      </c>
      <c r="G38" s="107">
        <f>AH11</f>
        <v>0.34344552728944439</v>
      </c>
      <c r="H38" s="55">
        <f>AU11</f>
        <v>413168</v>
      </c>
      <c r="I38" s="55">
        <f>AV11</f>
        <v>314007.67999999999</v>
      </c>
      <c r="J38" s="54"/>
    </row>
    <row r="39" spans="1:11" x14ac:dyDescent="0.25">
      <c r="A39" s="21">
        <v>9</v>
      </c>
      <c r="B39" s="114" t="s">
        <v>52</v>
      </c>
      <c r="C39" s="111">
        <v>3</v>
      </c>
      <c r="D39" s="22">
        <v>1</v>
      </c>
      <c r="E39" s="105">
        <f>AT12</f>
        <v>487852.4</v>
      </c>
      <c r="F39" s="108">
        <f>AG12</f>
        <v>263610.25741290872</v>
      </c>
      <c r="G39" s="107">
        <f>AH12</f>
        <v>0.54034838695660548</v>
      </c>
      <c r="H39" s="55">
        <f>AU12</f>
        <v>1463557.2000000002</v>
      </c>
      <c r="I39" s="55">
        <f>AV12</f>
        <v>1463557.2000000002</v>
      </c>
    </row>
    <row r="40" spans="1:11" x14ac:dyDescent="0.25">
      <c r="A40" s="21">
        <v>10</v>
      </c>
      <c r="B40" s="114" t="s">
        <v>53</v>
      </c>
      <c r="C40" s="111">
        <v>2</v>
      </c>
      <c r="D40" s="22">
        <v>1</v>
      </c>
      <c r="E40" s="105">
        <f>AT13</f>
        <v>654775.84199999995</v>
      </c>
      <c r="F40" s="108">
        <f>AG13</f>
        <v>297095.17444090993</v>
      </c>
      <c r="G40" s="107">
        <f>AH13</f>
        <v>0.45373569912634309</v>
      </c>
      <c r="H40" s="55">
        <f>AU13</f>
        <v>1309551.6839999999</v>
      </c>
      <c r="I40" s="55">
        <f>AV13</f>
        <v>1309551.6839999999</v>
      </c>
    </row>
    <row r="41" spans="1:11" ht="25.5" x14ac:dyDescent="0.25">
      <c r="A41" s="21">
        <v>11</v>
      </c>
      <c r="B41" s="112" t="s">
        <v>54</v>
      </c>
      <c r="C41" s="112">
        <v>20000</v>
      </c>
      <c r="D41" s="22">
        <v>0.76</v>
      </c>
      <c r="E41" s="105">
        <f>AT14</f>
        <v>20.015799999999995</v>
      </c>
      <c r="F41" s="108">
        <f>AG14</f>
        <v>8.7577855762744061</v>
      </c>
      <c r="G41" s="107">
        <f>AH14</f>
        <v>0.43754361935443042</v>
      </c>
      <c r="H41" s="55">
        <f>AU14</f>
        <v>400315.99999999988</v>
      </c>
      <c r="I41" s="55">
        <f>AV14</f>
        <v>304240.15999999992</v>
      </c>
    </row>
    <row r="42" spans="1:11" x14ac:dyDescent="0.25">
      <c r="A42" s="21">
        <v>12</v>
      </c>
      <c r="B42" s="112" t="s">
        <v>55</v>
      </c>
      <c r="C42" s="112">
        <v>20000</v>
      </c>
      <c r="D42" s="22">
        <v>0.76</v>
      </c>
      <c r="E42" s="105">
        <f>AT15</f>
        <v>756.43540000000007</v>
      </c>
      <c r="F42" s="108">
        <f>AG15</f>
        <v>224.51385965191534</v>
      </c>
      <c r="G42" s="107">
        <f>AH15</f>
        <v>0.29680506709748822</v>
      </c>
      <c r="H42" s="55">
        <f>AU15</f>
        <v>15128708.000000002</v>
      </c>
      <c r="I42" s="55">
        <f>AV15</f>
        <v>11497818.080000002</v>
      </c>
    </row>
    <row r="43" spans="1:11" ht="25.5" x14ac:dyDescent="0.25">
      <c r="A43" s="21">
        <v>13</v>
      </c>
      <c r="B43" s="113" t="s">
        <v>57</v>
      </c>
      <c r="C43" s="111">
        <v>18</v>
      </c>
      <c r="D43" s="22">
        <v>1</v>
      </c>
      <c r="E43" s="105">
        <f>AT16</f>
        <v>752975.35599999991</v>
      </c>
      <c r="F43" s="108">
        <f>AG16</f>
        <v>306178.92239336745</v>
      </c>
      <c r="G43" s="107">
        <f>AH16</f>
        <v>0.40662542266969953</v>
      </c>
      <c r="H43" s="55">
        <f>AU16</f>
        <v>13553556.407999998</v>
      </c>
      <c r="I43" s="55">
        <f>AV16</f>
        <v>13553556.407999998</v>
      </c>
    </row>
    <row r="44" spans="1:11" x14ac:dyDescent="0.25">
      <c r="A44" s="21">
        <v>14</v>
      </c>
      <c r="B44" s="113" t="s">
        <v>58</v>
      </c>
      <c r="C44" s="111">
        <v>1</v>
      </c>
      <c r="D44" s="22">
        <v>1</v>
      </c>
      <c r="E44" s="105">
        <f>AT17</f>
        <v>4403267.9879999999</v>
      </c>
      <c r="F44" s="108">
        <f>AG17</f>
        <v>1151150.4751619019</v>
      </c>
      <c r="G44" s="107">
        <f>AH17</f>
        <v>0.26143093681762575</v>
      </c>
      <c r="H44" s="55">
        <f>AU17</f>
        <v>4403267.9879999999</v>
      </c>
      <c r="I44" s="55">
        <f>AV17</f>
        <v>4403267.9879999999</v>
      </c>
    </row>
    <row r="45" spans="1:11" x14ac:dyDescent="0.25">
      <c r="A45" s="21">
        <v>15</v>
      </c>
      <c r="B45" s="111" t="s">
        <v>59</v>
      </c>
      <c r="C45" s="111">
        <v>1500</v>
      </c>
      <c r="D45" s="22">
        <v>0.76</v>
      </c>
      <c r="E45" s="105">
        <f>AT18</f>
        <v>11387.903333333334</v>
      </c>
      <c r="F45" s="108">
        <f>AG18</f>
        <v>15954.036350943712</v>
      </c>
      <c r="G45" s="107">
        <f>AH18</f>
        <v>1.4009634507736757</v>
      </c>
      <c r="H45" s="55">
        <f>AU18</f>
        <v>17081855</v>
      </c>
      <c r="I45" s="55">
        <f>AV18</f>
        <v>12982209.800000001</v>
      </c>
    </row>
    <row r="46" spans="1:11" x14ac:dyDescent="0.25">
      <c r="A46" s="21">
        <v>16</v>
      </c>
      <c r="B46" s="113" t="s">
        <v>60</v>
      </c>
      <c r="C46" s="111">
        <v>1</v>
      </c>
      <c r="D46" s="22">
        <v>1</v>
      </c>
      <c r="E46" s="105">
        <f>AT19</f>
        <v>3351639.76</v>
      </c>
      <c r="F46" s="108">
        <f>AG19</f>
        <v>1260298.8592261095</v>
      </c>
      <c r="G46" s="107">
        <f>AH19</f>
        <v>0.37602455796923401</v>
      </c>
      <c r="H46" s="55">
        <f>AU19</f>
        <v>3351639.76</v>
      </c>
      <c r="I46" s="55">
        <f>AV19</f>
        <v>3351639.76</v>
      </c>
    </row>
    <row r="47" spans="1:11" x14ac:dyDescent="0.25">
      <c r="A47" s="21">
        <v>17</v>
      </c>
      <c r="B47" s="113" t="s">
        <v>61</v>
      </c>
      <c r="C47" s="111">
        <v>1</v>
      </c>
      <c r="D47" s="22">
        <v>1</v>
      </c>
      <c r="E47" s="105">
        <f>AT20</f>
        <v>1604691.7949999999</v>
      </c>
      <c r="F47" s="108">
        <f>AG20</f>
        <v>679178.86971651553</v>
      </c>
      <c r="G47" s="107">
        <f>AH20</f>
        <v>0.42324567984502942</v>
      </c>
      <c r="H47" s="55">
        <f>AU20</f>
        <v>1604691.7949999999</v>
      </c>
      <c r="I47" s="55">
        <f>AV20</f>
        <v>1604691.7949999999</v>
      </c>
    </row>
    <row r="48" spans="1:11" x14ac:dyDescent="0.25">
      <c r="A48" s="21">
        <v>18</v>
      </c>
      <c r="B48" s="111" t="s">
        <v>62</v>
      </c>
      <c r="C48" s="111">
        <v>1000</v>
      </c>
      <c r="D48" s="22">
        <v>0.76</v>
      </c>
      <c r="E48" s="105">
        <f>AT21</f>
        <v>335.58</v>
      </c>
      <c r="F48" s="108">
        <f>AG21</f>
        <v>91.889783255085973</v>
      </c>
      <c r="G48" s="107">
        <f>AH21</f>
        <v>0.27382377750487508</v>
      </c>
      <c r="H48" s="55">
        <f>AU21</f>
        <v>335580</v>
      </c>
      <c r="I48" s="55">
        <f>AV21</f>
        <v>255040.80000000002</v>
      </c>
    </row>
    <row r="49" spans="1:41" x14ac:dyDescent="0.25">
      <c r="A49" s="109"/>
      <c r="B49" s="115" t="s">
        <v>131</v>
      </c>
      <c r="C49" s="117"/>
      <c r="D49" s="110"/>
      <c r="E49" s="116">
        <f>AT22</f>
        <v>12235288.029533334</v>
      </c>
      <c r="F49" s="110"/>
      <c r="G49" s="109"/>
      <c r="H49" s="116">
        <f>AU22</f>
        <v>73312207.370499998</v>
      </c>
      <c r="I49" s="116">
        <f>AV22</f>
        <v>63027557.03397999</v>
      </c>
    </row>
    <row r="50" spans="1:41" x14ac:dyDescent="0.25">
      <c r="B50" s="17" t="s">
        <v>130</v>
      </c>
      <c r="E50" s="39"/>
      <c r="F50" s="39"/>
      <c r="G50" s="47"/>
    </row>
    <row r="52" spans="1:41" x14ac:dyDescent="0.25">
      <c r="A52" s="73">
        <v>2024</v>
      </c>
      <c r="B52" s="118"/>
      <c r="C52"/>
      <c r="D52"/>
      <c r="E52"/>
      <c r="F52"/>
      <c r="G52"/>
      <c r="H52"/>
      <c r="I52"/>
      <c r="J52"/>
      <c r="K52"/>
    </row>
    <row r="53" spans="1:41" ht="38.25" x14ac:dyDescent="0.25">
      <c r="A53" s="19" t="s">
        <v>37</v>
      </c>
      <c r="B53" s="19" t="s">
        <v>74</v>
      </c>
      <c r="C53" s="19" t="s">
        <v>39</v>
      </c>
      <c r="D53" s="19" t="s">
        <v>40</v>
      </c>
      <c r="E53" s="20" t="s">
        <v>133</v>
      </c>
      <c r="F53" s="20" t="s">
        <v>134</v>
      </c>
      <c r="G53" s="20" t="s">
        <v>76</v>
      </c>
      <c r="H53" s="20" t="s">
        <v>77</v>
      </c>
      <c r="I53" s="19" t="s">
        <v>85</v>
      </c>
      <c r="J53" s="19" t="s">
        <v>86</v>
      </c>
      <c r="AN53" s="33"/>
      <c r="AO53" s="17"/>
    </row>
    <row r="54" spans="1:41" x14ac:dyDescent="0.25">
      <c r="A54" s="21">
        <v>20</v>
      </c>
      <c r="B54" s="43" t="s">
        <v>78</v>
      </c>
      <c r="C54" s="22">
        <v>2</v>
      </c>
      <c r="D54" s="22">
        <v>1</v>
      </c>
      <c r="E54" s="45">
        <v>1300000</v>
      </c>
      <c r="F54" s="119">
        <v>4</v>
      </c>
      <c r="G54" s="44">
        <v>5200000</v>
      </c>
      <c r="H54" s="45">
        <f>+G54*C54</f>
        <v>10400000</v>
      </c>
      <c r="I54" s="45">
        <f t="shared" ref="I54:I60" si="26">+H54*D54</f>
        <v>10400000</v>
      </c>
      <c r="J54" s="24">
        <f>+I54*1.19</f>
        <v>12376000</v>
      </c>
      <c r="AN54" s="33"/>
      <c r="AO54" s="17"/>
    </row>
    <row r="55" spans="1:41" x14ac:dyDescent="0.25">
      <c r="A55" s="21">
        <v>21</v>
      </c>
      <c r="B55" s="43" t="s">
        <v>79</v>
      </c>
      <c r="C55" s="22">
        <v>2</v>
      </c>
      <c r="D55" s="22">
        <v>1</v>
      </c>
      <c r="E55" s="45">
        <v>1300000</v>
      </c>
      <c r="F55" s="120">
        <v>3.5</v>
      </c>
      <c r="G55" s="44">
        <v>4550000</v>
      </c>
      <c r="H55" s="45">
        <f>+G55*C55</f>
        <v>9100000</v>
      </c>
      <c r="I55" s="45">
        <f t="shared" si="26"/>
        <v>9100000</v>
      </c>
      <c r="J55" s="24">
        <f t="shared" ref="J55:J60" si="27">+I55*1.19</f>
        <v>10829000</v>
      </c>
      <c r="AN55" s="33"/>
      <c r="AO55" s="17"/>
    </row>
    <row r="56" spans="1:41" x14ac:dyDescent="0.25">
      <c r="A56" s="21">
        <v>22</v>
      </c>
      <c r="B56" s="43" t="s">
        <v>80</v>
      </c>
      <c r="C56" s="22">
        <v>18</v>
      </c>
      <c r="D56" s="22">
        <v>1</v>
      </c>
      <c r="E56" s="45">
        <v>1300000</v>
      </c>
      <c r="F56" s="119">
        <v>2</v>
      </c>
      <c r="G56" s="44">
        <v>2600000</v>
      </c>
      <c r="H56" s="45">
        <f>+G56*C56</f>
        <v>46800000</v>
      </c>
      <c r="I56" s="45">
        <f t="shared" si="26"/>
        <v>46800000</v>
      </c>
      <c r="J56" s="24">
        <f t="shared" si="27"/>
        <v>55692000</v>
      </c>
      <c r="AN56" s="33"/>
      <c r="AO56" s="17"/>
    </row>
    <row r="57" spans="1:41" x14ac:dyDescent="0.25">
      <c r="A57" s="21">
        <v>23</v>
      </c>
      <c r="B57" s="43" t="s">
        <v>81</v>
      </c>
      <c r="C57" s="22">
        <v>24</v>
      </c>
      <c r="D57" s="22">
        <v>1</v>
      </c>
      <c r="E57" s="45">
        <v>1300000</v>
      </c>
      <c r="F57" s="119">
        <v>2</v>
      </c>
      <c r="G57" s="44">
        <v>2600000</v>
      </c>
      <c r="H57" s="45">
        <f>+G57*C57</f>
        <v>62400000</v>
      </c>
      <c r="I57" s="45">
        <f t="shared" si="26"/>
        <v>62400000</v>
      </c>
      <c r="J57" s="24">
        <f t="shared" si="27"/>
        <v>74256000</v>
      </c>
      <c r="AN57" s="33"/>
      <c r="AO57" s="17"/>
    </row>
    <row r="58" spans="1:41" x14ac:dyDescent="0.25">
      <c r="A58" s="21">
        <v>24</v>
      </c>
      <c r="B58" s="43" t="s">
        <v>82</v>
      </c>
      <c r="C58" s="22">
        <v>1</v>
      </c>
      <c r="D58" s="22">
        <v>1</v>
      </c>
      <c r="E58" s="45">
        <v>1300000</v>
      </c>
      <c r="F58" s="119">
        <v>2</v>
      </c>
      <c r="G58" s="44">
        <v>2600000</v>
      </c>
      <c r="H58" s="45">
        <f>+G58*C58</f>
        <v>2600000</v>
      </c>
      <c r="I58" s="45">
        <f t="shared" si="26"/>
        <v>2600000</v>
      </c>
      <c r="J58" s="24">
        <f t="shared" si="27"/>
        <v>3094000</v>
      </c>
      <c r="AN58" s="33"/>
      <c r="AO58" s="17"/>
    </row>
    <row r="59" spans="1:41" ht="63.75" x14ac:dyDescent="0.25">
      <c r="A59" s="21">
        <v>25</v>
      </c>
      <c r="B59" s="43" t="s">
        <v>83</v>
      </c>
      <c r="C59" s="22">
        <v>5</v>
      </c>
      <c r="D59" s="22">
        <v>1</v>
      </c>
      <c r="E59" s="45">
        <v>1300000</v>
      </c>
      <c r="F59" s="119">
        <v>3</v>
      </c>
      <c r="G59" s="44">
        <v>3900000</v>
      </c>
      <c r="H59" s="45">
        <f>+G59*C59</f>
        <v>19500000</v>
      </c>
      <c r="I59" s="45">
        <f t="shared" si="26"/>
        <v>19500000</v>
      </c>
      <c r="J59" s="24">
        <f t="shared" si="27"/>
        <v>23205000</v>
      </c>
      <c r="AN59" s="33"/>
      <c r="AO59" s="17"/>
    </row>
    <row r="60" spans="1:41" ht="25.5" x14ac:dyDescent="0.25">
      <c r="A60" s="21">
        <v>26</v>
      </c>
      <c r="B60" s="43" t="s">
        <v>84</v>
      </c>
      <c r="C60" s="22">
        <v>1</v>
      </c>
      <c r="D60" s="22">
        <v>1</v>
      </c>
      <c r="E60" s="45">
        <v>1300000</v>
      </c>
      <c r="F60" s="120">
        <v>3.5</v>
      </c>
      <c r="G60" s="44">
        <v>4550000</v>
      </c>
      <c r="H60" s="45">
        <f>+G60*C60</f>
        <v>4550000</v>
      </c>
      <c r="I60" s="45">
        <f t="shared" si="26"/>
        <v>4550000</v>
      </c>
      <c r="J60" s="24">
        <f t="shared" si="27"/>
        <v>5414500</v>
      </c>
      <c r="AN60" s="33"/>
      <c r="AO60" s="17"/>
    </row>
    <row r="61" spans="1:41" x14ac:dyDescent="0.25">
      <c r="A61"/>
      <c r="B61" s="17" t="s">
        <v>165</v>
      </c>
      <c r="C61"/>
      <c r="D61"/>
      <c r="E61"/>
      <c r="F61"/>
      <c r="G61"/>
      <c r="H61"/>
      <c r="I61"/>
      <c r="J61" s="62">
        <f>+SUM(J54:J60)</f>
        <v>184866500</v>
      </c>
    </row>
    <row r="62" spans="1:41" x14ac:dyDescent="0.25">
      <c r="A62" s="121"/>
      <c r="B62" s="118"/>
      <c r="C62"/>
      <c r="D62"/>
      <c r="E62"/>
      <c r="F62"/>
      <c r="G62"/>
      <c r="H62"/>
      <c r="I62"/>
      <c r="J62"/>
      <c r="K62"/>
    </row>
    <row r="63" spans="1:41" x14ac:dyDescent="0.25">
      <c r="B63" s="46" t="s">
        <v>136</v>
      </c>
      <c r="C63" s="126">
        <f>+J61+I49</f>
        <v>247894057.03397998</v>
      </c>
      <c r="F63" s="104"/>
    </row>
  </sheetData>
  <mergeCells count="7">
    <mergeCell ref="AB2:AC2"/>
    <mergeCell ref="J2:K2"/>
    <mergeCell ref="M2:N2"/>
    <mergeCell ref="P2:Q2"/>
    <mergeCell ref="S2:T2"/>
    <mergeCell ref="V2:W2"/>
    <mergeCell ref="Y2:Z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6B46-A585-4E2F-9E75-013DE9CAC3A4}">
  <dimension ref="A2:AS86"/>
  <sheetViews>
    <sheetView topLeftCell="A19" zoomScale="80" zoomScaleNormal="80" workbookViewId="0">
      <selection activeCell="AN23" sqref="AN23"/>
    </sheetView>
  </sheetViews>
  <sheetFormatPr baseColWidth="10" defaultRowHeight="15" x14ac:dyDescent="0.25"/>
  <cols>
    <col min="1" max="1" width="5.5703125" style="17" bestFit="1" customWidth="1"/>
    <col min="2" max="2" width="47.7109375" style="17" customWidth="1"/>
    <col min="3" max="3" width="16.42578125" style="17" bestFit="1" customWidth="1"/>
    <col min="4" max="4" width="14.85546875" style="17" bestFit="1" customWidth="1"/>
    <col min="5" max="5" width="16.85546875" style="17" customWidth="1"/>
    <col min="6" max="6" width="22.28515625" style="17" customWidth="1"/>
    <col min="7" max="7" width="20" style="17" customWidth="1"/>
    <col min="8" max="8" width="15.28515625" style="17" bestFit="1" customWidth="1"/>
    <col min="9" max="9" width="19.140625" style="17" bestFit="1" customWidth="1"/>
    <col min="10" max="10" width="16.28515625" style="17" bestFit="1" customWidth="1"/>
    <col min="11" max="12" width="23.5703125" style="17" bestFit="1" customWidth="1"/>
    <col min="13" max="13" width="13.7109375" style="17" customWidth="1"/>
    <col min="14" max="14" width="11.42578125" style="17"/>
    <col min="15" max="15" width="14.140625" style="17" bestFit="1" customWidth="1"/>
    <col min="16" max="16" width="15" style="17" customWidth="1"/>
    <col min="17" max="17" width="11.42578125" style="17" customWidth="1"/>
    <col min="18" max="18" width="15.140625" style="17" customWidth="1"/>
    <col min="19" max="19" width="13.42578125" style="17" customWidth="1"/>
    <col min="20" max="20" width="11.42578125" style="17" customWidth="1"/>
    <col min="21" max="21" width="14.85546875" style="17" customWidth="1"/>
    <col min="22" max="22" width="13.5703125" style="17" customWidth="1"/>
    <col min="23" max="23" width="11.42578125" style="17" customWidth="1"/>
    <col min="24" max="24" width="14.42578125" style="17" customWidth="1"/>
    <col min="25" max="25" width="15.28515625" style="17" customWidth="1"/>
    <col min="26" max="26" width="11.42578125" style="17" customWidth="1"/>
    <col min="27" max="28" width="14.140625" style="17" customWidth="1"/>
    <col min="29" max="29" width="14.85546875" style="17" bestFit="1" customWidth="1"/>
    <col min="30" max="30" width="14.140625" style="17" customWidth="1"/>
    <col min="31" max="31" width="20.140625" style="17" customWidth="1"/>
    <col min="32" max="34" width="22.5703125" style="17" customWidth="1"/>
    <col min="35" max="35" width="22.140625" style="17" customWidth="1"/>
    <col min="36" max="36" width="21.5703125" style="17" customWidth="1"/>
    <col min="37" max="37" width="22.42578125" style="17" customWidth="1"/>
    <col min="38" max="38" width="19.7109375" style="17" customWidth="1"/>
    <col min="39" max="39" width="14.85546875" style="17" bestFit="1" customWidth="1"/>
    <col min="40" max="40" width="15.42578125" style="17" customWidth="1"/>
    <col min="41" max="16384" width="11.42578125" style="17"/>
  </cols>
  <sheetData>
    <row r="2" spans="1:40" ht="18" x14ac:dyDescent="0.25">
      <c r="D2" s="18"/>
      <c r="F2" s="66" t="s">
        <v>30</v>
      </c>
      <c r="G2" s="67"/>
      <c r="I2" s="66" t="s">
        <v>31</v>
      </c>
      <c r="J2" s="67"/>
      <c r="L2" s="66" t="s">
        <v>32</v>
      </c>
      <c r="M2" s="67"/>
      <c r="O2" s="66" t="s">
        <v>33</v>
      </c>
      <c r="P2" s="67"/>
      <c r="R2" s="66" t="s">
        <v>34</v>
      </c>
      <c r="S2" s="67"/>
      <c r="U2" s="66" t="s">
        <v>35</v>
      </c>
      <c r="V2" s="67"/>
      <c r="X2" s="65" t="s">
        <v>36</v>
      </c>
      <c r="Y2" s="65"/>
    </row>
    <row r="3" spans="1:40" ht="60" x14ac:dyDescent="0.25">
      <c r="A3" s="19" t="s">
        <v>37</v>
      </c>
      <c r="B3" s="19" t="s">
        <v>38</v>
      </c>
      <c r="C3" s="19" t="s">
        <v>39</v>
      </c>
      <c r="D3" s="19" t="s">
        <v>63</v>
      </c>
      <c r="F3" s="20" t="s">
        <v>41</v>
      </c>
      <c r="G3" s="20" t="s">
        <v>42</v>
      </c>
      <c r="I3" s="20" t="s">
        <v>41</v>
      </c>
      <c r="J3" s="20" t="s">
        <v>42</v>
      </c>
      <c r="L3" s="20" t="s">
        <v>41</v>
      </c>
      <c r="M3" s="20" t="s">
        <v>42</v>
      </c>
      <c r="O3" s="20" t="s">
        <v>41</v>
      </c>
      <c r="P3" s="20" t="s">
        <v>42</v>
      </c>
      <c r="R3" s="20" t="s">
        <v>41</v>
      </c>
      <c r="S3" s="20" t="s">
        <v>42</v>
      </c>
      <c r="U3" s="20" t="s">
        <v>41</v>
      </c>
      <c r="V3" s="20" t="s">
        <v>42</v>
      </c>
      <c r="X3" s="20" t="s">
        <v>41</v>
      </c>
      <c r="Y3" s="20" t="s">
        <v>42</v>
      </c>
      <c r="AA3" s="79" t="s">
        <v>43</v>
      </c>
      <c r="AB3" s="80" t="s">
        <v>68</v>
      </c>
      <c r="AC3" s="80" t="s">
        <v>169</v>
      </c>
      <c r="AE3" s="72" t="s">
        <v>106</v>
      </c>
      <c r="AF3" s="72" t="s">
        <v>125</v>
      </c>
      <c r="AG3" s="123"/>
      <c r="AH3" s="100" t="s">
        <v>105</v>
      </c>
      <c r="AJ3" s="99" t="s">
        <v>72</v>
      </c>
      <c r="AK3" s="99" t="s">
        <v>104</v>
      </c>
      <c r="AL3" s="99" t="s">
        <v>73</v>
      </c>
      <c r="AM3" s="99" t="s">
        <v>168</v>
      </c>
      <c r="AN3" s="99" t="s">
        <v>125</v>
      </c>
    </row>
    <row r="4" spans="1:40" x14ac:dyDescent="0.25">
      <c r="A4" s="31">
        <v>1</v>
      </c>
      <c r="B4" s="50" t="s">
        <v>44</v>
      </c>
      <c r="C4" s="50">
        <v>40</v>
      </c>
      <c r="D4" s="22">
        <v>4</v>
      </c>
      <c r="F4" s="23">
        <v>87745</v>
      </c>
      <c r="G4" s="55">
        <f>+F4*1.19</f>
        <v>104416.54999999999</v>
      </c>
      <c r="I4" s="56">
        <v>138000</v>
      </c>
      <c r="J4" s="55">
        <f>+I4*1.19</f>
        <v>164220</v>
      </c>
      <c r="L4" s="56">
        <v>59245</v>
      </c>
      <c r="M4" s="41">
        <f>+L4*1.19</f>
        <v>70501.55</v>
      </c>
      <c r="O4" s="56">
        <v>80700</v>
      </c>
      <c r="P4" s="55">
        <f>+O4*1.19</f>
        <v>96033</v>
      </c>
      <c r="R4" s="56">
        <v>116035.2</v>
      </c>
      <c r="S4" s="55">
        <f>+R4*1.19</f>
        <v>138081.88799999998</v>
      </c>
      <c r="U4" s="56">
        <v>30250</v>
      </c>
      <c r="V4" s="37">
        <f>+U4*1.19</f>
        <v>35997.5</v>
      </c>
      <c r="X4" s="57">
        <v>133000</v>
      </c>
      <c r="Y4" s="55">
        <f>+X4*1.19</f>
        <v>158270</v>
      </c>
      <c r="AA4" s="54">
        <f>+AVERAGE(G4,J4,M4,P4,S4,V4,Y4)</f>
        <v>109645.78399999999</v>
      </c>
      <c r="AB4" s="54">
        <f>+AA4*C4</f>
        <v>4385831.3599999994</v>
      </c>
      <c r="AC4" s="54">
        <f>+AB4*D4</f>
        <v>17543325.439999998</v>
      </c>
      <c r="AD4" s="54"/>
      <c r="AE4" s="33">
        <f>+STDEVA(G4,J4,M4,P4,S4,V4,Y4)</f>
        <v>47117.344669765662</v>
      </c>
      <c r="AF4" s="98">
        <f>+AE4/AA4</f>
        <v>0.42972326842740866</v>
      </c>
      <c r="AG4" s="98"/>
      <c r="AH4" s="33">
        <f>+STDEVA(G4,J4,M4,P4,S4,Y4)</f>
        <v>37395.677968293392</v>
      </c>
      <c r="AJ4" s="54">
        <f>+AVERAGE(G4,J4,P4,S4,Y4)</f>
        <v>132204.28759999998</v>
      </c>
      <c r="AK4" s="33">
        <f>+STDEVA(G4,J4,P4,S4,Y4)</f>
        <v>30901.026671574658</v>
      </c>
      <c r="AL4" s="33">
        <f>+AJ4*C4</f>
        <v>5288171.5039999988</v>
      </c>
      <c r="AM4" s="33">
        <f>+AL4*D4</f>
        <v>21152686.015999995</v>
      </c>
      <c r="AN4" s="98">
        <f>+AK4/AJ4</f>
        <v>0.23373694781419982</v>
      </c>
    </row>
    <row r="5" spans="1:40" x14ac:dyDescent="0.25">
      <c r="A5" s="31">
        <v>2</v>
      </c>
      <c r="B5" s="22" t="s">
        <v>45</v>
      </c>
      <c r="C5" s="22">
        <v>40000</v>
      </c>
      <c r="D5" s="22">
        <v>4</v>
      </c>
      <c r="F5" s="23">
        <v>17.548999999999999</v>
      </c>
      <c r="G5" s="41">
        <f t="shared" ref="G5:G17" si="0">+F5*1.19</f>
        <v>20.883309999999998</v>
      </c>
      <c r="I5" s="56">
        <v>35</v>
      </c>
      <c r="J5" s="55">
        <f t="shared" ref="J5:J22" si="1">+I5*1.19</f>
        <v>41.65</v>
      </c>
      <c r="L5" s="56">
        <v>45</v>
      </c>
      <c r="M5" s="55">
        <f t="shared" ref="M5:M22" si="2">+L5*1.19</f>
        <v>53.55</v>
      </c>
      <c r="O5" s="56">
        <v>10</v>
      </c>
      <c r="P5" s="37">
        <f t="shared" ref="P5:P22" si="3">+O5*1.19</f>
        <v>11.899999999999999</v>
      </c>
      <c r="R5" s="56">
        <v>86.4</v>
      </c>
      <c r="S5" s="55">
        <f t="shared" ref="S5:S22" si="4">+R5*1.19</f>
        <v>102.816</v>
      </c>
      <c r="U5" s="56">
        <v>24.2</v>
      </c>
      <c r="V5" s="55">
        <f t="shared" ref="V5:V22" si="5">+U5*1.19</f>
        <v>28.797999999999998</v>
      </c>
      <c r="X5" s="57">
        <v>378.00000000000006</v>
      </c>
      <c r="Y5" s="55">
        <f t="shared" ref="Y5:Y22" si="6">+X5*1.19</f>
        <v>449.82000000000005</v>
      </c>
      <c r="AA5" s="54">
        <f>+AVERAGE(G5,J5,M5,P5,S5,V5,Y5)</f>
        <v>101.34533</v>
      </c>
      <c r="AB5" s="54">
        <f>+AA5*C5</f>
        <v>4053813.2</v>
      </c>
      <c r="AC5" s="54">
        <f>+AB5*D5</f>
        <v>16215252.800000001</v>
      </c>
      <c r="AD5" s="54"/>
      <c r="AE5" s="33">
        <f>+STDEVA(G5,J5,M5,P5,S5,V5,Y5)</f>
        <v>156.53668542703434</v>
      </c>
      <c r="AF5" s="98">
        <f>+AE5/AA5</f>
        <v>1.5445870611604338</v>
      </c>
      <c r="AG5" s="98"/>
      <c r="AH5" s="33">
        <f>+STDEVA(G5,J5,M5,S5,V5,Y5)</f>
        <v>165.94488547202459</v>
      </c>
      <c r="AJ5" s="54">
        <f>+AVERAGE(J5,M5,S5,V5,Y5)</f>
        <v>135.32679999999999</v>
      </c>
      <c r="AK5" s="33">
        <f>+STDEVA(J5,M5,S5,V5,Y5)</f>
        <v>178.02675225145239</v>
      </c>
      <c r="AL5" s="33">
        <f>+AJ5*C5</f>
        <v>5413072</v>
      </c>
      <c r="AM5" s="33">
        <f>+AL5*D5</f>
        <v>21652288</v>
      </c>
      <c r="AN5" s="98">
        <f>+AK5/AJ5</f>
        <v>1.3155321211426887</v>
      </c>
    </row>
    <row r="6" spans="1:40" x14ac:dyDescent="0.25">
      <c r="A6" s="31">
        <v>3</v>
      </c>
      <c r="B6" s="22" t="s">
        <v>46</v>
      </c>
      <c r="C6" s="22">
        <v>6000</v>
      </c>
      <c r="D6" s="22">
        <v>4</v>
      </c>
      <c r="F6" s="23">
        <v>37.605000000000004</v>
      </c>
      <c r="G6" s="41">
        <f t="shared" si="0"/>
        <v>44.749950000000005</v>
      </c>
      <c r="I6" s="56">
        <v>44</v>
      </c>
      <c r="J6" s="55">
        <f t="shared" si="1"/>
        <v>52.36</v>
      </c>
      <c r="L6" s="56">
        <v>45</v>
      </c>
      <c r="M6" s="55">
        <f t="shared" si="2"/>
        <v>53.55</v>
      </c>
      <c r="O6" s="56">
        <v>26</v>
      </c>
      <c r="P6" s="37">
        <f t="shared" si="3"/>
        <v>30.939999999999998</v>
      </c>
      <c r="R6" s="56">
        <v>86.4</v>
      </c>
      <c r="S6" s="55">
        <f t="shared" si="4"/>
        <v>102.816</v>
      </c>
      <c r="U6" s="56">
        <v>211.2</v>
      </c>
      <c r="V6" s="55">
        <f t="shared" si="5"/>
        <v>251.32799999999997</v>
      </c>
      <c r="X6" s="57">
        <v>378.00000000000006</v>
      </c>
      <c r="Y6" s="55">
        <f t="shared" si="6"/>
        <v>449.82000000000005</v>
      </c>
      <c r="AA6" s="54">
        <f>+AVERAGE(G6,J6,M6,P6,S6,V6,Y6)</f>
        <v>140.79485</v>
      </c>
      <c r="AB6" s="54">
        <f>+AA6*C6</f>
        <v>844769.1</v>
      </c>
      <c r="AC6" s="54">
        <f>+AB6*D6</f>
        <v>3379076.4</v>
      </c>
      <c r="AD6" s="54"/>
      <c r="AE6" s="33">
        <f>+STDEVA(G6,J6,M6,P6,S6,V6,Y6)</f>
        <v>155.928194510243</v>
      </c>
      <c r="AF6" s="98">
        <f>+AE6/AA6</f>
        <v>1.1074850714372224</v>
      </c>
      <c r="AG6" s="98"/>
      <c r="AH6" s="33">
        <f>+STDEVA(G6,J6,M6,S6,V6,Y6)</f>
        <v>162.35896955783019</v>
      </c>
      <c r="AJ6" s="54">
        <f>+AVERAGE(J6,M6,S6,V6,Y6)</f>
        <v>181.97480000000002</v>
      </c>
      <c r="AK6" s="33">
        <f>+STDEVA(J6,M6,S6,V6,Y6)</f>
        <v>170.37455705356948</v>
      </c>
      <c r="AL6" s="33">
        <f>+AJ6*C6</f>
        <v>1091848.8</v>
      </c>
      <c r="AM6" s="33">
        <f>+AL6*D6</f>
        <v>4367395.2</v>
      </c>
      <c r="AN6" s="98">
        <f>+AK6/AJ6</f>
        <v>0.93625357496515704</v>
      </c>
    </row>
    <row r="7" spans="1:40" ht="25.5" x14ac:dyDescent="0.25">
      <c r="A7" s="31">
        <v>4</v>
      </c>
      <c r="B7" s="22" t="s">
        <v>47</v>
      </c>
      <c r="C7" s="22">
        <v>3</v>
      </c>
      <c r="D7" s="22">
        <v>4</v>
      </c>
      <c r="F7" s="23">
        <v>131.61750000000001</v>
      </c>
      <c r="G7" s="37">
        <f t="shared" si="0"/>
        <v>156.62482499999999</v>
      </c>
      <c r="I7" s="56">
        <v>188599.99999999997</v>
      </c>
      <c r="J7" s="55">
        <f t="shared" si="1"/>
        <v>224433.99999999994</v>
      </c>
      <c r="L7" s="56">
        <v>70466</v>
      </c>
      <c r="M7" s="41">
        <f t="shared" si="2"/>
        <v>83854.539999999994</v>
      </c>
      <c r="O7" s="56">
        <v>93400</v>
      </c>
      <c r="P7" s="55">
        <f t="shared" si="3"/>
        <v>111146</v>
      </c>
      <c r="R7" s="56">
        <v>859064.4</v>
      </c>
      <c r="S7" s="55">
        <f t="shared" si="4"/>
        <v>1022286.6359999999</v>
      </c>
      <c r="U7" s="56">
        <v>1430000</v>
      </c>
      <c r="V7" s="55">
        <f t="shared" si="5"/>
        <v>1701700</v>
      </c>
      <c r="X7" s="57">
        <v>1456000.0000000002</v>
      </c>
      <c r="Y7" s="55">
        <f t="shared" si="6"/>
        <v>1732640.0000000002</v>
      </c>
      <c r="AA7" s="54">
        <f>+AVERAGE(G7,J7,M7,P7,S7,V7,Y7)</f>
        <v>696602.54297499999</v>
      </c>
      <c r="AB7" s="54">
        <f>+AA7*C7</f>
        <v>2089807.6289249999</v>
      </c>
      <c r="AC7" s="54">
        <f>+AB7*D7</f>
        <v>8359230.5156999994</v>
      </c>
      <c r="AD7" s="54"/>
      <c r="AE7" s="33">
        <f>+STDEVA(G7,J7,M7,P7,S7,V7,Y7)</f>
        <v>776301.50582441094</v>
      </c>
      <c r="AF7" s="98">
        <f>+AE7/AA7</f>
        <v>1.1144109559362767</v>
      </c>
      <c r="AG7" s="98"/>
      <c r="AH7" s="33">
        <f>+STDEVA(J7,M7,P7,S7,V7,Y7)</f>
        <v>781023.40100824018</v>
      </c>
      <c r="AJ7" s="54">
        <f>+AVERAGE(J7,P7,S7,V7,Y7)</f>
        <v>958441.32719999994</v>
      </c>
      <c r="AK7" s="33">
        <f>+STDEVA(J7,P7,S7,V7,Y7)</f>
        <v>776622.39714543871</v>
      </c>
      <c r="AL7" s="33">
        <f>+AJ7*C7</f>
        <v>2875323.9815999996</v>
      </c>
      <c r="AM7" s="33">
        <f>+AL7*D7</f>
        <v>11501295.926399998</v>
      </c>
      <c r="AN7" s="98">
        <f>+AK7/AJ7</f>
        <v>0.81029727653154437</v>
      </c>
    </row>
    <row r="8" spans="1:40" ht="25.5" x14ac:dyDescent="0.25">
      <c r="A8" s="31">
        <v>5</v>
      </c>
      <c r="B8" s="22" t="s">
        <v>48</v>
      </c>
      <c r="C8" s="22">
        <v>1000</v>
      </c>
      <c r="D8" s="22">
        <v>4</v>
      </c>
      <c r="F8" s="23">
        <v>250.7</v>
      </c>
      <c r="G8" s="55">
        <f t="shared" si="0"/>
        <v>298.33299999999997</v>
      </c>
      <c r="I8" s="56">
        <v>131</v>
      </c>
      <c r="J8" s="55">
        <f t="shared" si="1"/>
        <v>155.88999999999999</v>
      </c>
      <c r="L8" s="56">
        <v>26</v>
      </c>
      <c r="M8" s="41">
        <f t="shared" si="2"/>
        <v>30.939999999999998</v>
      </c>
      <c r="O8" s="56">
        <v>90</v>
      </c>
      <c r="P8" s="55">
        <f t="shared" si="3"/>
        <v>107.1</v>
      </c>
      <c r="R8" s="56">
        <v>123.12</v>
      </c>
      <c r="S8" s="55">
        <f t="shared" si="4"/>
        <v>146.5128</v>
      </c>
      <c r="U8" s="56">
        <v>24.2</v>
      </c>
      <c r="V8" s="37">
        <f t="shared" si="5"/>
        <v>28.797999999999998</v>
      </c>
      <c r="X8" s="57">
        <v>133</v>
      </c>
      <c r="Y8" s="55">
        <f t="shared" si="6"/>
        <v>158.26999999999998</v>
      </c>
      <c r="AA8" s="54">
        <f>+AVERAGE(G8,J8,M8,P8,S8,V8,Y8)</f>
        <v>132.26339999999999</v>
      </c>
      <c r="AB8" s="54">
        <f>+AA8*C8</f>
        <v>132263.4</v>
      </c>
      <c r="AC8" s="54">
        <f>+AB8*D8</f>
        <v>529053.6</v>
      </c>
      <c r="AD8" s="54"/>
      <c r="AE8" s="33">
        <f>+STDEVA(G8,J8,M8,P8,S8,V8,Y8)</f>
        <v>91.852630156426869</v>
      </c>
      <c r="AF8" s="98">
        <f>+AE8/AA8</f>
        <v>0.69446748047023499</v>
      </c>
      <c r="AG8" s="98"/>
      <c r="AH8" s="33">
        <f>+STDEVA(G8,J8,M8,P8,S8,Y8)</f>
        <v>87.329449217584525</v>
      </c>
      <c r="AJ8" s="54">
        <f>+AVERAGE(G8,J8,P8,S8,Y8)</f>
        <v>173.22116</v>
      </c>
      <c r="AK8" s="33">
        <f>+STDEVA(G8,J8,P8,S8,Y8)</f>
        <v>72.907858105474531</v>
      </c>
      <c r="AL8" s="33">
        <f>+AJ8*C8</f>
        <v>173221.16</v>
      </c>
      <c r="AM8" s="33">
        <f>+AL8*D8</f>
        <v>692884.64</v>
      </c>
      <c r="AN8" s="98">
        <f>+AK8/AJ8</f>
        <v>0.42089464188713743</v>
      </c>
    </row>
    <row r="9" spans="1:40" ht="25.5" x14ac:dyDescent="0.25">
      <c r="A9" s="31">
        <v>6</v>
      </c>
      <c r="B9" s="22" t="s">
        <v>49</v>
      </c>
      <c r="C9" s="22">
        <v>2500</v>
      </c>
      <c r="D9" s="22">
        <v>4</v>
      </c>
      <c r="F9" s="23">
        <v>250.7</v>
      </c>
      <c r="G9" s="55">
        <f t="shared" si="0"/>
        <v>298.33299999999997</v>
      </c>
      <c r="I9" s="56">
        <v>189</v>
      </c>
      <c r="J9" s="55">
        <f t="shared" si="1"/>
        <v>224.91</v>
      </c>
      <c r="L9" s="56">
        <v>62</v>
      </c>
      <c r="M9" s="41">
        <f t="shared" si="2"/>
        <v>73.78</v>
      </c>
      <c r="O9" s="56">
        <v>99</v>
      </c>
      <c r="P9" s="55">
        <f t="shared" si="3"/>
        <v>117.80999999999999</v>
      </c>
      <c r="R9" s="56">
        <v>165.24</v>
      </c>
      <c r="S9" s="55">
        <f t="shared" si="4"/>
        <v>196.63560000000001</v>
      </c>
      <c r="U9" s="56">
        <v>24.2</v>
      </c>
      <c r="V9" s="37">
        <f t="shared" si="5"/>
        <v>28.797999999999998</v>
      </c>
      <c r="X9" s="57">
        <v>106.4</v>
      </c>
      <c r="Y9" s="55">
        <f t="shared" si="6"/>
        <v>126.616</v>
      </c>
      <c r="AA9" s="54">
        <f>+AVERAGE(G9,J9,M9,P9,S9,V9,Y9)</f>
        <v>152.4118</v>
      </c>
      <c r="AB9" s="54">
        <f>+AA9*C9</f>
        <v>381029.5</v>
      </c>
      <c r="AC9" s="54">
        <f>+AB9*D9</f>
        <v>1524118</v>
      </c>
      <c r="AD9" s="54"/>
      <c r="AE9" s="33">
        <f>+STDEVA(G9,J9,M9,P9,S9,V9,Y9)</f>
        <v>92.94332456007804</v>
      </c>
      <c r="AF9" s="98">
        <f>+AE9/AA9</f>
        <v>0.60981711757277346</v>
      </c>
      <c r="AG9" s="98"/>
      <c r="AH9" s="33">
        <f>+STDEVA(G9,J9,M9,P9,S9,Y9)</f>
        <v>82.466562120049659</v>
      </c>
      <c r="AJ9" s="54">
        <f>+AVERAGE(G9,J9,P9,S9,Y9)</f>
        <v>192.86091999999999</v>
      </c>
      <c r="AK9" s="33">
        <f>+STDEVA(G9,J9,P9,S9,Y9)</f>
        <v>74.476139494686507</v>
      </c>
      <c r="AL9" s="33">
        <f>+AJ9*C9</f>
        <v>482152.3</v>
      </c>
      <c r="AM9" s="33">
        <f>+AL9*D9</f>
        <v>1928609.2</v>
      </c>
      <c r="AN9" s="98">
        <f>+AK9/AJ9</f>
        <v>0.38616501204436082</v>
      </c>
    </row>
    <row r="10" spans="1:40" ht="25.5" x14ac:dyDescent="0.25">
      <c r="A10" s="31">
        <v>7</v>
      </c>
      <c r="B10" s="22" t="s">
        <v>50</v>
      </c>
      <c r="C10" s="22">
        <v>2000</v>
      </c>
      <c r="D10" s="22">
        <v>4</v>
      </c>
      <c r="F10" s="23">
        <v>188.02500000000001</v>
      </c>
      <c r="G10" s="55">
        <f t="shared" si="0"/>
        <v>223.74975000000001</v>
      </c>
      <c r="I10" s="56">
        <v>143</v>
      </c>
      <c r="J10" s="55">
        <f t="shared" si="1"/>
        <v>170.17</v>
      </c>
      <c r="L10" s="56">
        <v>59</v>
      </c>
      <c r="M10" s="41">
        <f t="shared" si="2"/>
        <v>70.209999999999994</v>
      </c>
      <c r="O10" s="56">
        <v>94</v>
      </c>
      <c r="P10" s="55">
        <f t="shared" si="3"/>
        <v>111.86</v>
      </c>
      <c r="R10" s="56">
        <v>79.92</v>
      </c>
      <c r="S10" s="55">
        <f t="shared" si="4"/>
        <v>95.104799999999997</v>
      </c>
      <c r="U10" s="56">
        <v>24.2</v>
      </c>
      <c r="V10" s="37">
        <f t="shared" si="5"/>
        <v>28.797999999999998</v>
      </c>
      <c r="X10" s="57">
        <v>700.00000000000011</v>
      </c>
      <c r="Y10" s="55">
        <f t="shared" si="6"/>
        <v>833.00000000000011</v>
      </c>
      <c r="AA10" s="54">
        <f>+AVERAGE(G10,J10,M10,P10,S10,V10,Y10)</f>
        <v>218.98465000000002</v>
      </c>
      <c r="AB10" s="54">
        <f>+AA10*C10</f>
        <v>437969.30000000005</v>
      </c>
      <c r="AC10" s="54">
        <f>+AB10*D10</f>
        <v>1751877.2000000002</v>
      </c>
      <c r="AD10" s="54"/>
      <c r="AE10" s="33">
        <f>+STDEVA(G10,J10,M10,P10,S10,V10,Y10)</f>
        <v>278.25264073701834</v>
      </c>
      <c r="AF10" s="98">
        <f>+AE10/AA10</f>
        <v>1.2706490648409299</v>
      </c>
      <c r="AG10" s="98"/>
      <c r="AH10" s="33">
        <f>+STDEVA(G10,J10,M10,P10,S10,Y10)</f>
        <v>290.63645228526269</v>
      </c>
      <c r="AJ10" s="54">
        <f>+AVERAGE(G10,J10,P10,S10,Y10)</f>
        <v>286.77691000000004</v>
      </c>
      <c r="AK10" s="33">
        <f>+STDEVA(G10,J10,P10,S10,Y10)</f>
        <v>309.54134681911324</v>
      </c>
      <c r="AL10" s="33">
        <f>+AJ10*C10</f>
        <v>573553.82000000007</v>
      </c>
      <c r="AM10" s="33">
        <f>+AL10*D10</f>
        <v>2294215.2800000003</v>
      </c>
      <c r="AN10" s="98">
        <f>+AK10/AJ10</f>
        <v>1.0793802988501173</v>
      </c>
    </row>
    <row r="11" spans="1:40" x14ac:dyDescent="0.25">
      <c r="A11" s="31">
        <v>8</v>
      </c>
      <c r="B11" s="22" t="s">
        <v>51</v>
      </c>
      <c r="C11" s="22">
        <v>2000</v>
      </c>
      <c r="D11" s="22">
        <v>4</v>
      </c>
      <c r="F11" s="23">
        <v>117.82900000000001</v>
      </c>
      <c r="G11" s="41">
        <f t="shared" si="0"/>
        <v>140.21651</v>
      </c>
      <c r="I11" s="56">
        <v>143</v>
      </c>
      <c r="J11" s="55">
        <f t="shared" si="1"/>
        <v>170.17</v>
      </c>
      <c r="L11" s="56">
        <v>156</v>
      </c>
      <c r="M11" s="55">
        <f t="shared" si="2"/>
        <v>185.64</v>
      </c>
      <c r="O11" s="56">
        <v>150</v>
      </c>
      <c r="P11" s="55">
        <f t="shared" si="3"/>
        <v>178.5</v>
      </c>
      <c r="R11" s="56">
        <v>86.4</v>
      </c>
      <c r="S11" s="37">
        <f t="shared" si="4"/>
        <v>102.816</v>
      </c>
      <c r="U11" s="56">
        <v>211.2</v>
      </c>
      <c r="V11" s="55">
        <f t="shared" si="5"/>
        <v>251.32799999999997</v>
      </c>
      <c r="X11" s="57">
        <v>302.40000000000003</v>
      </c>
      <c r="Y11" s="55">
        <f t="shared" si="6"/>
        <v>359.85600000000005</v>
      </c>
      <c r="AA11" s="54">
        <f>+AVERAGE(G11,J11,M11,P11,S11,V11,Y11)</f>
        <v>198.36093</v>
      </c>
      <c r="AB11" s="54">
        <f>+AA11*C11</f>
        <v>396721.86</v>
      </c>
      <c r="AC11" s="54">
        <f>+AB11*D11</f>
        <v>1586887.44</v>
      </c>
      <c r="AD11" s="54"/>
      <c r="AE11" s="33">
        <f>+STDEVA(G11,J11,M11,P11,S11,V11,Y11)</f>
        <v>84.406538549378055</v>
      </c>
      <c r="AF11" s="98">
        <f>+AE11/AA11</f>
        <v>0.42551997789775464</v>
      </c>
      <c r="AG11" s="98"/>
      <c r="AH11" s="33">
        <f>+STDEVA(G11,J11,M11,P11,V11,Y11)</f>
        <v>80.120504960761238</v>
      </c>
      <c r="AJ11" s="54">
        <f>+AVERAGE(J11,M11,P11,V11,Y11)</f>
        <v>229.09879999999998</v>
      </c>
      <c r="AK11" s="33">
        <f>+STDEVA(J11,M11,P11,V11,Y11)</f>
        <v>79.864090824349901</v>
      </c>
      <c r="AL11" s="33">
        <f>+AJ11*C11</f>
        <v>458197.6</v>
      </c>
      <c r="AM11" s="33">
        <f>+AL11*D11</f>
        <v>1832790.4</v>
      </c>
      <c r="AN11" s="98">
        <f>+AK11/AJ11</f>
        <v>0.34860108749740248</v>
      </c>
    </row>
    <row r="12" spans="1:40" x14ac:dyDescent="0.25">
      <c r="A12" s="31">
        <v>9</v>
      </c>
      <c r="B12" s="51" t="s">
        <v>52</v>
      </c>
      <c r="C12" s="50">
        <v>3</v>
      </c>
      <c r="D12" s="22">
        <v>4</v>
      </c>
      <c r="F12" s="23">
        <v>401120.00000000006</v>
      </c>
      <c r="G12" s="55">
        <f t="shared" si="0"/>
        <v>477332.80000000005</v>
      </c>
      <c r="I12" s="56">
        <v>402499.99999999994</v>
      </c>
      <c r="J12" s="55">
        <f t="shared" si="1"/>
        <v>478974.99999999988</v>
      </c>
      <c r="L12" s="56">
        <v>305836</v>
      </c>
      <c r="M12" s="55">
        <f t="shared" si="2"/>
        <v>363944.83999999997</v>
      </c>
      <c r="O12" s="56">
        <v>845500</v>
      </c>
      <c r="P12" s="55">
        <f t="shared" si="3"/>
        <v>1006145</v>
      </c>
      <c r="R12" s="56">
        <v>57271.320000000007</v>
      </c>
      <c r="S12" s="37">
        <f t="shared" si="4"/>
        <v>68152.870800000004</v>
      </c>
      <c r="U12" s="56">
        <v>397540</v>
      </c>
      <c r="V12" s="55">
        <f t="shared" si="5"/>
        <v>473072.6</v>
      </c>
      <c r="X12" s="57">
        <v>210000.00000000003</v>
      </c>
      <c r="Y12" s="41">
        <f t="shared" si="6"/>
        <v>249900.00000000003</v>
      </c>
      <c r="AA12" s="54">
        <f>+AVERAGE(G12,J12,M12,P12,S12,V12,Y12)</f>
        <v>445360.44439999998</v>
      </c>
      <c r="AB12" s="54">
        <f>+AA12*C12</f>
        <v>1336081.3332</v>
      </c>
      <c r="AC12" s="54">
        <f>+AB12*D12</f>
        <v>5344325.3328</v>
      </c>
      <c r="AD12" s="54"/>
      <c r="AE12" s="33">
        <f>+STDEVA(G12,J12,M12,P12,S12,V12,Y12)</f>
        <v>289976.51938974549</v>
      </c>
      <c r="AF12" s="98">
        <f>+AE12/AA12</f>
        <v>0.65110524079076815</v>
      </c>
      <c r="AG12" s="98"/>
      <c r="AH12" s="33">
        <f>+STDEVA(G12,J12,M12,P12,V12,Y12)</f>
        <v>260199.33830544207</v>
      </c>
      <c r="AJ12" s="54">
        <f>+AVERAGE(G12,J12,M12,P12,V12)</f>
        <v>559894.04799999995</v>
      </c>
      <c r="AK12" s="33">
        <f>+STDEVA(G12,J12,M12,P12,V12)</f>
        <v>254184.09672425134</v>
      </c>
      <c r="AL12" s="33">
        <f>+AJ12*C12</f>
        <v>1679682.1439999999</v>
      </c>
      <c r="AM12" s="33">
        <f>+AL12*D12</f>
        <v>6718728.5759999994</v>
      </c>
      <c r="AN12" s="98">
        <f>+AK12/AJ12</f>
        <v>0.45398606688573223</v>
      </c>
    </row>
    <row r="13" spans="1:40" x14ac:dyDescent="0.25">
      <c r="A13" s="31">
        <v>10</v>
      </c>
      <c r="B13" s="51" t="s">
        <v>53</v>
      </c>
      <c r="C13" s="50">
        <v>2</v>
      </c>
      <c r="D13" s="22">
        <v>4</v>
      </c>
      <c r="F13" s="23">
        <v>438724.99999999994</v>
      </c>
      <c r="G13" s="55">
        <f t="shared" si="0"/>
        <v>522082.74999999988</v>
      </c>
      <c r="I13" s="56">
        <v>402499.99999999994</v>
      </c>
      <c r="J13" s="55">
        <f t="shared" si="1"/>
        <v>478974.99999999988</v>
      </c>
      <c r="L13" s="56">
        <v>305836</v>
      </c>
      <c r="M13" s="41">
        <f t="shared" si="2"/>
        <v>363944.83999999997</v>
      </c>
      <c r="O13" s="56">
        <v>817300</v>
      </c>
      <c r="P13" s="55">
        <f t="shared" si="3"/>
        <v>972587</v>
      </c>
      <c r="R13" s="56">
        <v>951003.72000000009</v>
      </c>
      <c r="S13" s="55">
        <f t="shared" si="4"/>
        <v>1131694.4268</v>
      </c>
      <c r="U13" s="56">
        <v>397540</v>
      </c>
      <c r="V13" s="55">
        <f t="shared" si="5"/>
        <v>473072.6</v>
      </c>
      <c r="X13" s="57">
        <v>182000.00000000003</v>
      </c>
      <c r="Y13" s="37">
        <f t="shared" si="6"/>
        <v>216580.00000000003</v>
      </c>
      <c r="AA13" s="54">
        <f>+AVERAGE(G13,J13,M13,P13,S13,V13,Y13)</f>
        <v>594133.80240000004</v>
      </c>
      <c r="AB13" s="54">
        <f>+AA13*C13</f>
        <v>1188267.6048000001</v>
      </c>
      <c r="AC13" s="54">
        <f>+AB13*D13</f>
        <v>4753070.4192000004</v>
      </c>
      <c r="AD13" s="54"/>
      <c r="AE13" s="33">
        <f>+STDEVA(G13,J13,M13,P13,S13,V13,Y13)</f>
        <v>331873.67035393475</v>
      </c>
      <c r="AF13" s="98">
        <f>+AE13/AA13</f>
        <v>0.55858405802419087</v>
      </c>
      <c r="AG13" s="98"/>
      <c r="AH13" s="33">
        <f>+STDEVA(G13,J13,M13,P13,S13,V13)</f>
        <v>314495.18675299466</v>
      </c>
      <c r="AJ13" s="54">
        <f>+AVERAGE(G13,J13,P13,S13,V13)</f>
        <v>715682.35535999993</v>
      </c>
      <c r="AK13" s="33">
        <f>+STDEVA(G13,J13,P13,S13,V13)</f>
        <v>312824.51658010954</v>
      </c>
      <c r="AL13" s="33">
        <f>+AJ13*C13</f>
        <v>1431364.7107199999</v>
      </c>
      <c r="AM13" s="33">
        <f>+AL13*D13</f>
        <v>5725458.8428799994</v>
      </c>
      <c r="AN13" s="98">
        <f>+AK13/AJ13</f>
        <v>0.43709966333144218</v>
      </c>
    </row>
    <row r="14" spans="1:40" ht="25.5" x14ac:dyDescent="0.25">
      <c r="A14" s="31">
        <v>11</v>
      </c>
      <c r="B14" s="28" t="s">
        <v>54</v>
      </c>
      <c r="C14" s="28">
        <v>20000</v>
      </c>
      <c r="D14" s="22">
        <v>4</v>
      </c>
      <c r="F14" s="23">
        <v>17.548999999999999</v>
      </c>
      <c r="G14" s="55">
        <f t="shared" si="0"/>
        <v>20.883309999999998</v>
      </c>
      <c r="I14" s="56">
        <v>29</v>
      </c>
      <c r="J14" s="55">
        <f t="shared" si="1"/>
        <v>34.51</v>
      </c>
      <c r="L14" s="56">
        <v>26</v>
      </c>
      <c r="M14" s="55">
        <f t="shared" si="2"/>
        <v>30.939999999999998</v>
      </c>
      <c r="O14" s="56">
        <v>14</v>
      </c>
      <c r="P14" s="55">
        <f t="shared" si="3"/>
        <v>16.66</v>
      </c>
      <c r="R14" s="56">
        <v>7.5600000000000005</v>
      </c>
      <c r="S14" s="55">
        <f t="shared" si="4"/>
        <v>8.9963999999999995</v>
      </c>
      <c r="U14" s="56">
        <v>2.8600000000000003</v>
      </c>
      <c r="V14" s="37">
        <f t="shared" si="5"/>
        <v>3.4034000000000004</v>
      </c>
      <c r="X14" s="57">
        <v>5.6000000000000005</v>
      </c>
      <c r="Y14" s="41">
        <f t="shared" si="6"/>
        <v>6.6640000000000006</v>
      </c>
      <c r="AA14" s="54">
        <f>+AVERAGE(G14,J14,M14,P14,S14,V14,Y14)</f>
        <v>17.436730000000001</v>
      </c>
      <c r="AB14" s="54">
        <f>+AA14*C14</f>
        <v>348734.60000000003</v>
      </c>
      <c r="AC14" s="54">
        <f>+AB14*D14</f>
        <v>1394938.4000000001</v>
      </c>
      <c r="AD14" s="54"/>
      <c r="AE14" s="33">
        <f>+STDEVA(G14,J14,M14,P14,S14,V14,Y14)</f>
        <v>12.045346995318701</v>
      </c>
      <c r="AF14" s="98">
        <f>+AE14/AA14</f>
        <v>0.6908030918250555</v>
      </c>
      <c r="AG14" s="98"/>
      <c r="AH14" s="33">
        <f>+STDEVA(G14,J14,M14,P14,S14,Y14)</f>
        <v>11.3206498287164</v>
      </c>
      <c r="AJ14" s="54">
        <f>+AVERAGE(G14,J14,M14,P14,S14)</f>
        <v>22.397941999999997</v>
      </c>
      <c r="AK14" s="33">
        <f>+STDEVA(G14,J14,M14,P14,S14)</f>
        <v>10.42218931342259</v>
      </c>
      <c r="AL14" s="33">
        <f>+AJ14*C14</f>
        <v>447958.83999999991</v>
      </c>
      <c r="AM14" s="33">
        <f>+AL14*D14</f>
        <v>1791835.3599999996</v>
      </c>
      <c r="AN14" s="98">
        <f>+AK14/AJ14</f>
        <v>0.46531905982355842</v>
      </c>
    </row>
    <row r="15" spans="1:40" x14ac:dyDescent="0.25">
      <c r="A15" s="31">
        <v>12</v>
      </c>
      <c r="B15" s="28" t="s">
        <v>55</v>
      </c>
      <c r="C15" s="28">
        <v>20000</v>
      </c>
      <c r="D15" s="22">
        <v>4</v>
      </c>
      <c r="F15" s="23">
        <v>754.60699999999997</v>
      </c>
      <c r="G15" s="55">
        <f t="shared" si="0"/>
        <v>897.98232999999993</v>
      </c>
      <c r="I15" s="56">
        <v>403</v>
      </c>
      <c r="J15" s="55">
        <f t="shared" si="1"/>
        <v>479.57</v>
      </c>
      <c r="L15" s="56">
        <v>890</v>
      </c>
      <c r="M15" s="55">
        <f t="shared" si="2"/>
        <v>1059.0999999999999</v>
      </c>
      <c r="O15" s="56">
        <v>590</v>
      </c>
      <c r="P15" s="55">
        <f t="shared" si="3"/>
        <v>702.1</v>
      </c>
      <c r="R15" s="56">
        <v>835.92000000000007</v>
      </c>
      <c r="S15" s="55">
        <f t="shared" si="4"/>
        <v>994.74480000000005</v>
      </c>
      <c r="U15" s="56">
        <v>228.8</v>
      </c>
      <c r="V15" s="41">
        <f t="shared" si="5"/>
        <v>272.27199999999999</v>
      </c>
      <c r="X15" s="57">
        <v>105.00000000000001</v>
      </c>
      <c r="Y15" s="37">
        <f t="shared" si="6"/>
        <v>124.95000000000002</v>
      </c>
      <c r="AA15" s="54">
        <f>+AVERAGE(G15,J15,M15,P15,S15,V15,Y15)</f>
        <v>647.24558999999988</v>
      </c>
      <c r="AB15" s="54">
        <f>+AA15*C15</f>
        <v>12944911.799999997</v>
      </c>
      <c r="AC15" s="54">
        <f>+AB15*D15</f>
        <v>51779647.199999988</v>
      </c>
      <c r="AD15" s="54"/>
      <c r="AE15" s="33">
        <f>+STDEVA(G15,J15,M15,P15,S15,V15,Y15)</f>
        <v>364.63924068457322</v>
      </c>
      <c r="AF15" s="98">
        <f>+AE15/AA15</f>
        <v>0.56337076114272677</v>
      </c>
      <c r="AG15" s="98"/>
      <c r="AH15" s="33">
        <f>+STDEVA(G15,J15,M15,P15,S15,V15)</f>
        <v>309.68129569815574</v>
      </c>
      <c r="AJ15" s="54">
        <f>+AVERAGE(G15,J15,M15,P15,S15)</f>
        <v>826.6994259999999</v>
      </c>
      <c r="AK15" s="33">
        <f>+STDEVA(G15,J15,M15,P15,S15)</f>
        <v>236.3019161346464</v>
      </c>
      <c r="AL15" s="33">
        <f>+AJ15*C15</f>
        <v>16533988.519999998</v>
      </c>
      <c r="AM15" s="33">
        <f>+AL15*D15</f>
        <v>66135954.079999991</v>
      </c>
      <c r="AN15" s="98">
        <f>+AK15/AJ15</f>
        <v>0.28583776485487294</v>
      </c>
    </row>
    <row r="16" spans="1:40" x14ac:dyDescent="0.25">
      <c r="A16" s="31">
        <v>13</v>
      </c>
      <c r="B16" s="52" t="s">
        <v>56</v>
      </c>
      <c r="C16" s="52">
        <v>58</v>
      </c>
      <c r="D16" s="22">
        <v>1</v>
      </c>
      <c r="F16" s="23">
        <v>263235</v>
      </c>
      <c r="G16" s="55">
        <f t="shared" si="0"/>
        <v>313249.64999999997</v>
      </c>
      <c r="I16" s="56">
        <v>287500</v>
      </c>
      <c r="J16" s="55">
        <f t="shared" si="1"/>
        <v>342125</v>
      </c>
      <c r="L16" s="56">
        <v>209717</v>
      </c>
      <c r="M16" s="55">
        <f t="shared" si="2"/>
        <v>249563.22999999998</v>
      </c>
      <c r="O16" s="56">
        <v>269200</v>
      </c>
      <c r="P16" s="55">
        <f t="shared" si="3"/>
        <v>320348</v>
      </c>
      <c r="R16" s="56">
        <v>202500</v>
      </c>
      <c r="S16" s="41">
        <f t="shared" si="4"/>
        <v>240975</v>
      </c>
      <c r="U16" s="56">
        <v>500500</v>
      </c>
      <c r="V16" s="55">
        <f t="shared" si="5"/>
        <v>595595</v>
      </c>
      <c r="X16" s="57">
        <v>168000.00000000003</v>
      </c>
      <c r="Y16" s="37">
        <f t="shared" si="6"/>
        <v>199920.00000000003</v>
      </c>
      <c r="AA16" s="54">
        <f>+AVERAGE(G16,J16,M16,P16,S16,V16,Y16)</f>
        <v>323110.83999999997</v>
      </c>
      <c r="AB16" s="54">
        <f>+AA16*C16</f>
        <v>18740428.719999999</v>
      </c>
      <c r="AC16" s="54">
        <f>+AB16*D16</f>
        <v>18740428.719999999</v>
      </c>
      <c r="AD16" s="54"/>
      <c r="AE16" s="33">
        <f>+STDEVA(G16,J16,M16,P16,S16,V16,Y16)</f>
        <v>130413.16542283115</v>
      </c>
      <c r="AF16" s="98">
        <f>+AE16/AA16</f>
        <v>0.40361742559559799</v>
      </c>
      <c r="AG16" s="98"/>
      <c r="AH16" s="33">
        <f>+STDEVA(G16,J16,M16,P16,S16,V16)</f>
        <v>129877.05626763061</v>
      </c>
      <c r="AJ16" s="54">
        <f>+AVERAGE(G16,J16,M16,P16,V16)</f>
        <v>364176.17599999998</v>
      </c>
      <c r="AK16" s="33">
        <f>+STDEVA(G16,J16,M16,P16,V16)</f>
        <v>133876.31784341153</v>
      </c>
      <c r="AL16" s="33">
        <f>+AJ16*C16</f>
        <v>21122218.207999997</v>
      </c>
      <c r="AM16" s="33">
        <f>+AL16*D16</f>
        <v>21122218.207999997</v>
      </c>
      <c r="AN16" s="98">
        <f>+AK16/AJ16</f>
        <v>0.36761415673553433</v>
      </c>
    </row>
    <row r="17" spans="1:45" ht="25.5" x14ac:dyDescent="0.25">
      <c r="A17" s="31">
        <v>14</v>
      </c>
      <c r="B17" s="50" t="s">
        <v>57</v>
      </c>
      <c r="C17" s="50">
        <v>18</v>
      </c>
      <c r="D17" s="22">
        <v>4</v>
      </c>
      <c r="F17" s="23">
        <v>1002800</v>
      </c>
      <c r="G17" s="24">
        <f t="shared" si="0"/>
        <v>1193332</v>
      </c>
      <c r="I17" s="25">
        <v>436999.99999999994</v>
      </c>
      <c r="J17" s="24">
        <f t="shared" si="1"/>
        <v>520029.99999999988</v>
      </c>
      <c r="L17" s="25">
        <v>436909</v>
      </c>
      <c r="M17" s="24">
        <f t="shared" si="2"/>
        <v>519921.70999999996</v>
      </c>
      <c r="O17" s="25">
        <v>630900</v>
      </c>
      <c r="P17" s="24">
        <f t="shared" si="3"/>
        <v>750771</v>
      </c>
      <c r="R17" s="25">
        <v>951003.72000000009</v>
      </c>
      <c r="S17" s="24">
        <f t="shared" si="4"/>
        <v>1131694.4268</v>
      </c>
      <c r="U17" s="25">
        <v>397540</v>
      </c>
      <c r="V17" s="41">
        <f t="shared" si="5"/>
        <v>473072.6</v>
      </c>
      <c r="X17" s="32">
        <v>366800.00000000006</v>
      </c>
      <c r="Y17" s="37">
        <f t="shared" si="6"/>
        <v>436492.00000000006</v>
      </c>
      <c r="AA17" s="54">
        <f>+AVERAGE(G17,J17,M17,P17,S17,V17,Y17)</f>
        <v>717901.96239999996</v>
      </c>
      <c r="AB17" s="54">
        <f>+AA17*C17</f>
        <v>12922235.323199999</v>
      </c>
      <c r="AC17" s="54">
        <f>+AB17*D17</f>
        <v>51688941.292799994</v>
      </c>
      <c r="AD17" s="54"/>
      <c r="AE17" s="33">
        <f>+STDEVA(G17,J17,M17,P17,S17,V17,Y17)</f>
        <v>320369.7799301268</v>
      </c>
      <c r="AF17" s="98">
        <f>+AE17/AA17</f>
        <v>0.44625839837393211</v>
      </c>
      <c r="AG17" s="98"/>
      <c r="AH17" s="33">
        <f>+STDEVA(G17,J17,M17,P17,S17,V17)</f>
        <v>323552.34937401913</v>
      </c>
      <c r="AJ17" s="54">
        <f>+AVERAGE(G17,J17,M17,P17,S17)</f>
        <v>823149.82736</v>
      </c>
      <c r="AK17" s="33">
        <f>+STDEVA(G17,J17,M17,P17,S17)</f>
        <v>324538.99085106695</v>
      </c>
      <c r="AL17" s="33">
        <f>+AJ17*C17</f>
        <v>14816696.892480001</v>
      </c>
      <c r="AM17" s="33">
        <f>+AL17*D17</f>
        <v>59266787.569920003</v>
      </c>
      <c r="AN17" s="98">
        <f>+AK17/AJ17</f>
        <v>0.39426478639001356</v>
      </c>
    </row>
    <row r="18" spans="1:45" x14ac:dyDescent="0.25">
      <c r="A18" s="31">
        <v>15</v>
      </c>
      <c r="B18" s="50" t="s">
        <v>58</v>
      </c>
      <c r="C18" s="50">
        <v>1</v>
      </c>
      <c r="D18" s="22">
        <v>4</v>
      </c>
      <c r="F18" s="23">
        <v>5014000</v>
      </c>
      <c r="G18" s="24">
        <f>+F18*1.19</f>
        <v>5966660</v>
      </c>
      <c r="I18" s="25">
        <v>3679999.9999999995</v>
      </c>
      <c r="J18" s="24">
        <f t="shared" si="1"/>
        <v>4379199.9999999991</v>
      </c>
      <c r="L18" s="25">
        <v>4349856</v>
      </c>
      <c r="M18" s="24">
        <f t="shared" si="2"/>
        <v>5176328.6399999997</v>
      </c>
      <c r="O18" s="25">
        <v>4812000</v>
      </c>
      <c r="P18" s="24">
        <f t="shared" si="3"/>
        <v>5726280</v>
      </c>
      <c r="R18" s="25">
        <v>2454467.4000000004</v>
      </c>
      <c r="S18" s="24">
        <f t="shared" si="4"/>
        <v>2920816.2060000002</v>
      </c>
      <c r="U18" s="25">
        <v>660000</v>
      </c>
      <c r="V18" s="37">
        <f t="shared" si="5"/>
        <v>785400</v>
      </c>
      <c r="X18" s="32">
        <v>2100000</v>
      </c>
      <c r="Y18" s="41">
        <f t="shared" si="6"/>
        <v>2499000</v>
      </c>
      <c r="AA18" s="54">
        <f>+AVERAGE(G18,J18,M18,P18,S18,V18,Y18)</f>
        <v>3921954.9780000001</v>
      </c>
      <c r="AB18" s="54">
        <f>+AA18*C18</f>
        <v>3921954.9780000001</v>
      </c>
      <c r="AC18" s="54">
        <f>+AB18*D18</f>
        <v>15687819.912</v>
      </c>
      <c r="AD18" s="54"/>
      <c r="AE18" s="33">
        <f>+STDEVA(G18,J18,M18,P18,S18,V18,Y18)</f>
        <v>1918505.9528316818</v>
      </c>
      <c r="AF18" s="98">
        <f>+AE18/AA18</f>
        <v>0.4891708251607782</v>
      </c>
      <c r="AG18" s="98"/>
      <c r="AH18" s="33">
        <f>+STDEVA(G18,J18,M18,P18,S18,Y18)</f>
        <v>1456458.0708887067</v>
      </c>
      <c r="AJ18" s="54">
        <f>+AVERAGE(G18,J18,M18,P18,S18)</f>
        <v>4833856.9692000002</v>
      </c>
      <c r="AK18" s="33">
        <f>+STDEVA(G18,J18,M18,P18,S18)</f>
        <v>1231197.2160360238</v>
      </c>
      <c r="AL18" s="33">
        <f>+AJ18*C18</f>
        <v>4833856.9692000002</v>
      </c>
      <c r="AM18" s="33">
        <f>+AL18*D18</f>
        <v>19335427.876800001</v>
      </c>
      <c r="AN18" s="98">
        <f>+AK18/AJ18</f>
        <v>0.25470286437535739</v>
      </c>
    </row>
    <row r="19" spans="1:45" x14ac:dyDescent="0.25">
      <c r="A19" s="31">
        <v>16</v>
      </c>
      <c r="B19" s="28" t="s">
        <v>59</v>
      </c>
      <c r="C19" s="22">
        <v>1500</v>
      </c>
      <c r="D19" s="22">
        <v>4</v>
      </c>
      <c r="I19" s="25">
        <v>889</v>
      </c>
      <c r="J19" s="24">
        <f t="shared" si="1"/>
        <v>1057.9099999999999</v>
      </c>
      <c r="L19" s="25">
        <v>44</v>
      </c>
      <c r="M19" s="37">
        <f t="shared" si="2"/>
        <v>52.36</v>
      </c>
      <c r="O19" s="25">
        <v>710</v>
      </c>
      <c r="P19" s="41">
        <f t="shared" si="3"/>
        <v>844.9</v>
      </c>
      <c r="R19" s="25">
        <v>3170.88</v>
      </c>
      <c r="S19" s="24">
        <f t="shared" si="4"/>
        <v>3773.3472000000002</v>
      </c>
      <c r="U19" s="29">
        <v>0</v>
      </c>
      <c r="V19" s="30">
        <f t="shared" si="5"/>
        <v>0</v>
      </c>
      <c r="X19" s="32">
        <v>28000.000000000004</v>
      </c>
      <c r="Y19" s="24">
        <f t="shared" si="6"/>
        <v>33320</v>
      </c>
      <c r="AA19" s="54">
        <f>+AVERAGE(J19,M19,P19,S19,Y19)</f>
        <v>7809.7034400000002</v>
      </c>
      <c r="AB19" s="54">
        <f>+AA19*C19</f>
        <v>11714555.16</v>
      </c>
      <c r="AC19" s="54">
        <f>+AB19*D19</f>
        <v>46858220.640000001</v>
      </c>
      <c r="AD19" s="54"/>
      <c r="AE19" s="33">
        <f>+STDEVA(J19,M19,P19,S19,Y19)</f>
        <v>14329.506107466759</v>
      </c>
      <c r="AF19" s="98">
        <f>+AE19/AA19</f>
        <v>1.8348335781962495</v>
      </c>
      <c r="AG19" s="98"/>
      <c r="AH19" s="33">
        <f>+STDEVA(J19,P19,S19,Y19)</f>
        <v>15770.420725502428</v>
      </c>
      <c r="AJ19" s="54">
        <f>+AVERAGE(J19,S19,Y19)</f>
        <v>12717.085733333333</v>
      </c>
      <c r="AK19" s="33">
        <f>+STDEVA(J19,S19,Y19)</f>
        <v>17894.2297125777</v>
      </c>
      <c r="AL19" s="33">
        <f>+AJ19*C19</f>
        <v>19075628.600000001</v>
      </c>
      <c r="AM19" s="33">
        <f>+AL19*D19</f>
        <v>76302514.400000006</v>
      </c>
      <c r="AN19" s="98">
        <f>+AK19/AJ19</f>
        <v>1.4071014450798518</v>
      </c>
    </row>
    <row r="20" spans="1:45" x14ac:dyDescent="0.25">
      <c r="A20" s="31">
        <v>17</v>
      </c>
      <c r="B20" s="53" t="s">
        <v>60</v>
      </c>
      <c r="C20" s="52">
        <v>1</v>
      </c>
      <c r="D20" s="22">
        <v>1</v>
      </c>
      <c r="I20" s="25">
        <v>2875000</v>
      </c>
      <c r="J20" s="24">
        <f t="shared" si="1"/>
        <v>3421250</v>
      </c>
      <c r="L20" s="25">
        <v>2621448</v>
      </c>
      <c r="M20" s="24">
        <f t="shared" si="2"/>
        <v>3119523.1199999996</v>
      </c>
      <c r="O20" s="25">
        <v>4722000</v>
      </c>
      <c r="P20" s="24">
        <f t="shared" si="3"/>
        <v>5619180</v>
      </c>
      <c r="R20" s="25">
        <v>1025967.6000000001</v>
      </c>
      <c r="S20" s="41">
        <f t="shared" si="4"/>
        <v>1220901.4440000001</v>
      </c>
      <c r="U20" s="25">
        <v>2200000</v>
      </c>
      <c r="V20" s="24">
        <f t="shared" si="5"/>
        <v>2618000</v>
      </c>
      <c r="X20" s="32">
        <v>504000.00000000006</v>
      </c>
      <c r="Y20" s="37">
        <f t="shared" si="6"/>
        <v>599760</v>
      </c>
      <c r="AA20" s="54">
        <f>+AVERAGE(J20,M20,P20,S20,V20,Y20)</f>
        <v>2766435.7606666666</v>
      </c>
      <c r="AB20" s="54">
        <f>+AA20*C20</f>
        <v>2766435.7606666666</v>
      </c>
      <c r="AC20" s="54">
        <f>+AB20*D20</f>
        <v>2766435.7606666666</v>
      </c>
      <c r="AD20" s="54"/>
      <c r="AE20" s="33">
        <f>+STDEVA(J20,M20,P20,S20,V20,Y20)</f>
        <v>1777458.6024604721</v>
      </c>
      <c r="AF20" s="98">
        <f>+AE20/AA20</f>
        <v>0.64250854031475257</v>
      </c>
      <c r="AG20" s="98"/>
      <c r="AH20" s="33">
        <f>+STDEVA(J20,M20,P20,S20,V20)</f>
        <v>1594005.5516740759</v>
      </c>
      <c r="AJ20" s="54">
        <f>+AVERAGE(J20,M20,P20,V20)</f>
        <v>3694488.28</v>
      </c>
      <c r="AK20" s="33">
        <f>+STDEVA(J20,M20,P20,V20)</f>
        <v>1325205.5597636041</v>
      </c>
      <c r="AL20" s="33">
        <f>+AJ20*C20</f>
        <v>3694488.28</v>
      </c>
      <c r="AM20" s="33">
        <f>+AL20*D20</f>
        <v>3694488.28</v>
      </c>
      <c r="AN20" s="98">
        <f>+AK20/AJ20</f>
        <v>0.35869800073194552</v>
      </c>
    </row>
    <row r="21" spans="1:45" x14ac:dyDescent="0.25">
      <c r="A21" s="31">
        <v>18</v>
      </c>
      <c r="B21" s="51" t="s">
        <v>61</v>
      </c>
      <c r="C21" s="50">
        <v>1</v>
      </c>
      <c r="D21" s="22">
        <v>4</v>
      </c>
      <c r="I21" s="25">
        <v>1724999.9999999998</v>
      </c>
      <c r="J21" s="24">
        <f t="shared" si="1"/>
        <v>2052749.9999999995</v>
      </c>
      <c r="L21" s="25">
        <v>2198522</v>
      </c>
      <c r="M21" s="24">
        <f t="shared" si="2"/>
        <v>2616241.1799999997</v>
      </c>
      <c r="O21" s="25">
        <v>1353000</v>
      </c>
      <c r="P21" s="24">
        <f t="shared" si="3"/>
        <v>1610070</v>
      </c>
      <c r="R21" s="25">
        <v>166904.28</v>
      </c>
      <c r="S21" s="37">
        <f t="shared" si="4"/>
        <v>198616.0932</v>
      </c>
      <c r="U21" s="25">
        <v>697554</v>
      </c>
      <c r="V21" s="24">
        <f t="shared" si="5"/>
        <v>830089.26</v>
      </c>
      <c r="X21" s="32">
        <v>504000.00000000006</v>
      </c>
      <c r="Y21" s="41">
        <f t="shared" si="6"/>
        <v>599760</v>
      </c>
      <c r="AA21" s="54">
        <f>+AVERAGE(J21,M21,P21,S21,V21,Y21)</f>
        <v>1317921.0888666667</v>
      </c>
      <c r="AB21" s="54">
        <f>+AA21*C21</f>
        <v>1317921.0888666667</v>
      </c>
      <c r="AC21" s="54">
        <f>+AB21*D21</f>
        <v>5271684.3554666666</v>
      </c>
      <c r="AD21" s="54"/>
      <c r="AE21" s="33">
        <f>+STDEVA(J21,M21,P21,S21,Y21)</f>
        <v>1003987.3776833167</v>
      </c>
      <c r="AF21" s="98">
        <f>+AE21/AA21</f>
        <v>0.761796276093196</v>
      </c>
      <c r="AG21" s="98"/>
      <c r="AH21" s="33">
        <f>+STDEVA(J21,M21,P21,V21,Y21)</f>
        <v>838767.85854414746</v>
      </c>
      <c r="AJ21" s="54">
        <f>+AVERAGE(J21,M21,P21,V21)</f>
        <v>1777287.6099999999</v>
      </c>
      <c r="AK21" s="33">
        <f>+STDEVA(J21,M21,P21,V21)</f>
        <v>753849.91084810556</v>
      </c>
      <c r="AL21" s="33">
        <f>+AJ21*C21</f>
        <v>1777287.6099999999</v>
      </c>
      <c r="AM21" s="33">
        <f>+AL21*D21</f>
        <v>7109150.4399999995</v>
      </c>
      <c r="AN21" s="98">
        <f>+AK21/AJ21</f>
        <v>0.42415752329928502</v>
      </c>
    </row>
    <row r="22" spans="1:45" x14ac:dyDescent="0.25">
      <c r="A22" s="31">
        <v>19</v>
      </c>
      <c r="B22" s="22" t="s">
        <v>62</v>
      </c>
      <c r="C22" s="22">
        <v>1000</v>
      </c>
      <c r="D22" s="22">
        <v>4</v>
      </c>
      <c r="I22" s="25">
        <v>403</v>
      </c>
      <c r="J22" s="24">
        <f t="shared" si="1"/>
        <v>479.57</v>
      </c>
      <c r="L22" s="25">
        <v>195</v>
      </c>
      <c r="M22" s="24">
        <f t="shared" si="2"/>
        <v>232.04999999999998</v>
      </c>
      <c r="O22" s="25">
        <v>360</v>
      </c>
      <c r="P22" s="24">
        <f t="shared" si="3"/>
        <v>428.4</v>
      </c>
      <c r="R22" s="25">
        <v>149.04000000000002</v>
      </c>
      <c r="S22" s="41">
        <f t="shared" si="4"/>
        <v>177.35760000000002</v>
      </c>
      <c r="U22" s="25">
        <v>88</v>
      </c>
      <c r="V22" s="37">
        <f t="shared" si="5"/>
        <v>104.72</v>
      </c>
      <c r="X22" s="32">
        <v>302.40000000000003</v>
      </c>
      <c r="Y22" s="24">
        <f t="shared" si="6"/>
        <v>359.85600000000005</v>
      </c>
      <c r="AA22" s="54">
        <f>+AVERAGE(J22,M22,P22,S22,V22,Y22)</f>
        <v>296.99226666666669</v>
      </c>
      <c r="AB22" s="54">
        <f>+AA22*C22</f>
        <v>296992.26666666672</v>
      </c>
      <c r="AC22" s="54">
        <f>+AB22*D22</f>
        <v>1187969.0666666669</v>
      </c>
      <c r="AD22" s="54"/>
      <c r="AE22" s="33">
        <f>+STDEVA(J22,M22,P22,S22,V22,Y22)</f>
        <v>148.35972907425608</v>
      </c>
      <c r="AF22" s="98">
        <f>+AE22/AA22</f>
        <v>0.4995407144414627</v>
      </c>
      <c r="AG22" s="98"/>
      <c r="AH22" s="33">
        <f>+STDEVA(J22,M22,P22,S22,Y22)</f>
        <v>128.15098187291431</v>
      </c>
      <c r="AJ22" s="54">
        <f>+AVERAGE(J22,M22,P22,Y22)</f>
        <v>374.96899999999999</v>
      </c>
      <c r="AK22" s="33">
        <f>+STDEVA(J22,M22,P22,Y22)</f>
        <v>107.16106925558378</v>
      </c>
      <c r="AL22" s="33">
        <f>+AJ22*C22</f>
        <v>374969</v>
      </c>
      <c r="AM22" s="33">
        <f>+AL22*D22</f>
        <v>1499876</v>
      </c>
      <c r="AN22" s="98">
        <f>+AK22/AJ22</f>
        <v>0.28578647636360283</v>
      </c>
    </row>
    <row r="23" spans="1:45" x14ac:dyDescent="0.25">
      <c r="AA23" s="47">
        <f>+SUM(AA4:AA22)</f>
        <v>10902782.742695</v>
      </c>
      <c r="AB23" s="47">
        <f t="shared" ref="AB23:AC23" si="7">+SUM(AB4:AB22)</f>
        <v>80220723.984324992</v>
      </c>
      <c r="AC23" s="47">
        <f t="shared" si="7"/>
        <v>256362302.49529994</v>
      </c>
      <c r="AF23" s="174">
        <f>+AVERAGE(AF4:AF22)</f>
        <v>0.77569731093167071</v>
      </c>
      <c r="AJ23" s="47">
        <f>+SUM(AJ4:AJ22)</f>
        <v>13874321.292211333</v>
      </c>
      <c r="AL23" s="47">
        <f t="shared" ref="AL23:AM23" si="8">+SUM(AL4:AL22)</f>
        <v>102143680.94000001</v>
      </c>
      <c r="AM23" s="47">
        <f t="shared" si="8"/>
        <v>334124604.29599994</v>
      </c>
      <c r="AN23" s="174">
        <f>+AVERAGE(AN4:AN22)</f>
        <v>0.56133835624230544</v>
      </c>
    </row>
    <row r="26" spans="1:45" x14ac:dyDescent="0.25">
      <c r="B26" s="74" t="s">
        <v>107</v>
      </c>
      <c r="D26" s="18"/>
      <c r="E26" s="18"/>
      <c r="F26" s="34"/>
      <c r="G26" s="34"/>
      <c r="H26" s="75" t="s">
        <v>108</v>
      </c>
      <c r="K26" s="76" t="s">
        <v>109</v>
      </c>
      <c r="L26" s="78"/>
      <c r="M26" s="35"/>
      <c r="N26" s="78"/>
      <c r="P26" s="35"/>
      <c r="S26" s="35"/>
      <c r="V26" s="35"/>
      <c r="Y26" s="35"/>
      <c r="AA26" s="39"/>
      <c r="AB26" s="39"/>
      <c r="AC26" s="39"/>
      <c r="AD26" s="39"/>
      <c r="AE26" s="39"/>
      <c r="AF26" s="39"/>
      <c r="AG26" s="39"/>
      <c r="AH26" s="39"/>
      <c r="AI26" s="39"/>
      <c r="AM26" s="33"/>
      <c r="AN26" s="39"/>
      <c r="AO26" s="39"/>
      <c r="AP26" s="39"/>
      <c r="AQ26" s="39"/>
      <c r="AR26" s="39"/>
      <c r="AS26" s="39"/>
    </row>
    <row r="30" spans="1:45" ht="19.5" x14ac:dyDescent="0.25">
      <c r="B30" s="176" t="s">
        <v>167</v>
      </c>
    </row>
    <row r="31" spans="1:45" ht="60" x14ac:dyDescent="0.25">
      <c r="A31" s="19" t="s">
        <v>37</v>
      </c>
      <c r="B31" s="19" t="s">
        <v>38</v>
      </c>
      <c r="C31" s="19" t="s">
        <v>39</v>
      </c>
      <c r="D31" s="19" t="s">
        <v>63</v>
      </c>
      <c r="E31" s="124" t="s">
        <v>171</v>
      </c>
      <c r="F31" s="124" t="str">
        <f t="shared" ref="F31:F50" si="9">AK3</f>
        <v>DESVIACIÓN ESTÁNDAR ELIMINANDO LOS DOS VALORES MÁS BAJOS</v>
      </c>
      <c r="G31" s="124" t="s">
        <v>172</v>
      </c>
      <c r="H31" s="124" t="str">
        <f t="shared" ref="H31:H51" si="10">AM3</f>
        <v>VALOR VIGENCIA 2025</v>
      </c>
      <c r="I31" s="124" t="str">
        <f t="shared" ref="I31:I50" si="11">AN3</f>
        <v>COEFICIENTE DE VARIACIÓN</v>
      </c>
    </row>
    <row r="32" spans="1:45" x14ac:dyDescent="0.25">
      <c r="A32" s="31">
        <v>1</v>
      </c>
      <c r="B32" s="113" t="s">
        <v>44</v>
      </c>
      <c r="C32" s="111">
        <v>40</v>
      </c>
      <c r="D32" s="111">
        <v>4</v>
      </c>
      <c r="E32" s="27">
        <f t="shared" ref="E31:E51" si="12">AJ4</f>
        <v>132204.28759999998</v>
      </c>
      <c r="F32" s="24">
        <f t="shared" si="9"/>
        <v>30901.026671574658</v>
      </c>
      <c r="G32" s="24">
        <f t="shared" ref="G31:G51" si="13">AL4</f>
        <v>5288171.5039999988</v>
      </c>
      <c r="H32" s="24">
        <f t="shared" si="10"/>
        <v>21152686.015999995</v>
      </c>
      <c r="I32" s="90">
        <f t="shared" si="11"/>
        <v>0.23373694781419982</v>
      </c>
    </row>
    <row r="33" spans="1:9" x14ac:dyDescent="0.25">
      <c r="A33" s="31">
        <v>2</v>
      </c>
      <c r="B33" s="111" t="s">
        <v>45</v>
      </c>
      <c r="C33" s="111">
        <v>40000</v>
      </c>
      <c r="D33" s="111">
        <v>4</v>
      </c>
      <c r="E33" s="27">
        <f t="shared" si="12"/>
        <v>135.32679999999999</v>
      </c>
      <c r="F33" s="24">
        <f t="shared" si="9"/>
        <v>178.02675225145239</v>
      </c>
      <c r="G33" s="24">
        <f t="shared" si="13"/>
        <v>5413072</v>
      </c>
      <c r="H33" s="24">
        <f t="shared" si="10"/>
        <v>21652288</v>
      </c>
      <c r="I33" s="90">
        <f t="shared" si="11"/>
        <v>1.3155321211426887</v>
      </c>
    </row>
    <row r="34" spans="1:9" x14ac:dyDescent="0.25">
      <c r="A34" s="31">
        <v>3</v>
      </c>
      <c r="B34" s="111" t="s">
        <v>46</v>
      </c>
      <c r="C34" s="111">
        <v>6000</v>
      </c>
      <c r="D34" s="111">
        <v>4</v>
      </c>
      <c r="E34" s="27">
        <f t="shared" si="12"/>
        <v>181.97480000000002</v>
      </c>
      <c r="F34" s="24">
        <f t="shared" si="9"/>
        <v>170.37455705356948</v>
      </c>
      <c r="G34" s="24">
        <f t="shared" si="13"/>
        <v>1091848.8</v>
      </c>
      <c r="H34" s="24">
        <f t="shared" si="10"/>
        <v>4367395.2</v>
      </c>
      <c r="I34" s="90">
        <f t="shared" si="11"/>
        <v>0.93625357496515704</v>
      </c>
    </row>
    <row r="35" spans="1:9" ht="25.5" x14ac:dyDescent="0.25">
      <c r="A35" s="31">
        <v>4</v>
      </c>
      <c r="B35" s="111" t="s">
        <v>47</v>
      </c>
      <c r="C35" s="111">
        <v>3</v>
      </c>
      <c r="D35" s="111">
        <v>4</v>
      </c>
      <c r="E35" s="27">
        <f t="shared" si="12"/>
        <v>958441.32719999994</v>
      </c>
      <c r="F35" s="24">
        <f t="shared" si="9"/>
        <v>776622.39714543871</v>
      </c>
      <c r="G35" s="24">
        <f t="shared" si="13"/>
        <v>2875323.9815999996</v>
      </c>
      <c r="H35" s="24">
        <f t="shared" si="10"/>
        <v>11501295.926399998</v>
      </c>
      <c r="I35" s="90">
        <f t="shared" si="11"/>
        <v>0.81029727653154437</v>
      </c>
    </row>
    <row r="36" spans="1:9" ht="25.5" x14ac:dyDescent="0.25">
      <c r="A36" s="31">
        <v>5</v>
      </c>
      <c r="B36" s="111" t="s">
        <v>48</v>
      </c>
      <c r="C36" s="111">
        <v>1000</v>
      </c>
      <c r="D36" s="111">
        <v>4</v>
      </c>
      <c r="E36" s="27">
        <f t="shared" si="12"/>
        <v>173.22116</v>
      </c>
      <c r="F36" s="24">
        <f t="shared" si="9"/>
        <v>72.907858105474531</v>
      </c>
      <c r="G36" s="24">
        <f t="shared" si="13"/>
        <v>173221.16</v>
      </c>
      <c r="H36" s="24">
        <f t="shared" si="10"/>
        <v>692884.64</v>
      </c>
      <c r="I36" s="90">
        <f t="shared" si="11"/>
        <v>0.42089464188713743</v>
      </c>
    </row>
    <row r="37" spans="1:9" ht="25.5" x14ac:dyDescent="0.25">
      <c r="A37" s="31">
        <v>6</v>
      </c>
      <c r="B37" s="111" t="s">
        <v>49</v>
      </c>
      <c r="C37" s="111">
        <v>2500</v>
      </c>
      <c r="D37" s="111">
        <v>4</v>
      </c>
      <c r="E37" s="27">
        <f t="shared" si="12"/>
        <v>192.86091999999999</v>
      </c>
      <c r="F37" s="24">
        <f t="shared" si="9"/>
        <v>74.476139494686507</v>
      </c>
      <c r="G37" s="24">
        <f t="shared" si="13"/>
        <v>482152.3</v>
      </c>
      <c r="H37" s="24">
        <f t="shared" si="10"/>
        <v>1928609.2</v>
      </c>
      <c r="I37" s="90">
        <f t="shared" si="11"/>
        <v>0.38616501204436082</v>
      </c>
    </row>
    <row r="38" spans="1:9" ht="25.5" x14ac:dyDescent="0.25">
      <c r="A38" s="31">
        <v>7</v>
      </c>
      <c r="B38" s="111" t="s">
        <v>50</v>
      </c>
      <c r="C38" s="111">
        <v>2000</v>
      </c>
      <c r="D38" s="111">
        <v>4</v>
      </c>
      <c r="E38" s="27">
        <f t="shared" si="12"/>
        <v>286.77691000000004</v>
      </c>
      <c r="F38" s="24">
        <f t="shared" si="9"/>
        <v>309.54134681911324</v>
      </c>
      <c r="G38" s="24">
        <f t="shared" si="13"/>
        <v>573553.82000000007</v>
      </c>
      <c r="H38" s="24">
        <f t="shared" si="10"/>
        <v>2294215.2800000003</v>
      </c>
      <c r="I38" s="90">
        <f t="shared" si="11"/>
        <v>1.0793802988501173</v>
      </c>
    </row>
    <row r="39" spans="1:9" x14ac:dyDescent="0.25">
      <c r="A39" s="31">
        <v>8</v>
      </c>
      <c r="B39" s="111" t="s">
        <v>51</v>
      </c>
      <c r="C39" s="111">
        <v>2000</v>
      </c>
      <c r="D39" s="111">
        <v>4</v>
      </c>
      <c r="E39" s="27">
        <f t="shared" si="12"/>
        <v>229.09879999999998</v>
      </c>
      <c r="F39" s="24">
        <f t="shared" si="9"/>
        <v>79.864090824349901</v>
      </c>
      <c r="G39" s="24">
        <f t="shared" si="13"/>
        <v>458197.6</v>
      </c>
      <c r="H39" s="24">
        <f t="shared" si="10"/>
        <v>1832790.4</v>
      </c>
      <c r="I39" s="90">
        <f t="shared" si="11"/>
        <v>0.34860108749740248</v>
      </c>
    </row>
    <row r="40" spans="1:9" x14ac:dyDescent="0.25">
      <c r="A40" s="31">
        <v>9</v>
      </c>
      <c r="B40" s="114" t="s">
        <v>52</v>
      </c>
      <c r="C40" s="111">
        <v>3</v>
      </c>
      <c r="D40" s="111">
        <v>4</v>
      </c>
      <c r="E40" s="27">
        <f t="shared" si="12"/>
        <v>559894.04799999995</v>
      </c>
      <c r="F40" s="24">
        <f t="shared" si="9"/>
        <v>254184.09672425134</v>
      </c>
      <c r="G40" s="24">
        <f t="shared" si="13"/>
        <v>1679682.1439999999</v>
      </c>
      <c r="H40" s="24">
        <f t="shared" si="10"/>
        <v>6718728.5759999994</v>
      </c>
      <c r="I40" s="90">
        <f t="shared" si="11"/>
        <v>0.45398606688573223</v>
      </c>
    </row>
    <row r="41" spans="1:9" x14ac:dyDescent="0.25">
      <c r="A41" s="31">
        <v>10</v>
      </c>
      <c r="B41" s="114" t="s">
        <v>53</v>
      </c>
      <c r="C41" s="111">
        <v>2</v>
      </c>
      <c r="D41" s="111">
        <v>4</v>
      </c>
      <c r="E41" s="27">
        <f t="shared" si="12"/>
        <v>715682.35535999993</v>
      </c>
      <c r="F41" s="24">
        <f t="shared" si="9"/>
        <v>312824.51658010954</v>
      </c>
      <c r="G41" s="24">
        <f t="shared" si="13"/>
        <v>1431364.7107199999</v>
      </c>
      <c r="H41" s="24">
        <f t="shared" si="10"/>
        <v>5725458.8428799994</v>
      </c>
      <c r="I41" s="90">
        <f t="shared" si="11"/>
        <v>0.43709966333144218</v>
      </c>
    </row>
    <row r="42" spans="1:9" ht="25.5" x14ac:dyDescent="0.25">
      <c r="A42" s="31">
        <v>11</v>
      </c>
      <c r="B42" s="112" t="s">
        <v>54</v>
      </c>
      <c r="C42" s="112">
        <v>20000</v>
      </c>
      <c r="D42" s="111">
        <v>4</v>
      </c>
      <c r="E42" s="27">
        <f t="shared" si="12"/>
        <v>22.397941999999997</v>
      </c>
      <c r="F42" s="24">
        <f t="shared" si="9"/>
        <v>10.42218931342259</v>
      </c>
      <c r="G42" s="24">
        <f t="shared" si="13"/>
        <v>447958.83999999991</v>
      </c>
      <c r="H42" s="24">
        <f t="shared" si="10"/>
        <v>1791835.3599999996</v>
      </c>
      <c r="I42" s="90">
        <f t="shared" si="11"/>
        <v>0.46531905982355842</v>
      </c>
    </row>
    <row r="43" spans="1:9" x14ac:dyDescent="0.25">
      <c r="A43" s="31">
        <v>12</v>
      </c>
      <c r="B43" s="112" t="s">
        <v>55</v>
      </c>
      <c r="C43" s="112">
        <v>20000</v>
      </c>
      <c r="D43" s="111">
        <v>4</v>
      </c>
      <c r="E43" s="27">
        <f t="shared" si="12"/>
        <v>826.6994259999999</v>
      </c>
      <c r="F43" s="24">
        <f t="shared" si="9"/>
        <v>236.3019161346464</v>
      </c>
      <c r="G43" s="24">
        <f t="shared" si="13"/>
        <v>16533988.519999998</v>
      </c>
      <c r="H43" s="24">
        <f t="shared" si="10"/>
        <v>66135954.079999991</v>
      </c>
      <c r="I43" s="90">
        <f t="shared" si="11"/>
        <v>0.28583776485487294</v>
      </c>
    </row>
    <row r="44" spans="1:9" ht="25.5" x14ac:dyDescent="0.25">
      <c r="A44" s="31">
        <v>13</v>
      </c>
      <c r="B44" s="113" t="s">
        <v>56</v>
      </c>
      <c r="C44" s="111">
        <v>58</v>
      </c>
      <c r="D44" s="111">
        <v>1</v>
      </c>
      <c r="E44" s="27">
        <f t="shared" si="12"/>
        <v>364176.17599999998</v>
      </c>
      <c r="F44" s="24">
        <f t="shared" si="9"/>
        <v>133876.31784341153</v>
      </c>
      <c r="G44" s="24">
        <f t="shared" si="13"/>
        <v>21122218.207999997</v>
      </c>
      <c r="H44" s="24">
        <f t="shared" si="10"/>
        <v>21122218.207999997</v>
      </c>
      <c r="I44" s="90">
        <f t="shared" si="11"/>
        <v>0.36761415673553433</v>
      </c>
    </row>
    <row r="45" spans="1:9" ht="25.5" x14ac:dyDescent="0.25">
      <c r="A45" s="31">
        <v>14</v>
      </c>
      <c r="B45" s="113" t="s">
        <v>57</v>
      </c>
      <c r="C45" s="111">
        <v>18</v>
      </c>
      <c r="D45" s="111">
        <v>4</v>
      </c>
      <c r="E45" s="27">
        <f t="shared" si="12"/>
        <v>823149.82736</v>
      </c>
      <c r="F45" s="24">
        <f t="shared" si="9"/>
        <v>324538.99085106695</v>
      </c>
      <c r="G45" s="24">
        <f t="shared" si="13"/>
        <v>14816696.892480001</v>
      </c>
      <c r="H45" s="24">
        <f t="shared" si="10"/>
        <v>59266787.569920003</v>
      </c>
      <c r="I45" s="90">
        <f t="shared" si="11"/>
        <v>0.39426478639001356</v>
      </c>
    </row>
    <row r="46" spans="1:9" x14ac:dyDescent="0.25">
      <c r="A46" s="31">
        <v>15</v>
      </c>
      <c r="B46" s="113" t="s">
        <v>58</v>
      </c>
      <c r="C46" s="111">
        <v>1</v>
      </c>
      <c r="D46" s="111">
        <v>4</v>
      </c>
      <c r="E46" s="27">
        <f t="shared" si="12"/>
        <v>4833856.9692000002</v>
      </c>
      <c r="F46" s="24">
        <f t="shared" si="9"/>
        <v>1231197.2160360238</v>
      </c>
      <c r="G46" s="24">
        <f t="shared" si="13"/>
        <v>4833856.9692000002</v>
      </c>
      <c r="H46" s="24">
        <f t="shared" si="10"/>
        <v>19335427.876800001</v>
      </c>
      <c r="I46" s="90">
        <f t="shared" si="11"/>
        <v>0.25470286437535739</v>
      </c>
    </row>
    <row r="47" spans="1:9" x14ac:dyDescent="0.25">
      <c r="A47" s="31">
        <v>16</v>
      </c>
      <c r="B47" s="112" t="s">
        <v>59</v>
      </c>
      <c r="C47" s="111">
        <v>1500</v>
      </c>
      <c r="D47" s="111">
        <v>4</v>
      </c>
      <c r="E47" s="27">
        <f t="shared" si="12"/>
        <v>12717.085733333333</v>
      </c>
      <c r="F47" s="24">
        <f t="shared" si="9"/>
        <v>17894.2297125777</v>
      </c>
      <c r="G47" s="24">
        <f t="shared" si="13"/>
        <v>19075628.600000001</v>
      </c>
      <c r="H47" s="24">
        <f t="shared" si="10"/>
        <v>76302514.400000006</v>
      </c>
      <c r="I47" s="90">
        <f t="shared" si="11"/>
        <v>1.4071014450798518</v>
      </c>
    </row>
    <row r="48" spans="1:9" x14ac:dyDescent="0.25">
      <c r="A48" s="31">
        <v>17</v>
      </c>
      <c r="B48" s="114" t="s">
        <v>60</v>
      </c>
      <c r="C48" s="111">
        <v>1</v>
      </c>
      <c r="D48" s="111">
        <v>1</v>
      </c>
      <c r="E48" s="27">
        <f t="shared" si="12"/>
        <v>3694488.28</v>
      </c>
      <c r="F48" s="24">
        <f t="shared" si="9"/>
        <v>1325205.5597636041</v>
      </c>
      <c r="G48" s="24">
        <f t="shared" si="13"/>
        <v>3694488.28</v>
      </c>
      <c r="H48" s="24">
        <f t="shared" si="10"/>
        <v>3694488.28</v>
      </c>
      <c r="I48" s="90">
        <f t="shared" si="11"/>
        <v>0.35869800073194552</v>
      </c>
    </row>
    <row r="49" spans="1:11" x14ac:dyDescent="0.25">
      <c r="A49" s="31">
        <v>18</v>
      </c>
      <c r="B49" s="114" t="s">
        <v>61</v>
      </c>
      <c r="C49" s="111">
        <v>1</v>
      </c>
      <c r="D49" s="111">
        <v>4</v>
      </c>
      <c r="E49" s="27">
        <f t="shared" si="12"/>
        <v>1777287.6099999999</v>
      </c>
      <c r="F49" s="24">
        <f t="shared" si="9"/>
        <v>753849.91084810556</v>
      </c>
      <c r="G49" s="24">
        <f t="shared" si="13"/>
        <v>1777287.6099999999</v>
      </c>
      <c r="H49" s="24">
        <f t="shared" si="10"/>
        <v>7109150.4399999995</v>
      </c>
      <c r="I49" s="90">
        <f t="shared" si="11"/>
        <v>0.42415752329928502</v>
      </c>
    </row>
    <row r="50" spans="1:11" x14ac:dyDescent="0.25">
      <c r="A50" s="31">
        <v>19</v>
      </c>
      <c r="B50" s="22" t="s">
        <v>62</v>
      </c>
      <c r="C50" s="22">
        <v>1000</v>
      </c>
      <c r="D50" s="22">
        <v>4</v>
      </c>
      <c r="E50" s="27">
        <f t="shared" si="12"/>
        <v>374.96899999999999</v>
      </c>
      <c r="F50" s="24">
        <f t="shared" si="9"/>
        <v>107.16106925558378</v>
      </c>
      <c r="G50" s="24">
        <f t="shared" si="13"/>
        <v>374969</v>
      </c>
      <c r="H50" s="24">
        <f t="shared" si="10"/>
        <v>1499876</v>
      </c>
      <c r="I50" s="90">
        <f t="shared" si="11"/>
        <v>0.28578647636360283</v>
      </c>
    </row>
    <row r="51" spans="1:11" x14ac:dyDescent="0.25">
      <c r="A51" s="121"/>
      <c r="B51" s="175" t="s">
        <v>87</v>
      </c>
      <c r="C51"/>
      <c r="D51"/>
      <c r="E51" s="47">
        <f t="shared" si="12"/>
        <v>13874321.292211333</v>
      </c>
      <c r="G51" s="47">
        <f t="shared" si="13"/>
        <v>102143680.94000001</v>
      </c>
      <c r="H51" s="47">
        <f t="shared" si="10"/>
        <v>334124604.29599994</v>
      </c>
      <c r="J51"/>
      <c r="K51"/>
    </row>
    <row r="52" spans="1:11" x14ac:dyDescent="0.25">
      <c r="A52" s="121"/>
      <c r="B52" s="118"/>
      <c r="C52"/>
      <c r="D52"/>
      <c r="E52"/>
      <c r="F52"/>
      <c r="G52"/>
      <c r="H52"/>
      <c r="I52"/>
      <c r="J52"/>
      <c r="K52"/>
    </row>
    <row r="53" spans="1:11" x14ac:dyDescent="0.25">
      <c r="A53" s="121"/>
      <c r="B53" s="118"/>
      <c r="E53"/>
      <c r="F53"/>
      <c r="G53"/>
      <c r="H53"/>
      <c r="I53"/>
      <c r="J53"/>
      <c r="K53"/>
    </row>
    <row r="54" spans="1:11" ht="30" x14ac:dyDescent="0.25">
      <c r="A54" s="121"/>
      <c r="B54" s="118"/>
      <c r="C54" s="131" t="s">
        <v>140</v>
      </c>
      <c r="D54" s="132" t="s">
        <v>141</v>
      </c>
      <c r="E54"/>
      <c r="F54"/>
      <c r="G54"/>
      <c r="H54"/>
      <c r="I54"/>
      <c r="J54"/>
      <c r="K54"/>
    </row>
    <row r="55" spans="1:11" x14ac:dyDescent="0.25">
      <c r="A55" s="121"/>
      <c r="B55" s="118"/>
      <c r="C55" s="109">
        <v>2024</v>
      </c>
      <c r="D55" s="109">
        <v>12.07</v>
      </c>
      <c r="E55"/>
      <c r="F55"/>
      <c r="G55"/>
      <c r="H55"/>
      <c r="I55"/>
      <c r="J55"/>
      <c r="K55"/>
    </row>
    <row r="56" spans="1:11" x14ac:dyDescent="0.25">
      <c r="A56" s="121"/>
      <c r="B56" s="118"/>
      <c r="C56" s="109">
        <v>2023</v>
      </c>
      <c r="D56" s="109">
        <v>16</v>
      </c>
      <c r="E56"/>
      <c r="F56"/>
      <c r="G56"/>
      <c r="H56"/>
      <c r="I56"/>
      <c r="J56"/>
      <c r="K56"/>
    </row>
    <row r="57" spans="1:11" x14ac:dyDescent="0.25">
      <c r="A57" s="121"/>
      <c r="B57" s="118"/>
      <c r="C57" s="109">
        <v>2022</v>
      </c>
      <c r="D57" s="109">
        <v>10.07</v>
      </c>
      <c r="E57"/>
      <c r="F57"/>
      <c r="G57"/>
      <c r="H57"/>
      <c r="I57"/>
      <c r="J57"/>
      <c r="K57"/>
    </row>
    <row r="58" spans="1:11" x14ac:dyDescent="0.25">
      <c r="A58" s="121"/>
      <c r="B58" s="118"/>
      <c r="C58" s="109">
        <v>2021</v>
      </c>
      <c r="D58" s="109">
        <v>3.5</v>
      </c>
      <c r="E58"/>
      <c r="F58"/>
      <c r="G58"/>
      <c r="H58"/>
      <c r="I58"/>
      <c r="J58"/>
      <c r="K58"/>
    </row>
    <row r="59" spans="1:11" x14ac:dyDescent="0.25">
      <c r="A59" s="121"/>
      <c r="B59" s="118"/>
      <c r="C59" s="109">
        <v>2020</v>
      </c>
      <c r="D59" s="109">
        <v>6</v>
      </c>
      <c r="E59"/>
      <c r="F59"/>
      <c r="G59"/>
      <c r="H59"/>
      <c r="I59"/>
      <c r="J59"/>
      <c r="K59"/>
    </row>
    <row r="60" spans="1:11" x14ac:dyDescent="0.25">
      <c r="A60" s="121"/>
      <c r="B60" s="118"/>
      <c r="C60" s="115" t="s">
        <v>139</v>
      </c>
      <c r="D60" s="130">
        <f>+AVERAGE(D55:D59)</f>
        <v>9.5280000000000005</v>
      </c>
      <c r="E60"/>
      <c r="F60"/>
      <c r="G60"/>
      <c r="H60"/>
      <c r="I60"/>
      <c r="J60"/>
      <c r="K60"/>
    </row>
    <row r="61" spans="1:11" x14ac:dyDescent="0.25">
      <c r="A61" s="121"/>
      <c r="B61" s="118"/>
      <c r="C61"/>
      <c r="D61"/>
      <c r="E61"/>
      <c r="F61"/>
      <c r="G61"/>
      <c r="H61"/>
      <c r="I61"/>
      <c r="J61"/>
      <c r="K61"/>
    </row>
    <row r="62" spans="1:11" x14ac:dyDescent="0.25">
      <c r="A62" s="122">
        <v>2025</v>
      </c>
      <c r="B62" s="11" t="s">
        <v>166</v>
      </c>
      <c r="C62" s="109" t="s">
        <v>137</v>
      </c>
      <c r="D62" s="109" t="s">
        <v>138</v>
      </c>
      <c r="F62" s="128"/>
      <c r="G62"/>
      <c r="H62"/>
      <c r="I62"/>
      <c r="J62"/>
      <c r="K62"/>
    </row>
    <row r="63" spans="1:11" x14ac:dyDescent="0.25">
      <c r="C63" s="24">
        <v>1300000</v>
      </c>
      <c r="D63" s="24">
        <f>1300000*1.0953</f>
        <v>1423890</v>
      </c>
      <c r="F63" s="127"/>
      <c r="G63"/>
      <c r="H63"/>
      <c r="I63"/>
      <c r="J63"/>
      <c r="K63"/>
    </row>
    <row r="64" spans="1:11" x14ac:dyDescent="0.25">
      <c r="C64" s="68"/>
      <c r="D64" s="68"/>
      <c r="G64"/>
      <c r="H64"/>
      <c r="I64"/>
      <c r="J64"/>
      <c r="K64"/>
    </row>
    <row r="65" spans="1:11" x14ac:dyDescent="0.25">
      <c r="C65" s="68"/>
      <c r="D65" s="68"/>
      <c r="G65"/>
      <c r="H65"/>
      <c r="I65"/>
      <c r="J65"/>
      <c r="K65"/>
    </row>
    <row r="66" spans="1:11" ht="38.25" x14ac:dyDescent="0.25">
      <c r="A66" s="19" t="s">
        <v>37</v>
      </c>
      <c r="B66" s="19" t="s">
        <v>74</v>
      </c>
      <c r="C66" s="19" t="s">
        <v>39</v>
      </c>
      <c r="D66" s="19" t="s">
        <v>63</v>
      </c>
      <c r="E66" s="20" t="s">
        <v>133</v>
      </c>
      <c r="F66" s="20" t="s">
        <v>134</v>
      </c>
      <c r="G66" s="20" t="s">
        <v>76</v>
      </c>
      <c r="H66" s="20" t="s">
        <v>77</v>
      </c>
      <c r="I66" s="19" t="s">
        <v>85</v>
      </c>
      <c r="J66" s="19" t="s">
        <v>86</v>
      </c>
    </row>
    <row r="67" spans="1:11" x14ac:dyDescent="0.25">
      <c r="A67" s="21">
        <v>20</v>
      </c>
      <c r="B67" s="43" t="s">
        <v>78</v>
      </c>
      <c r="C67" s="22">
        <v>2</v>
      </c>
      <c r="D67" s="22">
        <v>4</v>
      </c>
      <c r="E67" s="45">
        <f>+D63</f>
        <v>1423890</v>
      </c>
      <c r="F67" s="119">
        <v>4</v>
      </c>
      <c r="G67" s="44">
        <f>+E67*F67</f>
        <v>5695560</v>
      </c>
      <c r="H67" s="45">
        <f>+G67*C67</f>
        <v>11391120</v>
      </c>
      <c r="I67" s="45">
        <f>+H67*D67</f>
        <v>45564480</v>
      </c>
      <c r="J67" s="24">
        <f>+I67*1.19</f>
        <v>54221731.199999996</v>
      </c>
    </row>
    <row r="68" spans="1:11" x14ac:dyDescent="0.25">
      <c r="A68" s="21">
        <v>21</v>
      </c>
      <c r="B68" s="43" t="s">
        <v>79</v>
      </c>
      <c r="C68" s="22">
        <v>2</v>
      </c>
      <c r="D68" s="22">
        <v>4</v>
      </c>
      <c r="E68" s="45">
        <f>+D63</f>
        <v>1423890</v>
      </c>
      <c r="F68" s="120">
        <v>3.5</v>
      </c>
      <c r="G68" s="44">
        <f>+E68*F68</f>
        <v>4983615</v>
      </c>
      <c r="H68" s="45">
        <f>+G68*C68</f>
        <v>9967230</v>
      </c>
      <c r="I68" s="45">
        <f>+H68*D68</f>
        <v>39868920</v>
      </c>
      <c r="J68" s="24">
        <f>+I68*1.19</f>
        <v>47444014.799999997</v>
      </c>
    </row>
    <row r="69" spans="1:11" x14ac:dyDescent="0.25">
      <c r="A69" s="21">
        <v>22</v>
      </c>
      <c r="B69" s="43" t="s">
        <v>80</v>
      </c>
      <c r="C69" s="22">
        <v>18</v>
      </c>
      <c r="D69" s="22">
        <v>4</v>
      </c>
      <c r="E69" s="45">
        <f>+D63</f>
        <v>1423890</v>
      </c>
      <c r="F69" s="119">
        <v>2</v>
      </c>
      <c r="G69" s="44">
        <f>+E69*F69</f>
        <v>2847780</v>
      </c>
      <c r="H69" s="45">
        <f>+G69*C69</f>
        <v>51260040</v>
      </c>
      <c r="I69" s="45">
        <f>+H69*D69</f>
        <v>205040160</v>
      </c>
      <c r="J69" s="24">
        <f>+I69*1.19</f>
        <v>243997790.39999998</v>
      </c>
    </row>
    <row r="70" spans="1:11" x14ac:dyDescent="0.25">
      <c r="A70" s="21">
        <v>23</v>
      </c>
      <c r="B70" s="43" t="s">
        <v>81</v>
      </c>
      <c r="C70" s="22">
        <v>24</v>
      </c>
      <c r="D70" s="22">
        <v>4</v>
      </c>
      <c r="E70" s="45">
        <f>+D63</f>
        <v>1423890</v>
      </c>
      <c r="F70" s="119">
        <v>2</v>
      </c>
      <c r="G70" s="44">
        <f>+E70*F70</f>
        <v>2847780</v>
      </c>
      <c r="H70" s="45">
        <f>+G70*C70</f>
        <v>68346720</v>
      </c>
      <c r="I70" s="45">
        <f>+H70*D70</f>
        <v>273386880</v>
      </c>
      <c r="J70" s="24">
        <f>+I70*1.19</f>
        <v>325330387.19999999</v>
      </c>
    </row>
    <row r="71" spans="1:11" x14ac:dyDescent="0.25">
      <c r="A71" s="21">
        <v>24</v>
      </c>
      <c r="B71" s="43" t="s">
        <v>82</v>
      </c>
      <c r="C71" s="22">
        <v>1</v>
      </c>
      <c r="D71" s="22">
        <v>4</v>
      </c>
      <c r="E71" s="45">
        <f>+D63</f>
        <v>1423890</v>
      </c>
      <c r="F71" s="119">
        <v>2</v>
      </c>
      <c r="G71" s="44">
        <f>+E71*F71</f>
        <v>2847780</v>
      </c>
      <c r="H71" s="45">
        <f>+G71*C71</f>
        <v>2847780</v>
      </c>
      <c r="I71" s="45">
        <f>+H71*D71</f>
        <v>11391120</v>
      </c>
      <c r="J71" s="24">
        <f>+I71*1.19</f>
        <v>13555432.799999999</v>
      </c>
    </row>
    <row r="72" spans="1:11" ht="63.75" x14ac:dyDescent="0.25">
      <c r="A72" s="21">
        <v>25</v>
      </c>
      <c r="B72" s="43" t="s">
        <v>83</v>
      </c>
      <c r="C72" s="22">
        <v>5</v>
      </c>
      <c r="D72" s="22">
        <v>4</v>
      </c>
      <c r="E72" s="45">
        <f>+D63</f>
        <v>1423890</v>
      </c>
      <c r="F72" s="119">
        <v>3</v>
      </c>
      <c r="G72" s="44">
        <f>+E72*F72</f>
        <v>4271670</v>
      </c>
      <c r="H72" s="45">
        <f>+G72*C72</f>
        <v>21358350</v>
      </c>
      <c r="I72" s="45">
        <f>+H72*D72</f>
        <v>85433400</v>
      </c>
      <c r="J72" s="24">
        <f>+I72*1.19</f>
        <v>101665746</v>
      </c>
    </row>
    <row r="73" spans="1:11" ht="25.5" x14ac:dyDescent="0.25">
      <c r="A73" s="21">
        <v>26</v>
      </c>
      <c r="B73" s="43" t="s">
        <v>84</v>
      </c>
      <c r="C73" s="22">
        <v>1</v>
      </c>
      <c r="D73" s="22">
        <v>4</v>
      </c>
      <c r="E73" s="45">
        <f>+D63</f>
        <v>1423890</v>
      </c>
      <c r="F73" s="120">
        <v>3.5</v>
      </c>
      <c r="G73" s="44">
        <f>+E73*F73</f>
        <v>4983615</v>
      </c>
      <c r="H73" s="45">
        <f>+G73*C73</f>
        <v>4983615</v>
      </c>
      <c r="I73" s="45">
        <f>+H73*D73</f>
        <v>19934460</v>
      </c>
      <c r="J73" s="24">
        <f>+I73*1.19</f>
        <v>23722007.399999999</v>
      </c>
    </row>
    <row r="74" spans="1:11" x14ac:dyDescent="0.25">
      <c r="A74"/>
      <c r="B74" s="17" t="s">
        <v>165</v>
      </c>
      <c r="C74"/>
      <c r="D74"/>
      <c r="E74"/>
      <c r="F74"/>
      <c r="G74"/>
      <c r="H74"/>
      <c r="I74"/>
      <c r="J74" s="125">
        <f>+SUM(J67:J73)</f>
        <v>809937109.79999983</v>
      </c>
    </row>
    <row r="75" spans="1:11" x14ac:dyDescent="0.25">
      <c r="B75" s="46" t="s">
        <v>135</v>
      </c>
      <c r="C75" s="126">
        <f>+J74+H51</f>
        <v>1144061714.0959997</v>
      </c>
      <c r="D75" s="18"/>
      <c r="E75" s="18"/>
      <c r="F75" s="18"/>
      <c r="G75" s="18"/>
      <c r="H75" s="18"/>
    </row>
    <row r="78" spans="1:11" x14ac:dyDescent="0.25">
      <c r="D78" s="33"/>
      <c r="E78" s="59"/>
      <c r="F78" s="33"/>
      <c r="G78" s="33"/>
    </row>
    <row r="79" spans="1:11" x14ac:dyDescent="0.25">
      <c r="F79" s="59"/>
      <c r="G79" s="59"/>
    </row>
    <row r="80" spans="1:11" x14ac:dyDescent="0.25">
      <c r="F80" s="129"/>
      <c r="G80" s="33"/>
    </row>
    <row r="81" spans="2:7" x14ac:dyDescent="0.25">
      <c r="G81" s="33"/>
    </row>
    <row r="82" spans="2:7" x14ac:dyDescent="0.25">
      <c r="B82" s="17" t="s">
        <v>170</v>
      </c>
      <c r="C82" s="54">
        <f>+C75+'PRECIOS UNIT 2024'!C63</f>
        <v>1391955771.1299796</v>
      </c>
    </row>
    <row r="85" spans="2:7" x14ac:dyDescent="0.25">
      <c r="E85" s="33"/>
    </row>
    <row r="86" spans="2:7" x14ac:dyDescent="0.25">
      <c r="E86" s="33"/>
    </row>
  </sheetData>
  <mergeCells count="7">
    <mergeCell ref="X2:Y2"/>
    <mergeCell ref="F2:G2"/>
    <mergeCell ref="I2:J2"/>
    <mergeCell ref="L2:M2"/>
    <mergeCell ref="O2:P2"/>
    <mergeCell ref="R2:S2"/>
    <mergeCell ref="U2:V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C7D34-4921-44E3-A227-E6081BE00366}">
  <dimension ref="A1:AD24"/>
  <sheetViews>
    <sheetView topLeftCell="A2" zoomScale="90" zoomScaleNormal="90" workbookViewId="0">
      <pane xSplit="3" ySplit="2" topLeftCell="D10" activePane="bottomRight" state="frozen"/>
      <selection activeCell="A2" sqref="A2"/>
      <selection pane="topRight" activeCell="D2" sqref="D2"/>
      <selection pane="bottomLeft" activeCell="A4" sqref="A4"/>
      <selection pane="bottomRight" activeCell="D19" sqref="D19"/>
    </sheetView>
  </sheetViews>
  <sheetFormatPr baseColWidth="10" defaultColWidth="11.42578125" defaultRowHeight="15" x14ac:dyDescent="0.25"/>
  <cols>
    <col min="1" max="1" width="5.85546875" style="17" bestFit="1" customWidth="1"/>
    <col min="2" max="2" width="35.85546875" style="17" customWidth="1"/>
    <col min="3" max="3" width="9.5703125" style="17" customWidth="1"/>
    <col min="4" max="4" width="11.42578125" style="18"/>
    <col min="5" max="5" width="14.7109375" style="17" bestFit="1" customWidth="1"/>
    <col min="6" max="6" width="19" style="17" customWidth="1"/>
    <col min="7" max="7" width="15.7109375" style="17" customWidth="1"/>
    <col min="8" max="8" width="13.7109375" style="17" customWidth="1"/>
    <col min="9" max="9" width="15" style="17" customWidth="1"/>
    <col min="10" max="10" width="14.5703125" style="17" customWidth="1"/>
    <col min="11" max="12" width="14.42578125" style="17" customWidth="1"/>
    <col min="13" max="13" width="14.7109375" style="17" customWidth="1"/>
    <col min="14" max="16" width="17.5703125" style="17" customWidth="1"/>
    <col min="17" max="17" width="12" style="33" customWidth="1"/>
    <col min="18" max="18" width="11.42578125" style="33"/>
    <col min="19" max="19" width="11.42578125" style="17"/>
    <col min="20" max="20" width="15" style="17" customWidth="1"/>
    <col min="21" max="23" width="11.42578125" style="17"/>
    <col min="24" max="25" width="13.42578125" style="33" customWidth="1"/>
    <col min="26" max="26" width="12.5703125" style="33" bestFit="1" customWidth="1"/>
    <col min="27" max="30" width="12.5703125" style="17" bestFit="1" customWidth="1"/>
    <col min="31" max="16384" width="11.42578125" style="17"/>
  </cols>
  <sheetData>
    <row r="1" spans="1:30" ht="15.75" thickBot="1" x14ac:dyDescent="0.3"/>
    <row r="2" spans="1:30" s="81" customFormat="1" ht="45.75" thickBot="1" x14ac:dyDescent="0.3">
      <c r="F2" s="95" t="s">
        <v>30</v>
      </c>
      <c r="G2" s="96" t="s">
        <v>31</v>
      </c>
      <c r="H2" s="96" t="s">
        <v>32</v>
      </c>
      <c r="I2" s="96" t="s">
        <v>33</v>
      </c>
      <c r="J2" s="96" t="s">
        <v>34</v>
      </c>
      <c r="K2" s="96" t="s">
        <v>35</v>
      </c>
      <c r="L2" s="97" t="s">
        <v>36</v>
      </c>
      <c r="Q2" s="82"/>
      <c r="R2" s="82"/>
      <c r="X2" s="82"/>
      <c r="Y2" s="82"/>
      <c r="Z2" s="82"/>
      <c r="AC2" s="83" t="s">
        <v>111</v>
      </c>
      <c r="AD2" s="83"/>
    </row>
    <row r="3" spans="1:30" ht="51.95" customHeight="1" x14ac:dyDescent="0.25">
      <c r="A3" s="19" t="s">
        <v>37</v>
      </c>
      <c r="B3" s="19" t="s">
        <v>38</v>
      </c>
      <c r="C3" s="19" t="s">
        <v>39</v>
      </c>
      <c r="D3" s="19" t="s">
        <v>40</v>
      </c>
      <c r="F3" s="94" t="s">
        <v>42</v>
      </c>
      <c r="G3" s="94" t="s">
        <v>42</v>
      </c>
      <c r="H3" s="94" t="s">
        <v>42</v>
      </c>
      <c r="I3" s="94" t="s">
        <v>42</v>
      </c>
      <c r="J3" s="94" t="s">
        <v>42</v>
      </c>
      <c r="K3" s="94" t="s">
        <v>42</v>
      </c>
      <c r="L3" s="94" t="s">
        <v>42</v>
      </c>
      <c r="M3" s="84" t="s">
        <v>43</v>
      </c>
      <c r="N3" s="85" t="s">
        <v>112</v>
      </c>
      <c r="O3" s="85" t="s">
        <v>113</v>
      </c>
      <c r="P3" s="85" t="s">
        <v>114</v>
      </c>
      <c r="Q3" s="86" t="s">
        <v>115</v>
      </c>
      <c r="R3" s="87" t="s">
        <v>116</v>
      </c>
      <c r="S3" s="86" t="s">
        <v>117</v>
      </c>
      <c r="T3" s="86" t="s">
        <v>118</v>
      </c>
      <c r="U3" s="88" t="s">
        <v>119</v>
      </c>
      <c r="V3" s="88" t="s">
        <v>17</v>
      </c>
      <c r="W3" s="88" t="s">
        <v>13</v>
      </c>
      <c r="X3" s="89" t="s">
        <v>19</v>
      </c>
      <c r="Y3" s="89"/>
      <c r="Z3" s="89" t="s">
        <v>120</v>
      </c>
      <c r="AA3" s="89" t="s">
        <v>121</v>
      </c>
      <c r="AB3" s="89" t="s">
        <v>122</v>
      </c>
      <c r="AC3" s="89" t="s">
        <v>123</v>
      </c>
      <c r="AD3" s="89" t="s">
        <v>124</v>
      </c>
    </row>
    <row r="4" spans="1:30" ht="14.45" customHeight="1" x14ac:dyDescent="0.25">
      <c r="A4" s="21">
        <v>1</v>
      </c>
      <c r="B4" s="50" t="s">
        <v>44</v>
      </c>
      <c r="C4" s="50">
        <v>40</v>
      </c>
      <c r="D4" s="22">
        <v>1</v>
      </c>
      <c r="F4" s="24">
        <v>95795</v>
      </c>
      <c r="G4" s="38">
        <v>142800</v>
      </c>
      <c r="H4" s="41">
        <v>64384.95</v>
      </c>
      <c r="I4" s="24">
        <v>88893</v>
      </c>
      <c r="J4" s="24">
        <v>127853.59999999999</v>
      </c>
      <c r="K4" s="37">
        <v>32725</v>
      </c>
      <c r="L4" s="24">
        <v>141312.5</v>
      </c>
      <c r="M4" s="27">
        <f t="shared" ref="M4:M17" si="0">+AVERAGE(F4,G4,H4,I4,J4,K4,L4)</f>
        <v>99109.150000000009</v>
      </c>
      <c r="N4" s="24">
        <f>+M4*C4*D4</f>
        <v>3964366.0000000005</v>
      </c>
      <c r="O4" s="24">
        <f t="shared" ref="O4:O21" si="1">+STDEV(F4:L4)</f>
        <v>41320.364790772328</v>
      </c>
      <c r="P4" s="90">
        <f t="shared" ref="P4:P21" si="2">(O4/M4)</f>
        <v>0.41691775977064</v>
      </c>
      <c r="Q4" s="91">
        <f t="shared" ref="Q4:Q17" si="3">+GEOMEAN(F4,G4,H4,I4,J4,K4,L4)</f>
        <v>89580.552922498318</v>
      </c>
      <c r="R4" s="91">
        <f>+GEOMEAN(F4,H4,I4,J4,K4,L4)</f>
        <v>82882.210868167633</v>
      </c>
      <c r="S4" s="91">
        <f t="shared" ref="S4:S21" si="4">+TRIMMEAN(F4:L4,80%)</f>
        <v>104180.53333333333</v>
      </c>
      <c r="T4" s="92">
        <f>+S4*C4*D4</f>
        <v>4167221.333333333</v>
      </c>
      <c r="U4" s="33">
        <f t="shared" ref="U4:U21" si="5">+QUARTILE(F4:L4,0)</f>
        <v>32725</v>
      </c>
      <c r="V4" s="33">
        <f t="shared" ref="V4:V21" si="6">+QUARTILE(F4:L4,1)</f>
        <v>76638.975000000006</v>
      </c>
      <c r="W4" s="54">
        <f t="shared" ref="W4:W21" si="7">+MEDIAN(F4:L4)</f>
        <v>95795</v>
      </c>
      <c r="X4" s="33">
        <f t="shared" ref="X4:X21" si="8">+QUARTILE(F4:L4,3)</f>
        <v>134583.04999999999</v>
      </c>
      <c r="Y4" s="33">
        <f>+X4*C4*D4</f>
        <v>5383322</v>
      </c>
      <c r="Z4" s="33">
        <f t="shared" ref="Z4:Z21" si="9">+QUARTILE(F4:L4,4)</f>
        <v>142800</v>
      </c>
      <c r="AA4" s="33">
        <f>(Z4-U4)</f>
        <v>110075</v>
      </c>
      <c r="AB4" s="33">
        <f>X4-V4</f>
        <v>57944.074999999983</v>
      </c>
      <c r="AC4" s="33">
        <f>(AB4-V4)*1.5</f>
        <v>-28042.350000000035</v>
      </c>
      <c r="AD4" s="33">
        <f t="shared" ref="AD4:AD21" si="10">(AB4+V4)*1.5</f>
        <v>201874.57499999998</v>
      </c>
    </row>
    <row r="5" spans="1:30" ht="25.5" x14ac:dyDescent="0.25">
      <c r="A5" s="21">
        <v>2</v>
      </c>
      <c r="B5" s="22" t="s">
        <v>45</v>
      </c>
      <c r="C5" s="22">
        <v>40000</v>
      </c>
      <c r="D5" s="22">
        <v>0.76</v>
      </c>
      <c r="F5" s="41">
        <v>19.158999999999995</v>
      </c>
      <c r="G5" s="24">
        <v>35.699999999999996</v>
      </c>
      <c r="H5" s="24">
        <v>48.79</v>
      </c>
      <c r="I5" s="37">
        <v>10.709999999999999</v>
      </c>
      <c r="J5" s="24">
        <v>95.199999999999989</v>
      </c>
      <c r="K5" s="24">
        <v>26.18</v>
      </c>
      <c r="L5" s="38">
        <v>401.625</v>
      </c>
      <c r="M5" s="27">
        <f t="shared" si="0"/>
        <v>91.052000000000007</v>
      </c>
      <c r="N5" s="24">
        <f>+M5*C5*D5</f>
        <v>2767980.8000000003</v>
      </c>
      <c r="O5" s="24">
        <f t="shared" si="1"/>
        <v>139.73458864218264</v>
      </c>
      <c r="P5" s="90">
        <f t="shared" si="2"/>
        <v>1.5346679770041585</v>
      </c>
      <c r="Q5" s="91">
        <f t="shared" si="3"/>
        <v>44.721119572659703</v>
      </c>
      <c r="R5" s="33">
        <f>+GEOMEAN(F5,G5,H5,I5,J5,K5)</f>
        <v>31.019014003484379</v>
      </c>
      <c r="S5" s="91">
        <f t="shared" si="4"/>
        <v>36.889999999999993</v>
      </c>
      <c r="T5" s="92">
        <f>+S5*C5*D5</f>
        <v>1121455.9999999998</v>
      </c>
      <c r="U5" s="33">
        <f t="shared" si="5"/>
        <v>10.709999999999999</v>
      </c>
      <c r="V5" s="33">
        <f t="shared" si="6"/>
        <v>22.669499999999999</v>
      </c>
      <c r="W5" s="54">
        <f t="shared" si="7"/>
        <v>35.699999999999996</v>
      </c>
      <c r="X5" s="33">
        <f t="shared" si="8"/>
        <v>71.99499999999999</v>
      </c>
      <c r="Y5" s="33">
        <f>+X5*C5*D5</f>
        <v>2188647.9999999995</v>
      </c>
      <c r="Z5" s="33">
        <f t="shared" si="9"/>
        <v>401.625</v>
      </c>
      <c r="AA5" s="33">
        <f t="shared" ref="AA5:AA21" si="11">(Z5-U5)</f>
        <v>390.91500000000002</v>
      </c>
      <c r="AB5" s="33">
        <f t="shared" ref="AB5:AB21" si="12">X5-V5</f>
        <v>49.325499999999991</v>
      </c>
      <c r="AC5" s="33">
        <f t="shared" ref="AC5:AC21" si="13">(AB5-V5)*1.5</f>
        <v>39.983999999999988</v>
      </c>
      <c r="AD5" s="33">
        <f t="shared" si="10"/>
        <v>107.99249999999998</v>
      </c>
    </row>
    <row r="6" spans="1:30" ht="25.5" x14ac:dyDescent="0.25">
      <c r="A6" s="21">
        <v>3</v>
      </c>
      <c r="B6" s="22" t="s">
        <v>46</v>
      </c>
      <c r="C6" s="22">
        <v>6000</v>
      </c>
      <c r="D6" s="22">
        <v>0.76</v>
      </c>
      <c r="F6" s="41">
        <v>41.055</v>
      </c>
      <c r="G6" s="24">
        <v>45.22</v>
      </c>
      <c r="H6" s="24">
        <v>48.79</v>
      </c>
      <c r="I6" s="37">
        <v>28.56</v>
      </c>
      <c r="J6" s="24">
        <v>95.199999999999989</v>
      </c>
      <c r="K6" s="24">
        <v>228.48</v>
      </c>
      <c r="L6" s="38">
        <v>401.625</v>
      </c>
      <c r="M6" s="27">
        <f t="shared" si="0"/>
        <v>126.99</v>
      </c>
      <c r="N6" s="24">
        <f>+M6*C6*D6</f>
        <v>579074.4</v>
      </c>
      <c r="O6" s="24">
        <f t="shared" si="1"/>
        <v>139.40951034631752</v>
      </c>
      <c r="P6" s="90">
        <f t="shared" si="2"/>
        <v>1.097799120767915</v>
      </c>
      <c r="Q6" s="91">
        <f t="shared" si="3"/>
        <v>80.858812501138161</v>
      </c>
      <c r="R6" s="33">
        <f>+GEOMEAN(F6,G6,H6,I6,J6,K6)</f>
        <v>61.903014109366751</v>
      </c>
      <c r="S6" s="91">
        <f t="shared" si="4"/>
        <v>63.069999999999993</v>
      </c>
      <c r="T6" s="92">
        <f>+S6*C6*D6</f>
        <v>287599.19999999995</v>
      </c>
      <c r="U6" s="33">
        <f t="shared" si="5"/>
        <v>28.56</v>
      </c>
      <c r="V6" s="33">
        <f t="shared" si="6"/>
        <v>43.137500000000003</v>
      </c>
      <c r="W6" s="54">
        <f t="shared" si="7"/>
        <v>48.79</v>
      </c>
      <c r="X6" s="33">
        <f t="shared" si="8"/>
        <v>161.83999999999997</v>
      </c>
      <c r="Y6" s="33">
        <f>+X6*C6*D6</f>
        <v>737990.39999999991</v>
      </c>
      <c r="Z6" s="33">
        <f t="shared" si="9"/>
        <v>401.625</v>
      </c>
      <c r="AA6" s="33">
        <f t="shared" si="11"/>
        <v>373.065</v>
      </c>
      <c r="AB6" s="33">
        <f t="shared" si="12"/>
        <v>118.70249999999997</v>
      </c>
      <c r="AC6" s="33">
        <f t="shared" si="13"/>
        <v>113.34749999999995</v>
      </c>
      <c r="AD6" s="33">
        <f t="shared" si="10"/>
        <v>242.75999999999996</v>
      </c>
    </row>
    <row r="7" spans="1:30" ht="38.25" x14ac:dyDescent="0.25">
      <c r="A7" s="21">
        <v>4</v>
      </c>
      <c r="B7" s="22" t="s">
        <v>47</v>
      </c>
      <c r="C7" s="22">
        <v>3</v>
      </c>
      <c r="D7" s="22">
        <v>0.76</v>
      </c>
      <c r="F7" s="24">
        <v>143.69249999999997</v>
      </c>
      <c r="G7" s="24">
        <v>195160</v>
      </c>
      <c r="H7" s="37">
        <v>76578.87999999999</v>
      </c>
      <c r="I7" s="41">
        <v>102935</v>
      </c>
      <c r="J7" s="24">
        <v>946561.7</v>
      </c>
      <c r="K7" s="38">
        <v>1547000</v>
      </c>
      <c r="L7" s="24">
        <v>1547000</v>
      </c>
      <c r="M7" s="27">
        <f t="shared" si="0"/>
        <v>630768.46750000003</v>
      </c>
      <c r="N7" s="24">
        <f>+M7*C7*D7</f>
        <v>1438152.1059000001</v>
      </c>
      <c r="O7" s="24">
        <f t="shared" si="1"/>
        <v>701410.77124314115</v>
      </c>
      <c r="P7" s="90">
        <f t="shared" si="2"/>
        <v>1.1119940316977579</v>
      </c>
      <c r="Q7" s="91">
        <f t="shared" si="3"/>
        <v>125877.07690661088</v>
      </c>
      <c r="R7" s="33">
        <f>+GEOMEAN(F7,G7,H7,I7,J7,L7)</f>
        <v>82862.119642972117</v>
      </c>
      <c r="S7" s="91">
        <f t="shared" si="4"/>
        <v>414885.56666666665</v>
      </c>
      <c r="T7" s="92">
        <f>+S7*C7*D7</f>
        <v>945939.09199999995</v>
      </c>
      <c r="U7" s="33">
        <f t="shared" si="5"/>
        <v>143.69249999999997</v>
      </c>
      <c r="V7" s="33">
        <f t="shared" si="6"/>
        <v>89756.94</v>
      </c>
      <c r="W7" s="54">
        <f t="shared" si="7"/>
        <v>195160</v>
      </c>
      <c r="X7" s="33">
        <f t="shared" si="8"/>
        <v>1246780.8500000001</v>
      </c>
      <c r="Y7" s="33">
        <f>+X7*C7*D7</f>
        <v>2842660.3380000005</v>
      </c>
      <c r="Z7" s="33">
        <f t="shared" si="9"/>
        <v>1547000</v>
      </c>
      <c r="AA7" s="33">
        <f t="shared" si="11"/>
        <v>1546856.3075000001</v>
      </c>
      <c r="AB7" s="33">
        <f t="shared" si="12"/>
        <v>1157023.9100000001</v>
      </c>
      <c r="AC7" s="33">
        <f t="shared" si="13"/>
        <v>1600900.4550000003</v>
      </c>
      <c r="AD7" s="33">
        <f t="shared" si="10"/>
        <v>1870171.2750000001</v>
      </c>
    </row>
    <row r="8" spans="1:30" ht="38.25" x14ac:dyDescent="0.25">
      <c r="A8" s="21">
        <v>5</v>
      </c>
      <c r="B8" s="22" t="s">
        <v>48</v>
      </c>
      <c r="C8" s="22">
        <v>1000</v>
      </c>
      <c r="D8" s="22">
        <v>0.76</v>
      </c>
      <c r="F8" s="38">
        <v>273.69999999999993</v>
      </c>
      <c r="G8" s="24">
        <v>135.66</v>
      </c>
      <c r="H8" s="37">
        <v>27.369999999999997</v>
      </c>
      <c r="I8" s="24">
        <v>98.77</v>
      </c>
      <c r="J8" s="24">
        <v>135.66</v>
      </c>
      <c r="K8" s="41">
        <v>26.18</v>
      </c>
      <c r="L8" s="24">
        <v>141.3125</v>
      </c>
      <c r="M8" s="27">
        <f t="shared" si="0"/>
        <v>119.80749999999998</v>
      </c>
      <c r="N8" s="24">
        <f>+M8*C8*D8</f>
        <v>91053.699999999983</v>
      </c>
      <c r="O8" s="24">
        <f t="shared" si="1"/>
        <v>84.064803041562314</v>
      </c>
      <c r="P8" s="90">
        <f t="shared" si="2"/>
        <v>0.70166561393537408</v>
      </c>
      <c r="Q8" s="91">
        <f t="shared" si="3"/>
        <v>90.669498518172176</v>
      </c>
      <c r="R8" s="33">
        <f>+GEOMEAN(G8,H8,I8,J8,K8,L8)</f>
        <v>75.42099942905979</v>
      </c>
      <c r="S8" s="91">
        <f t="shared" si="4"/>
        <v>123.36333333333334</v>
      </c>
      <c r="T8" s="92">
        <f>+S8*C8*D8</f>
        <v>93756.133333333346</v>
      </c>
      <c r="U8" s="33">
        <f t="shared" si="5"/>
        <v>26.18</v>
      </c>
      <c r="V8" s="33">
        <f t="shared" si="6"/>
        <v>63.07</v>
      </c>
      <c r="W8" s="54">
        <f t="shared" si="7"/>
        <v>135.66</v>
      </c>
      <c r="X8" s="33">
        <f t="shared" si="8"/>
        <v>138.48624999999998</v>
      </c>
      <c r="Y8" s="33">
        <f>+X8*C8*D8</f>
        <v>105249.54999999997</v>
      </c>
      <c r="Z8" s="33">
        <f t="shared" si="9"/>
        <v>273.69999999999993</v>
      </c>
      <c r="AA8" s="33">
        <f t="shared" si="11"/>
        <v>247.51999999999992</v>
      </c>
      <c r="AB8" s="33">
        <f t="shared" si="12"/>
        <v>75.416249999999991</v>
      </c>
      <c r="AC8" s="33">
        <f t="shared" si="13"/>
        <v>18.519374999999986</v>
      </c>
      <c r="AD8" s="33">
        <f t="shared" si="10"/>
        <v>207.72937499999998</v>
      </c>
    </row>
    <row r="9" spans="1:30" ht="38.25" x14ac:dyDescent="0.25">
      <c r="A9" s="21">
        <v>6</v>
      </c>
      <c r="B9" s="22" t="s">
        <v>49</v>
      </c>
      <c r="C9" s="22">
        <v>2500</v>
      </c>
      <c r="D9" s="22">
        <v>0.76</v>
      </c>
      <c r="F9" s="38">
        <v>273.69999999999993</v>
      </c>
      <c r="G9" s="24">
        <v>195.16</v>
      </c>
      <c r="H9" s="41">
        <v>66.64</v>
      </c>
      <c r="I9" s="24">
        <v>108.28999999999999</v>
      </c>
      <c r="J9" s="24">
        <v>182.07</v>
      </c>
      <c r="K9" s="37">
        <v>26.18</v>
      </c>
      <c r="L9" s="24">
        <v>113.05</v>
      </c>
      <c r="M9" s="27">
        <f t="shared" si="0"/>
        <v>137.86999999999998</v>
      </c>
      <c r="N9" s="24">
        <f>+M9*C9*D9</f>
        <v>261952.99999999997</v>
      </c>
      <c r="O9" s="24">
        <f t="shared" si="1"/>
        <v>84.384981681181472</v>
      </c>
      <c r="P9" s="90">
        <f t="shared" si="2"/>
        <v>0.61206195460347779</v>
      </c>
      <c r="Q9" s="91">
        <f t="shared" si="3"/>
        <v>111.00754732145333</v>
      </c>
      <c r="R9" s="33">
        <f>+GEOMEAN(G9,H9,I9,J9,K9,L9)</f>
        <v>95.506323093182189</v>
      </c>
      <c r="S9" s="91">
        <f t="shared" si="4"/>
        <v>134.47</v>
      </c>
      <c r="T9" s="92">
        <f>+S9*C9*D9</f>
        <v>255493</v>
      </c>
      <c r="U9" s="33">
        <f t="shared" si="5"/>
        <v>26.18</v>
      </c>
      <c r="V9" s="33">
        <f t="shared" si="6"/>
        <v>87.465000000000003</v>
      </c>
      <c r="W9" s="54">
        <f t="shared" si="7"/>
        <v>113.05</v>
      </c>
      <c r="X9" s="33">
        <f t="shared" si="8"/>
        <v>188.61500000000001</v>
      </c>
      <c r="Y9" s="33">
        <f>+X9*C9*D9</f>
        <v>358368.5</v>
      </c>
      <c r="Z9" s="33">
        <f t="shared" si="9"/>
        <v>273.69999999999993</v>
      </c>
      <c r="AA9" s="33">
        <f t="shared" si="11"/>
        <v>247.51999999999992</v>
      </c>
      <c r="AB9" s="33">
        <f t="shared" si="12"/>
        <v>101.15</v>
      </c>
      <c r="AC9" s="33">
        <f t="shared" si="13"/>
        <v>20.527500000000003</v>
      </c>
      <c r="AD9" s="33">
        <f t="shared" si="10"/>
        <v>282.92250000000001</v>
      </c>
    </row>
    <row r="10" spans="1:30" ht="25.5" x14ac:dyDescent="0.25">
      <c r="A10" s="21">
        <v>7</v>
      </c>
      <c r="B10" s="22" t="s">
        <v>50</v>
      </c>
      <c r="C10" s="22">
        <v>2000</v>
      </c>
      <c r="D10" s="22">
        <v>0.76</v>
      </c>
      <c r="F10" s="24">
        <v>205.27499999999998</v>
      </c>
      <c r="G10" s="24">
        <v>147.56</v>
      </c>
      <c r="H10" s="41">
        <v>63.07</v>
      </c>
      <c r="I10" s="24">
        <v>103.53</v>
      </c>
      <c r="J10" s="24">
        <v>88.06</v>
      </c>
      <c r="K10" s="37">
        <v>26.18</v>
      </c>
      <c r="L10" s="38">
        <v>743.75</v>
      </c>
      <c r="M10" s="27">
        <f t="shared" si="0"/>
        <v>196.77499999999995</v>
      </c>
      <c r="N10" s="24">
        <f>+M10*C10*D10</f>
        <v>299097.99999999994</v>
      </c>
      <c r="O10" s="24">
        <f t="shared" si="1"/>
        <v>248.0488121150083</v>
      </c>
      <c r="P10" s="90">
        <f t="shared" si="2"/>
        <v>1.2605707641469108</v>
      </c>
      <c r="Q10" s="91">
        <f t="shared" si="3"/>
        <v>119.06030966473713</v>
      </c>
      <c r="R10" s="33">
        <f>+GEOMEAN(F10,G10,H10,I10,J10,K10)</f>
        <v>87.731794487901965</v>
      </c>
      <c r="S10" s="91">
        <f t="shared" si="4"/>
        <v>113.05</v>
      </c>
      <c r="T10" s="92">
        <f>+S10*C10*D10</f>
        <v>171836</v>
      </c>
      <c r="U10" s="33">
        <f t="shared" si="5"/>
        <v>26.18</v>
      </c>
      <c r="V10" s="33">
        <f t="shared" si="6"/>
        <v>75.564999999999998</v>
      </c>
      <c r="W10" s="54">
        <f t="shared" si="7"/>
        <v>103.53</v>
      </c>
      <c r="X10" s="33">
        <f t="shared" si="8"/>
        <v>176.41749999999999</v>
      </c>
      <c r="Y10" s="33">
        <f>+X10*C10*D10</f>
        <v>268154.59999999998</v>
      </c>
      <c r="Z10" s="33">
        <f t="shared" si="9"/>
        <v>743.75</v>
      </c>
      <c r="AA10" s="33">
        <f t="shared" si="11"/>
        <v>717.57</v>
      </c>
      <c r="AB10" s="33">
        <f t="shared" si="12"/>
        <v>100.85249999999999</v>
      </c>
      <c r="AC10" s="33">
        <f t="shared" si="13"/>
        <v>37.931249999999991</v>
      </c>
      <c r="AD10" s="33">
        <f t="shared" si="10"/>
        <v>264.62624999999997</v>
      </c>
    </row>
    <row r="11" spans="1:30" x14ac:dyDescent="0.25">
      <c r="A11" s="21">
        <v>8</v>
      </c>
      <c r="B11" s="22" t="s">
        <v>51</v>
      </c>
      <c r="C11" s="22">
        <v>2000</v>
      </c>
      <c r="D11" s="22">
        <v>0.76</v>
      </c>
      <c r="F11" s="41">
        <v>128.63899999999998</v>
      </c>
      <c r="G11" s="24">
        <v>147.56</v>
      </c>
      <c r="H11" s="24">
        <v>168.98</v>
      </c>
      <c r="I11" s="24">
        <v>166.6</v>
      </c>
      <c r="J11" s="37">
        <v>95.199999999999989</v>
      </c>
      <c r="K11" s="24">
        <v>228.48</v>
      </c>
      <c r="L11" s="38">
        <v>321.3</v>
      </c>
      <c r="M11" s="27">
        <f t="shared" si="0"/>
        <v>179.53700000000001</v>
      </c>
      <c r="N11" s="24">
        <f>+M11*C11*D11</f>
        <v>272896.24</v>
      </c>
      <c r="O11" s="24">
        <f t="shared" si="1"/>
        <v>74.718188479557384</v>
      </c>
      <c r="P11" s="90">
        <f t="shared" si="2"/>
        <v>0.41617153277350843</v>
      </c>
      <c r="Q11" s="91">
        <f t="shared" si="3"/>
        <v>167.72846839435292</v>
      </c>
      <c r="R11" s="33">
        <f>+GEOMEAN(F11,G11,H11,I11,J11,K11)</f>
        <v>150.50680061577873</v>
      </c>
      <c r="S11" s="91">
        <f t="shared" si="4"/>
        <v>161.04666666666665</v>
      </c>
      <c r="T11" s="92">
        <f>+S11*C11*D11</f>
        <v>244790.93333333332</v>
      </c>
      <c r="U11" s="33">
        <f t="shared" si="5"/>
        <v>95.199999999999989</v>
      </c>
      <c r="V11" s="33">
        <f t="shared" si="6"/>
        <v>138.09949999999998</v>
      </c>
      <c r="W11" s="54">
        <f t="shared" si="7"/>
        <v>166.6</v>
      </c>
      <c r="X11" s="33">
        <f t="shared" si="8"/>
        <v>198.73</v>
      </c>
      <c r="Y11" s="33">
        <f>+X11*C11*D11</f>
        <v>302069.59999999998</v>
      </c>
      <c r="Z11" s="33">
        <f t="shared" si="9"/>
        <v>321.3</v>
      </c>
      <c r="AA11" s="33">
        <f t="shared" si="11"/>
        <v>226.10000000000002</v>
      </c>
      <c r="AB11" s="33">
        <f t="shared" si="12"/>
        <v>60.630500000000012</v>
      </c>
      <c r="AC11" s="33">
        <f t="shared" si="13"/>
        <v>-116.20349999999995</v>
      </c>
      <c r="AD11" s="33">
        <f t="shared" si="10"/>
        <v>298.09499999999997</v>
      </c>
    </row>
    <row r="12" spans="1:30" x14ac:dyDescent="0.25">
      <c r="A12" s="21">
        <v>9</v>
      </c>
      <c r="B12" s="51" t="s">
        <v>52</v>
      </c>
      <c r="C12" s="50">
        <v>3</v>
      </c>
      <c r="D12" s="22">
        <v>1</v>
      </c>
      <c r="F12" s="24">
        <v>437920</v>
      </c>
      <c r="G12" s="24">
        <v>416500</v>
      </c>
      <c r="H12" s="41">
        <v>332369.38</v>
      </c>
      <c r="I12" s="38">
        <v>931651</v>
      </c>
      <c r="J12" s="37">
        <v>63104.509999999995</v>
      </c>
      <c r="K12" s="24">
        <v>430066</v>
      </c>
      <c r="L12" s="24">
        <v>223125</v>
      </c>
      <c r="M12" s="27">
        <f t="shared" si="0"/>
        <v>404962.26999999996</v>
      </c>
      <c r="N12" s="24">
        <f>+M12*C12*D12</f>
        <v>1214886.8099999998</v>
      </c>
      <c r="O12" s="24">
        <f t="shared" si="1"/>
        <v>269088.52176097943</v>
      </c>
      <c r="P12" s="90">
        <f t="shared" si="2"/>
        <v>0.66447800621272557</v>
      </c>
      <c r="Q12" s="91">
        <f t="shared" si="3"/>
        <v>319787.22673977079</v>
      </c>
      <c r="R12" s="33">
        <f>+GEOMEAN(F12,G12,H12,J12,K12,L12)</f>
        <v>267585.4053531714</v>
      </c>
      <c r="S12" s="91">
        <f t="shared" si="4"/>
        <v>392978.45999999996</v>
      </c>
      <c r="T12" s="92">
        <f>+S12*C12*D12</f>
        <v>1178935.3799999999</v>
      </c>
      <c r="U12" s="33">
        <f t="shared" si="5"/>
        <v>63104.509999999995</v>
      </c>
      <c r="V12" s="33">
        <f t="shared" si="6"/>
        <v>277747.19</v>
      </c>
      <c r="W12" s="54">
        <f t="shared" si="7"/>
        <v>416500</v>
      </c>
      <c r="X12" s="33">
        <f t="shared" si="8"/>
        <v>433993</v>
      </c>
      <c r="Y12" s="33">
        <f>+X12*C12*D12</f>
        <v>1301979</v>
      </c>
      <c r="Z12" s="33">
        <f t="shared" si="9"/>
        <v>931651</v>
      </c>
      <c r="AA12" s="33">
        <f t="shared" si="11"/>
        <v>868546.49</v>
      </c>
      <c r="AB12" s="33">
        <f t="shared" si="12"/>
        <v>156245.81</v>
      </c>
      <c r="AC12" s="33">
        <f t="shared" si="13"/>
        <v>-182252.07</v>
      </c>
      <c r="AD12" s="33">
        <f t="shared" si="10"/>
        <v>650989.5</v>
      </c>
    </row>
    <row r="13" spans="1:30" x14ac:dyDescent="0.25">
      <c r="A13" s="21">
        <v>10</v>
      </c>
      <c r="B13" s="51" t="s">
        <v>53</v>
      </c>
      <c r="C13" s="50">
        <v>2</v>
      </c>
      <c r="D13" s="22">
        <v>1</v>
      </c>
      <c r="F13" s="24">
        <v>478974.99999999988</v>
      </c>
      <c r="G13" s="24">
        <v>416500</v>
      </c>
      <c r="H13" s="41">
        <v>332369.38</v>
      </c>
      <c r="I13" s="24">
        <v>900473</v>
      </c>
      <c r="J13" s="38">
        <v>1047865.21</v>
      </c>
      <c r="K13" s="24">
        <v>430066</v>
      </c>
      <c r="L13" s="37">
        <v>193375</v>
      </c>
      <c r="M13" s="27">
        <f t="shared" si="0"/>
        <v>542803.37</v>
      </c>
      <c r="N13" s="24">
        <f>+M13*C13*D13</f>
        <v>1085606.74</v>
      </c>
      <c r="O13" s="24">
        <f t="shared" si="1"/>
        <v>311484.08012861863</v>
      </c>
      <c r="P13" s="90">
        <f t="shared" si="2"/>
        <v>0.57384330559447083</v>
      </c>
      <c r="Q13" s="91">
        <f t="shared" si="3"/>
        <v>471792.99400922749</v>
      </c>
      <c r="R13" s="33">
        <f>+GEOMEAN(F13,G13,H13,I13,J13,K13,L13)</f>
        <v>471792.99400922749</v>
      </c>
      <c r="S13" s="91">
        <f t="shared" si="4"/>
        <v>441847</v>
      </c>
      <c r="T13" s="92">
        <f>+S13*C13*D13</f>
        <v>883694</v>
      </c>
      <c r="U13" s="33">
        <f t="shared" si="5"/>
        <v>193375</v>
      </c>
      <c r="V13" s="33">
        <f t="shared" si="6"/>
        <v>374434.69</v>
      </c>
      <c r="W13" s="54">
        <f t="shared" si="7"/>
        <v>430066</v>
      </c>
      <c r="X13" s="33">
        <f t="shared" si="8"/>
        <v>689724</v>
      </c>
      <c r="Y13" s="33">
        <f>+X13*C13*D13</f>
        <v>1379448</v>
      </c>
      <c r="Z13" s="33">
        <f t="shared" si="9"/>
        <v>1047865.21</v>
      </c>
      <c r="AA13" s="33">
        <f t="shared" si="11"/>
        <v>854490.21</v>
      </c>
      <c r="AB13" s="33">
        <f t="shared" si="12"/>
        <v>315289.31</v>
      </c>
      <c r="AC13" s="33">
        <f t="shared" si="13"/>
        <v>-88718.07</v>
      </c>
      <c r="AD13" s="33">
        <f t="shared" si="10"/>
        <v>1034586</v>
      </c>
    </row>
    <row r="14" spans="1:30" ht="25.5" x14ac:dyDescent="0.25">
      <c r="A14" s="21">
        <v>11</v>
      </c>
      <c r="B14" s="28" t="s">
        <v>54</v>
      </c>
      <c r="C14" s="28">
        <v>20000</v>
      </c>
      <c r="D14" s="22">
        <v>0.76</v>
      </c>
      <c r="F14" s="24">
        <v>19.158999999999995</v>
      </c>
      <c r="G14" s="38">
        <v>29.75</v>
      </c>
      <c r="H14" s="24">
        <v>27.369999999999997</v>
      </c>
      <c r="I14" s="24">
        <v>15.469999999999999</v>
      </c>
      <c r="J14" s="24">
        <v>8.33</v>
      </c>
      <c r="K14" s="37">
        <v>3.0939999999999999</v>
      </c>
      <c r="L14" s="41">
        <v>5.9499999999999993</v>
      </c>
      <c r="M14" s="27">
        <f t="shared" si="0"/>
        <v>15.588999999999999</v>
      </c>
      <c r="N14" s="24">
        <f>+M14*C14*D14</f>
        <v>236952.8</v>
      </c>
      <c r="O14" s="24">
        <f t="shared" si="1"/>
        <v>10.438816743290401</v>
      </c>
      <c r="P14" s="90">
        <f t="shared" si="2"/>
        <v>0.66962709239145568</v>
      </c>
      <c r="Q14" s="91">
        <f t="shared" si="3"/>
        <v>12.05554204838117</v>
      </c>
      <c r="R14" s="33">
        <f>+GEOMEAN(F14,H14,I14,J14,K14,L14)</f>
        <v>10.370587755745909</v>
      </c>
      <c r="S14" s="91">
        <f t="shared" si="4"/>
        <v>14.319666666666663</v>
      </c>
      <c r="T14" s="92">
        <f>+S14*C14*D14</f>
        <v>217658.93333333329</v>
      </c>
      <c r="U14" s="33">
        <f t="shared" si="5"/>
        <v>3.0939999999999999</v>
      </c>
      <c r="V14" s="33">
        <f t="shared" si="6"/>
        <v>7.14</v>
      </c>
      <c r="W14" s="54">
        <f t="shared" si="7"/>
        <v>15.469999999999999</v>
      </c>
      <c r="X14" s="33">
        <f t="shared" si="8"/>
        <v>23.264499999999998</v>
      </c>
      <c r="Y14" s="33">
        <f>+X14*C14*D14</f>
        <v>353620.39999999997</v>
      </c>
      <c r="Z14" s="33">
        <f t="shared" si="9"/>
        <v>29.75</v>
      </c>
      <c r="AA14" s="33">
        <f t="shared" si="11"/>
        <v>26.655999999999999</v>
      </c>
      <c r="AB14" s="33">
        <f t="shared" si="12"/>
        <v>16.124499999999998</v>
      </c>
      <c r="AC14" s="33">
        <f t="shared" si="13"/>
        <v>13.476749999999996</v>
      </c>
      <c r="AD14" s="33">
        <f t="shared" si="10"/>
        <v>34.896749999999997</v>
      </c>
    </row>
    <row r="15" spans="1:30" x14ac:dyDescent="0.25">
      <c r="A15" s="21">
        <v>12</v>
      </c>
      <c r="B15" s="28" t="s">
        <v>55</v>
      </c>
      <c r="C15" s="28">
        <v>20000</v>
      </c>
      <c r="D15" s="22">
        <v>0.76</v>
      </c>
      <c r="F15" s="24">
        <v>823.83699999999988</v>
      </c>
      <c r="G15" s="24">
        <v>416.5</v>
      </c>
      <c r="H15" s="38">
        <v>966.28</v>
      </c>
      <c r="I15" s="24">
        <v>654.5</v>
      </c>
      <c r="J15" s="24">
        <v>921.06</v>
      </c>
      <c r="K15" s="41">
        <v>247.51999999999998</v>
      </c>
      <c r="L15" s="37">
        <v>111.5625</v>
      </c>
      <c r="M15" s="27">
        <f t="shared" si="0"/>
        <v>591.60850000000005</v>
      </c>
      <c r="N15" s="24">
        <f>+M15*C15*D15</f>
        <v>8992449.2000000011</v>
      </c>
      <c r="O15" s="24">
        <f t="shared" si="1"/>
        <v>338.20764959550604</v>
      </c>
      <c r="P15" s="90">
        <f t="shared" si="2"/>
        <v>0.57167476396215744</v>
      </c>
      <c r="Q15" s="91">
        <f t="shared" si="3"/>
        <v>475.78659238140148</v>
      </c>
      <c r="R15" s="33">
        <f>+GEOMEAN(F15,G15,I15,J15,K15,L15)</f>
        <v>422.79554352120221</v>
      </c>
      <c r="S15" s="91">
        <f t="shared" si="4"/>
        <v>631.61233333333337</v>
      </c>
      <c r="T15" s="92">
        <f>+S15*C15*D15</f>
        <v>9600507.4666666687</v>
      </c>
      <c r="U15" s="33">
        <f t="shared" si="5"/>
        <v>111.5625</v>
      </c>
      <c r="V15" s="33">
        <f t="shared" si="6"/>
        <v>332.01</v>
      </c>
      <c r="W15" s="54">
        <f t="shared" si="7"/>
        <v>654.5</v>
      </c>
      <c r="X15" s="33">
        <f t="shared" si="8"/>
        <v>872.44849999999997</v>
      </c>
      <c r="Y15" s="33">
        <f>+X15*C15*D15</f>
        <v>13261217.199999999</v>
      </c>
      <c r="Z15" s="33">
        <f t="shared" si="9"/>
        <v>966.28</v>
      </c>
      <c r="AA15" s="33">
        <f t="shared" si="11"/>
        <v>854.71749999999997</v>
      </c>
      <c r="AB15" s="33">
        <f t="shared" si="12"/>
        <v>540.43849999999998</v>
      </c>
      <c r="AC15" s="33">
        <f t="shared" si="13"/>
        <v>312.64274999999998</v>
      </c>
      <c r="AD15" s="33">
        <f t="shared" si="10"/>
        <v>1308.67275</v>
      </c>
    </row>
    <row r="16" spans="1:30" ht="25.5" x14ac:dyDescent="0.25">
      <c r="A16" s="21">
        <v>13</v>
      </c>
      <c r="B16" s="50" t="s">
        <v>57</v>
      </c>
      <c r="C16" s="50">
        <v>18</v>
      </c>
      <c r="D16" s="22">
        <v>1</v>
      </c>
      <c r="F16" s="38">
        <v>1094799.9999999998</v>
      </c>
      <c r="G16" s="24">
        <v>452200</v>
      </c>
      <c r="H16" s="24">
        <v>474813.57</v>
      </c>
      <c r="I16" s="24">
        <v>695198</v>
      </c>
      <c r="J16" s="24">
        <v>1047865.21</v>
      </c>
      <c r="K16" s="41">
        <v>430066</v>
      </c>
      <c r="L16" s="37">
        <v>389725</v>
      </c>
      <c r="M16" s="27">
        <f t="shared" si="0"/>
        <v>654952.53999999992</v>
      </c>
      <c r="N16" s="24">
        <f>+M16*C16*D16</f>
        <v>11789145.719999999</v>
      </c>
      <c r="O16" s="24">
        <f t="shared" si="1"/>
        <v>301093.58905007376</v>
      </c>
      <c r="P16" s="90">
        <f t="shared" si="2"/>
        <v>0.45971817904557449</v>
      </c>
      <c r="Q16" s="91">
        <f t="shared" si="3"/>
        <v>602142.66057613085</v>
      </c>
      <c r="R16" s="33">
        <f>+GEOMEAN(G16,H16,I16,J16,K16,L16)</f>
        <v>545038.06225795893</v>
      </c>
      <c r="S16" s="91">
        <f t="shared" si="4"/>
        <v>540737.19000000006</v>
      </c>
      <c r="T16" s="92">
        <f>+S16*C16*D16</f>
        <v>9733269.4200000018</v>
      </c>
      <c r="U16" s="33">
        <f t="shared" si="5"/>
        <v>389725</v>
      </c>
      <c r="V16" s="33">
        <f t="shared" si="6"/>
        <v>441133</v>
      </c>
      <c r="W16" s="54">
        <f t="shared" si="7"/>
        <v>474813.57</v>
      </c>
      <c r="X16" s="33">
        <f t="shared" si="8"/>
        <v>871531.60499999998</v>
      </c>
      <c r="Y16" s="33">
        <f>+X16*C16*D16</f>
        <v>15687568.890000001</v>
      </c>
      <c r="Z16" s="33">
        <f t="shared" si="9"/>
        <v>1094799.9999999998</v>
      </c>
      <c r="AA16" s="33">
        <f t="shared" si="11"/>
        <v>705074.99999999977</v>
      </c>
      <c r="AB16" s="33">
        <f t="shared" si="12"/>
        <v>430398.60499999998</v>
      </c>
      <c r="AC16" s="33">
        <f t="shared" si="13"/>
        <v>-16101.592500000028</v>
      </c>
      <c r="AD16" s="33">
        <f t="shared" si="10"/>
        <v>1307297.4075</v>
      </c>
    </row>
    <row r="17" spans="1:30" x14ac:dyDescent="0.25">
      <c r="A17" s="21">
        <v>14</v>
      </c>
      <c r="B17" s="50" t="s">
        <v>58</v>
      </c>
      <c r="C17" s="50">
        <v>1</v>
      </c>
      <c r="D17" s="22">
        <v>1</v>
      </c>
      <c r="F17" s="38">
        <v>5474000</v>
      </c>
      <c r="G17" s="24">
        <v>3808000</v>
      </c>
      <c r="H17" s="24">
        <v>4727240.49</v>
      </c>
      <c r="I17" s="24">
        <v>5302640</v>
      </c>
      <c r="J17" s="24">
        <v>2704459.4499999997</v>
      </c>
      <c r="K17" s="37">
        <v>714000</v>
      </c>
      <c r="L17" s="41">
        <v>2231250</v>
      </c>
      <c r="M17" s="27">
        <f t="shared" si="0"/>
        <v>3565941.4200000004</v>
      </c>
      <c r="N17" s="24">
        <f>+M17*C17*D17</f>
        <v>3565941.4200000004</v>
      </c>
      <c r="O17" s="24">
        <f t="shared" si="1"/>
        <v>1766405.9378197114</v>
      </c>
      <c r="P17" s="90">
        <f t="shared" si="2"/>
        <v>0.49535472678059617</v>
      </c>
      <c r="Q17" s="91">
        <f t="shared" si="3"/>
        <v>3012439.6561436784</v>
      </c>
      <c r="R17" s="33">
        <f>+GEOMEAN(G17,H17,I17,J17,K17,L17)</f>
        <v>2727013.4706971855</v>
      </c>
      <c r="S17" s="91">
        <f t="shared" si="4"/>
        <v>3746566.6466666665</v>
      </c>
      <c r="T17" s="92">
        <f>+S17*C17*D17</f>
        <v>3746566.6466666665</v>
      </c>
      <c r="U17" s="33">
        <f t="shared" si="5"/>
        <v>714000</v>
      </c>
      <c r="V17" s="33">
        <f t="shared" si="6"/>
        <v>2467854.7249999996</v>
      </c>
      <c r="W17" s="54">
        <f t="shared" si="7"/>
        <v>3808000</v>
      </c>
      <c r="X17" s="33">
        <f t="shared" si="8"/>
        <v>5014940.2450000001</v>
      </c>
      <c r="Y17" s="33">
        <f>+X17*C17*D17</f>
        <v>5014940.2450000001</v>
      </c>
      <c r="Z17" s="33">
        <f t="shared" si="9"/>
        <v>5474000</v>
      </c>
      <c r="AA17" s="33">
        <f t="shared" si="11"/>
        <v>4760000</v>
      </c>
      <c r="AB17" s="33">
        <f t="shared" si="12"/>
        <v>2547085.5200000005</v>
      </c>
      <c r="AC17" s="33">
        <f t="shared" si="13"/>
        <v>118846.19250000129</v>
      </c>
      <c r="AD17" s="33">
        <f t="shared" si="10"/>
        <v>7522410.3674999997</v>
      </c>
    </row>
    <row r="18" spans="1:30" x14ac:dyDescent="0.25">
      <c r="A18" s="21">
        <v>15</v>
      </c>
      <c r="B18" s="22" t="s">
        <v>59</v>
      </c>
      <c r="C18" s="22">
        <v>1500</v>
      </c>
      <c r="D18" s="22">
        <v>0.76</v>
      </c>
      <c r="G18" s="24">
        <v>919.87</v>
      </c>
      <c r="H18" s="37">
        <v>47.599999999999994</v>
      </c>
      <c r="I18" s="41">
        <v>785.4</v>
      </c>
      <c r="J18" s="24">
        <v>3493.8399999999997</v>
      </c>
      <c r="K18" s="30">
        <v>0</v>
      </c>
      <c r="L18" s="38">
        <v>29750</v>
      </c>
      <c r="M18" s="27">
        <f>+AVERAGE(G18,H18,I18,J18,L18)</f>
        <v>6999.3419999999996</v>
      </c>
      <c r="N18" s="24">
        <f>+M18*C18*D18</f>
        <v>7979249.8799999999</v>
      </c>
      <c r="O18" s="24">
        <f t="shared" si="1"/>
        <v>11786.487284557261</v>
      </c>
      <c r="P18" s="90">
        <f t="shared" si="2"/>
        <v>1.6839421883596002</v>
      </c>
      <c r="Q18" s="91">
        <f>+GEOMEAN(G18,H18,I18,J18,L18)</f>
        <v>1290.1578747372996</v>
      </c>
      <c r="R18" s="33">
        <f>+GEOMEAN(G18,H18,I18,J18)</f>
        <v>588.75123264177216</v>
      </c>
      <c r="S18" s="91">
        <f t="shared" si="4"/>
        <v>852.63499999999999</v>
      </c>
      <c r="T18" s="92">
        <f>+S18*C18*D18</f>
        <v>972003.9</v>
      </c>
      <c r="U18" s="33">
        <f t="shared" si="5"/>
        <v>0</v>
      </c>
      <c r="V18" s="33">
        <f t="shared" si="6"/>
        <v>232.04999999999998</v>
      </c>
      <c r="W18" s="54">
        <f t="shared" si="7"/>
        <v>852.63499999999999</v>
      </c>
      <c r="X18" s="33">
        <f t="shared" si="8"/>
        <v>2850.3474999999999</v>
      </c>
      <c r="Y18" s="33">
        <f>+X18*C18*D18</f>
        <v>3249396.15</v>
      </c>
      <c r="Z18" s="33">
        <f t="shared" si="9"/>
        <v>29750</v>
      </c>
      <c r="AA18" s="33">
        <f t="shared" si="11"/>
        <v>29750</v>
      </c>
      <c r="AB18" s="33">
        <f t="shared" si="12"/>
        <v>2618.2974999999997</v>
      </c>
      <c r="AC18" s="33">
        <f t="shared" si="13"/>
        <v>3579.3712499999992</v>
      </c>
      <c r="AD18" s="33">
        <f t="shared" si="10"/>
        <v>4275.5212499999998</v>
      </c>
    </row>
    <row r="19" spans="1:30" x14ac:dyDescent="0.25">
      <c r="A19" s="21">
        <v>16</v>
      </c>
      <c r="B19" s="52" t="s">
        <v>60</v>
      </c>
      <c r="C19" s="52">
        <v>1</v>
      </c>
      <c r="D19" s="22">
        <v>1</v>
      </c>
      <c r="G19" s="24">
        <v>2975000</v>
      </c>
      <c r="H19" s="24">
        <v>2848879.04</v>
      </c>
      <c r="I19" s="38">
        <v>5202680</v>
      </c>
      <c r="J19" s="41">
        <v>1130464.3</v>
      </c>
      <c r="K19" s="24">
        <v>2380000</v>
      </c>
      <c r="L19" s="37">
        <v>535500</v>
      </c>
      <c r="M19" s="27">
        <f>+AVERAGE(G19,H19,I19,J19,K19,L19)</f>
        <v>2512087.2233333332</v>
      </c>
      <c r="N19" s="24">
        <f>+M19*C19*D19</f>
        <v>2512087.2233333332</v>
      </c>
      <c r="O19" s="24">
        <f t="shared" si="1"/>
        <v>1637084.7531339575</v>
      </c>
      <c r="P19" s="90">
        <f t="shared" si="2"/>
        <v>0.65168308565404054</v>
      </c>
      <c r="Q19" s="91">
        <f>+GEOMEAN(F19,G19,H19,I19,J19,K19,L19)</f>
        <v>1997546.4936774266</v>
      </c>
      <c r="R19" s="33">
        <f>+GEOMEAN(G19,H19,J19,K19,L19)</f>
        <v>1649494.4280168959</v>
      </c>
      <c r="S19" s="91">
        <f t="shared" si="4"/>
        <v>2614439.52</v>
      </c>
      <c r="T19" s="92">
        <f>+S19*C19*D19</f>
        <v>2614439.52</v>
      </c>
      <c r="U19" s="33">
        <f t="shared" si="5"/>
        <v>535500</v>
      </c>
      <c r="V19" s="33">
        <f t="shared" si="6"/>
        <v>1442848.2250000001</v>
      </c>
      <c r="W19" s="54">
        <f t="shared" si="7"/>
        <v>2614439.52</v>
      </c>
      <c r="X19" s="33">
        <f t="shared" si="8"/>
        <v>2943469.76</v>
      </c>
      <c r="Y19" s="33">
        <f>+X19*C19*D19</f>
        <v>2943469.76</v>
      </c>
      <c r="Z19" s="33">
        <f t="shared" si="9"/>
        <v>5202680</v>
      </c>
      <c r="AA19" s="33">
        <f t="shared" si="11"/>
        <v>4667180</v>
      </c>
      <c r="AB19" s="33">
        <f t="shared" si="12"/>
        <v>1500621.5349999997</v>
      </c>
      <c r="AC19" s="33">
        <f t="shared" si="13"/>
        <v>86659.964999999385</v>
      </c>
      <c r="AD19" s="33">
        <f t="shared" si="10"/>
        <v>4415204.6399999997</v>
      </c>
    </row>
    <row r="20" spans="1:30" x14ac:dyDescent="0.25">
      <c r="A20" s="21">
        <v>17</v>
      </c>
      <c r="B20" s="50" t="s">
        <v>61</v>
      </c>
      <c r="C20" s="50">
        <v>1</v>
      </c>
      <c r="D20" s="22">
        <v>1</v>
      </c>
      <c r="G20" s="24">
        <v>1785000</v>
      </c>
      <c r="H20" s="38">
        <v>2389260.58</v>
      </c>
      <c r="I20" s="24">
        <v>1489880</v>
      </c>
      <c r="J20" s="37">
        <v>183903.78999999998</v>
      </c>
      <c r="K20" s="24">
        <v>754626.6</v>
      </c>
      <c r="L20" s="41">
        <v>535500</v>
      </c>
      <c r="M20" s="27">
        <f>+AVERAGE(G20,H20,I20,J20,K20,L20)</f>
        <v>1189695.1616666666</v>
      </c>
      <c r="N20" s="24">
        <f>+M20*C20*D20</f>
        <v>1189695.1616666666</v>
      </c>
      <c r="O20" s="24">
        <f t="shared" si="1"/>
        <v>838132.23619992158</v>
      </c>
      <c r="P20" s="90">
        <f t="shared" si="2"/>
        <v>0.70449327122232397</v>
      </c>
      <c r="Q20" s="91">
        <f>+GEOMEAN(F20,G20,H20,I20,J20,K20,L20)</f>
        <v>882448.18761357956</v>
      </c>
      <c r="R20" s="33">
        <f>+GEOMEAN(G20,I20,J20,K20,L20)</f>
        <v>723060.03027387976</v>
      </c>
      <c r="S20" s="91">
        <f t="shared" si="4"/>
        <v>1122253.3</v>
      </c>
      <c r="T20" s="92">
        <f>+S20*C20*D20</f>
        <v>1122253.3</v>
      </c>
      <c r="U20" s="33">
        <f t="shared" si="5"/>
        <v>183903.78999999998</v>
      </c>
      <c r="V20" s="33">
        <f t="shared" si="6"/>
        <v>590281.65</v>
      </c>
      <c r="W20" s="54">
        <f t="shared" si="7"/>
        <v>1122253.3</v>
      </c>
      <c r="X20" s="33">
        <f t="shared" si="8"/>
        <v>1711220</v>
      </c>
      <c r="Y20" s="33">
        <f>+X20*C20*D20</f>
        <v>1711220</v>
      </c>
      <c r="Z20" s="33">
        <f t="shared" si="9"/>
        <v>2389260.58</v>
      </c>
      <c r="AA20" s="33">
        <f t="shared" si="11"/>
        <v>2205356.79</v>
      </c>
      <c r="AB20" s="33">
        <f t="shared" si="12"/>
        <v>1120938.3500000001</v>
      </c>
      <c r="AC20" s="33">
        <f t="shared" si="13"/>
        <v>795985.05</v>
      </c>
      <c r="AD20" s="33">
        <f t="shared" si="10"/>
        <v>2566830</v>
      </c>
    </row>
    <row r="21" spans="1:30" ht="25.5" x14ac:dyDescent="0.25">
      <c r="A21" s="21">
        <v>18</v>
      </c>
      <c r="B21" s="22" t="s">
        <v>62</v>
      </c>
      <c r="C21" s="22">
        <v>1000</v>
      </c>
      <c r="D21" s="22">
        <v>0.76</v>
      </c>
      <c r="G21" s="38">
        <v>416.5</v>
      </c>
      <c r="H21" s="24">
        <v>211.82</v>
      </c>
      <c r="I21" s="24">
        <v>392.7</v>
      </c>
      <c r="J21" s="41">
        <v>164.22</v>
      </c>
      <c r="K21" s="37">
        <v>95.199999999999989</v>
      </c>
      <c r="L21" s="24">
        <v>321.3</v>
      </c>
      <c r="M21" s="27">
        <f>+AVERAGE(G21,H21,I21,J21,K21,L21)</f>
        <v>266.95666666666665</v>
      </c>
      <c r="N21" s="24">
        <f>+M21*C21*D21</f>
        <v>202887.06666666665</v>
      </c>
      <c r="O21" s="24">
        <f t="shared" si="1"/>
        <v>129.78676321823679</v>
      </c>
      <c r="P21" s="90">
        <f t="shared" si="2"/>
        <v>0.48617165039857951</v>
      </c>
      <c r="Q21" s="91">
        <f>+GEOMEAN(F21,G21,H21,I21,J21,K21,L21)</f>
        <v>236.28497083893879</v>
      </c>
      <c r="R21" s="33">
        <f>+GEOMEAN(H21,I21,J21,K21,L21)</f>
        <v>210.96009742025797</v>
      </c>
      <c r="S21" s="91">
        <f t="shared" si="4"/>
        <v>266.56</v>
      </c>
      <c r="T21" s="92">
        <f>+S21*C21*D21</f>
        <v>202585.60000000001</v>
      </c>
      <c r="U21" s="33">
        <f t="shared" si="5"/>
        <v>95.199999999999989</v>
      </c>
      <c r="V21" s="33">
        <f t="shared" si="6"/>
        <v>176.12</v>
      </c>
      <c r="W21" s="54">
        <f t="shared" si="7"/>
        <v>266.56</v>
      </c>
      <c r="X21" s="33">
        <f t="shared" si="8"/>
        <v>374.85</v>
      </c>
      <c r="Y21" s="33">
        <f>+X21*C21*D21</f>
        <v>284886</v>
      </c>
      <c r="Z21" s="33">
        <f t="shared" si="9"/>
        <v>416.5</v>
      </c>
      <c r="AA21" s="33">
        <f t="shared" si="11"/>
        <v>321.3</v>
      </c>
      <c r="AB21" s="33">
        <f t="shared" si="12"/>
        <v>198.73000000000002</v>
      </c>
      <c r="AC21" s="33">
        <f t="shared" si="13"/>
        <v>33.91500000000002</v>
      </c>
      <c r="AD21" s="33">
        <f t="shared" si="10"/>
        <v>562.27500000000009</v>
      </c>
    </row>
    <row r="22" spans="1:30" x14ac:dyDescent="0.25">
      <c r="M22" s="39">
        <f>+SUM(M4:M21)</f>
        <v>9609045.1301666666</v>
      </c>
      <c r="N22" s="39">
        <f>+SUM(N4:N21)</f>
        <v>48443476.267566681</v>
      </c>
      <c r="O22" s="39"/>
      <c r="P22" s="93">
        <f>SUM(P4:P21)</f>
        <v>14.112835024321267</v>
      </c>
      <c r="Q22" s="39"/>
      <c r="R22" s="39"/>
      <c r="S22" s="39"/>
      <c r="T22" s="39"/>
      <c r="U22" s="39"/>
      <c r="V22" s="39"/>
      <c r="W22" s="39"/>
      <c r="X22" s="39"/>
      <c r="Y22" s="39">
        <f t="shared" ref="Y22" si="14">+SUM(Y4:Y21)</f>
        <v>57374208.632999994</v>
      </c>
    </row>
    <row r="23" spans="1:30" x14ac:dyDescent="0.25">
      <c r="M23" s="39"/>
      <c r="N23" s="39"/>
      <c r="O23" s="47"/>
      <c r="P23" s="47"/>
    </row>
    <row r="24" spans="1:30" x14ac:dyDescent="0.25">
      <c r="M24" s="39"/>
      <c r="N24" s="39"/>
      <c r="O24" s="39"/>
      <c r="P24" s="39"/>
    </row>
  </sheetData>
  <mergeCells count="1">
    <mergeCell ref="AC2:AD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BF8C1-7294-444A-AA69-3ED59ABEB681}">
  <dimension ref="A1:AC24"/>
  <sheetViews>
    <sheetView topLeftCell="A2" zoomScale="90" zoomScaleNormal="90" workbookViewId="0">
      <pane xSplit="3" ySplit="2" topLeftCell="D4" activePane="bottomRight" state="frozen"/>
      <selection activeCell="A2" sqref="A2"/>
      <selection pane="topRight" activeCell="D2" sqref="D2"/>
      <selection pane="bottomLeft" activeCell="A4" sqref="A4"/>
      <selection pane="bottomRight" activeCell="P4" sqref="P4"/>
    </sheetView>
  </sheetViews>
  <sheetFormatPr baseColWidth="10" defaultColWidth="11.42578125" defaultRowHeight="15" x14ac:dyDescent="0.25"/>
  <cols>
    <col min="1" max="1" width="5.85546875" style="17" bestFit="1" customWidth="1"/>
    <col min="2" max="2" width="35.85546875" style="17" customWidth="1"/>
    <col min="3" max="3" width="9.5703125" style="17" customWidth="1"/>
    <col min="4" max="4" width="11.42578125" style="18"/>
    <col min="5" max="5" width="14.7109375" style="17" bestFit="1" customWidth="1"/>
    <col min="6" max="6" width="19" style="17" customWidth="1"/>
    <col min="7" max="7" width="15.7109375" style="17" customWidth="1"/>
    <col min="8" max="8" width="13.7109375" style="17" customWidth="1"/>
    <col min="9" max="9" width="15" style="17" customWidth="1"/>
    <col min="10" max="10" width="14.5703125" style="17" customWidth="1"/>
    <col min="11" max="12" width="14.42578125" style="17" customWidth="1"/>
    <col min="13" max="13" width="14.7109375" style="17" customWidth="1"/>
    <col min="14" max="16" width="17.5703125" style="17" customWidth="1"/>
    <col min="17" max="17" width="12" style="33" customWidth="1"/>
    <col min="18" max="18" width="11.85546875" style="17" bestFit="1" customWidth="1"/>
    <col min="19" max="19" width="15" style="17" customWidth="1"/>
    <col min="20" max="22" width="11.42578125" style="17"/>
    <col min="23" max="24" width="13.42578125" style="33" customWidth="1"/>
    <col min="25" max="25" width="12.5703125" style="33" bestFit="1" customWidth="1"/>
    <col min="26" max="29" width="12.5703125" style="17" bestFit="1" customWidth="1"/>
    <col min="30" max="16384" width="11.42578125" style="17"/>
  </cols>
  <sheetData>
    <row r="1" spans="1:29" ht="15.75" thickBot="1" x14ac:dyDescent="0.3"/>
    <row r="2" spans="1:29" s="81" customFormat="1" ht="45.75" thickBot="1" x14ac:dyDescent="0.3">
      <c r="F2" s="95" t="s">
        <v>30</v>
      </c>
      <c r="G2" s="96" t="s">
        <v>31</v>
      </c>
      <c r="H2" s="96" t="s">
        <v>32</v>
      </c>
      <c r="I2" s="96" t="s">
        <v>33</v>
      </c>
      <c r="J2" s="96" t="s">
        <v>34</v>
      </c>
      <c r="K2" s="96" t="s">
        <v>35</v>
      </c>
      <c r="L2" s="97" t="s">
        <v>36</v>
      </c>
      <c r="Q2" s="82"/>
      <c r="W2" s="82"/>
      <c r="X2" s="82"/>
      <c r="Y2" s="82"/>
      <c r="AB2" s="83" t="s">
        <v>111</v>
      </c>
      <c r="AC2" s="83"/>
    </row>
    <row r="3" spans="1:29" ht="65.25" customHeight="1" x14ac:dyDescent="0.25">
      <c r="A3" s="19" t="s">
        <v>37</v>
      </c>
      <c r="B3" s="19" t="s">
        <v>38</v>
      </c>
      <c r="C3" s="19" t="s">
        <v>39</v>
      </c>
      <c r="D3" s="19" t="s">
        <v>40</v>
      </c>
      <c r="F3" s="94" t="s">
        <v>42</v>
      </c>
      <c r="G3" s="94" t="s">
        <v>42</v>
      </c>
      <c r="H3" s="94" t="s">
        <v>42</v>
      </c>
      <c r="I3" s="94" t="s">
        <v>42</v>
      </c>
      <c r="J3" s="94" t="s">
        <v>42</v>
      </c>
      <c r="K3" s="94" t="s">
        <v>42</v>
      </c>
      <c r="L3" s="94" t="s">
        <v>42</v>
      </c>
      <c r="M3" s="84" t="s">
        <v>43</v>
      </c>
      <c r="N3" s="85" t="s">
        <v>112</v>
      </c>
      <c r="O3" s="85" t="s">
        <v>113</v>
      </c>
      <c r="P3" s="85" t="s">
        <v>114</v>
      </c>
      <c r="Q3" s="86" t="s">
        <v>115</v>
      </c>
      <c r="R3" s="86" t="s">
        <v>117</v>
      </c>
      <c r="S3" s="86" t="s">
        <v>118</v>
      </c>
      <c r="T3" s="88" t="s">
        <v>119</v>
      </c>
      <c r="U3" s="88" t="s">
        <v>17</v>
      </c>
      <c r="V3" s="88" t="s">
        <v>13</v>
      </c>
      <c r="W3" s="89" t="s">
        <v>19</v>
      </c>
      <c r="X3" s="89"/>
      <c r="Y3" s="89" t="s">
        <v>120</v>
      </c>
      <c r="Z3" s="89" t="s">
        <v>121</v>
      </c>
      <c r="AA3" s="89" t="s">
        <v>122</v>
      </c>
      <c r="AB3" s="89" t="s">
        <v>123</v>
      </c>
      <c r="AC3" s="89" t="s">
        <v>124</v>
      </c>
    </row>
    <row r="4" spans="1:29" ht="14.45" customHeight="1" x14ac:dyDescent="0.25">
      <c r="A4" s="21">
        <v>1</v>
      </c>
      <c r="B4" s="50" t="s">
        <v>44</v>
      </c>
      <c r="C4" s="50">
        <v>40</v>
      </c>
      <c r="D4" s="22">
        <v>4</v>
      </c>
      <c r="F4" s="55">
        <v>104416.54999999999</v>
      </c>
      <c r="G4" s="55">
        <v>164220</v>
      </c>
      <c r="H4" s="41">
        <v>70501.55</v>
      </c>
      <c r="I4" s="55">
        <v>96033</v>
      </c>
      <c r="J4" s="55">
        <v>138081.88799999998</v>
      </c>
      <c r="K4" s="37">
        <v>35997.5</v>
      </c>
      <c r="L4" s="55">
        <v>158270</v>
      </c>
      <c r="M4" s="27">
        <f t="shared" ref="M4:M17" si="0">+AVERAGE(F4,G4,H4,I4,J4,K4,L4)</f>
        <v>109645.78399999999</v>
      </c>
      <c r="N4" s="24">
        <f>+M4*C4*D4</f>
        <v>17543325.439999998</v>
      </c>
      <c r="O4" s="24">
        <f t="shared" ref="O4:O22" si="1">+STDEV(F4:L4)</f>
        <v>47117.344669765662</v>
      </c>
      <c r="P4" s="90">
        <f t="shared" ref="P4:P22" si="2">(O4/M4)</f>
        <v>0.42972326842740866</v>
      </c>
      <c r="Q4" s="91">
        <f t="shared" ref="Q4:Q17" si="3">+GEOMEAN(F4,G4,H4,I4,J4,K4,L4)</f>
        <v>98713.056902456738</v>
      </c>
      <c r="R4" s="91">
        <f>+TRIMMEAN(F4:L4,80%)</f>
        <v>112843.81266666665</v>
      </c>
      <c r="S4" s="92">
        <f>+R4*C4*D4</f>
        <v>18055010.026666664</v>
      </c>
      <c r="T4" s="33">
        <f>+QUARTILE(F4:L4,0)</f>
        <v>35997.5</v>
      </c>
      <c r="U4" s="33">
        <f>+QUARTILE(F4:L4,1)</f>
        <v>83267.274999999994</v>
      </c>
      <c r="V4" s="54">
        <f>+MEDIAN(F4:L4)</f>
        <v>104416.54999999999</v>
      </c>
      <c r="W4" s="33">
        <f>+QUARTILE(F4:L4,3)</f>
        <v>148175.94399999999</v>
      </c>
      <c r="X4" s="33">
        <f>+W4*C4*D4</f>
        <v>23708151.039999999</v>
      </c>
      <c r="Y4" s="33">
        <f>+QUARTILE(F4:L4,4)</f>
        <v>164220</v>
      </c>
      <c r="Z4" s="33">
        <f>(Y4-T4)</f>
        <v>128222.5</v>
      </c>
      <c r="AA4" s="33">
        <f>W4-U4</f>
        <v>64908.668999999994</v>
      </c>
      <c r="AB4" s="33">
        <f>(AA4-U4)*1.5</f>
        <v>-27537.909</v>
      </c>
      <c r="AC4" s="33">
        <f t="shared" ref="AC4:AC22" si="4">(AA4+U4)*1.5</f>
        <v>222263.91599999997</v>
      </c>
    </row>
    <row r="5" spans="1:29" ht="25.5" x14ac:dyDescent="0.25">
      <c r="A5" s="21">
        <v>2</v>
      </c>
      <c r="B5" s="22" t="s">
        <v>45</v>
      </c>
      <c r="C5" s="22">
        <v>40000</v>
      </c>
      <c r="D5" s="22">
        <v>4</v>
      </c>
      <c r="F5" s="41">
        <v>20.883309999999998</v>
      </c>
      <c r="G5" s="55">
        <v>41.65</v>
      </c>
      <c r="H5" s="55">
        <v>53.55</v>
      </c>
      <c r="I5" s="37">
        <v>11.899999999999999</v>
      </c>
      <c r="J5" s="55">
        <v>102.816</v>
      </c>
      <c r="K5" s="55">
        <v>28.797999999999998</v>
      </c>
      <c r="L5" s="55">
        <v>449.82000000000005</v>
      </c>
      <c r="M5" s="27">
        <f t="shared" si="0"/>
        <v>101.34533</v>
      </c>
      <c r="N5" s="24">
        <f>+M5*C5*D5</f>
        <v>16215252.800000001</v>
      </c>
      <c r="O5" s="24">
        <f t="shared" si="1"/>
        <v>156.53668542703434</v>
      </c>
      <c r="P5" s="90">
        <f t="shared" si="2"/>
        <v>1.5445870611604338</v>
      </c>
      <c r="Q5" s="91">
        <f t="shared" si="3"/>
        <v>49.596913777296798</v>
      </c>
      <c r="R5" s="91">
        <f>+TRIMMEAN(F5:L5,80%)</f>
        <v>41.332666666666661</v>
      </c>
      <c r="S5" s="92">
        <f>+R5*C5*D5</f>
        <v>6613226.666666666</v>
      </c>
      <c r="T5" s="33">
        <f>+QUARTILE(F5:L5,0)</f>
        <v>11.899999999999999</v>
      </c>
      <c r="U5" s="33">
        <f>+QUARTILE(F5:L5,1)</f>
        <v>24.840654999999998</v>
      </c>
      <c r="V5" s="54">
        <f>+MEDIAN(F5:L5)</f>
        <v>41.65</v>
      </c>
      <c r="W5" s="33">
        <f>+QUARTILE(F5:L5,3)</f>
        <v>78.182999999999993</v>
      </c>
      <c r="X5" s="33">
        <f>+W5*C5*D5</f>
        <v>12509279.999999998</v>
      </c>
      <c r="Y5" s="33">
        <f>+QUARTILE(F5:L5,4)</f>
        <v>449.82000000000005</v>
      </c>
      <c r="Z5" s="33">
        <f t="shared" ref="Z5:Z22" si="5">(Y5-T5)</f>
        <v>437.92000000000007</v>
      </c>
      <c r="AA5" s="33">
        <f t="shared" ref="AA5:AA22" si="6">W5-U5</f>
        <v>53.342344999999995</v>
      </c>
      <c r="AB5" s="33">
        <f t="shared" ref="AB5:AB22" si="7">(AA5-U5)*1.5</f>
        <v>42.752534999999995</v>
      </c>
      <c r="AC5" s="33">
        <f t="shared" si="4"/>
        <v>117.27449999999999</v>
      </c>
    </row>
    <row r="6" spans="1:29" ht="25.5" x14ac:dyDescent="0.25">
      <c r="A6" s="21">
        <v>3</v>
      </c>
      <c r="B6" s="22" t="s">
        <v>46</v>
      </c>
      <c r="C6" s="22">
        <v>6000</v>
      </c>
      <c r="D6" s="22">
        <v>4</v>
      </c>
      <c r="F6" s="41">
        <v>44.749950000000005</v>
      </c>
      <c r="G6" s="55">
        <v>52.36</v>
      </c>
      <c r="H6" s="55">
        <v>53.55</v>
      </c>
      <c r="I6" s="37">
        <v>30.939999999999998</v>
      </c>
      <c r="J6" s="55">
        <v>102.816</v>
      </c>
      <c r="K6" s="55">
        <v>251.32799999999997</v>
      </c>
      <c r="L6" s="55">
        <v>449.82000000000005</v>
      </c>
      <c r="M6" s="27">
        <f t="shared" si="0"/>
        <v>140.79485</v>
      </c>
      <c r="N6" s="24">
        <f>+M6*C6*D6</f>
        <v>3379076.4</v>
      </c>
      <c r="O6" s="24">
        <f t="shared" si="1"/>
        <v>155.928194510243</v>
      </c>
      <c r="P6" s="90">
        <f t="shared" si="2"/>
        <v>1.1074850714372224</v>
      </c>
      <c r="Q6" s="91">
        <f t="shared" si="3"/>
        <v>89.25454307444717</v>
      </c>
      <c r="R6" s="91">
        <f>+TRIMMEAN(F6:L6,80%)</f>
        <v>69.575333333333333</v>
      </c>
      <c r="S6" s="92">
        <f>+R6*C6*D6</f>
        <v>1669808</v>
      </c>
      <c r="T6" s="33">
        <f>+QUARTILE(F6:L6,0)</f>
        <v>30.939999999999998</v>
      </c>
      <c r="U6" s="33">
        <f>+QUARTILE(F6:L6,1)</f>
        <v>48.554974999999999</v>
      </c>
      <c r="V6" s="54">
        <f>+MEDIAN(F6:L6)</f>
        <v>53.55</v>
      </c>
      <c r="W6" s="33">
        <f>+QUARTILE(F6:L6,3)</f>
        <v>177.072</v>
      </c>
      <c r="X6" s="33">
        <f>+W6*C6*D6</f>
        <v>4249728</v>
      </c>
      <c r="Y6" s="33">
        <f>+QUARTILE(F6:L6,4)</f>
        <v>449.82000000000005</v>
      </c>
      <c r="Z6" s="33">
        <f t="shared" si="5"/>
        <v>418.88000000000005</v>
      </c>
      <c r="AA6" s="33">
        <f t="shared" si="6"/>
        <v>128.51702499999999</v>
      </c>
      <c r="AB6" s="33">
        <f t="shared" si="7"/>
        <v>119.94307499999999</v>
      </c>
      <c r="AC6" s="33">
        <f t="shared" si="4"/>
        <v>265.608</v>
      </c>
    </row>
    <row r="7" spans="1:29" ht="38.25" x14ac:dyDescent="0.25">
      <c r="A7" s="21">
        <v>4</v>
      </c>
      <c r="B7" s="22" t="s">
        <v>47</v>
      </c>
      <c r="C7" s="22">
        <v>3</v>
      </c>
      <c r="D7" s="22">
        <v>4</v>
      </c>
      <c r="F7" s="37">
        <v>156.62482499999999</v>
      </c>
      <c r="G7" s="55">
        <v>224433.99999999994</v>
      </c>
      <c r="H7" s="41">
        <v>83854.539999999994</v>
      </c>
      <c r="I7" s="55">
        <v>111146</v>
      </c>
      <c r="J7" s="55">
        <v>1022286.6359999999</v>
      </c>
      <c r="K7" s="55">
        <v>1701700</v>
      </c>
      <c r="L7" s="55">
        <v>1732640.0000000002</v>
      </c>
      <c r="M7" s="27">
        <f t="shared" si="0"/>
        <v>696602.54297499999</v>
      </c>
      <c r="N7" s="24">
        <f>+M7*C7*D7</f>
        <v>8359230.5156999994</v>
      </c>
      <c r="O7" s="24">
        <f t="shared" si="1"/>
        <v>776301.50582441094</v>
      </c>
      <c r="P7" s="90">
        <f t="shared" si="2"/>
        <v>1.1144109559362767</v>
      </c>
      <c r="Q7" s="91">
        <f t="shared" si="3"/>
        <v>138699.92965753426</v>
      </c>
      <c r="R7" s="91">
        <f>+TRIMMEAN(F7:L7,80%)</f>
        <v>452622.212</v>
      </c>
      <c r="S7" s="92">
        <f>+R7*C7*D7</f>
        <v>5431466.5439999998</v>
      </c>
      <c r="T7" s="33">
        <f>+QUARTILE(F7:L7,0)</f>
        <v>156.62482499999999</v>
      </c>
      <c r="U7" s="33">
        <f>+QUARTILE(F7:L7,1)</f>
        <v>97500.26999999999</v>
      </c>
      <c r="V7" s="54">
        <f>+MEDIAN(F7:L7)</f>
        <v>224433.99999999994</v>
      </c>
      <c r="W7" s="33">
        <f>+QUARTILE(F7:L7,3)</f>
        <v>1361993.318</v>
      </c>
      <c r="X7" s="33">
        <f>+W7*C7*D7</f>
        <v>16343919.816</v>
      </c>
      <c r="Y7" s="33">
        <f>+QUARTILE(F7:L7,4)</f>
        <v>1732640.0000000002</v>
      </c>
      <c r="Z7" s="33">
        <f t="shared" si="5"/>
        <v>1732483.3751750002</v>
      </c>
      <c r="AA7" s="33">
        <f t="shared" si="6"/>
        <v>1264493.048</v>
      </c>
      <c r="AB7" s="33">
        <f t="shared" si="7"/>
        <v>1750489.1669999999</v>
      </c>
      <c r="AC7" s="33">
        <f t="shared" si="4"/>
        <v>2042989.977</v>
      </c>
    </row>
    <row r="8" spans="1:29" ht="38.25" x14ac:dyDescent="0.25">
      <c r="A8" s="21">
        <v>5</v>
      </c>
      <c r="B8" s="22" t="s">
        <v>48</v>
      </c>
      <c r="C8" s="22">
        <v>1000</v>
      </c>
      <c r="D8" s="22">
        <v>4</v>
      </c>
      <c r="F8" s="55">
        <v>298.33299999999997</v>
      </c>
      <c r="G8" s="55">
        <v>155.88999999999999</v>
      </c>
      <c r="H8" s="41">
        <v>30.939999999999998</v>
      </c>
      <c r="I8" s="55">
        <v>107.1</v>
      </c>
      <c r="J8" s="55">
        <v>146.5128</v>
      </c>
      <c r="K8" s="37">
        <v>28.797999999999998</v>
      </c>
      <c r="L8" s="55">
        <v>158.26999999999998</v>
      </c>
      <c r="M8" s="27">
        <f t="shared" si="0"/>
        <v>132.26339999999999</v>
      </c>
      <c r="N8" s="24">
        <f>+M8*C8*D8</f>
        <v>529053.6</v>
      </c>
      <c r="O8" s="24">
        <f t="shared" si="1"/>
        <v>91.852630156426869</v>
      </c>
      <c r="P8" s="90">
        <f t="shared" si="2"/>
        <v>0.69446748047023499</v>
      </c>
      <c r="Q8" s="91">
        <f t="shared" si="3"/>
        <v>100.41089380010474</v>
      </c>
      <c r="R8" s="91">
        <f>+TRIMMEAN(F8:L8,80%)</f>
        <v>136.50093333333334</v>
      </c>
      <c r="S8" s="92">
        <f>+R8*C8*D8</f>
        <v>546003.7333333334</v>
      </c>
      <c r="T8" s="33">
        <f>+QUARTILE(F8:L8,0)</f>
        <v>28.797999999999998</v>
      </c>
      <c r="U8" s="33">
        <f>+QUARTILE(F8:L8,1)</f>
        <v>69.02</v>
      </c>
      <c r="V8" s="54">
        <f>+MEDIAN(F8:L8)</f>
        <v>146.5128</v>
      </c>
      <c r="W8" s="33">
        <f>+QUARTILE(F8:L8,3)</f>
        <v>157.07999999999998</v>
      </c>
      <c r="X8" s="33">
        <f>+W8*C8*D8</f>
        <v>628319.99999999988</v>
      </c>
      <c r="Y8" s="33">
        <f>+QUARTILE(F8:L8,4)</f>
        <v>298.33299999999997</v>
      </c>
      <c r="Z8" s="33">
        <f t="shared" si="5"/>
        <v>269.53499999999997</v>
      </c>
      <c r="AA8" s="33">
        <f t="shared" si="6"/>
        <v>88.059999999999988</v>
      </c>
      <c r="AB8" s="33">
        <f t="shared" si="7"/>
        <v>28.559999999999988</v>
      </c>
      <c r="AC8" s="33">
        <f t="shared" si="4"/>
        <v>235.61999999999998</v>
      </c>
    </row>
    <row r="9" spans="1:29" ht="38.25" x14ac:dyDescent="0.25">
      <c r="A9" s="21">
        <v>6</v>
      </c>
      <c r="B9" s="22" t="s">
        <v>49</v>
      </c>
      <c r="C9" s="22">
        <v>2500</v>
      </c>
      <c r="D9" s="22">
        <v>4</v>
      </c>
      <c r="F9" s="55">
        <v>298.33299999999997</v>
      </c>
      <c r="G9" s="55">
        <v>224.91</v>
      </c>
      <c r="H9" s="41">
        <v>73.78</v>
      </c>
      <c r="I9" s="55">
        <v>117.80999999999999</v>
      </c>
      <c r="J9" s="55">
        <v>196.63560000000001</v>
      </c>
      <c r="K9" s="37">
        <v>28.797999999999998</v>
      </c>
      <c r="L9" s="55">
        <v>126.616</v>
      </c>
      <c r="M9" s="27">
        <f t="shared" si="0"/>
        <v>152.4118</v>
      </c>
      <c r="N9" s="24">
        <f>+M9*C9*D9</f>
        <v>1524118</v>
      </c>
      <c r="O9" s="24">
        <f t="shared" si="1"/>
        <v>92.94332456007804</v>
      </c>
      <c r="P9" s="90">
        <f t="shared" si="2"/>
        <v>0.60981711757277346</v>
      </c>
      <c r="Q9" s="91">
        <f t="shared" si="3"/>
        <v>122.67707680078583</v>
      </c>
      <c r="R9" s="91">
        <f>+TRIMMEAN(F9:L9,80%)</f>
        <v>147.02053333333333</v>
      </c>
      <c r="S9" s="92">
        <f>+R9*C9*D9</f>
        <v>1470205.3333333333</v>
      </c>
      <c r="T9" s="33">
        <f>+QUARTILE(F9:L9,0)</f>
        <v>28.797999999999998</v>
      </c>
      <c r="U9" s="33">
        <f>+QUARTILE(F9:L9,1)</f>
        <v>95.794999999999987</v>
      </c>
      <c r="V9" s="54">
        <f>+MEDIAN(F9:L9)</f>
        <v>126.616</v>
      </c>
      <c r="W9" s="33">
        <f>+QUARTILE(F9:L9,3)</f>
        <v>210.77280000000002</v>
      </c>
      <c r="X9" s="33">
        <f>+W9*C9*D9</f>
        <v>2107728</v>
      </c>
      <c r="Y9" s="33">
        <f>+QUARTILE(F9:L9,4)</f>
        <v>298.33299999999997</v>
      </c>
      <c r="Z9" s="33">
        <f t="shared" si="5"/>
        <v>269.53499999999997</v>
      </c>
      <c r="AA9" s="33">
        <f t="shared" si="6"/>
        <v>114.97780000000003</v>
      </c>
      <c r="AB9" s="33">
        <f t="shared" si="7"/>
        <v>28.774200000000064</v>
      </c>
      <c r="AC9" s="33">
        <f t="shared" si="4"/>
        <v>316.15920000000006</v>
      </c>
    </row>
    <row r="10" spans="1:29" ht="25.5" x14ac:dyDescent="0.25">
      <c r="A10" s="21">
        <v>7</v>
      </c>
      <c r="B10" s="22" t="s">
        <v>50</v>
      </c>
      <c r="C10" s="22">
        <v>2000</v>
      </c>
      <c r="D10" s="22">
        <v>4</v>
      </c>
      <c r="F10" s="55">
        <v>223.74975000000001</v>
      </c>
      <c r="G10" s="55">
        <v>170.17</v>
      </c>
      <c r="H10" s="41">
        <v>70.209999999999994</v>
      </c>
      <c r="I10" s="55">
        <v>111.86</v>
      </c>
      <c r="J10" s="55">
        <v>95.104799999999997</v>
      </c>
      <c r="K10" s="37">
        <v>28.797999999999998</v>
      </c>
      <c r="L10" s="55">
        <v>833.00000000000011</v>
      </c>
      <c r="M10" s="27">
        <f t="shared" si="0"/>
        <v>218.98465000000002</v>
      </c>
      <c r="N10" s="24">
        <f>+M10*C10*D10</f>
        <v>1751877.2000000002</v>
      </c>
      <c r="O10" s="24">
        <f t="shared" si="1"/>
        <v>278.25264073701834</v>
      </c>
      <c r="P10" s="90">
        <f t="shared" si="2"/>
        <v>1.2706490648409299</v>
      </c>
      <c r="Q10" s="91">
        <f t="shared" si="3"/>
        <v>131.56268558635836</v>
      </c>
      <c r="R10" s="91">
        <f>+TRIMMEAN(F10:L10,80%)</f>
        <v>125.71159999999999</v>
      </c>
      <c r="S10" s="92">
        <f>+R10*C10*D10</f>
        <v>1005692.7999999999</v>
      </c>
      <c r="T10" s="33">
        <f>+QUARTILE(F10:L10,0)</f>
        <v>28.797999999999998</v>
      </c>
      <c r="U10" s="33">
        <f>+QUARTILE(F10:L10,1)</f>
        <v>82.657399999999996</v>
      </c>
      <c r="V10" s="54">
        <f>+MEDIAN(F10:L10)</f>
        <v>111.86</v>
      </c>
      <c r="W10" s="33">
        <f>+QUARTILE(F10:L10,3)</f>
        <v>196.95987500000001</v>
      </c>
      <c r="X10" s="33">
        <f>+W10*C10*D10</f>
        <v>1575679</v>
      </c>
      <c r="Y10" s="33">
        <f>+QUARTILE(F10:L10,4)</f>
        <v>833.00000000000011</v>
      </c>
      <c r="Z10" s="33">
        <f t="shared" si="5"/>
        <v>804.20200000000011</v>
      </c>
      <c r="AA10" s="33">
        <f t="shared" si="6"/>
        <v>114.30247500000002</v>
      </c>
      <c r="AB10" s="33">
        <f t="shared" si="7"/>
        <v>47.46761250000003</v>
      </c>
      <c r="AC10" s="33">
        <f t="shared" si="4"/>
        <v>295.43981250000002</v>
      </c>
    </row>
    <row r="11" spans="1:29" x14ac:dyDescent="0.25">
      <c r="A11" s="21">
        <v>8</v>
      </c>
      <c r="B11" s="22" t="s">
        <v>51</v>
      </c>
      <c r="C11" s="22">
        <v>2000</v>
      </c>
      <c r="D11" s="22">
        <v>4</v>
      </c>
      <c r="F11" s="41">
        <v>140.21651</v>
      </c>
      <c r="G11" s="55">
        <v>170.17</v>
      </c>
      <c r="H11" s="55">
        <v>185.64</v>
      </c>
      <c r="I11" s="55">
        <v>178.5</v>
      </c>
      <c r="J11" s="37">
        <v>102.816</v>
      </c>
      <c r="K11" s="55">
        <v>251.32799999999997</v>
      </c>
      <c r="L11" s="55">
        <v>359.85600000000005</v>
      </c>
      <c r="M11" s="27">
        <f t="shared" si="0"/>
        <v>198.36093</v>
      </c>
      <c r="N11" s="24">
        <f>+M11*C11*D11</f>
        <v>1586887.44</v>
      </c>
      <c r="O11" s="24">
        <f t="shared" si="1"/>
        <v>84.406538549378055</v>
      </c>
      <c r="P11" s="90">
        <f t="shared" si="2"/>
        <v>0.42551997789775464</v>
      </c>
      <c r="Q11" s="91">
        <f t="shared" si="3"/>
        <v>184.77012447521039</v>
      </c>
      <c r="R11" s="91">
        <f>+TRIMMEAN(F11:L11,80%)</f>
        <v>178.10333333333332</v>
      </c>
      <c r="S11" s="92">
        <f>+R11*C11*D11</f>
        <v>1424826.6666666665</v>
      </c>
      <c r="T11" s="33">
        <f>+QUARTILE(F11:L11,0)</f>
        <v>102.816</v>
      </c>
      <c r="U11" s="33">
        <f>+QUARTILE(F11:L11,1)</f>
        <v>155.19325499999999</v>
      </c>
      <c r="V11" s="54">
        <f>+MEDIAN(F11:L11)</f>
        <v>178.5</v>
      </c>
      <c r="W11" s="33">
        <f>+QUARTILE(F11:L11,3)</f>
        <v>218.48399999999998</v>
      </c>
      <c r="X11" s="33">
        <f>+W11*C11*D11</f>
        <v>1747871.9999999998</v>
      </c>
      <c r="Y11" s="33">
        <f>+QUARTILE(F11:L11,4)</f>
        <v>359.85600000000005</v>
      </c>
      <c r="Z11" s="33">
        <f t="shared" si="5"/>
        <v>257.04000000000008</v>
      </c>
      <c r="AA11" s="33">
        <f t="shared" si="6"/>
        <v>63.290744999999987</v>
      </c>
      <c r="AB11" s="33">
        <f t="shared" si="7"/>
        <v>-137.85376500000001</v>
      </c>
      <c r="AC11" s="33">
        <f t="shared" si="4"/>
        <v>327.726</v>
      </c>
    </row>
    <row r="12" spans="1:29" x14ac:dyDescent="0.25">
      <c r="A12" s="21">
        <v>9</v>
      </c>
      <c r="B12" s="51" t="s">
        <v>52</v>
      </c>
      <c r="C12" s="50">
        <v>3</v>
      </c>
      <c r="D12" s="22">
        <v>4</v>
      </c>
      <c r="F12" s="55">
        <v>477332.80000000005</v>
      </c>
      <c r="G12" s="55">
        <v>478974.99999999988</v>
      </c>
      <c r="H12" s="55">
        <v>363944.83999999997</v>
      </c>
      <c r="I12" s="55">
        <v>1006145</v>
      </c>
      <c r="J12" s="37">
        <v>68152.870800000004</v>
      </c>
      <c r="K12" s="55">
        <v>473072.6</v>
      </c>
      <c r="L12" s="41">
        <v>249900.00000000003</v>
      </c>
      <c r="M12" s="27">
        <f t="shared" si="0"/>
        <v>445360.44439999998</v>
      </c>
      <c r="N12" s="24">
        <f>+M12*C12*D12</f>
        <v>5344325.3328</v>
      </c>
      <c r="O12" s="24">
        <f t="shared" si="1"/>
        <v>289976.51938974549</v>
      </c>
      <c r="P12" s="90">
        <f t="shared" si="2"/>
        <v>0.65110524079076815</v>
      </c>
      <c r="Q12" s="91">
        <f t="shared" si="3"/>
        <v>352371.85267791164</v>
      </c>
      <c r="R12" s="91">
        <f>+TRIMMEAN(F12:L12,80%)</f>
        <v>438116.74666666664</v>
      </c>
      <c r="S12" s="92">
        <f>+R12*C12*D12</f>
        <v>5257400.96</v>
      </c>
      <c r="T12" s="33">
        <f>+QUARTILE(F12:L12,0)</f>
        <v>68152.870800000004</v>
      </c>
      <c r="U12" s="33">
        <f>+QUARTILE(F12:L12,1)</f>
        <v>306922.42</v>
      </c>
      <c r="V12" s="54">
        <f>+MEDIAN(F12:L12)</f>
        <v>473072.6</v>
      </c>
      <c r="W12" s="33">
        <f>+QUARTILE(F12:L12,3)</f>
        <v>478153.89999999997</v>
      </c>
      <c r="X12" s="33">
        <f>+W12*C12*D12</f>
        <v>5737846.7999999998</v>
      </c>
      <c r="Y12" s="33">
        <f>+QUARTILE(F12:L12,4)</f>
        <v>1006145</v>
      </c>
      <c r="Z12" s="33">
        <f t="shared" si="5"/>
        <v>937992.12919999997</v>
      </c>
      <c r="AA12" s="33">
        <f t="shared" si="6"/>
        <v>171231.47999999998</v>
      </c>
      <c r="AB12" s="33">
        <f t="shared" si="7"/>
        <v>-203536.41</v>
      </c>
      <c r="AC12" s="33">
        <f t="shared" si="4"/>
        <v>717230.85</v>
      </c>
    </row>
    <row r="13" spans="1:29" x14ac:dyDescent="0.25">
      <c r="A13" s="21">
        <v>10</v>
      </c>
      <c r="B13" s="51" t="s">
        <v>53</v>
      </c>
      <c r="C13" s="50">
        <v>2</v>
      </c>
      <c r="D13" s="22">
        <v>4</v>
      </c>
      <c r="F13" s="55">
        <v>522082.74999999988</v>
      </c>
      <c r="G13" s="55">
        <v>478974.99999999988</v>
      </c>
      <c r="H13" s="41">
        <v>363944.83999999997</v>
      </c>
      <c r="I13" s="55">
        <v>972587</v>
      </c>
      <c r="J13" s="55">
        <v>1131694.4268</v>
      </c>
      <c r="K13" s="55">
        <v>473072.6</v>
      </c>
      <c r="L13" s="37">
        <v>216580.00000000003</v>
      </c>
      <c r="M13" s="27">
        <f t="shared" si="0"/>
        <v>594133.80240000004</v>
      </c>
      <c r="N13" s="24">
        <f>+M13*C13*D13</f>
        <v>4753070.4192000004</v>
      </c>
      <c r="O13" s="24">
        <f t="shared" si="1"/>
        <v>331873.67035393475</v>
      </c>
      <c r="P13" s="90">
        <f t="shared" si="2"/>
        <v>0.55858405802419087</v>
      </c>
      <c r="Q13" s="91">
        <f t="shared" si="3"/>
        <v>519874.82975733938</v>
      </c>
      <c r="R13" s="91">
        <f>+TRIMMEAN(F13:L13,80%)</f>
        <v>491376.78333333321</v>
      </c>
      <c r="S13" s="92">
        <f>+R13*C13*D13</f>
        <v>3931014.2666666657</v>
      </c>
      <c r="T13" s="33">
        <f>+QUARTILE(F13:L13,0)</f>
        <v>216580.00000000003</v>
      </c>
      <c r="U13" s="33">
        <f>+QUARTILE(F13:L13,1)</f>
        <v>418508.72</v>
      </c>
      <c r="V13" s="54">
        <f>+MEDIAN(F13:L13)</f>
        <v>478974.99999999988</v>
      </c>
      <c r="W13" s="33">
        <f>+QUARTILE(F13:L13,3)</f>
        <v>747334.875</v>
      </c>
      <c r="X13" s="33">
        <f>+W13*C13*D13</f>
        <v>5978679</v>
      </c>
      <c r="Y13" s="33">
        <f>+QUARTILE(F13:L13,4)</f>
        <v>1131694.4268</v>
      </c>
      <c r="Z13" s="33">
        <f t="shared" si="5"/>
        <v>915114.42680000002</v>
      </c>
      <c r="AA13" s="33">
        <f t="shared" si="6"/>
        <v>328826.15500000003</v>
      </c>
      <c r="AB13" s="33">
        <f t="shared" si="7"/>
        <v>-134523.84749999992</v>
      </c>
      <c r="AC13" s="33">
        <f t="shared" si="4"/>
        <v>1121002.3125</v>
      </c>
    </row>
    <row r="14" spans="1:29" ht="25.5" x14ac:dyDescent="0.25">
      <c r="A14" s="21">
        <v>11</v>
      </c>
      <c r="B14" s="28" t="s">
        <v>54</v>
      </c>
      <c r="C14" s="28">
        <v>20000</v>
      </c>
      <c r="D14" s="22">
        <v>4</v>
      </c>
      <c r="F14" s="55">
        <v>20.883309999999998</v>
      </c>
      <c r="G14" s="55">
        <v>34.51</v>
      </c>
      <c r="H14" s="55">
        <v>30.939999999999998</v>
      </c>
      <c r="I14" s="55">
        <v>16.66</v>
      </c>
      <c r="J14" s="55">
        <v>8.9963999999999995</v>
      </c>
      <c r="K14" s="37">
        <v>3.4034000000000004</v>
      </c>
      <c r="L14" s="41">
        <v>6.6640000000000006</v>
      </c>
      <c r="M14" s="27">
        <f t="shared" si="0"/>
        <v>17.436730000000001</v>
      </c>
      <c r="N14" s="24">
        <f>+M14*C14*D14</f>
        <v>1394938.4000000001</v>
      </c>
      <c r="O14" s="24">
        <f t="shared" si="1"/>
        <v>12.045346995318701</v>
      </c>
      <c r="P14" s="90">
        <f t="shared" si="2"/>
        <v>0.6908030918250555</v>
      </c>
      <c r="Q14" s="91">
        <f t="shared" si="3"/>
        <v>13.355654988282627</v>
      </c>
      <c r="R14" s="91">
        <f>+TRIMMEAN(F14:L14,80%)</f>
        <v>15.513236666666666</v>
      </c>
      <c r="S14" s="92">
        <f>+R14*C14*D14</f>
        <v>1241058.9333333333</v>
      </c>
      <c r="T14" s="33">
        <f>+QUARTILE(F14:L14,0)</f>
        <v>3.4034000000000004</v>
      </c>
      <c r="U14" s="33">
        <f>+QUARTILE(F14:L14,1)</f>
        <v>7.8301999999999996</v>
      </c>
      <c r="V14" s="54">
        <f>+MEDIAN(F14:L14)</f>
        <v>16.66</v>
      </c>
      <c r="W14" s="33">
        <f>+QUARTILE(F14:L14,3)</f>
        <v>25.911654999999996</v>
      </c>
      <c r="X14" s="33">
        <f>+W14*C14*D14</f>
        <v>2072932.3999999997</v>
      </c>
      <c r="Y14" s="33">
        <f>+QUARTILE(F14:L14,4)</f>
        <v>34.51</v>
      </c>
      <c r="Z14" s="33">
        <f t="shared" si="5"/>
        <v>31.106599999999997</v>
      </c>
      <c r="AA14" s="33">
        <f t="shared" si="6"/>
        <v>18.081454999999998</v>
      </c>
      <c r="AB14" s="33">
        <f t="shared" si="7"/>
        <v>15.376882499999997</v>
      </c>
      <c r="AC14" s="33">
        <f t="shared" si="4"/>
        <v>38.867482499999994</v>
      </c>
    </row>
    <row r="15" spans="1:29" x14ac:dyDescent="0.25">
      <c r="A15" s="21">
        <v>12</v>
      </c>
      <c r="B15" s="28" t="s">
        <v>55</v>
      </c>
      <c r="C15" s="28">
        <v>20000</v>
      </c>
      <c r="D15" s="22">
        <v>4</v>
      </c>
      <c r="F15" s="55">
        <v>897.98232999999993</v>
      </c>
      <c r="G15" s="55">
        <v>479.57</v>
      </c>
      <c r="H15" s="55">
        <v>1059.0999999999999</v>
      </c>
      <c r="I15" s="55">
        <v>702.1</v>
      </c>
      <c r="J15" s="55">
        <v>994.74480000000005</v>
      </c>
      <c r="K15" s="41">
        <v>272.27199999999999</v>
      </c>
      <c r="L15" s="37">
        <v>124.95000000000002</v>
      </c>
      <c r="M15" s="27">
        <f t="shared" si="0"/>
        <v>647.24558999999988</v>
      </c>
      <c r="N15" s="24">
        <f>+M15*C15*D15</f>
        <v>51779647.199999988</v>
      </c>
      <c r="O15" s="24">
        <f t="shared" si="1"/>
        <v>364.63924068457322</v>
      </c>
      <c r="P15" s="90">
        <f t="shared" si="2"/>
        <v>0.56337076114272677</v>
      </c>
      <c r="Q15" s="91">
        <f t="shared" si="3"/>
        <v>523.92893017141819</v>
      </c>
      <c r="R15" s="91">
        <f>+TRIMMEAN(F15:L15,80%)</f>
        <v>693.21744333333334</v>
      </c>
      <c r="S15" s="92">
        <f>+R15*C15*D15</f>
        <v>55457395.466666669</v>
      </c>
      <c r="T15" s="33">
        <f>+QUARTILE(F15:L15,0)</f>
        <v>124.95000000000002</v>
      </c>
      <c r="U15" s="33">
        <f>+QUARTILE(F15:L15,1)</f>
        <v>375.92099999999999</v>
      </c>
      <c r="V15" s="54">
        <f>+MEDIAN(F15:L15)</f>
        <v>702.1</v>
      </c>
      <c r="W15" s="33">
        <f>+QUARTILE(F15:L15,3)</f>
        <v>946.36356499999999</v>
      </c>
      <c r="X15" s="33">
        <f>+W15*C15*D15</f>
        <v>75709085.200000003</v>
      </c>
      <c r="Y15" s="33">
        <f>+QUARTILE(F15:L15,4)</f>
        <v>1059.0999999999999</v>
      </c>
      <c r="Z15" s="33">
        <f t="shared" si="5"/>
        <v>934.14999999999986</v>
      </c>
      <c r="AA15" s="33">
        <f t="shared" si="6"/>
        <v>570.44256500000006</v>
      </c>
      <c r="AB15" s="33">
        <f t="shared" si="7"/>
        <v>291.78234750000013</v>
      </c>
      <c r="AC15" s="33">
        <f t="shared" si="4"/>
        <v>1419.5453475000002</v>
      </c>
    </row>
    <row r="16" spans="1:29" ht="25.5" x14ac:dyDescent="0.25">
      <c r="A16" s="21">
        <v>13</v>
      </c>
      <c r="B16" s="52" t="s">
        <v>56</v>
      </c>
      <c r="C16" s="52">
        <v>58</v>
      </c>
      <c r="D16" s="22">
        <v>4</v>
      </c>
      <c r="F16" s="55">
        <v>313249.64999999997</v>
      </c>
      <c r="G16" s="55">
        <v>342125</v>
      </c>
      <c r="H16" s="55">
        <v>249563.22999999998</v>
      </c>
      <c r="I16" s="55">
        <v>320348</v>
      </c>
      <c r="J16" s="41">
        <v>240975</v>
      </c>
      <c r="K16" s="55">
        <v>595595</v>
      </c>
      <c r="L16" s="37">
        <v>199920.00000000003</v>
      </c>
      <c r="M16" s="27">
        <f t="shared" si="0"/>
        <v>323110.83999999997</v>
      </c>
      <c r="N16" s="24">
        <f>+M16*C16*D16</f>
        <v>74961714.879999995</v>
      </c>
      <c r="O16" s="24">
        <f t="shared" si="1"/>
        <v>130413.16542283115</v>
      </c>
      <c r="P16" s="90">
        <f t="shared" si="2"/>
        <v>0.40361742559559799</v>
      </c>
      <c r="Q16" s="91">
        <f t="shared" si="3"/>
        <v>305056.02965786651</v>
      </c>
      <c r="R16" s="91">
        <f>+TRIMMEAN(F16:L16,80%)</f>
        <v>294386.95999999996</v>
      </c>
      <c r="S16" s="92">
        <f>+R16*C16*D16</f>
        <v>68297774.719999999</v>
      </c>
      <c r="T16" s="33">
        <f>+QUARTILE(F16:L16,0)</f>
        <v>199920.00000000003</v>
      </c>
      <c r="U16" s="33">
        <f>+QUARTILE(F16:L16,1)</f>
        <v>245269.11499999999</v>
      </c>
      <c r="V16" s="54">
        <f>+MEDIAN(F16:L16)</f>
        <v>313249.64999999997</v>
      </c>
      <c r="W16" s="33">
        <f>+QUARTILE(F16:L16,3)</f>
        <v>331236.5</v>
      </c>
      <c r="X16" s="33">
        <f>+W16*C16*D16</f>
        <v>76846868</v>
      </c>
      <c r="Y16" s="33">
        <f>+QUARTILE(F16:L16,4)</f>
        <v>595595</v>
      </c>
      <c r="Z16" s="33">
        <f t="shared" si="5"/>
        <v>395675</v>
      </c>
      <c r="AA16" s="33">
        <f t="shared" si="6"/>
        <v>85967.385000000009</v>
      </c>
      <c r="AB16" s="33">
        <f t="shared" si="7"/>
        <v>-238952.59499999997</v>
      </c>
      <c r="AC16" s="33">
        <f t="shared" si="4"/>
        <v>496854.75</v>
      </c>
    </row>
    <row r="17" spans="1:29" ht="25.5" x14ac:dyDescent="0.25">
      <c r="A17" s="21">
        <v>14</v>
      </c>
      <c r="B17" s="50" t="s">
        <v>57</v>
      </c>
      <c r="C17" s="50">
        <v>18</v>
      </c>
      <c r="D17" s="22">
        <v>4</v>
      </c>
      <c r="F17" s="24">
        <v>1193332</v>
      </c>
      <c r="G17" s="24">
        <v>520029.99999999988</v>
      </c>
      <c r="H17" s="24">
        <v>519921.70999999996</v>
      </c>
      <c r="I17" s="24">
        <v>750771</v>
      </c>
      <c r="J17" s="24">
        <v>1131694.4268</v>
      </c>
      <c r="K17" s="41">
        <v>473072.6</v>
      </c>
      <c r="L17" s="37">
        <v>436492.00000000006</v>
      </c>
      <c r="M17" s="27">
        <f t="shared" si="0"/>
        <v>717901.96239999996</v>
      </c>
      <c r="N17" s="24">
        <f>+M17*C17*D17</f>
        <v>51688941.292799994</v>
      </c>
      <c r="O17" s="24">
        <f t="shared" si="1"/>
        <v>320369.7799301268</v>
      </c>
      <c r="P17" s="90">
        <f t="shared" si="2"/>
        <v>0.44625839837393211</v>
      </c>
      <c r="Q17" s="91">
        <f t="shared" si="3"/>
        <v>663496.04879286105</v>
      </c>
      <c r="R17" s="91">
        <f>+TRIMMEAN(F17:L17,80%)</f>
        <v>596907.56999999995</v>
      </c>
      <c r="S17" s="92">
        <f>+R17*C17*D17</f>
        <v>42977345.039999999</v>
      </c>
      <c r="T17" s="33">
        <f>+QUARTILE(F17:L17,0)</f>
        <v>436492.00000000006</v>
      </c>
      <c r="U17" s="33">
        <f>+QUARTILE(F17:L17,1)</f>
        <v>496497.15499999997</v>
      </c>
      <c r="V17" s="54">
        <f>+MEDIAN(F17:L17)</f>
        <v>520029.99999999988</v>
      </c>
      <c r="W17" s="33">
        <f>+QUARTILE(F17:L17,3)</f>
        <v>941232.71340000001</v>
      </c>
      <c r="X17" s="33">
        <f>+W17*C17*D17</f>
        <v>67768755.364800006</v>
      </c>
      <c r="Y17" s="33">
        <f>+QUARTILE(F17:L17,4)</f>
        <v>1193332</v>
      </c>
      <c r="Z17" s="33">
        <f t="shared" si="5"/>
        <v>756840</v>
      </c>
      <c r="AA17" s="33">
        <f t="shared" si="6"/>
        <v>444735.55840000004</v>
      </c>
      <c r="AB17" s="33">
        <f t="shared" si="7"/>
        <v>-77642.394899999897</v>
      </c>
      <c r="AC17" s="33">
        <f t="shared" si="4"/>
        <v>1411849.0701000001</v>
      </c>
    </row>
    <row r="18" spans="1:29" x14ac:dyDescent="0.25">
      <c r="A18" s="21">
        <v>15</v>
      </c>
      <c r="B18" s="50" t="s">
        <v>58</v>
      </c>
      <c r="C18" s="50">
        <v>1</v>
      </c>
      <c r="D18" s="22">
        <v>4</v>
      </c>
      <c r="F18" s="24">
        <v>5966660</v>
      </c>
      <c r="G18" s="24">
        <v>4379199.9999999991</v>
      </c>
      <c r="H18" s="24">
        <v>5176328.6399999997</v>
      </c>
      <c r="I18" s="24">
        <v>5726280</v>
      </c>
      <c r="J18" s="24">
        <v>2920816.2060000002</v>
      </c>
      <c r="K18" s="37">
        <v>785400</v>
      </c>
      <c r="L18" s="41">
        <v>2499000</v>
      </c>
      <c r="M18" s="27">
        <f>+AVERAGE(G18,H18,I18,J18,L18)</f>
        <v>4140324.9692000002</v>
      </c>
      <c r="N18" s="24">
        <f>+M18*C18*D18</f>
        <v>16561299.876800001</v>
      </c>
      <c r="O18" s="24">
        <f t="shared" si="1"/>
        <v>1918505.9528316818</v>
      </c>
      <c r="P18" s="90">
        <f t="shared" si="2"/>
        <v>0.46337086269882299</v>
      </c>
      <c r="Q18" s="91">
        <f>+GEOMEAN(G18,H18,I18,J18,L18)</f>
        <v>3938328.4928022856</v>
      </c>
      <c r="R18" s="91">
        <f>+TRIMMEAN(F18:L18,80%)</f>
        <v>4158781.6153333331</v>
      </c>
      <c r="S18" s="92">
        <f>+R18*C18*D18</f>
        <v>16635126.461333333</v>
      </c>
      <c r="T18" s="33">
        <f>+QUARTILE(F18:L18,0)</f>
        <v>785400</v>
      </c>
      <c r="U18" s="33">
        <f>+QUARTILE(F18:L18,1)</f>
        <v>2709908.1030000001</v>
      </c>
      <c r="V18" s="54">
        <f>+MEDIAN(F18:L18)</f>
        <v>4379199.9999999991</v>
      </c>
      <c r="W18" s="33">
        <f>+QUARTILE(F18:L18,3)</f>
        <v>5451304.3200000003</v>
      </c>
      <c r="X18" s="33">
        <f>+W18*C18*D18</f>
        <v>21805217.280000001</v>
      </c>
      <c r="Y18" s="33">
        <f>+QUARTILE(F18:L18,4)</f>
        <v>5966660</v>
      </c>
      <c r="Z18" s="33">
        <f t="shared" si="5"/>
        <v>5181260</v>
      </c>
      <c r="AA18" s="33">
        <f t="shared" si="6"/>
        <v>2741396.2170000002</v>
      </c>
      <c r="AB18" s="33">
        <f t="shared" si="7"/>
        <v>47232.171000000089</v>
      </c>
      <c r="AC18" s="33">
        <f t="shared" si="4"/>
        <v>8176956.4800000004</v>
      </c>
    </row>
    <row r="19" spans="1:29" x14ac:dyDescent="0.25">
      <c r="A19" s="21">
        <v>16</v>
      </c>
      <c r="B19" s="28" t="s">
        <v>59</v>
      </c>
      <c r="C19" s="22">
        <v>1500</v>
      </c>
      <c r="D19" s="22">
        <v>4</v>
      </c>
      <c r="G19" s="24">
        <v>1057.9099999999999</v>
      </c>
      <c r="H19" s="37">
        <v>52.36</v>
      </c>
      <c r="I19" s="41">
        <v>844.9</v>
      </c>
      <c r="J19" s="24">
        <v>3773.3472000000002</v>
      </c>
      <c r="K19" s="30">
        <v>0</v>
      </c>
      <c r="L19" s="24">
        <v>33320</v>
      </c>
      <c r="M19" s="27">
        <f>+AVERAGE(G19,H19,I19,J19,K19,L19)</f>
        <v>6508.0862000000006</v>
      </c>
      <c r="N19" s="24">
        <f>+M19*C19*D19</f>
        <v>39048517.200000003</v>
      </c>
      <c r="O19" s="24">
        <f t="shared" si="1"/>
        <v>13207.310129770294</v>
      </c>
      <c r="P19" s="90">
        <f t="shared" si="2"/>
        <v>2.0293692683066018</v>
      </c>
      <c r="Q19" s="91" t="e">
        <f>+GEOMEAN(F19,G19,H19,I19,J19,K19,L19)</f>
        <v>#NUM!</v>
      </c>
      <c r="R19" s="91">
        <f>+TRIMMEAN(F19:L19,80%)</f>
        <v>951.40499999999997</v>
      </c>
      <c r="S19" s="92">
        <f>+R19*C19*D19</f>
        <v>5708430</v>
      </c>
      <c r="T19" s="33">
        <f>+QUARTILE(F19:L19,0)</f>
        <v>0</v>
      </c>
      <c r="U19" s="33">
        <f>+QUARTILE(F19:L19,1)</f>
        <v>250.495</v>
      </c>
      <c r="V19" s="54">
        <f>+MEDIAN(F19:L19)</f>
        <v>951.40499999999997</v>
      </c>
      <c r="W19" s="33">
        <f>+QUARTILE(F19:L19,3)</f>
        <v>3094.4879000000001</v>
      </c>
      <c r="X19" s="33">
        <f>+W19*C19*D19</f>
        <v>18566927.400000002</v>
      </c>
      <c r="Y19" s="33">
        <f>+QUARTILE(F19:L19,4)</f>
        <v>33320</v>
      </c>
      <c r="Z19" s="33">
        <f t="shared" si="5"/>
        <v>33320</v>
      </c>
      <c r="AA19" s="33">
        <f t="shared" si="6"/>
        <v>2843.9929000000002</v>
      </c>
      <c r="AB19" s="33">
        <f t="shared" si="7"/>
        <v>3890.2468500000004</v>
      </c>
      <c r="AC19" s="33">
        <f t="shared" si="4"/>
        <v>4641.7318500000001</v>
      </c>
    </row>
    <row r="20" spans="1:29" x14ac:dyDescent="0.25">
      <c r="A20" s="21">
        <v>17</v>
      </c>
      <c r="B20" s="53" t="s">
        <v>60</v>
      </c>
      <c r="C20" s="52">
        <v>1</v>
      </c>
      <c r="D20" s="22">
        <v>4</v>
      </c>
      <c r="G20" s="24">
        <v>3421250</v>
      </c>
      <c r="H20" s="24">
        <v>3119523.1199999996</v>
      </c>
      <c r="I20" s="24">
        <v>5619180</v>
      </c>
      <c r="J20" s="41">
        <v>1220901.4440000001</v>
      </c>
      <c r="K20" s="24">
        <v>2618000</v>
      </c>
      <c r="L20" s="37">
        <v>599760</v>
      </c>
      <c r="M20" s="27">
        <f>+AVERAGE(G20,H20,I20,J20,K20,L20)</f>
        <v>2766435.7606666666</v>
      </c>
      <c r="N20" s="24">
        <f>+M20*C20*D20</f>
        <v>11065743.042666666</v>
      </c>
      <c r="O20" s="24">
        <f t="shared" si="1"/>
        <v>1777458.6024604721</v>
      </c>
      <c r="P20" s="90">
        <f t="shared" si="2"/>
        <v>0.64250854031475257</v>
      </c>
      <c r="Q20" s="91">
        <f>+GEOMEAN(F20,G20,H20,I20,J20,K20,L20)</f>
        <v>2205103.3639579494</v>
      </c>
      <c r="R20" s="91">
        <f>+TRIMMEAN(F20:L20,80%)</f>
        <v>2868761.5599999996</v>
      </c>
      <c r="S20" s="92">
        <f>+R20*C20*D20</f>
        <v>11475046.239999998</v>
      </c>
      <c r="T20" s="33">
        <f>+QUARTILE(F20:L20,0)</f>
        <v>599760</v>
      </c>
      <c r="U20" s="33">
        <f>+QUARTILE(F20:L20,1)</f>
        <v>1570176.0830000001</v>
      </c>
      <c r="V20" s="54">
        <f>+MEDIAN(F20:L20)</f>
        <v>2868761.5599999996</v>
      </c>
      <c r="W20" s="33">
        <f>+QUARTILE(F20:L20,3)</f>
        <v>3345818.28</v>
      </c>
      <c r="X20" s="33">
        <f>+W20*C20*D20</f>
        <v>13383273.119999999</v>
      </c>
      <c r="Y20" s="33">
        <f>+QUARTILE(F20:L20,4)</f>
        <v>5619180</v>
      </c>
      <c r="Z20" s="33">
        <f t="shared" si="5"/>
        <v>5019420</v>
      </c>
      <c r="AA20" s="33">
        <f t="shared" si="6"/>
        <v>1775642.1969999997</v>
      </c>
      <c r="AB20" s="33">
        <f t="shared" si="7"/>
        <v>308199.17099999939</v>
      </c>
      <c r="AC20" s="33">
        <f t="shared" si="4"/>
        <v>5018727.42</v>
      </c>
    </row>
    <row r="21" spans="1:29" x14ac:dyDescent="0.25">
      <c r="A21" s="21">
        <v>18</v>
      </c>
      <c r="B21" s="51" t="s">
        <v>61</v>
      </c>
      <c r="C21" s="50">
        <v>1</v>
      </c>
      <c r="D21" s="22">
        <v>4</v>
      </c>
      <c r="G21" s="24">
        <v>2052749.9999999995</v>
      </c>
      <c r="H21" s="24">
        <v>2616241.1799999997</v>
      </c>
      <c r="I21" s="24">
        <v>1610070</v>
      </c>
      <c r="J21" s="37">
        <v>198616.0932</v>
      </c>
      <c r="K21" s="24">
        <v>830089.26</v>
      </c>
      <c r="L21" s="41">
        <v>599760</v>
      </c>
      <c r="M21" s="27">
        <f>+AVERAGE(G21,H21,I21,J21,K21,L21)</f>
        <v>1317921.0888666667</v>
      </c>
      <c r="N21" s="24">
        <f>+M21*C21*D21</f>
        <v>5271684.3554666666</v>
      </c>
      <c r="O21" s="24">
        <f t="shared" si="1"/>
        <v>929251.14905456733</v>
      </c>
      <c r="P21" s="90">
        <f t="shared" si="2"/>
        <v>0.70508861031555981</v>
      </c>
      <c r="Q21" s="91">
        <f>+GEOMEAN(F21,G21,H21,I21,J21,K21,L21)</f>
        <v>974232.36672492488</v>
      </c>
      <c r="R21" s="91">
        <f>+TRIMMEAN(F21:L21,80%)</f>
        <v>1220079.6299999999</v>
      </c>
      <c r="S21" s="92">
        <f>+R21*C21*D21</f>
        <v>4880318.5199999996</v>
      </c>
      <c r="T21" s="33">
        <f>+QUARTILE(F21:L21,0)</f>
        <v>198616.0932</v>
      </c>
      <c r="U21" s="33">
        <f>+QUARTILE(F21:L21,1)</f>
        <v>657342.31499999994</v>
      </c>
      <c r="V21" s="54">
        <f>+MEDIAN(F21:L21)</f>
        <v>1220079.6299999999</v>
      </c>
      <c r="W21" s="33">
        <f>+QUARTILE(F21:L21,3)</f>
        <v>1942079.9999999995</v>
      </c>
      <c r="X21" s="33">
        <f>+W21*C21*D21</f>
        <v>7768319.9999999981</v>
      </c>
      <c r="Y21" s="33">
        <f>+QUARTILE(F21:L21,4)</f>
        <v>2616241.1799999997</v>
      </c>
      <c r="Z21" s="33">
        <f t="shared" si="5"/>
        <v>2417625.0867999997</v>
      </c>
      <c r="AA21" s="33">
        <f t="shared" si="6"/>
        <v>1284737.6849999996</v>
      </c>
      <c r="AB21" s="33">
        <f t="shared" si="7"/>
        <v>941093.05499999947</v>
      </c>
      <c r="AC21" s="33">
        <f t="shared" si="4"/>
        <v>2913119.9999999991</v>
      </c>
    </row>
    <row r="22" spans="1:29" ht="25.5" x14ac:dyDescent="0.25">
      <c r="A22" s="21">
        <v>19</v>
      </c>
      <c r="B22" s="22" t="s">
        <v>62</v>
      </c>
      <c r="C22" s="22">
        <v>1000</v>
      </c>
      <c r="D22" s="22">
        <v>4</v>
      </c>
      <c r="G22" s="24">
        <v>479.57</v>
      </c>
      <c r="H22" s="24">
        <v>232.04999999999998</v>
      </c>
      <c r="I22" s="24">
        <v>428.4</v>
      </c>
      <c r="J22" s="41">
        <v>177.35760000000002</v>
      </c>
      <c r="K22" s="37">
        <v>104.72</v>
      </c>
      <c r="L22" s="24">
        <v>359.85600000000005</v>
      </c>
      <c r="M22" s="27">
        <f>+AVERAGE(G22,H22,I22,J22,K22,L22)</f>
        <v>296.99226666666669</v>
      </c>
      <c r="N22" s="24">
        <f>+M22*C22*D22</f>
        <v>1187969.0666666669</v>
      </c>
      <c r="O22" s="24">
        <f t="shared" si="1"/>
        <v>148.35972907425608</v>
      </c>
      <c r="P22" s="90">
        <f t="shared" si="2"/>
        <v>0.4995407144414627</v>
      </c>
      <c r="Q22" s="91">
        <f>+GEOMEAN(F22,G22,H22,I22,J22,K22,L22)</f>
        <v>261.34560712780149</v>
      </c>
      <c r="R22" s="91">
        <f>+TRIMMEAN(F22:L22,80%)</f>
        <v>295.95300000000003</v>
      </c>
      <c r="S22" s="92">
        <f>+R22*C22*D22</f>
        <v>1183812.0000000002</v>
      </c>
      <c r="T22" s="33">
        <f>+QUARTILE(F22:L22,0)</f>
        <v>104.72</v>
      </c>
      <c r="U22" s="33">
        <f>+QUARTILE(F22:L22,1)</f>
        <v>191.03070000000002</v>
      </c>
      <c r="V22" s="54">
        <f>+MEDIAN(F22:L22)</f>
        <v>295.95300000000003</v>
      </c>
      <c r="W22" s="33">
        <f>+QUARTILE(F22:L22,3)</f>
        <v>411.26400000000001</v>
      </c>
      <c r="X22" s="33">
        <f>+W22*C22*D22</f>
        <v>1645056</v>
      </c>
      <c r="Y22" s="33">
        <f>+QUARTILE(F22:L22,4)</f>
        <v>479.57</v>
      </c>
      <c r="Z22" s="33">
        <f t="shared" si="5"/>
        <v>374.85</v>
      </c>
      <c r="AA22" s="33">
        <f t="shared" si="6"/>
        <v>220.23329999999999</v>
      </c>
      <c r="AB22" s="33">
        <f t="shared" si="7"/>
        <v>43.803899999999942</v>
      </c>
      <c r="AC22" s="33">
        <f t="shared" si="4"/>
        <v>616.89599999999996</v>
      </c>
    </row>
    <row r="23" spans="1:29" x14ac:dyDescent="0.25">
      <c r="M23" s="39"/>
      <c r="N23" s="39"/>
      <c r="O23" s="39"/>
      <c r="P23" s="93"/>
      <c r="Q23" s="39"/>
      <c r="R23" s="39"/>
      <c r="S23" s="39"/>
      <c r="T23" s="39"/>
      <c r="U23" s="39"/>
      <c r="V23" s="39"/>
      <c r="W23" s="39"/>
      <c r="X23" s="39"/>
    </row>
    <row r="24" spans="1:29" x14ac:dyDescent="0.25">
      <c r="M24" s="39"/>
      <c r="N24" s="39"/>
      <c r="O24" s="39"/>
      <c r="P24" s="39"/>
    </row>
  </sheetData>
  <mergeCells count="1">
    <mergeCell ref="AB2:AC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9093-44C2-4E6A-9E35-EA319C81C3EB}">
  <dimension ref="A5:AU16"/>
  <sheetViews>
    <sheetView zoomScale="70" zoomScaleNormal="70" workbookViewId="0">
      <selection activeCell="C8" sqref="C8"/>
    </sheetView>
  </sheetViews>
  <sheetFormatPr baseColWidth="10" defaultRowHeight="15" x14ac:dyDescent="0.25"/>
  <cols>
    <col min="1" max="1" width="44.140625" customWidth="1"/>
    <col min="2" max="2" width="14" bestFit="1" customWidth="1"/>
    <col min="3" max="3" width="19.42578125" bestFit="1" customWidth="1"/>
    <col min="6" max="6" width="42.42578125" customWidth="1"/>
    <col min="8" max="8" width="22.85546875" customWidth="1"/>
    <col min="10" max="10" width="19.140625" bestFit="1" customWidth="1"/>
    <col min="12" max="12" width="36.28515625" customWidth="1"/>
    <col min="14" max="14" width="23.85546875" bestFit="1" customWidth="1"/>
    <col min="18" max="18" width="54.5703125" customWidth="1"/>
    <col min="22" max="22" width="20.5703125" bestFit="1" customWidth="1"/>
    <col min="24" max="24" width="38.5703125" customWidth="1"/>
    <col min="26" max="26" width="19.42578125" bestFit="1" customWidth="1"/>
    <col min="29" max="29" width="34.7109375" customWidth="1"/>
    <col min="31" max="31" width="23.85546875" bestFit="1" customWidth="1"/>
    <col min="35" max="35" width="36.5703125" customWidth="1"/>
    <col min="37" max="37" width="23.85546875" bestFit="1" customWidth="1"/>
    <col min="40" max="40" width="14.85546875" bestFit="1" customWidth="1"/>
    <col min="41" max="41" width="10.28515625" customWidth="1"/>
    <col min="42" max="42" width="48.140625" customWidth="1"/>
    <col min="43" max="43" width="21.85546875" customWidth="1"/>
    <col min="44" max="44" width="24.7109375" customWidth="1"/>
    <col min="45" max="45" width="17.85546875" bestFit="1" customWidth="1"/>
    <col min="46" max="46" width="21.5703125" customWidth="1"/>
  </cols>
  <sheetData>
    <row r="5" spans="1:47" x14ac:dyDescent="0.25">
      <c r="A5" s="133" t="s">
        <v>142</v>
      </c>
      <c r="F5" s="133" t="s">
        <v>143</v>
      </c>
      <c r="L5" s="133" t="s">
        <v>3</v>
      </c>
      <c r="R5" s="133" t="s">
        <v>33</v>
      </c>
      <c r="X5" s="133" t="s">
        <v>34</v>
      </c>
      <c r="AC5" s="133" t="s">
        <v>144</v>
      </c>
      <c r="AI5" s="168" t="s">
        <v>8</v>
      </c>
    </row>
    <row r="6" spans="1:47" ht="21" thickBot="1" x14ac:dyDescent="0.3">
      <c r="A6" s="134" t="s">
        <v>145</v>
      </c>
      <c r="B6" s="135"/>
      <c r="C6" s="135"/>
      <c r="D6" s="136"/>
      <c r="F6" s="134" t="s">
        <v>145</v>
      </c>
      <c r="G6" s="135"/>
      <c r="H6" s="135"/>
      <c r="I6" s="136"/>
      <c r="L6" s="134" t="s">
        <v>145</v>
      </c>
      <c r="M6" s="135"/>
      <c r="N6" s="135"/>
      <c r="O6" s="136"/>
      <c r="R6" s="134" t="s">
        <v>145</v>
      </c>
      <c r="S6" s="135"/>
      <c r="T6" s="135"/>
      <c r="U6" s="136"/>
      <c r="X6" s="134" t="s">
        <v>145</v>
      </c>
      <c r="Y6" s="135"/>
      <c r="Z6" s="135"/>
      <c r="AA6" s="136"/>
      <c r="AC6" s="134" t="s">
        <v>145</v>
      </c>
      <c r="AD6" s="135"/>
      <c r="AE6" s="135"/>
      <c r="AF6" s="136"/>
      <c r="AI6" s="169" t="s">
        <v>145</v>
      </c>
      <c r="AJ6" s="170"/>
      <c r="AK6" s="170"/>
      <c r="AL6" s="171"/>
    </row>
    <row r="7" spans="1:47" ht="63" x14ac:dyDescent="0.25">
      <c r="A7" s="137" t="s">
        <v>146</v>
      </c>
      <c r="B7" s="137" t="s">
        <v>75</v>
      </c>
      <c r="C7" s="137" t="s">
        <v>147</v>
      </c>
      <c r="D7" s="137" t="s">
        <v>148</v>
      </c>
      <c r="F7" s="137" t="s">
        <v>146</v>
      </c>
      <c r="G7" s="137" t="s">
        <v>75</v>
      </c>
      <c r="H7" s="137" t="s">
        <v>149</v>
      </c>
      <c r="I7" s="137" t="s">
        <v>148</v>
      </c>
      <c r="J7" s="138">
        <v>1300000</v>
      </c>
      <c r="L7" s="137" t="s">
        <v>146</v>
      </c>
      <c r="M7" s="137" t="s">
        <v>75</v>
      </c>
      <c r="N7" s="137" t="s">
        <v>149</v>
      </c>
      <c r="O7" s="137" t="s">
        <v>148</v>
      </c>
      <c r="R7" s="137" t="s">
        <v>146</v>
      </c>
      <c r="S7" s="137" t="s">
        <v>75</v>
      </c>
      <c r="T7" s="137" t="s">
        <v>147</v>
      </c>
      <c r="U7" s="137" t="s">
        <v>148</v>
      </c>
      <c r="V7" s="139">
        <v>1300000</v>
      </c>
      <c r="X7" s="137" t="s">
        <v>146</v>
      </c>
      <c r="Y7" s="137" t="s">
        <v>75</v>
      </c>
      <c r="Z7" s="137" t="s">
        <v>147</v>
      </c>
      <c r="AA7" s="137" t="s">
        <v>148</v>
      </c>
      <c r="AC7" s="137" t="s">
        <v>146</v>
      </c>
      <c r="AD7" s="137" t="s">
        <v>75</v>
      </c>
      <c r="AE7" s="137" t="s">
        <v>147</v>
      </c>
      <c r="AF7" s="137" t="s">
        <v>148</v>
      </c>
      <c r="AI7" s="172" t="s">
        <v>146</v>
      </c>
      <c r="AJ7" s="172" t="s">
        <v>75</v>
      </c>
      <c r="AK7" s="172" t="s">
        <v>149</v>
      </c>
      <c r="AL7" s="172" t="s">
        <v>148</v>
      </c>
      <c r="AP7" s="140" t="s">
        <v>150</v>
      </c>
      <c r="AQ7" s="141" t="s">
        <v>151</v>
      </c>
      <c r="AR7" s="141" t="s">
        <v>137</v>
      </c>
      <c r="AS7" s="141" t="s">
        <v>152</v>
      </c>
      <c r="AT7" s="142" t="s">
        <v>153</v>
      </c>
    </row>
    <row r="8" spans="1:47" ht="36" x14ac:dyDescent="0.25">
      <c r="A8" s="166" t="s">
        <v>78</v>
      </c>
      <c r="B8" s="143">
        <v>1</v>
      </c>
      <c r="C8" s="144">
        <v>5200048</v>
      </c>
      <c r="D8" s="145">
        <v>1</v>
      </c>
      <c r="F8" s="166" t="s">
        <v>78</v>
      </c>
      <c r="G8" s="143">
        <v>1</v>
      </c>
      <c r="H8" s="146" t="s">
        <v>154</v>
      </c>
      <c r="I8" s="145">
        <v>1</v>
      </c>
      <c r="J8" s="138">
        <f>+J7*4</f>
        <v>5200000</v>
      </c>
      <c r="L8" s="166" t="s">
        <v>78</v>
      </c>
      <c r="M8" s="143">
        <v>1</v>
      </c>
      <c r="N8" s="147">
        <v>5200000</v>
      </c>
      <c r="O8" s="145">
        <v>1</v>
      </c>
      <c r="R8" s="166" t="s">
        <v>78</v>
      </c>
      <c r="S8" s="143">
        <v>1</v>
      </c>
      <c r="T8" s="148" t="s">
        <v>154</v>
      </c>
      <c r="U8" s="145">
        <v>1</v>
      </c>
      <c r="V8" s="139">
        <f>+V7*4</f>
        <v>5200000</v>
      </c>
      <c r="X8" s="166" t="s">
        <v>78</v>
      </c>
      <c r="Y8" s="143">
        <v>1</v>
      </c>
      <c r="Z8" s="149">
        <v>5720000</v>
      </c>
      <c r="AA8" s="145">
        <v>1</v>
      </c>
      <c r="AC8" s="166" t="s">
        <v>78</v>
      </c>
      <c r="AD8" s="143">
        <v>1</v>
      </c>
      <c r="AE8" s="150">
        <v>4573800</v>
      </c>
      <c r="AF8" s="145">
        <v>1</v>
      </c>
      <c r="AI8" s="167" t="s">
        <v>78</v>
      </c>
      <c r="AJ8" s="151">
        <v>1</v>
      </c>
      <c r="AK8" s="152">
        <v>4500000</v>
      </c>
      <c r="AL8" s="153">
        <v>1</v>
      </c>
      <c r="AP8" s="154" t="s">
        <v>78</v>
      </c>
      <c r="AQ8" s="155">
        <f t="shared" ref="AQ8:AQ15" si="0">+AVERAGE(AK8,AE8,Z8,V8,N8,J8,C8)</f>
        <v>5084835.4285714282</v>
      </c>
      <c r="AR8" s="156">
        <v>1300000</v>
      </c>
      <c r="AS8" s="157">
        <f>+AQ8/AR8</f>
        <v>3.9114118681318679</v>
      </c>
      <c r="AT8" s="158">
        <f>+AR8*4</f>
        <v>5200000</v>
      </c>
      <c r="AU8" s="17"/>
    </row>
    <row r="9" spans="1:47" ht="36" x14ac:dyDescent="0.25">
      <c r="A9" s="166" t="s">
        <v>79</v>
      </c>
      <c r="B9" s="143">
        <v>1</v>
      </c>
      <c r="C9" s="144">
        <v>4550042</v>
      </c>
      <c r="D9" s="145">
        <v>1</v>
      </c>
      <c r="F9" s="166" t="s">
        <v>79</v>
      </c>
      <c r="G9" s="143">
        <v>1</v>
      </c>
      <c r="H9" s="146" t="s">
        <v>155</v>
      </c>
      <c r="I9" s="145">
        <v>1</v>
      </c>
      <c r="J9" s="138">
        <f>+J7*3.5</f>
        <v>4550000</v>
      </c>
      <c r="L9" s="166" t="s">
        <v>79</v>
      </c>
      <c r="M9" s="143">
        <v>1</v>
      </c>
      <c r="N9" s="147">
        <v>4550000</v>
      </c>
      <c r="O9" s="145">
        <v>1</v>
      </c>
      <c r="R9" s="166" t="s">
        <v>79</v>
      </c>
      <c r="S9" s="143">
        <v>1</v>
      </c>
      <c r="T9" s="148" t="s">
        <v>156</v>
      </c>
      <c r="U9" s="145">
        <v>1</v>
      </c>
      <c r="V9" s="139">
        <f>+V7*3.5</f>
        <v>4550000</v>
      </c>
      <c r="X9" s="166" t="s">
        <v>79</v>
      </c>
      <c r="Y9" s="143">
        <v>1</v>
      </c>
      <c r="Z9" s="149">
        <v>5005000</v>
      </c>
      <c r="AA9" s="145">
        <v>1</v>
      </c>
      <c r="AC9" s="166" t="s">
        <v>79</v>
      </c>
      <c r="AD9" s="143">
        <v>1</v>
      </c>
      <c r="AE9" s="150">
        <v>4235000</v>
      </c>
      <c r="AF9" s="145">
        <v>1</v>
      </c>
      <c r="AI9" s="167" t="s">
        <v>79</v>
      </c>
      <c r="AJ9" s="151">
        <v>1</v>
      </c>
      <c r="AK9" s="152">
        <v>4500000</v>
      </c>
      <c r="AL9" s="153">
        <v>1</v>
      </c>
      <c r="AP9" s="154" t="s">
        <v>79</v>
      </c>
      <c r="AQ9" s="155">
        <f t="shared" si="0"/>
        <v>4562863.1428571427</v>
      </c>
      <c r="AR9" s="156">
        <v>1300000</v>
      </c>
      <c r="AS9" s="159">
        <f t="shared" ref="AS9:AS14" si="1">+AQ9/AR9</f>
        <v>3.5098947252747252</v>
      </c>
      <c r="AT9" s="158">
        <f>+AR9*4</f>
        <v>5200000</v>
      </c>
      <c r="AU9" s="17"/>
    </row>
    <row r="10" spans="1:47" ht="36" x14ac:dyDescent="0.25">
      <c r="A10" s="166" t="s">
        <v>80</v>
      </c>
      <c r="B10" s="143">
        <v>1</v>
      </c>
      <c r="C10" s="144">
        <v>2601324.0119999996</v>
      </c>
      <c r="D10" s="145">
        <v>1</v>
      </c>
      <c r="F10" s="166" t="s">
        <v>80</v>
      </c>
      <c r="G10" s="143">
        <v>1</v>
      </c>
      <c r="H10" s="146" t="s">
        <v>157</v>
      </c>
      <c r="I10" s="145">
        <v>1</v>
      </c>
      <c r="J10" s="138">
        <f>+J7*2</f>
        <v>2600000</v>
      </c>
      <c r="L10" s="166" t="s">
        <v>80</v>
      </c>
      <c r="M10" s="143">
        <v>1</v>
      </c>
      <c r="N10" s="147">
        <v>2600000</v>
      </c>
      <c r="O10" s="145">
        <v>1</v>
      </c>
      <c r="R10" s="166" t="s">
        <v>80</v>
      </c>
      <c r="S10" s="143">
        <v>1</v>
      </c>
      <c r="T10" s="148" t="s">
        <v>157</v>
      </c>
      <c r="U10" s="145">
        <v>1</v>
      </c>
      <c r="V10" s="139">
        <f>+V7*2</f>
        <v>2600000</v>
      </c>
      <c r="X10" s="166" t="s">
        <v>80</v>
      </c>
      <c r="Y10" s="143">
        <v>1</v>
      </c>
      <c r="Z10" s="149">
        <v>2860000</v>
      </c>
      <c r="AA10" s="145">
        <v>1</v>
      </c>
      <c r="AC10" s="166" t="s">
        <v>80</v>
      </c>
      <c r="AD10" s="143">
        <v>1</v>
      </c>
      <c r="AE10" s="150">
        <v>2202200</v>
      </c>
      <c r="AF10" s="145">
        <v>1</v>
      </c>
      <c r="AI10" s="167" t="s">
        <v>80</v>
      </c>
      <c r="AJ10" s="151">
        <v>1</v>
      </c>
      <c r="AK10" s="152">
        <v>2700000</v>
      </c>
      <c r="AL10" s="153">
        <v>1</v>
      </c>
      <c r="AP10" s="154" t="s">
        <v>80</v>
      </c>
      <c r="AQ10" s="155">
        <f t="shared" si="0"/>
        <v>2594789.1445714282</v>
      </c>
      <c r="AR10" s="156">
        <v>1300000</v>
      </c>
      <c r="AS10" s="157">
        <f t="shared" si="1"/>
        <v>1.9959916496703294</v>
      </c>
      <c r="AT10" s="158">
        <f>+AR10*2</f>
        <v>2600000</v>
      </c>
      <c r="AU10" s="17"/>
    </row>
    <row r="11" spans="1:47" ht="36" x14ac:dyDescent="0.25">
      <c r="A11" s="166" t="s">
        <v>158</v>
      </c>
      <c r="B11" s="143">
        <v>1</v>
      </c>
      <c r="C11" s="144">
        <v>2601324.0119999996</v>
      </c>
      <c r="D11" s="145">
        <v>1</v>
      </c>
      <c r="F11" s="166" t="s">
        <v>159</v>
      </c>
      <c r="G11" s="143">
        <v>1</v>
      </c>
      <c r="H11" s="146" t="s">
        <v>157</v>
      </c>
      <c r="I11" s="145">
        <v>1</v>
      </c>
      <c r="J11" s="138">
        <f>+J7*2</f>
        <v>2600000</v>
      </c>
      <c r="L11" s="166" t="s">
        <v>159</v>
      </c>
      <c r="M11" s="143">
        <v>1</v>
      </c>
      <c r="N11" s="147">
        <v>2600000</v>
      </c>
      <c r="O11" s="145">
        <v>1</v>
      </c>
      <c r="R11" s="166" t="s">
        <v>158</v>
      </c>
      <c r="S11" s="143">
        <v>1</v>
      </c>
      <c r="T11" s="148" t="s">
        <v>157</v>
      </c>
      <c r="U11" s="145">
        <v>1</v>
      </c>
      <c r="V11" s="139">
        <f>+V7*2</f>
        <v>2600000</v>
      </c>
      <c r="X11" s="166" t="s">
        <v>159</v>
      </c>
      <c r="Y11" s="143">
        <v>1</v>
      </c>
      <c r="Z11" s="149">
        <v>3575000.0000000005</v>
      </c>
      <c r="AA11" s="145">
        <v>1</v>
      </c>
      <c r="AC11" s="166" t="s">
        <v>158</v>
      </c>
      <c r="AD11" s="143">
        <v>1</v>
      </c>
      <c r="AE11" s="150">
        <v>2202200</v>
      </c>
      <c r="AF11" s="145">
        <v>1</v>
      </c>
      <c r="AI11" s="167" t="s">
        <v>159</v>
      </c>
      <c r="AJ11" s="151">
        <v>1</v>
      </c>
      <c r="AK11" s="152">
        <v>2700000</v>
      </c>
      <c r="AL11" s="153">
        <v>1</v>
      </c>
      <c r="AP11" s="154" t="s">
        <v>159</v>
      </c>
      <c r="AQ11" s="155">
        <f t="shared" si="0"/>
        <v>2696932.0017142855</v>
      </c>
      <c r="AR11" s="156">
        <v>1300000</v>
      </c>
      <c r="AS11" s="157">
        <f t="shared" si="1"/>
        <v>2.0745630782417579</v>
      </c>
      <c r="AT11" s="158">
        <f>+AR11*2</f>
        <v>2600000</v>
      </c>
      <c r="AU11" s="17"/>
    </row>
    <row r="12" spans="1:47" ht="54" x14ac:dyDescent="0.25">
      <c r="A12" s="166" t="s">
        <v>160</v>
      </c>
      <c r="B12" s="143">
        <v>1</v>
      </c>
      <c r="C12" s="144">
        <v>2601324.0119999996</v>
      </c>
      <c r="D12" s="145">
        <v>1</v>
      </c>
      <c r="F12" s="166" t="s">
        <v>160</v>
      </c>
      <c r="G12" s="143">
        <v>1</v>
      </c>
      <c r="H12" s="146" t="s">
        <v>157</v>
      </c>
      <c r="I12" s="145">
        <v>1</v>
      </c>
      <c r="J12" s="138">
        <f>+J7*2</f>
        <v>2600000</v>
      </c>
      <c r="L12" s="166" t="s">
        <v>160</v>
      </c>
      <c r="M12" s="143">
        <v>1</v>
      </c>
      <c r="N12" s="147">
        <v>2600000</v>
      </c>
      <c r="O12" s="145">
        <v>1</v>
      </c>
      <c r="R12" s="166" t="s">
        <v>160</v>
      </c>
      <c r="S12" s="143">
        <v>1</v>
      </c>
      <c r="T12" s="148" t="s">
        <v>157</v>
      </c>
      <c r="U12" s="145">
        <v>1</v>
      </c>
      <c r="V12" s="139">
        <f>+V7*2</f>
        <v>2600000</v>
      </c>
      <c r="X12" s="166" t="s">
        <v>160</v>
      </c>
      <c r="Y12" s="143">
        <v>1</v>
      </c>
      <c r="Z12" s="149">
        <v>3575000.0000000005</v>
      </c>
      <c r="AA12" s="145">
        <v>1</v>
      </c>
      <c r="AC12" s="166" t="s">
        <v>160</v>
      </c>
      <c r="AD12" s="143">
        <v>1</v>
      </c>
      <c r="AE12" s="150">
        <v>4404400</v>
      </c>
      <c r="AF12" s="145">
        <v>1</v>
      </c>
      <c r="AI12" s="167" t="s">
        <v>160</v>
      </c>
      <c r="AJ12" s="151">
        <v>1</v>
      </c>
      <c r="AK12" s="152">
        <v>2700000</v>
      </c>
      <c r="AL12" s="153">
        <v>1</v>
      </c>
      <c r="AP12" s="154" t="s">
        <v>160</v>
      </c>
      <c r="AQ12" s="155">
        <f t="shared" si="0"/>
        <v>3011532.0017142855</v>
      </c>
      <c r="AR12" s="156">
        <v>1300000</v>
      </c>
      <c r="AS12" s="157">
        <f t="shared" si="1"/>
        <v>2.3165630782417579</v>
      </c>
      <c r="AT12" s="158">
        <f>+AR12*2</f>
        <v>2600000</v>
      </c>
      <c r="AU12" s="17"/>
    </row>
    <row r="13" spans="1:47" ht="36" x14ac:dyDescent="0.25">
      <c r="A13" s="166" t="s">
        <v>82</v>
      </c>
      <c r="B13" s="143">
        <v>1</v>
      </c>
      <c r="C13" s="144">
        <v>2601324.0119999996</v>
      </c>
      <c r="D13" s="145">
        <v>1</v>
      </c>
      <c r="F13" s="166" t="s">
        <v>82</v>
      </c>
      <c r="G13" s="143">
        <v>1</v>
      </c>
      <c r="H13" s="146" t="s">
        <v>157</v>
      </c>
      <c r="I13" s="145">
        <v>1</v>
      </c>
      <c r="J13" s="138">
        <f>+J7*2</f>
        <v>2600000</v>
      </c>
      <c r="L13" s="166" t="s">
        <v>82</v>
      </c>
      <c r="M13" s="143">
        <v>1</v>
      </c>
      <c r="N13" s="147">
        <v>2600000</v>
      </c>
      <c r="O13" s="145">
        <v>1</v>
      </c>
      <c r="R13" s="166" t="s">
        <v>82</v>
      </c>
      <c r="S13" s="143">
        <v>1</v>
      </c>
      <c r="T13" s="148" t="s">
        <v>157</v>
      </c>
      <c r="U13" s="145">
        <v>1</v>
      </c>
      <c r="V13" s="139">
        <f>+V7*2</f>
        <v>2600000</v>
      </c>
      <c r="X13" s="166" t="s">
        <v>82</v>
      </c>
      <c r="Y13" s="143">
        <v>1</v>
      </c>
      <c r="Z13" s="149">
        <v>3575000.0000000005</v>
      </c>
      <c r="AA13" s="145">
        <v>1</v>
      </c>
      <c r="AC13" s="166" t="s">
        <v>82</v>
      </c>
      <c r="AD13" s="143">
        <v>1</v>
      </c>
      <c r="AE13" s="150">
        <v>2879800</v>
      </c>
      <c r="AF13" s="145">
        <v>1</v>
      </c>
      <c r="AI13" s="167" t="s">
        <v>82</v>
      </c>
      <c r="AJ13" s="151">
        <v>1</v>
      </c>
      <c r="AK13" s="152">
        <v>2700000</v>
      </c>
      <c r="AL13" s="153">
        <v>1</v>
      </c>
      <c r="AP13" s="154" t="s">
        <v>82</v>
      </c>
      <c r="AQ13" s="155">
        <f t="shared" si="0"/>
        <v>2793732.0017142855</v>
      </c>
      <c r="AR13" s="156">
        <v>1300000</v>
      </c>
      <c r="AS13" s="157">
        <f t="shared" si="1"/>
        <v>2.1490246167032967</v>
      </c>
      <c r="AT13" s="158">
        <f>+AR13*2</f>
        <v>2600000</v>
      </c>
      <c r="AU13" s="17"/>
    </row>
    <row r="14" spans="1:47" ht="180" x14ac:dyDescent="0.25">
      <c r="A14" s="166" t="s">
        <v>161</v>
      </c>
      <c r="B14" s="143">
        <v>1</v>
      </c>
      <c r="C14" s="144">
        <v>3900036</v>
      </c>
      <c r="D14" s="145">
        <v>1</v>
      </c>
      <c r="F14" s="166" t="s">
        <v>161</v>
      </c>
      <c r="G14" s="143">
        <v>1</v>
      </c>
      <c r="H14" s="146" t="s">
        <v>162</v>
      </c>
      <c r="I14" s="145">
        <v>1</v>
      </c>
      <c r="J14" s="138">
        <f>+J7*3</f>
        <v>3900000</v>
      </c>
      <c r="L14" s="166" t="s">
        <v>161</v>
      </c>
      <c r="M14" s="143">
        <v>1</v>
      </c>
      <c r="N14" s="147">
        <v>3900000</v>
      </c>
      <c r="O14" s="145">
        <v>1</v>
      </c>
      <c r="R14" s="166" t="s">
        <v>161</v>
      </c>
      <c r="S14" s="143">
        <v>1</v>
      </c>
      <c r="T14" s="148" t="s">
        <v>162</v>
      </c>
      <c r="U14" s="145">
        <v>1</v>
      </c>
      <c r="V14" s="139">
        <f>+V7*3</f>
        <v>3900000</v>
      </c>
      <c r="X14" s="166" t="s">
        <v>161</v>
      </c>
      <c r="Y14" s="143">
        <v>1</v>
      </c>
      <c r="Z14" s="149">
        <v>5720000</v>
      </c>
      <c r="AA14" s="145">
        <v>1</v>
      </c>
      <c r="AC14" s="166" t="s">
        <v>161</v>
      </c>
      <c r="AD14" s="143">
        <v>1</v>
      </c>
      <c r="AE14" s="150">
        <v>4235000</v>
      </c>
      <c r="AF14" s="145">
        <v>1</v>
      </c>
      <c r="AI14" s="167" t="s">
        <v>161</v>
      </c>
      <c r="AJ14" s="151">
        <v>1</v>
      </c>
      <c r="AK14" s="152">
        <v>4000000</v>
      </c>
      <c r="AL14" s="153">
        <v>1</v>
      </c>
      <c r="AP14" s="154" t="s">
        <v>163</v>
      </c>
      <c r="AQ14" s="155">
        <f t="shared" si="0"/>
        <v>4222148</v>
      </c>
      <c r="AR14" s="156">
        <v>1300000</v>
      </c>
      <c r="AS14" s="157">
        <f t="shared" si="1"/>
        <v>3.2478061538461538</v>
      </c>
      <c r="AT14" s="158">
        <f>+AR14*3</f>
        <v>3900000</v>
      </c>
      <c r="AU14" s="17"/>
    </row>
    <row r="15" spans="1:47" ht="90.75" thickBot="1" x14ac:dyDescent="0.3">
      <c r="A15" s="166" t="s">
        <v>164</v>
      </c>
      <c r="B15" s="143">
        <v>1</v>
      </c>
      <c r="C15" s="144">
        <v>4550042</v>
      </c>
      <c r="D15" s="145">
        <v>1</v>
      </c>
      <c r="F15" s="166" t="s">
        <v>164</v>
      </c>
      <c r="G15" s="143">
        <v>1</v>
      </c>
      <c r="H15" s="146" t="s">
        <v>155</v>
      </c>
      <c r="I15" s="145">
        <v>1</v>
      </c>
      <c r="J15" s="138">
        <f>+J7*3.5</f>
        <v>4550000</v>
      </c>
      <c r="L15" s="166" t="s">
        <v>164</v>
      </c>
      <c r="M15" s="143">
        <v>1</v>
      </c>
      <c r="N15" s="147">
        <v>4550000</v>
      </c>
      <c r="O15" s="145">
        <v>1</v>
      </c>
      <c r="R15" s="166" t="s">
        <v>164</v>
      </c>
      <c r="S15" s="143">
        <v>1</v>
      </c>
      <c r="T15" s="148" t="s">
        <v>156</v>
      </c>
      <c r="U15" s="145">
        <v>1</v>
      </c>
      <c r="V15" s="139">
        <f>+V7*3.5</f>
        <v>4550000</v>
      </c>
      <c r="X15" s="166" t="s">
        <v>164</v>
      </c>
      <c r="Y15" s="143">
        <v>1</v>
      </c>
      <c r="Z15" s="149">
        <v>2860000</v>
      </c>
      <c r="AA15" s="145">
        <v>1</v>
      </c>
      <c r="AC15" s="166" t="s">
        <v>164</v>
      </c>
      <c r="AD15" s="143">
        <v>1</v>
      </c>
      <c r="AE15" s="160">
        <v>4489100</v>
      </c>
      <c r="AF15" s="145">
        <v>1</v>
      </c>
      <c r="AI15" s="167" t="s">
        <v>164</v>
      </c>
      <c r="AJ15" s="151">
        <v>1</v>
      </c>
      <c r="AK15" s="152">
        <v>4000000</v>
      </c>
      <c r="AL15" s="153">
        <v>1</v>
      </c>
      <c r="AP15" s="161" t="s">
        <v>164</v>
      </c>
      <c r="AQ15" s="162">
        <f t="shared" si="0"/>
        <v>4221306</v>
      </c>
      <c r="AR15" s="163">
        <v>1300000</v>
      </c>
      <c r="AS15" s="164">
        <v>3.5</v>
      </c>
      <c r="AT15" s="165">
        <f>+AR15*3</f>
        <v>3900000</v>
      </c>
    </row>
    <row r="16" spans="1:47" x14ac:dyDescent="0.25">
      <c r="AO16" s="139"/>
    </row>
  </sheetData>
  <mergeCells count="7">
    <mergeCell ref="AI6:AL6"/>
    <mergeCell ref="A6:D6"/>
    <mergeCell ref="F6:I6"/>
    <mergeCell ref="L6:O6"/>
    <mergeCell ref="R6:U6"/>
    <mergeCell ref="X6:AA6"/>
    <mergeCell ref="AC6:AF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E4B07-3132-44C1-B02A-2B9C55C25BA0}">
  <dimension ref="B3:E25"/>
  <sheetViews>
    <sheetView showGridLines="0" zoomScale="145" zoomScaleNormal="145" workbookViewId="0">
      <selection activeCell="C15" sqref="C15"/>
    </sheetView>
  </sheetViews>
  <sheetFormatPr baseColWidth="10" defaultRowHeight="15" x14ac:dyDescent="0.25"/>
  <cols>
    <col min="2" max="10" width="30.7109375" customWidth="1"/>
  </cols>
  <sheetData>
    <row r="3" spans="2:5" ht="15.75" x14ac:dyDescent="0.25">
      <c r="B3" s="4" t="s">
        <v>0</v>
      </c>
      <c r="C3" s="5" t="s">
        <v>1</v>
      </c>
    </row>
    <row r="4" spans="2:5" ht="15.75" x14ac:dyDescent="0.25">
      <c r="B4" s="2" t="s">
        <v>2</v>
      </c>
      <c r="C4" s="3">
        <v>376198350.09890002</v>
      </c>
    </row>
    <row r="5" spans="2:5" ht="15.75" x14ac:dyDescent="0.25">
      <c r="B5" s="2" t="s">
        <v>3</v>
      </c>
      <c r="C5" s="3">
        <v>347462792.60000002</v>
      </c>
    </row>
    <row r="6" spans="2:5" ht="15.75" x14ac:dyDescent="0.25">
      <c r="B6" s="2" t="s">
        <v>4</v>
      </c>
      <c r="C6" s="3">
        <v>363192551.51200002</v>
      </c>
    </row>
    <row r="7" spans="2:5" ht="15.75" x14ac:dyDescent="0.25">
      <c r="B7" s="2" t="s">
        <v>5</v>
      </c>
      <c r="C7" s="3">
        <v>452347145.88</v>
      </c>
    </row>
    <row r="8" spans="2:5" ht="15.75" x14ac:dyDescent="0.25">
      <c r="B8" s="2" t="s">
        <v>6</v>
      </c>
      <c r="C8" s="3">
        <v>297417702.9533577</v>
      </c>
    </row>
    <row r="9" spans="2:5" ht="15.75" x14ac:dyDescent="0.25">
      <c r="B9" s="2" t="s">
        <v>7</v>
      </c>
      <c r="C9" s="3">
        <v>223542830.896</v>
      </c>
    </row>
    <row r="10" spans="2:5" ht="15.75" x14ac:dyDescent="0.25">
      <c r="B10" s="6" t="s">
        <v>8</v>
      </c>
      <c r="C10" s="7">
        <v>318618989.5</v>
      </c>
    </row>
    <row r="12" spans="2:5" ht="15.75" x14ac:dyDescent="0.25">
      <c r="B12" s="13" t="s">
        <v>9</v>
      </c>
      <c r="C12" s="14">
        <f>MIN(C4:C10)</f>
        <v>223542830.896</v>
      </c>
    </row>
    <row r="13" spans="2:5" ht="15.75" x14ac:dyDescent="0.25">
      <c r="B13" s="13" t="s">
        <v>10</v>
      </c>
      <c r="C13" s="14">
        <f>MAX(C4:C10)</f>
        <v>452347145.88</v>
      </c>
    </row>
    <row r="14" spans="2:5" ht="15.75" x14ac:dyDescent="0.25">
      <c r="B14" s="13" t="s">
        <v>11</v>
      </c>
      <c r="C14" s="14">
        <f>(C13-C12)</f>
        <v>228804314.984</v>
      </c>
    </row>
    <row r="15" spans="2:5" ht="15.75" x14ac:dyDescent="0.25">
      <c r="B15" s="13" t="s">
        <v>12</v>
      </c>
      <c r="C15" s="14">
        <f>AVERAGE(C4:C10)</f>
        <v>339825766.20575106</v>
      </c>
      <c r="E15" s="15">
        <f>+C18/C15</f>
        <v>0.1937907454523107</v>
      </c>
    </row>
    <row r="16" spans="2:5" ht="15.75" x14ac:dyDescent="0.25">
      <c r="B16" s="13" t="s">
        <v>13</v>
      </c>
      <c r="C16" s="14">
        <f>MEDIAN(C4:C10)</f>
        <v>347462792.60000002</v>
      </c>
    </row>
    <row r="17" spans="2:3" ht="15.75" x14ac:dyDescent="0.25">
      <c r="B17" s="13" t="s">
        <v>14</v>
      </c>
      <c r="C17" s="14">
        <f>GEOMEAN(C4:C10)</f>
        <v>333090223.05436325</v>
      </c>
    </row>
    <row r="18" spans="2:3" ht="15.75" x14ac:dyDescent="0.25">
      <c r="B18" s="13" t="s">
        <v>15</v>
      </c>
      <c r="C18" s="14">
        <f>STDEVP(C4:C10)</f>
        <v>65855088.556915149</v>
      </c>
    </row>
    <row r="19" spans="2:3" ht="15.75" x14ac:dyDescent="0.25">
      <c r="B19" s="13" t="s">
        <v>16</v>
      </c>
      <c r="C19" s="14">
        <f>SQRT(_xlfn.VAR.P(C4:C10))</f>
        <v>65855088.556915149</v>
      </c>
    </row>
    <row r="20" spans="2:3" ht="15.75" x14ac:dyDescent="0.25">
      <c r="B20" s="13" t="s">
        <v>17</v>
      </c>
      <c r="C20" s="14">
        <f>_xlfn.QUARTILE.INC(C4:C10,1)</f>
        <v>308018346.22667885</v>
      </c>
    </row>
    <row r="21" spans="2:3" ht="15.75" x14ac:dyDescent="0.25">
      <c r="B21" s="13" t="s">
        <v>18</v>
      </c>
      <c r="C21" s="14">
        <f>_xlfn.QUARTILE.INC(C4:C10,2)</f>
        <v>347462792.60000002</v>
      </c>
    </row>
    <row r="22" spans="2:3" ht="15.75" x14ac:dyDescent="0.25">
      <c r="B22" s="13" t="s">
        <v>19</v>
      </c>
      <c r="C22" s="14">
        <f>_xlfn.QUARTILE.INC(C4:C10,3)</f>
        <v>369695450.80545002</v>
      </c>
    </row>
    <row r="23" spans="2:3" ht="15.75" x14ac:dyDescent="0.25">
      <c r="B23" s="13" t="s">
        <v>20</v>
      </c>
      <c r="C23" s="14">
        <f>(C22-C20)</f>
        <v>61677104.578771174</v>
      </c>
    </row>
    <row r="24" spans="2:3" ht="15.75" x14ac:dyDescent="0.25">
      <c r="B24" s="13" t="s">
        <v>21</v>
      </c>
      <c r="C24" s="14">
        <f>C20-(C23*1.5)</f>
        <v>215502689.35852209</v>
      </c>
    </row>
    <row r="25" spans="2:3" ht="15.75" x14ac:dyDescent="0.25">
      <c r="B25" s="13" t="s">
        <v>22</v>
      </c>
      <c r="C25" s="14">
        <f>C22+(C23*1.5)</f>
        <v>462211107.67360675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E35B1-886A-4A61-8D68-E9F3FD8091A9}">
  <dimension ref="B3:I21"/>
  <sheetViews>
    <sheetView showGridLines="0" workbookViewId="0">
      <selection activeCell="D7" sqref="D7"/>
    </sheetView>
  </sheetViews>
  <sheetFormatPr baseColWidth="10" defaultRowHeight="15" x14ac:dyDescent="0.25"/>
  <cols>
    <col min="2" max="10" width="25.7109375" customWidth="1"/>
  </cols>
  <sheetData>
    <row r="3" spans="2:9" x14ac:dyDescent="0.25">
      <c r="B3" s="8" t="s">
        <v>26</v>
      </c>
      <c r="C3" s="11" t="s">
        <v>1</v>
      </c>
      <c r="D3" s="11" t="s">
        <v>25</v>
      </c>
    </row>
    <row r="4" spans="2:9" x14ac:dyDescent="0.25">
      <c r="B4" s="9" t="s">
        <v>7</v>
      </c>
      <c r="C4" s="10">
        <v>223542830.896</v>
      </c>
      <c r="D4" s="10">
        <v>339825766.20575106</v>
      </c>
    </row>
    <row r="5" spans="2:9" x14ac:dyDescent="0.25">
      <c r="B5" s="9" t="s">
        <v>6</v>
      </c>
      <c r="C5" s="10">
        <v>297417702.9533577</v>
      </c>
      <c r="D5" s="10">
        <v>339825766.20575106</v>
      </c>
    </row>
    <row r="6" spans="2:9" x14ac:dyDescent="0.25">
      <c r="B6" s="9" t="s">
        <v>8</v>
      </c>
      <c r="C6" s="10">
        <v>318618989.5</v>
      </c>
      <c r="D6" s="10">
        <v>339825766.20575106</v>
      </c>
    </row>
    <row r="7" spans="2:9" x14ac:dyDescent="0.25">
      <c r="B7" s="9" t="s">
        <v>3</v>
      </c>
      <c r="C7" s="10">
        <v>347462792.60000002</v>
      </c>
      <c r="D7" s="10">
        <v>339825766.20575106</v>
      </c>
    </row>
    <row r="8" spans="2:9" x14ac:dyDescent="0.25">
      <c r="B8" s="9" t="s">
        <v>4</v>
      </c>
      <c r="C8" s="10">
        <v>363192551.51200002</v>
      </c>
      <c r="D8" s="10">
        <v>339825766.20575106</v>
      </c>
    </row>
    <row r="9" spans="2:9" x14ac:dyDescent="0.25">
      <c r="B9" s="9" t="s">
        <v>2</v>
      </c>
      <c r="C9" s="10">
        <v>376198350.09890002</v>
      </c>
      <c r="D9" s="10">
        <v>339825766.20575106</v>
      </c>
    </row>
    <row r="10" spans="2:9" x14ac:dyDescent="0.25">
      <c r="B10" s="9" t="s">
        <v>5</v>
      </c>
      <c r="C10" s="10">
        <v>452347145.88</v>
      </c>
      <c r="D10" s="10">
        <v>339825766.20575106</v>
      </c>
    </row>
    <row r="14" spans="2:9" x14ac:dyDescent="0.25">
      <c r="B14" s="12" t="s">
        <v>26</v>
      </c>
      <c r="C14" s="11" t="s">
        <v>1</v>
      </c>
      <c r="D14" s="11" t="s">
        <v>17</v>
      </c>
      <c r="E14" s="11" t="s">
        <v>18</v>
      </c>
      <c r="F14" s="11" t="s">
        <v>19</v>
      </c>
      <c r="G14" s="11" t="s">
        <v>27</v>
      </c>
      <c r="H14" s="11" t="s">
        <v>21</v>
      </c>
      <c r="I14" s="11" t="s">
        <v>22</v>
      </c>
    </row>
    <row r="15" spans="2:9" x14ac:dyDescent="0.25">
      <c r="B15" s="9" t="s">
        <v>7</v>
      </c>
      <c r="C15" s="10">
        <v>223542830.896</v>
      </c>
      <c r="D15" s="10">
        <v>308018346.22667885</v>
      </c>
      <c r="E15" s="10">
        <v>347462792.60000002</v>
      </c>
      <c r="F15" s="10">
        <v>369695450.80545002</v>
      </c>
      <c r="G15" s="10">
        <v>61677104.578771174</v>
      </c>
      <c r="H15" s="10">
        <v>215502689.35852209</v>
      </c>
      <c r="I15" s="10">
        <v>462211107.67360675</v>
      </c>
    </row>
    <row r="16" spans="2:9" x14ac:dyDescent="0.25">
      <c r="B16" s="9" t="s">
        <v>6</v>
      </c>
      <c r="C16" s="10">
        <v>297417702.9533577</v>
      </c>
      <c r="D16" s="10">
        <v>308018346.22667885</v>
      </c>
      <c r="E16" s="10">
        <v>347462792.60000002</v>
      </c>
      <c r="F16" s="10">
        <v>369695450.80545002</v>
      </c>
      <c r="G16" s="10">
        <v>61677104.578771174</v>
      </c>
      <c r="H16" s="10">
        <v>215502689.35852209</v>
      </c>
      <c r="I16" s="10">
        <v>462211107.67360675</v>
      </c>
    </row>
    <row r="17" spans="2:9" x14ac:dyDescent="0.25">
      <c r="B17" s="9" t="s">
        <v>8</v>
      </c>
      <c r="C17" s="10">
        <v>318618989.5</v>
      </c>
      <c r="D17" s="10">
        <v>308018346.22667885</v>
      </c>
      <c r="E17" s="10">
        <v>347462792.60000002</v>
      </c>
      <c r="F17" s="10">
        <v>369695450.80545002</v>
      </c>
      <c r="G17" s="10">
        <v>61677104.578771174</v>
      </c>
      <c r="H17" s="10">
        <v>215502689.35852209</v>
      </c>
      <c r="I17" s="10">
        <v>462211107.67360675</v>
      </c>
    </row>
    <row r="18" spans="2:9" x14ac:dyDescent="0.25">
      <c r="B18" s="9" t="s">
        <v>3</v>
      </c>
      <c r="C18" s="10">
        <v>347462792.60000002</v>
      </c>
      <c r="D18" s="10">
        <v>308018346.22667885</v>
      </c>
      <c r="E18" s="10">
        <v>347462792.60000002</v>
      </c>
      <c r="F18" s="10">
        <v>369695450.80545002</v>
      </c>
      <c r="G18" s="10">
        <v>61677104.578771174</v>
      </c>
      <c r="H18" s="10">
        <v>215502689.35852209</v>
      </c>
      <c r="I18" s="10">
        <v>462211107.67360675</v>
      </c>
    </row>
    <row r="19" spans="2:9" x14ac:dyDescent="0.25">
      <c r="B19" s="9" t="s">
        <v>4</v>
      </c>
      <c r="C19" s="10">
        <v>363192551.51200002</v>
      </c>
      <c r="D19" s="10">
        <v>308018346.22667885</v>
      </c>
      <c r="E19" s="10">
        <v>347462792.60000002</v>
      </c>
      <c r="F19" s="10">
        <v>369695450.80545002</v>
      </c>
      <c r="G19" s="10">
        <v>61677104.578771174</v>
      </c>
      <c r="H19" s="10">
        <v>215502689.35852209</v>
      </c>
      <c r="I19" s="10">
        <v>462211107.67360675</v>
      </c>
    </row>
    <row r="20" spans="2:9" x14ac:dyDescent="0.25">
      <c r="B20" s="9" t="s">
        <v>2</v>
      </c>
      <c r="C20" s="10">
        <v>376198350.09890002</v>
      </c>
      <c r="D20" s="10">
        <v>308018346.22667885</v>
      </c>
      <c r="E20" s="10">
        <v>347462792.60000002</v>
      </c>
      <c r="F20" s="10">
        <v>369695450.80545002</v>
      </c>
      <c r="G20" s="10">
        <v>61677104.578771174</v>
      </c>
      <c r="H20" s="10">
        <v>215502689.35852209</v>
      </c>
      <c r="I20" s="10">
        <v>462211107.67360675</v>
      </c>
    </row>
    <row r="21" spans="2:9" x14ac:dyDescent="0.25">
      <c r="B21" s="9" t="s">
        <v>5</v>
      </c>
      <c r="C21" s="10">
        <v>452347145.88</v>
      </c>
      <c r="D21" s="10">
        <v>308018346.22667885</v>
      </c>
      <c r="E21" s="10">
        <v>347462792.60000002</v>
      </c>
      <c r="F21" s="10">
        <v>369695450.80545002</v>
      </c>
      <c r="G21" s="10">
        <v>61677104.578771174</v>
      </c>
      <c r="H21" s="10">
        <v>215502689.35852209</v>
      </c>
      <c r="I21" s="10">
        <v>462211107.67360675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E621B-8A06-4728-9808-2EA26316E2CA}">
  <dimension ref="B3:E25"/>
  <sheetViews>
    <sheetView showGridLines="0" topLeftCell="A3" zoomScale="145" zoomScaleNormal="145" workbookViewId="0">
      <selection activeCell="C15" sqref="C15"/>
    </sheetView>
  </sheetViews>
  <sheetFormatPr baseColWidth="10" defaultRowHeight="15" x14ac:dyDescent="0.25"/>
  <cols>
    <col min="2" max="10" width="30.7109375" customWidth="1"/>
  </cols>
  <sheetData>
    <row r="3" spans="2:5" ht="15.75" x14ac:dyDescent="0.25">
      <c r="B3" s="4" t="s">
        <v>0</v>
      </c>
      <c r="C3" s="5" t="s">
        <v>28</v>
      </c>
    </row>
    <row r="4" spans="2:5" ht="15.75" x14ac:dyDescent="0.25">
      <c r="B4" s="2" t="s">
        <v>2</v>
      </c>
      <c r="C4" s="3">
        <v>2176359014.4779</v>
      </c>
    </row>
    <row r="5" spans="2:5" ht="15.75" x14ac:dyDescent="0.25">
      <c r="B5" s="2" t="s">
        <v>3</v>
      </c>
      <c r="C5" s="3">
        <v>2112833576</v>
      </c>
    </row>
    <row r="6" spans="2:5" ht="15.75" x14ac:dyDescent="0.25">
      <c r="B6" s="2" t="s">
        <v>4</v>
      </c>
      <c r="C6" s="3">
        <v>2136465236.22</v>
      </c>
    </row>
    <row r="7" spans="2:5" ht="15.75" x14ac:dyDescent="0.25">
      <c r="B7" s="2" t="s">
        <v>5</v>
      </c>
      <c r="C7" s="3">
        <v>2659825644</v>
      </c>
    </row>
    <row r="8" spans="2:5" ht="15.75" x14ac:dyDescent="0.25">
      <c r="B8" s="2" t="s">
        <v>6</v>
      </c>
      <c r="C8" s="3">
        <v>8643937042.5574875</v>
      </c>
    </row>
    <row r="9" spans="2:5" ht="15.75" x14ac:dyDescent="0.25">
      <c r="B9" s="2" t="s">
        <v>7</v>
      </c>
      <c r="C9" s="3">
        <v>1139072636.24</v>
      </c>
      <c r="E9" s="15">
        <f>1/7</f>
        <v>0.14285714285714285</v>
      </c>
    </row>
    <row r="10" spans="2:5" ht="15.75" x14ac:dyDescent="0.25">
      <c r="B10" s="6" t="s">
        <v>8</v>
      </c>
      <c r="C10" s="7">
        <v>1887971176</v>
      </c>
      <c r="E10">
        <f>2/7</f>
        <v>0.2857142857142857</v>
      </c>
    </row>
    <row r="12" spans="2:5" ht="15.75" x14ac:dyDescent="0.25">
      <c r="B12" s="13" t="s">
        <v>9</v>
      </c>
      <c r="C12" s="14">
        <f>MIN(C4:C10)</f>
        <v>1139072636.24</v>
      </c>
    </row>
    <row r="13" spans="2:5" ht="15.75" x14ac:dyDescent="0.25">
      <c r="B13" s="13" t="s">
        <v>10</v>
      </c>
      <c r="C13" s="14">
        <f>MAX(C4:C10)</f>
        <v>8643937042.5574875</v>
      </c>
    </row>
    <row r="14" spans="2:5" ht="15.75" x14ac:dyDescent="0.25">
      <c r="B14" s="13" t="s">
        <v>11</v>
      </c>
      <c r="C14" s="14">
        <f>(C13-C12)</f>
        <v>7504864406.3174877</v>
      </c>
    </row>
    <row r="15" spans="2:5" ht="15.75" x14ac:dyDescent="0.25">
      <c r="B15" s="13" t="s">
        <v>12</v>
      </c>
      <c r="C15" s="14">
        <f>AVERAGE(C4:C10)</f>
        <v>2965209189.3564839</v>
      </c>
    </row>
    <row r="16" spans="2:5" ht="15.75" x14ac:dyDescent="0.25">
      <c r="B16" s="13" t="s">
        <v>13</v>
      </c>
      <c r="C16" s="14">
        <f>MEDIAN(C4:C10)</f>
        <v>2136465236.22</v>
      </c>
    </row>
    <row r="17" spans="2:5" ht="15.75" x14ac:dyDescent="0.25">
      <c r="B17" s="13" t="s">
        <v>14</v>
      </c>
      <c r="C17" s="14">
        <f>GEOMEAN(C4:C10)</f>
        <v>2419757730.0988545</v>
      </c>
      <c r="E17" s="15">
        <f>+C18/C15</f>
        <v>0.79472062061153059</v>
      </c>
    </row>
    <row r="18" spans="2:5" ht="15.75" x14ac:dyDescent="0.25">
      <c r="B18" s="13" t="s">
        <v>15</v>
      </c>
      <c r="C18" s="14">
        <f>STDEVP(C4:C10)</f>
        <v>2356512887.2083983</v>
      </c>
    </row>
    <row r="19" spans="2:5" ht="15.75" x14ac:dyDescent="0.25">
      <c r="B19" s="13" t="s">
        <v>16</v>
      </c>
      <c r="C19" s="14">
        <f>SQRT(_xlfn.VAR.P(C4:C10))</f>
        <v>2356512887.2083983</v>
      </c>
    </row>
    <row r="20" spans="2:5" ht="15.75" x14ac:dyDescent="0.25">
      <c r="B20" s="13" t="s">
        <v>17</v>
      </c>
      <c r="C20" s="14">
        <f>_xlfn.QUARTILE.INC(C4:C10,1)</f>
        <v>2000402376</v>
      </c>
    </row>
    <row r="21" spans="2:5" ht="15.75" x14ac:dyDescent="0.25">
      <c r="B21" s="13" t="s">
        <v>18</v>
      </c>
      <c r="C21" s="14">
        <f>_xlfn.QUARTILE.INC(C4:C10,2)</f>
        <v>2136465236.22</v>
      </c>
    </row>
    <row r="22" spans="2:5" ht="15.75" x14ac:dyDescent="0.25">
      <c r="B22" s="13" t="s">
        <v>19</v>
      </c>
      <c r="C22" s="14">
        <f>_xlfn.QUARTILE.INC(C4:C10,3)</f>
        <v>2418092329.2389498</v>
      </c>
    </row>
    <row r="23" spans="2:5" ht="15.75" x14ac:dyDescent="0.25">
      <c r="B23" s="13" t="s">
        <v>20</v>
      </c>
      <c r="C23" s="14">
        <f>(C22-C20)</f>
        <v>417689953.23894978</v>
      </c>
    </row>
    <row r="24" spans="2:5" ht="15.75" x14ac:dyDescent="0.25">
      <c r="B24" s="13" t="s">
        <v>21</v>
      </c>
      <c r="C24" s="14">
        <f>C20-(C23*1.5)</f>
        <v>1373867446.1415753</v>
      </c>
    </row>
    <row r="25" spans="2:5" ht="15.75" x14ac:dyDescent="0.25">
      <c r="B25" s="13" t="s">
        <v>22</v>
      </c>
      <c r="C25" s="14">
        <f>C22+(C23*1.5)</f>
        <v>3044627259.0973744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43931-7381-493B-BC07-DF6CB96F93E3}">
  <dimension ref="C4:H45"/>
  <sheetViews>
    <sheetView workbookViewId="0">
      <selection activeCell="L42" sqref="L42"/>
    </sheetView>
  </sheetViews>
  <sheetFormatPr baseColWidth="10" defaultRowHeight="15" x14ac:dyDescent="0.25"/>
  <cols>
    <col min="3" max="3" width="20.28515625" bestFit="1" customWidth="1"/>
    <col min="4" max="4" width="29" customWidth="1"/>
    <col min="5" max="6" width="14.140625" bestFit="1" customWidth="1"/>
  </cols>
  <sheetData>
    <row r="4" spans="3:4" ht="15.75" x14ac:dyDescent="0.25">
      <c r="C4" s="4" t="s">
        <v>0</v>
      </c>
      <c r="D4" s="5" t="s">
        <v>28</v>
      </c>
    </row>
    <row r="5" spans="3:4" ht="15.75" x14ac:dyDescent="0.25">
      <c r="C5" s="2" t="s">
        <v>2</v>
      </c>
      <c r="D5" s="3">
        <v>2176359014.4779</v>
      </c>
    </row>
    <row r="6" spans="3:4" ht="15.75" x14ac:dyDescent="0.25">
      <c r="C6" s="2" t="s">
        <v>3</v>
      </c>
      <c r="D6" s="3">
        <v>2112833576</v>
      </c>
    </row>
    <row r="7" spans="3:4" ht="15.75" x14ac:dyDescent="0.25">
      <c r="C7" s="2" t="s">
        <v>4</v>
      </c>
      <c r="D7" s="3">
        <v>2136465236.22</v>
      </c>
    </row>
    <row r="8" spans="3:4" ht="15.75" x14ac:dyDescent="0.25">
      <c r="C8" s="2" t="s">
        <v>5</v>
      </c>
      <c r="D8" s="3">
        <v>2659825644</v>
      </c>
    </row>
    <row r="9" spans="3:4" ht="15.75" x14ac:dyDescent="0.25">
      <c r="C9" s="2" t="s">
        <v>7</v>
      </c>
      <c r="D9" s="3">
        <v>1139072636.24</v>
      </c>
    </row>
    <row r="10" spans="3:4" ht="15.75" x14ac:dyDescent="0.25">
      <c r="C10" s="6" t="s">
        <v>8</v>
      </c>
      <c r="D10" s="7">
        <v>1887971176</v>
      </c>
    </row>
    <row r="12" spans="3:4" ht="15.75" x14ac:dyDescent="0.25">
      <c r="C12" s="13" t="s">
        <v>9</v>
      </c>
      <c r="D12" s="14">
        <f>MIN(D5:D10)</f>
        <v>1139072636.24</v>
      </c>
    </row>
    <row r="13" spans="3:4" ht="15.75" x14ac:dyDescent="0.25">
      <c r="C13" s="13" t="s">
        <v>10</v>
      </c>
      <c r="D13" s="14">
        <f>MAX(D5:D10)</f>
        <v>2659825644</v>
      </c>
    </row>
    <row r="14" spans="3:4" ht="15.75" x14ac:dyDescent="0.25">
      <c r="C14" s="13" t="s">
        <v>11</v>
      </c>
      <c r="D14" s="14">
        <f>(D13-D12)</f>
        <v>1520753007.76</v>
      </c>
    </row>
    <row r="15" spans="3:4" ht="15.75" x14ac:dyDescent="0.25">
      <c r="C15" s="13" t="s">
        <v>12</v>
      </c>
      <c r="D15" s="14">
        <f>AVERAGE(D5:D10)</f>
        <v>2018754547.1563165</v>
      </c>
    </row>
    <row r="16" spans="3:4" ht="15.75" x14ac:dyDescent="0.25">
      <c r="C16" s="13" t="s">
        <v>13</v>
      </c>
      <c r="D16" s="14">
        <f>MEDIAN(D5:D10)</f>
        <v>2124649406.1100001</v>
      </c>
    </row>
    <row r="17" spans="3:8" ht="15.75" x14ac:dyDescent="0.25">
      <c r="C17" s="13" t="s">
        <v>14</v>
      </c>
      <c r="D17" s="14">
        <f>GEOMEAN(D5:D10)</f>
        <v>1957110142.9489069</v>
      </c>
      <c r="H17" s="16"/>
    </row>
    <row r="18" spans="3:8" ht="15.75" x14ac:dyDescent="0.25">
      <c r="C18" s="13" t="s">
        <v>15</v>
      </c>
      <c r="D18" s="14">
        <f>STDEVP(D5:D10)</f>
        <v>456337328.42428833</v>
      </c>
    </row>
    <row r="19" spans="3:8" ht="15.75" x14ac:dyDescent="0.25">
      <c r="C19" s="13" t="s">
        <v>16</v>
      </c>
      <c r="D19" s="14">
        <f>SQRT(_xlfn.VAR.P(D5:D10))</f>
        <v>456337328.42428833</v>
      </c>
    </row>
    <row r="20" spans="3:8" ht="15.75" x14ac:dyDescent="0.25">
      <c r="C20" s="13" t="s">
        <v>17</v>
      </c>
      <c r="D20" s="14">
        <f>_xlfn.QUARTILE.INC(D5:D10,1)</f>
        <v>1944186776</v>
      </c>
    </row>
    <row r="21" spans="3:8" ht="15.75" x14ac:dyDescent="0.25">
      <c r="C21" s="13" t="s">
        <v>18</v>
      </c>
      <c r="D21" s="14">
        <f>_xlfn.QUARTILE.INC(D5:D10,2)</f>
        <v>2124649406.1100001</v>
      </c>
    </row>
    <row r="22" spans="3:8" ht="15.75" x14ac:dyDescent="0.25">
      <c r="C22" s="13" t="s">
        <v>19</v>
      </c>
      <c r="D22" s="14">
        <f>_xlfn.QUARTILE.INC(D5:D10,3)</f>
        <v>2166385569.913425</v>
      </c>
    </row>
    <row r="23" spans="3:8" ht="15.75" x14ac:dyDescent="0.25">
      <c r="C23" s="13" t="s">
        <v>20</v>
      </c>
      <c r="D23" s="14">
        <f>(D22-D20)</f>
        <v>222198793.91342497</v>
      </c>
    </row>
    <row r="24" spans="3:8" ht="15.75" x14ac:dyDescent="0.25">
      <c r="C24" s="13" t="s">
        <v>21</v>
      </c>
      <c r="D24" s="14">
        <f>D20-(D23*1.5)</f>
        <v>1610888585.1298625</v>
      </c>
    </row>
    <row r="25" spans="3:8" ht="15.75" x14ac:dyDescent="0.25">
      <c r="C25" s="13" t="s">
        <v>22</v>
      </c>
      <c r="D25" s="14">
        <f>D22+(D23*1.5)</f>
        <v>2499683760.7835627</v>
      </c>
    </row>
    <row r="29" spans="3:8" x14ac:dyDescent="0.25">
      <c r="C29" s="8" t="s">
        <v>23</v>
      </c>
      <c r="D29" t="s">
        <v>29</v>
      </c>
    </row>
    <row r="30" spans="3:8" x14ac:dyDescent="0.25">
      <c r="C30" s="9" t="s">
        <v>7</v>
      </c>
      <c r="D30" s="1">
        <v>1139072636.24</v>
      </c>
      <c r="F30" s="1"/>
    </row>
    <row r="31" spans="3:8" x14ac:dyDescent="0.25">
      <c r="C31" s="9" t="s">
        <v>8</v>
      </c>
      <c r="D31" s="1">
        <v>1887971176</v>
      </c>
      <c r="F31" s="1"/>
    </row>
    <row r="32" spans="3:8" x14ac:dyDescent="0.25">
      <c r="C32" s="9" t="s">
        <v>3</v>
      </c>
      <c r="D32" s="1">
        <v>2112833576</v>
      </c>
      <c r="F32" s="1"/>
    </row>
    <row r="33" spans="3:6" x14ac:dyDescent="0.25">
      <c r="C33" s="9" t="s">
        <v>4</v>
      </c>
      <c r="D33" s="1">
        <v>2136465236.22</v>
      </c>
      <c r="F33" s="1"/>
    </row>
    <row r="34" spans="3:6" x14ac:dyDescent="0.25">
      <c r="C34" s="9" t="s">
        <v>2</v>
      </c>
      <c r="D34" s="1">
        <v>2176359014.4779</v>
      </c>
      <c r="F34" s="1"/>
    </row>
    <row r="35" spans="3:6" x14ac:dyDescent="0.25">
      <c r="C35" s="9" t="s">
        <v>5</v>
      </c>
      <c r="D35" s="1">
        <v>2659825644</v>
      </c>
      <c r="F35" s="1"/>
    </row>
    <row r="36" spans="3:6" x14ac:dyDescent="0.25">
      <c r="C36" s="9" t="s">
        <v>24</v>
      </c>
      <c r="D36" s="1">
        <v>12112527282.937899</v>
      </c>
    </row>
    <row r="40" spans="3:6" x14ac:dyDescent="0.25">
      <c r="C40" t="s">
        <v>7</v>
      </c>
      <c r="D40" s="1">
        <v>1139072636.24</v>
      </c>
      <c r="E40" s="1">
        <v>2018754547.1563165</v>
      </c>
    </row>
    <row r="41" spans="3:6" x14ac:dyDescent="0.25">
      <c r="C41" t="s">
        <v>8</v>
      </c>
      <c r="D41" s="1">
        <v>1887971176</v>
      </c>
      <c r="E41" s="1">
        <v>2018754547.1563165</v>
      </c>
    </row>
    <row r="42" spans="3:6" x14ac:dyDescent="0.25">
      <c r="C42" t="s">
        <v>3</v>
      </c>
      <c r="D42" s="1">
        <v>2112833576</v>
      </c>
      <c r="E42" s="1">
        <v>2018754547.1563165</v>
      </c>
    </row>
    <row r="43" spans="3:6" x14ac:dyDescent="0.25">
      <c r="C43" t="s">
        <v>4</v>
      </c>
      <c r="D43" s="1">
        <v>2136465236.22</v>
      </c>
      <c r="E43" s="1">
        <v>2018754547.1563165</v>
      </c>
    </row>
    <row r="44" spans="3:6" x14ac:dyDescent="0.25">
      <c r="C44" t="s">
        <v>2</v>
      </c>
      <c r="D44" s="1">
        <v>2176359014.4779</v>
      </c>
      <c r="E44" s="1">
        <v>2018754547.1563165</v>
      </c>
    </row>
    <row r="45" spans="3:6" x14ac:dyDescent="0.25">
      <c r="C45" t="s">
        <v>5</v>
      </c>
      <c r="D45" s="1">
        <v>2659825644</v>
      </c>
      <c r="E45" s="1">
        <v>2018754547.1563165</v>
      </c>
    </row>
  </sheetData>
  <pageMargins left="0.7" right="0.7" top="0.75" bottom="0.75" header="0.3" footer="0.3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33A4F-1C3D-47C2-BAC9-21DB2096E225}">
  <dimension ref="A1"/>
  <sheetViews>
    <sheetView showGridLines="0" workbookViewId="0">
      <selection activeCell="N15" sqref="N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44BAC6EE-3AFD-492B-BB8F-D9CBE9C04C4F}">
  <ds:schemaRefs/>
</ds:datastoreItem>
</file>

<file path=customXml/itemProps2.xml><?xml version="1.0" encoding="utf-8"?>
<ds:datastoreItem xmlns:ds="http://schemas.openxmlformats.org/officeDocument/2006/customXml" ds:itemID="{FE7B88A0-B5B2-4F26-8617-32725A9555B0}">
  <ds:schemaRefs/>
</ds:datastoreItem>
</file>

<file path=customXml/itemProps3.xml><?xml version="1.0" encoding="utf-8"?>
<ds:datastoreItem xmlns:ds="http://schemas.openxmlformats.org/officeDocument/2006/customXml" ds:itemID="{CDFAB4B4-58CE-49DB-B14D-026F88B9AF79}">
  <ds:schemaRefs/>
</ds:datastoreItem>
</file>

<file path=customXml/itemProps4.xml><?xml version="1.0" encoding="utf-8"?>
<ds:datastoreItem xmlns:ds="http://schemas.openxmlformats.org/officeDocument/2006/customXml" ds:itemID="{A2B71C94-EBAC-44BD-AEBA-0C95EF7F7B7C}">
  <ds:schemaRefs/>
</ds:datastoreItem>
</file>

<file path=customXml/itemProps5.xml><?xml version="1.0" encoding="utf-8"?>
<ds:datastoreItem xmlns:ds="http://schemas.openxmlformats.org/officeDocument/2006/customXml" ds:itemID="{570D4AA3-FD30-4608-8CF8-58453E911017}">
  <ds:schemaRefs/>
</ds:datastoreItem>
</file>

<file path=customXml/itemProps6.xml><?xml version="1.0" encoding="utf-8"?>
<ds:datastoreItem xmlns:ds="http://schemas.openxmlformats.org/officeDocument/2006/customXml" ds:itemID="{A9920B02-477A-42D2-A20B-7825EA926BB9}">
  <ds:schemaRefs/>
</ds:datastoreItem>
</file>

<file path=customXml/itemProps7.xml><?xml version="1.0" encoding="utf-8"?>
<ds:datastoreItem xmlns:ds="http://schemas.openxmlformats.org/officeDocument/2006/customXml" ds:itemID="{4A37EA85-D289-471E-BFDA-86CA360F73E0}">
  <ds:schemaRefs/>
</ds:datastoreItem>
</file>

<file path=customXml/itemProps8.xml><?xml version="1.0" encoding="utf-8"?>
<ds:datastoreItem xmlns:ds="http://schemas.openxmlformats.org/officeDocument/2006/customXml" ds:itemID="{195ABDA5-0A28-4C25-B161-4603D4673F1F}">
  <ds:schemaRefs/>
</ds:datastoreItem>
</file>

<file path=customXml/itemProps9.xml><?xml version="1.0" encoding="utf-8"?>
<ds:datastoreItem xmlns:ds="http://schemas.openxmlformats.org/officeDocument/2006/customXml" ds:itemID="{79519252-B85E-4E89-991D-CEFA5AE59610}">
  <ds:schemaRefs/>
</ds:datastoreItem>
</file>

<file path=customXml/itemProps10.xml><?xml version="1.0" encoding="utf-8"?>
<ds:datastoreItem xmlns:ds="http://schemas.openxmlformats.org/officeDocument/2006/customXml" ds:itemID="{71DBA2AA-9279-4D7D-9407-67BD801B9295}">
  <ds:schemaRefs/>
</ds:datastoreItem>
</file>

<file path=customXml/itemProps11.xml><?xml version="1.0" encoding="utf-8"?>
<ds:datastoreItem xmlns:ds="http://schemas.openxmlformats.org/officeDocument/2006/customXml" ds:itemID="{417D0D56-991F-4A13-9222-2B29C22B1DA8}">
  <ds:schemaRefs/>
</ds:datastoreItem>
</file>

<file path=customXml/itemProps12.xml><?xml version="1.0" encoding="utf-8"?>
<ds:datastoreItem xmlns:ds="http://schemas.openxmlformats.org/officeDocument/2006/customXml" ds:itemID="{DCC6C5C0-3F0D-4421-AC07-275FD5C52282}">
  <ds:schemaRefs/>
</ds:datastoreItem>
</file>

<file path=customXml/itemProps13.xml><?xml version="1.0" encoding="utf-8"?>
<ds:datastoreItem xmlns:ds="http://schemas.openxmlformats.org/officeDocument/2006/customXml" ds:itemID="{9369C8D3-15E1-4E81-A91F-BAB96951CD29}">
  <ds:schemaRefs/>
</ds:datastoreItem>
</file>

<file path=customXml/itemProps14.xml><?xml version="1.0" encoding="utf-8"?>
<ds:datastoreItem xmlns:ds="http://schemas.openxmlformats.org/officeDocument/2006/customXml" ds:itemID="{635DAB9E-6BF6-4F3F-B9DA-B5ED9EEA80A0}">
  <ds:schemaRefs/>
</ds:datastoreItem>
</file>

<file path=customXml/itemProps15.xml><?xml version="1.0" encoding="utf-8"?>
<ds:datastoreItem xmlns:ds="http://schemas.openxmlformats.org/officeDocument/2006/customXml" ds:itemID="{40B59F4B-D298-4257-948F-4776B7E51386}">
  <ds:schemaRefs/>
</ds:datastoreItem>
</file>

<file path=customXml/itemProps16.xml><?xml version="1.0" encoding="utf-8"?>
<ds:datastoreItem xmlns:ds="http://schemas.openxmlformats.org/officeDocument/2006/customXml" ds:itemID="{B9B0EC20-5443-4F60-A44C-E7EAF3465F6F}">
  <ds:schemaRefs/>
</ds:datastoreItem>
</file>

<file path=customXml/itemProps17.xml><?xml version="1.0" encoding="utf-8"?>
<ds:datastoreItem xmlns:ds="http://schemas.openxmlformats.org/officeDocument/2006/customXml" ds:itemID="{FE501607-B442-4BD0-B54B-97FEBE6D7E0D}">
  <ds:schemaRefs/>
</ds:datastoreItem>
</file>

<file path=customXml/itemProps18.xml><?xml version="1.0" encoding="utf-8"?>
<ds:datastoreItem xmlns:ds="http://schemas.openxmlformats.org/officeDocument/2006/customXml" ds:itemID="{83ABD3AB-99EF-4C14-8E73-ED3219FCBD1C}">
  <ds:schemaRefs/>
</ds:datastoreItem>
</file>

<file path=customXml/itemProps19.xml><?xml version="1.0" encoding="utf-8"?>
<ds:datastoreItem xmlns:ds="http://schemas.openxmlformats.org/officeDocument/2006/customXml" ds:itemID="{6AA5B571-570C-4771-9656-72A42ADB585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PRECIOS UNIT 2024</vt:lpstr>
      <vt:lpstr>PRECIOS UNIT 2025</vt:lpstr>
      <vt:lpstr>2024 cuartiles</vt:lpstr>
      <vt:lpstr>2025 cuartiles</vt:lpstr>
      <vt:lpstr>Asig. salarial min</vt:lpstr>
      <vt:lpstr>Análisis presup total</vt:lpstr>
      <vt:lpstr>Hoja2</vt:lpstr>
      <vt:lpstr>Hoja1 (2)</vt:lpstr>
      <vt:lpstr>Hoja5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Bolaños</dc:creator>
  <cp:lastModifiedBy>Andrés Leonardo Serrano</cp:lastModifiedBy>
  <dcterms:created xsi:type="dcterms:W3CDTF">2024-09-04T17:26:19Z</dcterms:created>
  <dcterms:modified xsi:type="dcterms:W3CDTF">2024-10-24T03:42:41Z</dcterms:modified>
</cp:coreProperties>
</file>